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0714C202-DC34-644D-B19B-4DD625C02712}" xr6:coauthVersionLast="47" xr6:coauthVersionMax="47" xr10:uidLastSave="{00000000-0000-0000-0000-000000000000}"/>
  <bookViews>
    <workbookView xWindow="0" yWindow="760" windowWidth="30240" windowHeight="17260" activeTab="1" xr2:uid="{843CD013-835A-1741-B375-CD508AE79BD2}"/>
  </bookViews>
  <sheets>
    <sheet name="multirotor" sheetId="9" r:id="rId1"/>
    <sheet name="lift+cruise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9" l="1"/>
  <c r="AU79" i="10"/>
  <c r="AT79" i="10"/>
  <c r="AU78" i="10"/>
  <c r="AT78" i="10"/>
  <c r="AU77" i="10"/>
  <c r="AT77" i="10"/>
  <c r="AU76" i="10"/>
  <c r="AT76" i="10"/>
  <c r="AU75" i="10"/>
  <c r="AT75" i="10"/>
  <c r="AU74" i="10"/>
  <c r="AT74" i="10"/>
  <c r="AU73" i="10"/>
  <c r="AT73" i="10"/>
  <c r="AU72" i="10"/>
  <c r="AT72" i="10"/>
  <c r="AU71" i="10"/>
  <c r="AT71" i="10"/>
  <c r="AU70" i="10"/>
  <c r="AT70" i="10"/>
  <c r="AU69" i="10"/>
  <c r="AT69" i="10"/>
  <c r="AU68" i="10"/>
  <c r="AT68" i="10"/>
  <c r="AU67" i="10"/>
  <c r="AT67" i="10"/>
  <c r="AU66" i="10"/>
  <c r="AT66" i="10"/>
  <c r="AU65" i="10"/>
  <c r="AT65" i="10"/>
  <c r="AU64" i="10"/>
  <c r="AT64" i="10"/>
  <c r="AU63" i="10"/>
  <c r="AT63" i="10"/>
  <c r="AU62" i="10"/>
  <c r="AT62" i="10"/>
  <c r="AU61" i="10"/>
  <c r="AT61" i="10"/>
  <c r="AU60" i="10"/>
  <c r="AT60" i="10"/>
  <c r="AU59" i="10"/>
  <c r="AT59" i="10"/>
  <c r="AU58" i="10"/>
  <c r="AT58" i="10"/>
  <c r="AU57" i="10"/>
  <c r="AT57" i="10"/>
  <c r="AU56" i="10"/>
  <c r="AT56" i="10"/>
  <c r="AU55" i="10"/>
  <c r="AT55" i="10"/>
  <c r="AU54" i="10"/>
  <c r="AT54" i="10"/>
  <c r="AU53" i="10"/>
  <c r="AT53" i="10"/>
  <c r="AU52" i="10"/>
  <c r="AT52" i="10"/>
  <c r="AU51" i="10"/>
  <c r="AT51" i="10"/>
  <c r="AV50" i="10"/>
  <c r="AU50" i="10"/>
  <c r="AP51" i="10" s="1"/>
  <c r="AT50" i="10"/>
  <c r="AN51" i="10" s="1"/>
  <c r="AR50" i="10"/>
  <c r="AY9" i="10"/>
  <c r="AY10" i="10" s="1"/>
  <c r="AY46" i="10"/>
  <c r="C30" i="10"/>
  <c r="C23" i="10"/>
  <c r="C10" i="10"/>
  <c r="C8" i="10"/>
  <c r="CO136" i="10"/>
  <c r="CN136" i="10"/>
  <c r="CD136" i="10"/>
  <c r="CC136" i="10"/>
  <c r="CO135" i="10"/>
  <c r="CN135" i="10"/>
  <c r="CD135" i="10"/>
  <c r="CC135" i="10"/>
  <c r="CO134" i="10"/>
  <c r="CN134" i="10"/>
  <c r="CD134" i="10"/>
  <c r="CC134" i="10"/>
  <c r="CO133" i="10"/>
  <c r="CN133" i="10"/>
  <c r="CD133" i="10"/>
  <c r="CC133" i="10"/>
  <c r="CO132" i="10"/>
  <c r="CN132" i="10"/>
  <c r="CD132" i="10"/>
  <c r="CC132" i="10"/>
  <c r="CO131" i="10"/>
  <c r="CN131" i="10"/>
  <c r="CD131" i="10"/>
  <c r="CC131" i="10"/>
  <c r="CO130" i="10"/>
  <c r="CN130" i="10"/>
  <c r="CD130" i="10"/>
  <c r="CC130" i="10"/>
  <c r="CO129" i="10"/>
  <c r="CN129" i="10"/>
  <c r="CD129" i="10"/>
  <c r="CC129" i="10"/>
  <c r="CO128" i="10"/>
  <c r="CN128" i="10"/>
  <c r="CD128" i="10"/>
  <c r="CC128" i="10"/>
  <c r="CO127" i="10"/>
  <c r="CN127" i="10"/>
  <c r="CD127" i="10"/>
  <c r="CC127" i="10"/>
  <c r="CO126" i="10"/>
  <c r="CN126" i="10"/>
  <c r="CD126" i="10"/>
  <c r="CC126" i="10"/>
  <c r="CO125" i="10"/>
  <c r="CN125" i="10"/>
  <c r="CD125" i="10"/>
  <c r="CC125" i="10"/>
  <c r="CO124" i="10"/>
  <c r="CN124" i="10"/>
  <c r="CD124" i="10"/>
  <c r="CC124" i="10"/>
  <c r="CO123" i="10"/>
  <c r="CN123" i="10"/>
  <c r="CD123" i="10"/>
  <c r="CC123" i="10"/>
  <c r="CO122" i="10"/>
  <c r="CN122" i="10"/>
  <c r="CD122" i="10"/>
  <c r="CC122" i="10"/>
  <c r="CO121" i="10"/>
  <c r="CN121" i="10"/>
  <c r="CD121" i="10"/>
  <c r="CC121" i="10"/>
  <c r="CO120" i="10"/>
  <c r="CN120" i="10"/>
  <c r="CD120" i="10"/>
  <c r="CC120" i="10"/>
  <c r="CO119" i="10"/>
  <c r="CN119" i="10"/>
  <c r="CD119" i="10"/>
  <c r="CC119" i="10"/>
  <c r="CO118" i="10"/>
  <c r="CN118" i="10"/>
  <c r="CD118" i="10"/>
  <c r="CC118" i="10"/>
  <c r="CO117" i="10"/>
  <c r="CN117" i="10"/>
  <c r="CD117" i="10"/>
  <c r="CC117" i="10"/>
  <c r="CO116" i="10"/>
  <c r="CN116" i="10"/>
  <c r="CD116" i="10"/>
  <c r="CC116" i="10"/>
  <c r="CO115" i="10"/>
  <c r="CN115" i="10"/>
  <c r="CD115" i="10"/>
  <c r="CC115" i="10"/>
  <c r="CO114" i="10"/>
  <c r="CN114" i="10"/>
  <c r="CD114" i="10"/>
  <c r="CC114" i="10"/>
  <c r="CO113" i="10"/>
  <c r="CN113" i="10"/>
  <c r="CD113" i="10"/>
  <c r="CC113" i="10"/>
  <c r="CO112" i="10"/>
  <c r="CN112" i="10"/>
  <c r="CD112" i="10"/>
  <c r="CC112" i="10"/>
  <c r="CO111" i="10"/>
  <c r="CN111" i="10"/>
  <c r="CD111" i="10"/>
  <c r="CC111" i="10"/>
  <c r="CO110" i="10"/>
  <c r="CN110" i="10"/>
  <c r="CD110" i="10"/>
  <c r="CC110" i="10"/>
  <c r="CO109" i="10"/>
  <c r="CN109" i="10"/>
  <c r="CD109" i="10"/>
  <c r="CC109" i="10"/>
  <c r="CO108" i="10"/>
  <c r="CN108" i="10"/>
  <c r="CD108" i="10"/>
  <c r="CC108" i="10"/>
  <c r="CO107" i="10"/>
  <c r="CN107" i="10"/>
  <c r="CJ107" i="10"/>
  <c r="CH107" i="10"/>
  <c r="CD107" i="10"/>
  <c r="CC107" i="10"/>
  <c r="BW108" i="10" s="1"/>
  <c r="BY107" i="10"/>
  <c r="BW107" i="10"/>
  <c r="CO102" i="10"/>
  <c r="CN102" i="10"/>
  <c r="CD102" i="10"/>
  <c r="CC102" i="10"/>
  <c r="CO101" i="10"/>
  <c r="CN101" i="10"/>
  <c r="CD101" i="10"/>
  <c r="CC101" i="10"/>
  <c r="CO100" i="10"/>
  <c r="CN100" i="10"/>
  <c r="CD100" i="10"/>
  <c r="CC100" i="10"/>
  <c r="CO99" i="10"/>
  <c r="CN99" i="10"/>
  <c r="CD99" i="10"/>
  <c r="CC99" i="10"/>
  <c r="CO98" i="10"/>
  <c r="CN98" i="10"/>
  <c r="CD98" i="10"/>
  <c r="CC98" i="10"/>
  <c r="CO97" i="10"/>
  <c r="CN97" i="10"/>
  <c r="CD97" i="10"/>
  <c r="CC97" i="10"/>
  <c r="CO96" i="10"/>
  <c r="CN96" i="10"/>
  <c r="CD96" i="10"/>
  <c r="CC96" i="10"/>
  <c r="CO95" i="10"/>
  <c r="CN95" i="10"/>
  <c r="CD95" i="10"/>
  <c r="CC95" i="10"/>
  <c r="CO94" i="10"/>
  <c r="CN94" i="10"/>
  <c r="CD94" i="10"/>
  <c r="CC94" i="10"/>
  <c r="CO93" i="10"/>
  <c r="CN93" i="10"/>
  <c r="CD93" i="10"/>
  <c r="CC93" i="10"/>
  <c r="CO92" i="10"/>
  <c r="CN92" i="10"/>
  <c r="CD92" i="10"/>
  <c r="CC92" i="10"/>
  <c r="CO91" i="10"/>
  <c r="CN91" i="10"/>
  <c r="CD91" i="10"/>
  <c r="CC91" i="10"/>
  <c r="CO90" i="10"/>
  <c r="CN90" i="10"/>
  <c r="CD90" i="10"/>
  <c r="CC90" i="10"/>
  <c r="CO89" i="10"/>
  <c r="CN89" i="10"/>
  <c r="CD89" i="10"/>
  <c r="CC89" i="10"/>
  <c r="CO88" i="10"/>
  <c r="CN88" i="10"/>
  <c r="CD88" i="10"/>
  <c r="CC88" i="10"/>
  <c r="CO87" i="10"/>
  <c r="CN87" i="10"/>
  <c r="CD87" i="10"/>
  <c r="CC87" i="10"/>
  <c r="CO86" i="10"/>
  <c r="CN86" i="10"/>
  <c r="CD86" i="10"/>
  <c r="CC86" i="10"/>
  <c r="CO85" i="10"/>
  <c r="CN85" i="10"/>
  <c r="CD85" i="10"/>
  <c r="CC85" i="10"/>
  <c r="CO84" i="10"/>
  <c r="CN84" i="10"/>
  <c r="CD84" i="10"/>
  <c r="CC84" i="10"/>
  <c r="CO83" i="10"/>
  <c r="CN83" i="10"/>
  <c r="CD83" i="10"/>
  <c r="CC83" i="10"/>
  <c r="CO82" i="10"/>
  <c r="CN82" i="10"/>
  <c r="CD82" i="10"/>
  <c r="CC82" i="10"/>
  <c r="CO81" i="10"/>
  <c r="CN81" i="10"/>
  <c r="CD81" i="10"/>
  <c r="CC81" i="10"/>
  <c r="CO80" i="10"/>
  <c r="CN80" i="10"/>
  <c r="CD80" i="10"/>
  <c r="CC80" i="10"/>
  <c r="CO79" i="10"/>
  <c r="CN79" i="10"/>
  <c r="CD79" i="10"/>
  <c r="CC79" i="10"/>
  <c r="CO78" i="10"/>
  <c r="CN78" i="10"/>
  <c r="CD78" i="10"/>
  <c r="CC78" i="10"/>
  <c r="CO77" i="10"/>
  <c r="CN77" i="10"/>
  <c r="CD77" i="10"/>
  <c r="CC77" i="10"/>
  <c r="CO76" i="10"/>
  <c r="CN76" i="10"/>
  <c r="CD76" i="10"/>
  <c r="CC76" i="10"/>
  <c r="CO75" i="10"/>
  <c r="CN75" i="10"/>
  <c r="CD75" i="10"/>
  <c r="CC75" i="10"/>
  <c r="CO74" i="10"/>
  <c r="CN74" i="10"/>
  <c r="CD74" i="10"/>
  <c r="CC74" i="10"/>
  <c r="CO73" i="10"/>
  <c r="CN73" i="10"/>
  <c r="CJ73" i="10"/>
  <c r="CH73" i="10"/>
  <c r="CL73" i="10" s="1"/>
  <c r="CD73" i="10"/>
  <c r="CC73" i="10"/>
  <c r="BY73" i="10"/>
  <c r="BW73" i="10"/>
  <c r="CE73" i="10" s="1"/>
  <c r="CO68" i="10"/>
  <c r="CN68" i="10"/>
  <c r="CD68" i="10"/>
  <c r="CC68" i="10"/>
  <c r="CO67" i="10"/>
  <c r="CN67" i="10"/>
  <c r="CD67" i="10"/>
  <c r="CC67" i="10"/>
  <c r="CO66" i="10"/>
  <c r="CN66" i="10"/>
  <c r="CD66" i="10"/>
  <c r="CC66" i="10"/>
  <c r="CO65" i="10"/>
  <c r="CN65" i="10"/>
  <c r="CD65" i="10"/>
  <c r="CC65" i="10"/>
  <c r="CO64" i="10"/>
  <c r="CN64" i="10"/>
  <c r="CD64" i="10"/>
  <c r="CC64" i="10"/>
  <c r="CO63" i="10"/>
  <c r="CN63" i="10"/>
  <c r="CD63" i="10"/>
  <c r="CC63" i="10"/>
  <c r="CO62" i="10"/>
  <c r="CN62" i="10"/>
  <c r="CD62" i="10"/>
  <c r="CC62" i="10"/>
  <c r="BS62" i="10"/>
  <c r="BO62" i="10"/>
  <c r="CO61" i="10"/>
  <c r="CN61" i="10"/>
  <c r="CD61" i="10"/>
  <c r="CC61" i="10"/>
  <c r="CO60" i="10"/>
  <c r="CN60" i="10"/>
  <c r="CD60" i="10"/>
  <c r="CC60" i="10"/>
  <c r="CO59" i="10"/>
  <c r="CN59" i="10"/>
  <c r="CD59" i="10"/>
  <c r="CC59" i="10"/>
  <c r="CO58" i="10"/>
  <c r="CN58" i="10"/>
  <c r="CD58" i="10"/>
  <c r="CC58" i="10"/>
  <c r="CO57" i="10"/>
  <c r="CN57" i="10"/>
  <c r="CD57" i="10"/>
  <c r="CC57" i="10"/>
  <c r="CO56" i="10"/>
  <c r="CN56" i="10"/>
  <c r="CD56" i="10"/>
  <c r="CC56" i="10"/>
  <c r="CO55" i="10"/>
  <c r="CN55" i="10"/>
  <c r="CD55" i="10"/>
  <c r="CC55" i="10"/>
  <c r="CO54" i="10"/>
  <c r="CN54" i="10"/>
  <c r="CD54" i="10"/>
  <c r="CC54" i="10"/>
  <c r="CO53" i="10"/>
  <c r="CN53" i="10"/>
  <c r="CD53" i="10"/>
  <c r="CC53" i="10"/>
  <c r="CO52" i="10"/>
  <c r="CN52" i="10"/>
  <c r="CD52" i="10"/>
  <c r="CC52" i="10"/>
  <c r="CO51" i="10"/>
  <c r="CN51" i="10"/>
  <c r="CD51" i="10"/>
  <c r="CC51" i="10"/>
  <c r="CO50" i="10"/>
  <c r="CN50" i="10"/>
  <c r="CD50" i="10"/>
  <c r="CC50" i="10"/>
  <c r="CO49" i="10"/>
  <c r="CN49" i="10"/>
  <c r="CD49" i="10"/>
  <c r="CC49" i="10"/>
  <c r="CO48" i="10"/>
  <c r="CN48" i="10"/>
  <c r="CD48" i="10"/>
  <c r="CC48" i="10"/>
  <c r="CO47" i="10"/>
  <c r="CN47" i="10"/>
  <c r="CD47" i="10"/>
  <c r="CC47" i="10"/>
  <c r="CO46" i="10"/>
  <c r="CN46" i="10"/>
  <c r="CD46" i="10"/>
  <c r="CC46" i="10"/>
  <c r="CO45" i="10"/>
  <c r="CN45" i="10"/>
  <c r="CD45" i="10"/>
  <c r="CC45" i="10"/>
  <c r="AY45" i="10"/>
  <c r="CO44" i="10"/>
  <c r="CN44" i="10"/>
  <c r="CD44" i="10"/>
  <c r="CC44" i="10"/>
  <c r="CO43" i="10"/>
  <c r="CN43" i="10"/>
  <c r="CD43" i="10"/>
  <c r="CC43" i="10"/>
  <c r="BS43" i="10"/>
  <c r="BO43" i="10"/>
  <c r="CO42" i="10"/>
  <c r="CN42" i="10"/>
  <c r="CD42" i="10"/>
  <c r="CC42" i="10"/>
  <c r="CO41" i="10"/>
  <c r="CN41" i="10"/>
  <c r="CD41" i="10"/>
  <c r="CC41" i="10"/>
  <c r="CO40" i="10"/>
  <c r="CN40" i="10"/>
  <c r="CD40" i="10"/>
  <c r="CC40" i="10"/>
  <c r="CO39" i="10"/>
  <c r="CN39" i="10"/>
  <c r="CJ39" i="10"/>
  <c r="CH39" i="10"/>
  <c r="CD39" i="10"/>
  <c r="CC39" i="10"/>
  <c r="BY39" i="10"/>
  <c r="BW39" i="10"/>
  <c r="CE39" i="10" s="1"/>
  <c r="CO34" i="10"/>
  <c r="CN34" i="10"/>
  <c r="CD34" i="10"/>
  <c r="CC34" i="10"/>
  <c r="CO33" i="10"/>
  <c r="CN33" i="10"/>
  <c r="CD33" i="10"/>
  <c r="CC33" i="10"/>
  <c r="CO32" i="10"/>
  <c r="CN32" i="10"/>
  <c r="CD32" i="10"/>
  <c r="CC32" i="10"/>
  <c r="CO31" i="10"/>
  <c r="CN31" i="10"/>
  <c r="CD31" i="10"/>
  <c r="CC31" i="10"/>
  <c r="CO30" i="10"/>
  <c r="CN30" i="10"/>
  <c r="CD30" i="10"/>
  <c r="CC30" i="10"/>
  <c r="CO29" i="10"/>
  <c r="CN29" i="10"/>
  <c r="CD29" i="10"/>
  <c r="CC29" i="10"/>
  <c r="CO28" i="10"/>
  <c r="CN28" i="10"/>
  <c r="CD28" i="10"/>
  <c r="CC28" i="10"/>
  <c r="CO27" i="10"/>
  <c r="CN27" i="10"/>
  <c r="CD27" i="10"/>
  <c r="CC27" i="10"/>
  <c r="CO26" i="10"/>
  <c r="CN26" i="10"/>
  <c r="CD26" i="10"/>
  <c r="CC26" i="10"/>
  <c r="CO25" i="10"/>
  <c r="CN25" i="10"/>
  <c r="CD25" i="10"/>
  <c r="CC25" i="10"/>
  <c r="CO24" i="10"/>
  <c r="CN24" i="10"/>
  <c r="CD24" i="10"/>
  <c r="CC24" i="10"/>
  <c r="BS24" i="10"/>
  <c r="BO24" i="10"/>
  <c r="CO23" i="10"/>
  <c r="CN23" i="10"/>
  <c r="CD23" i="10"/>
  <c r="CC23" i="10"/>
  <c r="CO22" i="10"/>
  <c r="CN22" i="10"/>
  <c r="CD22" i="10"/>
  <c r="CC22" i="10"/>
  <c r="CO21" i="10"/>
  <c r="CN21" i="10"/>
  <c r="CD21" i="10"/>
  <c r="CC21" i="10"/>
  <c r="CO20" i="10"/>
  <c r="CN20" i="10"/>
  <c r="CD20" i="10"/>
  <c r="CC20" i="10"/>
  <c r="CO19" i="10"/>
  <c r="CN19" i="10"/>
  <c r="CD19" i="10"/>
  <c r="CC19" i="10"/>
  <c r="CO18" i="10"/>
  <c r="CN18" i="10"/>
  <c r="CD18" i="10"/>
  <c r="CC18" i="10"/>
  <c r="CO17" i="10"/>
  <c r="CN17" i="10"/>
  <c r="CD17" i="10"/>
  <c r="CC17" i="10"/>
  <c r="CO16" i="10"/>
  <c r="CN16" i="10"/>
  <c r="CD16" i="10"/>
  <c r="CC16" i="10"/>
  <c r="CO15" i="10"/>
  <c r="CN15" i="10"/>
  <c r="CD15" i="10"/>
  <c r="CC15" i="10"/>
  <c r="CO14" i="10"/>
  <c r="CN14" i="10"/>
  <c r="CD14" i="10"/>
  <c r="CC14" i="10"/>
  <c r="CO13" i="10"/>
  <c r="CN13" i="10"/>
  <c r="CD13" i="10"/>
  <c r="CC13" i="10"/>
  <c r="CO12" i="10"/>
  <c r="CN12" i="10"/>
  <c r="CD12" i="10"/>
  <c r="CC12" i="10"/>
  <c r="CO11" i="10"/>
  <c r="CN11" i="10"/>
  <c r="CD11" i="10"/>
  <c r="CC11" i="10"/>
  <c r="CO10" i="10"/>
  <c r="CN10" i="10"/>
  <c r="CD10" i="10"/>
  <c r="CC10" i="10"/>
  <c r="CO9" i="10"/>
  <c r="CN9" i="10"/>
  <c r="CD9" i="10"/>
  <c r="CC9" i="10"/>
  <c r="AY32" i="10"/>
  <c r="CO8" i="10"/>
  <c r="CN8" i="10"/>
  <c r="CD8" i="10"/>
  <c r="CC8" i="10"/>
  <c r="AY8" i="10"/>
  <c r="CO7" i="10"/>
  <c r="CN7" i="10"/>
  <c r="CD7" i="10"/>
  <c r="CC7" i="10"/>
  <c r="CO6" i="10"/>
  <c r="CN6" i="10"/>
  <c r="CD6" i="10"/>
  <c r="CC6" i="10"/>
  <c r="CO5" i="10"/>
  <c r="CN5" i="10"/>
  <c r="CJ5" i="10"/>
  <c r="CH5" i="10"/>
  <c r="CD5" i="10"/>
  <c r="CC5" i="10"/>
  <c r="BY5" i="10"/>
  <c r="BW5" i="10"/>
  <c r="CA5" i="10" s="1"/>
  <c r="BS5" i="10"/>
  <c r="BO5" i="10"/>
  <c r="AY3" i="10"/>
  <c r="CJ74" i="10" l="1"/>
  <c r="CH40" i="10"/>
  <c r="CH41" i="10" s="1"/>
  <c r="AV51" i="10"/>
  <c r="AR51" i="10"/>
  <c r="AP52" i="10" s="1"/>
  <c r="CA107" i="10"/>
  <c r="BY108" i="10" s="1"/>
  <c r="CA108" i="10" s="1"/>
  <c r="BY109" i="10" s="1"/>
  <c r="BW6" i="10"/>
  <c r="BY6" i="10"/>
  <c r="CA73" i="10"/>
  <c r="BW40" i="10"/>
  <c r="BW41" i="10" s="1"/>
  <c r="CA39" i="10"/>
  <c r="BY40" i="10" s="1"/>
  <c r="BW74" i="10"/>
  <c r="BW75" i="10" s="1"/>
  <c r="BW76" i="10" s="1"/>
  <c r="AY22" i="10"/>
  <c r="AY33" i="10"/>
  <c r="AY28" i="10"/>
  <c r="BY74" i="10"/>
  <c r="CE107" i="10"/>
  <c r="AY26" i="10"/>
  <c r="BK31" i="10" s="1"/>
  <c r="CH74" i="10"/>
  <c r="CH75" i="10" s="1"/>
  <c r="CH76" i="10" s="1"/>
  <c r="AY31" i="10"/>
  <c r="AY24" i="10"/>
  <c r="CE5" i="10"/>
  <c r="AY19" i="10"/>
  <c r="CP39" i="10"/>
  <c r="CP73" i="10"/>
  <c r="AY20" i="10"/>
  <c r="AY30" i="10"/>
  <c r="BC3" i="10"/>
  <c r="BC4" i="10" s="1"/>
  <c r="CL5" i="10"/>
  <c r="CJ6" i="10" s="1"/>
  <c r="AY21" i="10"/>
  <c r="AY23" i="10"/>
  <c r="AY25" i="10"/>
  <c r="CP5" i="10"/>
  <c r="CH6" i="10"/>
  <c r="CH7" i="10" s="1"/>
  <c r="CH8" i="10" s="1"/>
  <c r="CL107" i="10"/>
  <c r="CJ108" i="10" s="1"/>
  <c r="CH108" i="10"/>
  <c r="CP107" i="10"/>
  <c r="CL39" i="10"/>
  <c r="CJ40" i="10" s="1"/>
  <c r="BW109" i="10"/>
  <c r="AY34" i="10"/>
  <c r="AY27" i="10"/>
  <c r="AY29" i="10"/>
  <c r="CP40" i="10" l="1"/>
  <c r="AN52" i="10"/>
  <c r="AR52" i="10" s="1"/>
  <c r="AN53" i="10" s="1"/>
  <c r="CE108" i="10"/>
  <c r="CA109" i="10"/>
  <c r="BY110" i="10" s="1"/>
  <c r="CL74" i="10"/>
  <c r="CJ75" i="10" s="1"/>
  <c r="CL75" i="10" s="1"/>
  <c r="CJ76" i="10" s="1"/>
  <c r="CE40" i="10"/>
  <c r="CA6" i="10"/>
  <c r="BY7" i="10" s="1"/>
  <c r="CE6" i="10"/>
  <c r="BW7" i="10"/>
  <c r="BO65" i="10"/>
  <c r="CE74" i="10"/>
  <c r="BG22" i="10"/>
  <c r="BS27" i="10"/>
  <c r="CA74" i="10"/>
  <c r="BY75" i="10" s="1"/>
  <c r="CA75" i="10" s="1"/>
  <c r="BY76" i="10" s="1"/>
  <c r="CP6" i="10"/>
  <c r="BS65" i="10"/>
  <c r="BG31" i="10"/>
  <c r="BO46" i="10"/>
  <c r="CP108" i="10"/>
  <c r="CA40" i="10"/>
  <c r="BY41" i="10" s="1"/>
  <c r="CA41" i="10" s="1"/>
  <c r="BY42" i="10" s="1"/>
  <c r="BS46" i="10"/>
  <c r="CP74" i="10"/>
  <c r="BG4" i="10"/>
  <c r="BK4" i="10"/>
  <c r="BO27" i="10"/>
  <c r="BO8" i="10"/>
  <c r="BS8" i="10"/>
  <c r="BK13" i="10"/>
  <c r="BG13" i="10"/>
  <c r="BK22" i="10"/>
  <c r="CH42" i="10"/>
  <c r="CL6" i="10"/>
  <c r="CJ7" i="10" s="1"/>
  <c r="CP7" i="10" s="1"/>
  <c r="BW110" i="10"/>
  <c r="CL108" i="10"/>
  <c r="CJ109" i="10" s="1"/>
  <c r="CH109" i="10"/>
  <c r="CE109" i="10"/>
  <c r="BW42" i="10"/>
  <c r="CL40" i="10"/>
  <c r="CJ41" i="10" s="1"/>
  <c r="CP41" i="10" s="1"/>
  <c r="AV52" i="10" l="1"/>
  <c r="CA7" i="10"/>
  <c r="BW8" i="10" s="1"/>
  <c r="AP53" i="10"/>
  <c r="AV53" i="10" s="1"/>
  <c r="CA110" i="10"/>
  <c r="BY8" i="10"/>
  <c r="CE7" i="10"/>
  <c r="CP75" i="10"/>
  <c r="CE75" i="10"/>
  <c r="CE41" i="10"/>
  <c r="CE110" i="10"/>
  <c r="CA42" i="10"/>
  <c r="BW43" i="10" s="1"/>
  <c r="CL41" i="10"/>
  <c r="CJ42" i="10" s="1"/>
  <c r="CL42" i="10" s="1"/>
  <c r="CH43" i="10" s="1"/>
  <c r="CE76" i="10"/>
  <c r="CL7" i="10"/>
  <c r="CJ8" i="10" s="1"/>
  <c r="CL109" i="10"/>
  <c r="CJ110" i="10" s="1"/>
  <c r="CH110" i="10"/>
  <c r="CP109" i="10"/>
  <c r="CP76" i="10"/>
  <c r="CJ77" i="10"/>
  <c r="CE42" i="10"/>
  <c r="CA76" i="10"/>
  <c r="BW77" i="10" s="1"/>
  <c r="CL76" i="10"/>
  <c r="CH77" i="10" s="1"/>
  <c r="CA8" i="10" l="1"/>
  <c r="BY9" i="10" s="1"/>
  <c r="CE8" i="10"/>
  <c r="AR53" i="10"/>
  <c r="AN54" i="10" s="1"/>
  <c r="BW111" i="10"/>
  <c r="BY111" i="10"/>
  <c r="BY77" i="10"/>
  <c r="CA77" i="10" s="1"/>
  <c r="BY78" i="10" s="1"/>
  <c r="CJ43" i="10"/>
  <c r="CL43" i="10" s="1"/>
  <c r="BY43" i="10"/>
  <c r="CA43" i="10" s="1"/>
  <c r="BW9" i="10"/>
  <c r="CP42" i="10"/>
  <c r="AP54" i="10"/>
  <c r="CL110" i="10"/>
  <c r="CH111" i="10" s="1"/>
  <c r="CP77" i="10"/>
  <c r="CP110" i="10"/>
  <c r="CL77" i="10"/>
  <c r="CJ78" i="10" s="1"/>
  <c r="CH78" i="10"/>
  <c r="CP8" i="10"/>
  <c r="CL8" i="10"/>
  <c r="CH9" i="10" s="1"/>
  <c r="BW78" i="10"/>
  <c r="CP43" i="10" l="1"/>
  <c r="AR54" i="10"/>
  <c r="AP55" i="10" s="1"/>
  <c r="CE111" i="10"/>
  <c r="CE9" i="10"/>
  <c r="CA9" i="10"/>
  <c r="BY10" i="10" s="1"/>
  <c r="BY11" i="10" s="1"/>
  <c r="CE77" i="10"/>
  <c r="CE43" i="10"/>
  <c r="CJ111" i="10"/>
  <c r="CP111" i="10" s="1"/>
  <c r="CA111" i="10"/>
  <c r="BY112" i="10" s="1"/>
  <c r="CJ44" i="10"/>
  <c r="CH44" i="10"/>
  <c r="BW44" i="10"/>
  <c r="BY44" i="10"/>
  <c r="BW10" i="10"/>
  <c r="CJ9" i="10"/>
  <c r="CL9" i="10" s="1"/>
  <c r="AV54" i="10"/>
  <c r="CA78" i="10"/>
  <c r="BW79" i="10" s="1"/>
  <c r="CP78" i="10"/>
  <c r="CL78" i="10"/>
  <c r="CJ79" i="10" s="1"/>
  <c r="CH79" i="10"/>
  <c r="CE78" i="10"/>
  <c r="CA10" i="10" l="1"/>
  <c r="BW11" i="10" s="1"/>
  <c r="CA11" i="10" s="1"/>
  <c r="AN55" i="10"/>
  <c r="AR55" i="10" s="1"/>
  <c r="AN56" i="10" s="1"/>
  <c r="CP44" i="10"/>
  <c r="CL111" i="10"/>
  <c r="CJ112" i="10" s="1"/>
  <c r="CH112" i="10"/>
  <c r="BW112" i="10"/>
  <c r="CE112" i="10" s="1"/>
  <c r="BY79" i="10"/>
  <c r="CE79" i="10" s="1"/>
  <c r="CL44" i="10"/>
  <c r="CP9" i="10"/>
  <c r="CE44" i="10"/>
  <c r="CE10" i="10"/>
  <c r="CA44" i="10"/>
  <c r="BY45" i="10" s="1"/>
  <c r="CH10" i="10"/>
  <c r="CJ10" i="10"/>
  <c r="AP56" i="10"/>
  <c r="CP79" i="10"/>
  <c r="CL79" i="10"/>
  <c r="CH80" i="10" s="1"/>
  <c r="CE11" i="10" l="1"/>
  <c r="AR56" i="10"/>
  <c r="AP57" i="10" s="1"/>
  <c r="AV55" i="10"/>
  <c r="CA79" i="10"/>
  <c r="BY80" i="10" s="1"/>
  <c r="CL112" i="10"/>
  <c r="CJ113" i="10" s="1"/>
  <c r="CP112" i="10"/>
  <c r="CH113" i="10"/>
  <c r="CA112" i="10"/>
  <c r="CL10" i="10"/>
  <c r="CH11" i="10" s="1"/>
  <c r="CJ80" i="10"/>
  <c r="CL80" i="10" s="1"/>
  <c r="BW80" i="10"/>
  <c r="AV56" i="10"/>
  <c r="CH45" i="10"/>
  <c r="CJ45" i="10"/>
  <c r="CJ11" i="10"/>
  <c r="CJ12" i="10" s="1"/>
  <c r="CP10" i="10"/>
  <c r="BW45" i="10"/>
  <c r="CA45" i="10" s="1"/>
  <c r="BY12" i="10"/>
  <c r="BW12" i="10"/>
  <c r="AN57" i="10"/>
  <c r="CP45" i="10" l="1"/>
  <c r="CE80" i="10"/>
  <c r="CP113" i="10"/>
  <c r="CP80" i="10"/>
  <c r="CA80" i="10"/>
  <c r="BW81" i="10" s="1"/>
  <c r="CL113" i="10"/>
  <c r="CP11" i="10"/>
  <c r="CE45" i="10"/>
  <c r="CL11" i="10"/>
  <c r="CH12" i="10" s="1"/>
  <c r="CP12" i="10" s="1"/>
  <c r="BY113" i="10"/>
  <c r="BW113" i="10"/>
  <c r="CA12" i="10"/>
  <c r="BY13" i="10" s="1"/>
  <c r="CH81" i="10"/>
  <c r="CJ81" i="10"/>
  <c r="BY81" i="10"/>
  <c r="CL45" i="10"/>
  <c r="BW46" i="10"/>
  <c r="BY46" i="10"/>
  <c r="BW13" i="10"/>
  <c r="CE12" i="10"/>
  <c r="AV57" i="10"/>
  <c r="AR57" i="10"/>
  <c r="AN58" i="10" s="1"/>
  <c r="CL12" i="10" l="1"/>
  <c r="CJ13" i="10" s="1"/>
  <c r="CA81" i="10"/>
  <c r="BY82" i="10" s="1"/>
  <c r="CA113" i="10"/>
  <c r="CH114" i="10"/>
  <c r="CJ114" i="10"/>
  <c r="CE46" i="10"/>
  <c r="CA13" i="10"/>
  <c r="CP81" i="10"/>
  <c r="BY114" i="10"/>
  <c r="BW114" i="10"/>
  <c r="CE113" i="10"/>
  <c r="CL81" i="10"/>
  <c r="CH82" i="10" s="1"/>
  <c r="CE81" i="10"/>
  <c r="BW82" i="10"/>
  <c r="CH46" i="10"/>
  <c r="CJ46" i="10"/>
  <c r="CA46" i="10"/>
  <c r="BY47" i="10" s="1"/>
  <c r="CH13" i="10"/>
  <c r="BW14" i="10"/>
  <c r="BY14" i="10"/>
  <c r="CE13" i="10"/>
  <c r="AP58" i="10"/>
  <c r="AR58" i="10" s="1"/>
  <c r="AP59" i="10" s="1"/>
  <c r="CP114" i="10" l="1"/>
  <c r="CA114" i="10"/>
  <c r="BY115" i="10" s="1"/>
  <c r="CA82" i="10"/>
  <c r="BW83" i="10" s="1"/>
  <c r="CE82" i="10"/>
  <c r="CJ82" i="10"/>
  <c r="CP82" i="10" s="1"/>
  <c r="CL114" i="10"/>
  <c r="CJ115" i="10" s="1"/>
  <c r="CP46" i="10"/>
  <c r="CL13" i="10"/>
  <c r="CH14" i="10" s="1"/>
  <c r="BW115" i="10"/>
  <c r="CE114" i="10"/>
  <c r="CE14" i="10"/>
  <c r="CL46" i="10"/>
  <c r="BW47" i="10"/>
  <c r="CE47" i="10" s="1"/>
  <c r="CP13" i="10"/>
  <c r="CJ14" i="10"/>
  <c r="CA14" i="10"/>
  <c r="BY15" i="10" s="1"/>
  <c r="AN59" i="10"/>
  <c r="AR59" i="10" s="1"/>
  <c r="AV58" i="10"/>
  <c r="CL82" i="10" l="1"/>
  <c r="CJ83" i="10" s="1"/>
  <c r="BY83" i="10"/>
  <c r="CA83" i="10" s="1"/>
  <c r="BY84" i="10" s="1"/>
  <c r="CA115" i="10"/>
  <c r="BY116" i="10" s="1"/>
  <c r="BY117" i="10" s="1"/>
  <c r="CH115" i="10"/>
  <c r="CL115" i="10" s="1"/>
  <c r="CA47" i="10"/>
  <c r="BW48" i="10" s="1"/>
  <c r="CL14" i="10"/>
  <c r="CJ15" i="10" s="1"/>
  <c r="BW116" i="10"/>
  <c r="CE115" i="10"/>
  <c r="CP14" i="10"/>
  <c r="CH47" i="10"/>
  <c r="CJ47" i="10"/>
  <c r="CH15" i="10"/>
  <c r="BY48" i="10"/>
  <c r="BW15" i="10"/>
  <c r="CA15" i="10" s="1"/>
  <c r="AP60" i="10"/>
  <c r="AN60" i="10"/>
  <c r="AV59" i="10"/>
  <c r="CH83" i="10" l="1"/>
  <c r="CP83" i="10" s="1"/>
  <c r="CE83" i="10"/>
  <c r="CA116" i="10"/>
  <c r="BW117" i="10" s="1"/>
  <c r="CE117" i="10" s="1"/>
  <c r="CL15" i="10"/>
  <c r="CH16" i="10" s="1"/>
  <c r="CH116" i="10"/>
  <c r="CJ116" i="10"/>
  <c r="CP115" i="10"/>
  <c r="BW84" i="10"/>
  <c r="CE84" i="10" s="1"/>
  <c r="CJ84" i="10"/>
  <c r="CP15" i="10"/>
  <c r="CE48" i="10"/>
  <c r="CE116" i="10"/>
  <c r="CL47" i="10"/>
  <c r="CP47" i="10"/>
  <c r="CA48" i="10"/>
  <c r="BY49" i="10" s="1"/>
  <c r="BY16" i="10"/>
  <c r="BW16" i="10"/>
  <c r="CE15" i="10"/>
  <c r="AV60" i="10"/>
  <c r="AR60" i="10"/>
  <c r="AN61" i="10" s="1"/>
  <c r="CL83" i="10" l="1"/>
  <c r="CH84" i="10" s="1"/>
  <c r="CL84" i="10" s="1"/>
  <c r="CH85" i="10" s="1"/>
  <c r="CA117" i="10"/>
  <c r="CJ16" i="10"/>
  <c r="CP16" i="10" s="1"/>
  <c r="CP116" i="10"/>
  <c r="CA84" i="10"/>
  <c r="BY85" i="10" s="1"/>
  <c r="CL116" i="10"/>
  <c r="CA16" i="10"/>
  <c r="BY17" i="10" s="1"/>
  <c r="CJ85" i="10"/>
  <c r="BW118" i="10"/>
  <c r="BY118" i="10"/>
  <c r="CH48" i="10"/>
  <c r="CJ48" i="10"/>
  <c r="BW49" i="10"/>
  <c r="CE49" i="10" s="1"/>
  <c r="CE16" i="10"/>
  <c r="AP61" i="10"/>
  <c r="AV61" i="10" s="1"/>
  <c r="CP84" i="10" l="1"/>
  <c r="CJ17" i="10"/>
  <c r="BW85" i="10"/>
  <c r="CA85" i="10" s="1"/>
  <c r="BW86" i="10" s="1"/>
  <c r="CL16" i="10"/>
  <c r="CH17" i="10" s="1"/>
  <c r="CP17" i="10" s="1"/>
  <c r="BW17" i="10"/>
  <c r="CA17" i="10" s="1"/>
  <c r="CE118" i="10"/>
  <c r="CL85" i="10"/>
  <c r="CJ86" i="10" s="1"/>
  <c r="BY86" i="10"/>
  <c r="CH117" i="10"/>
  <c r="CJ117" i="10"/>
  <c r="CP48" i="10"/>
  <c r="CH86" i="10"/>
  <c r="CP85" i="10"/>
  <c r="CA49" i="10"/>
  <c r="BY50" i="10" s="1"/>
  <c r="CA118" i="10"/>
  <c r="CL48" i="10"/>
  <c r="CJ49" i="10" s="1"/>
  <c r="BW50" i="10"/>
  <c r="AR61" i="10"/>
  <c r="AP62" i="10" s="1"/>
  <c r="CE85" i="10" l="1"/>
  <c r="CA86" i="10"/>
  <c r="BW87" i="10" s="1"/>
  <c r="CL17" i="10"/>
  <c r="CJ18" i="10" s="1"/>
  <c r="CE17" i="10"/>
  <c r="CL86" i="10"/>
  <c r="CJ87" i="10" s="1"/>
  <c r="CH18" i="10"/>
  <c r="CE50" i="10"/>
  <c r="CE86" i="10"/>
  <c r="CL117" i="10"/>
  <c r="CP117" i="10"/>
  <c r="CH87" i="10"/>
  <c r="CP86" i="10"/>
  <c r="AN62" i="10"/>
  <c r="AR62" i="10" s="1"/>
  <c r="AN63" i="10" s="1"/>
  <c r="BW119" i="10"/>
  <c r="BY119" i="10"/>
  <c r="CH49" i="10"/>
  <c r="CL49" i="10" s="1"/>
  <c r="CA50" i="10"/>
  <c r="BW18" i="10"/>
  <c r="BY18" i="10"/>
  <c r="CP18" i="10" l="1"/>
  <c r="BY87" i="10"/>
  <c r="CE87" i="10" s="1"/>
  <c r="CL18" i="10"/>
  <c r="CH19" i="10" s="1"/>
  <c r="CE18" i="10"/>
  <c r="CE119" i="10"/>
  <c r="CP87" i="10"/>
  <c r="CH118" i="10"/>
  <c r="CJ118" i="10"/>
  <c r="AV62" i="10"/>
  <c r="AP63" i="10"/>
  <c r="AV63" i="10" s="1"/>
  <c r="CL87" i="10"/>
  <c r="CA119" i="10"/>
  <c r="BY120" i="10" s="1"/>
  <c r="BW120" i="10"/>
  <c r="CH50" i="10"/>
  <c r="CJ50" i="10"/>
  <c r="CP49" i="10"/>
  <c r="BW51" i="10"/>
  <c r="BY51" i="10"/>
  <c r="CA18" i="10"/>
  <c r="BY19" i="10" s="1"/>
  <c r="CJ19" i="10" l="1"/>
  <c r="CP19" i="10" s="1"/>
  <c r="CA87" i="10"/>
  <c r="BY88" i="10" s="1"/>
  <c r="CP118" i="10"/>
  <c r="CP50" i="10"/>
  <c r="AR63" i="10"/>
  <c r="AP64" i="10" s="1"/>
  <c r="CL118" i="10"/>
  <c r="CJ119" i="10" s="1"/>
  <c r="CE51" i="10"/>
  <c r="CJ88" i="10"/>
  <c r="CH88" i="10"/>
  <c r="CA120" i="10"/>
  <c r="BY121" i="10" s="1"/>
  <c r="BW121" i="10"/>
  <c r="CE120" i="10"/>
  <c r="BW88" i="10"/>
  <c r="CL50" i="10"/>
  <c r="CH20" i="10"/>
  <c r="CA51" i="10"/>
  <c r="BW19" i="10"/>
  <c r="CA19" i="10" s="1"/>
  <c r="CL19" i="10" l="1"/>
  <c r="CJ20" i="10" s="1"/>
  <c r="CL20" i="10" s="1"/>
  <c r="CJ21" i="10" s="1"/>
  <c r="CA88" i="10"/>
  <c r="AN64" i="10"/>
  <c r="AR64" i="10" s="1"/>
  <c r="AN65" i="10" s="1"/>
  <c r="CH119" i="10"/>
  <c r="CL119" i="10" s="1"/>
  <c r="CP88" i="10"/>
  <c r="CL88" i="10"/>
  <c r="CA121" i="10"/>
  <c r="BY122" i="10" s="1"/>
  <c r="CE121" i="10"/>
  <c r="BY89" i="10"/>
  <c r="BW89" i="10"/>
  <c r="CE88" i="10"/>
  <c r="CJ51" i="10"/>
  <c r="CH51" i="10"/>
  <c r="CH21" i="10"/>
  <c r="BW52" i="10"/>
  <c r="BY52" i="10"/>
  <c r="BY20" i="10"/>
  <c r="BW20" i="10"/>
  <c r="CE19" i="10"/>
  <c r="AP65" i="10"/>
  <c r="CP20" i="10" l="1"/>
  <c r="AV64" i="10"/>
  <c r="BW122" i="10"/>
  <c r="CE122" i="10" s="1"/>
  <c r="AV65" i="10"/>
  <c r="CA89" i="10"/>
  <c r="BY90" i="10" s="1"/>
  <c r="CL51" i="10"/>
  <c r="CJ52" i="10" s="1"/>
  <c r="CH120" i="10"/>
  <c r="CJ120" i="10"/>
  <c r="CP119" i="10"/>
  <c r="CJ89" i="10"/>
  <c r="CH89" i="10"/>
  <c r="CL21" i="10"/>
  <c r="CJ22" i="10" s="1"/>
  <c r="CE52" i="10"/>
  <c r="BW90" i="10"/>
  <c r="CE89" i="10"/>
  <c r="CH52" i="10"/>
  <c r="CP51" i="10"/>
  <c r="CA20" i="10"/>
  <c r="BY21" i="10" s="1"/>
  <c r="CP21" i="10"/>
  <c r="CA52" i="10"/>
  <c r="BY53" i="10" s="1"/>
  <c r="CE20" i="10"/>
  <c r="AR65" i="10"/>
  <c r="AN66" i="10" s="1"/>
  <c r="CL89" i="10" l="1"/>
  <c r="CA122" i="10"/>
  <c r="BY123" i="10" s="1"/>
  <c r="BW123" i="10"/>
  <c r="CP120" i="10"/>
  <c r="CH22" i="10"/>
  <c r="CP22" i="10" s="1"/>
  <c r="BW53" i="10"/>
  <c r="CE53" i="10" s="1"/>
  <c r="CL120" i="10"/>
  <c r="CP52" i="10"/>
  <c r="CA90" i="10"/>
  <c r="BW91" i="10" s="1"/>
  <c r="CJ90" i="10"/>
  <c r="CH90" i="10"/>
  <c r="CP89" i="10"/>
  <c r="BY91" i="10"/>
  <c r="CE90" i="10"/>
  <c r="BW21" i="10"/>
  <c r="CE21" i="10" s="1"/>
  <c r="CL52" i="10"/>
  <c r="AP66" i="10"/>
  <c r="AV66" i="10" s="1"/>
  <c r="CH23" i="10" l="1"/>
  <c r="CL22" i="10"/>
  <c r="CJ23" i="10" s="1"/>
  <c r="CJ24" i="10" s="1"/>
  <c r="CA53" i="10"/>
  <c r="BY54" i="10" s="1"/>
  <c r="CA123" i="10"/>
  <c r="BW124" i="10" s="1"/>
  <c r="CE123" i="10"/>
  <c r="CL90" i="10"/>
  <c r="CJ91" i="10" s="1"/>
  <c r="CE91" i="10"/>
  <c r="CA91" i="10"/>
  <c r="BY92" i="10" s="1"/>
  <c r="CH121" i="10"/>
  <c r="CJ121" i="10"/>
  <c r="CP90" i="10"/>
  <c r="BY124" i="10"/>
  <c r="CA21" i="10"/>
  <c r="BY22" i="10" s="1"/>
  <c r="AR66" i="10"/>
  <c r="AP67" i="10" s="1"/>
  <c r="CH53" i="10"/>
  <c r="CJ53" i="10"/>
  <c r="CP23" i="10" l="1"/>
  <c r="CH91" i="10"/>
  <c r="CP91" i="10" s="1"/>
  <c r="CL23" i="10"/>
  <c r="CH24" i="10" s="1"/>
  <c r="CP24" i="10" s="1"/>
  <c r="BW54" i="10"/>
  <c r="CE54" i="10" s="1"/>
  <c r="CE124" i="10"/>
  <c r="CP53" i="10"/>
  <c r="BW92" i="10"/>
  <c r="CE92" i="10" s="1"/>
  <c r="BW22" i="10"/>
  <c r="CA22" i="10" s="1"/>
  <c r="BW23" i="10" s="1"/>
  <c r="CL91" i="10"/>
  <c r="CH92" i="10" s="1"/>
  <c r="CL121" i="10"/>
  <c r="CP121" i="10"/>
  <c r="CJ92" i="10"/>
  <c r="CA124" i="10"/>
  <c r="AN67" i="10"/>
  <c r="AV67" i="10" s="1"/>
  <c r="CL53" i="10"/>
  <c r="CL24" i="10" l="1"/>
  <c r="CJ25" i="10" s="1"/>
  <c r="CA54" i="10"/>
  <c r="BW55" i="10" s="1"/>
  <c r="BY23" i="10"/>
  <c r="CA23" i="10" s="1"/>
  <c r="CA92" i="10"/>
  <c r="BY93" i="10" s="1"/>
  <c r="CE22" i="10"/>
  <c r="CL92" i="10"/>
  <c r="CJ93" i="10" s="1"/>
  <c r="BY55" i="10"/>
  <c r="CH122" i="10"/>
  <c r="CJ122" i="10"/>
  <c r="CH93" i="10"/>
  <c r="CP92" i="10"/>
  <c r="AR67" i="10"/>
  <c r="AN68" i="10" s="1"/>
  <c r="BW125" i="10"/>
  <c r="BY125" i="10"/>
  <c r="CJ54" i="10"/>
  <c r="CH54" i="10"/>
  <c r="CH25" i="10"/>
  <c r="CL25" i="10" s="1"/>
  <c r="CE23" i="10" l="1"/>
  <c r="CE55" i="10"/>
  <c r="BW93" i="10"/>
  <c r="CP93" i="10"/>
  <c r="CA55" i="10"/>
  <c r="CE125" i="10"/>
  <c r="CP122" i="10"/>
  <c r="AP68" i="10"/>
  <c r="AV68" i="10" s="1"/>
  <c r="CL122" i="10"/>
  <c r="CL54" i="10"/>
  <c r="CH55" i="10" s="1"/>
  <c r="CL93" i="10"/>
  <c r="CA125" i="10"/>
  <c r="BY126" i="10" s="1"/>
  <c r="CP54" i="10"/>
  <c r="CH26" i="10"/>
  <c r="CJ26" i="10"/>
  <c r="CP25" i="10"/>
  <c r="BY24" i="10"/>
  <c r="BW24" i="10"/>
  <c r="AR68" i="10" l="1"/>
  <c r="AN69" i="10" s="1"/>
  <c r="CA93" i="10"/>
  <c r="CE93" i="10"/>
  <c r="CJ55" i="10"/>
  <c r="CP55" i="10" s="1"/>
  <c r="BY56" i="10"/>
  <c r="BW56" i="10"/>
  <c r="BW126" i="10"/>
  <c r="CA126" i="10" s="1"/>
  <c r="BW127" i="10" s="1"/>
  <c r="CH123" i="10"/>
  <c r="CJ123" i="10"/>
  <c r="CJ94" i="10"/>
  <c r="CH94" i="10"/>
  <c r="CP26" i="10"/>
  <c r="CA24" i="10"/>
  <c r="BW25" i="10" s="1"/>
  <c r="CL26" i="10"/>
  <c r="CE24" i="10"/>
  <c r="AP69" i="10" l="1"/>
  <c r="AR69" i="10" s="1"/>
  <c r="AN70" i="10" s="1"/>
  <c r="BY127" i="10"/>
  <c r="CA127" i="10" s="1"/>
  <c r="BW94" i="10"/>
  <c r="BY94" i="10"/>
  <c r="CL55" i="10"/>
  <c r="CJ56" i="10" s="1"/>
  <c r="CH56" i="10"/>
  <c r="CE56" i="10"/>
  <c r="CA56" i="10"/>
  <c r="CE126" i="10"/>
  <c r="CL94" i="10"/>
  <c r="CJ95" i="10" s="1"/>
  <c r="CP123" i="10"/>
  <c r="CL123" i="10"/>
  <c r="BY25" i="10"/>
  <c r="CE25" i="10" s="1"/>
  <c r="CP94" i="10"/>
  <c r="CJ27" i="10"/>
  <c r="CH27" i="10"/>
  <c r="CE127" i="10" l="1"/>
  <c r="AV69" i="10"/>
  <c r="AP70" i="10"/>
  <c r="AR70" i="10" s="1"/>
  <c r="AP71" i="10" s="1"/>
  <c r="CL56" i="10"/>
  <c r="CE94" i="10"/>
  <c r="CA94" i="10"/>
  <c r="BY95" i="10" s="1"/>
  <c r="CH95" i="10"/>
  <c r="CP95" i="10" s="1"/>
  <c r="CP56" i="10"/>
  <c r="BY57" i="10"/>
  <c r="BW57" i="10"/>
  <c r="CA25" i="10"/>
  <c r="BW26" i="10" s="1"/>
  <c r="CH124" i="10"/>
  <c r="CJ124" i="10"/>
  <c r="CL27" i="10"/>
  <c r="CJ28" i="10" s="1"/>
  <c r="BW128" i="10"/>
  <c r="BY128" i="10"/>
  <c r="CH57" i="10"/>
  <c r="CJ57" i="10"/>
  <c r="CP27" i="10"/>
  <c r="CA57" i="10" l="1"/>
  <c r="BW58" i="10" s="1"/>
  <c r="BW95" i="10"/>
  <c r="CA95" i="10" s="1"/>
  <c r="BW96" i="10" s="1"/>
  <c r="CP124" i="10"/>
  <c r="AV70" i="10"/>
  <c r="CL95" i="10"/>
  <c r="BY26" i="10"/>
  <c r="CA26" i="10" s="1"/>
  <c r="CE128" i="10"/>
  <c r="BY58" i="10"/>
  <c r="CE57" i="10"/>
  <c r="CP57" i="10"/>
  <c r="CH28" i="10"/>
  <c r="CL28" i="10" s="1"/>
  <c r="CJ29" i="10" s="1"/>
  <c r="CL124" i="10"/>
  <c r="CA128" i="10"/>
  <c r="CL57" i="10"/>
  <c r="AN71" i="10"/>
  <c r="AR71" i="10" s="1"/>
  <c r="AP72" i="10" s="1"/>
  <c r="CE58" i="10" l="1"/>
  <c r="CE95" i="10"/>
  <c r="CJ96" i="10"/>
  <c r="CH96" i="10"/>
  <c r="CE26" i="10"/>
  <c r="BY96" i="10"/>
  <c r="CA58" i="10"/>
  <c r="BW59" i="10" s="1"/>
  <c r="BY59" i="10"/>
  <c r="CH29" i="10"/>
  <c r="CL29" i="10" s="1"/>
  <c r="CP28" i="10"/>
  <c r="CJ125" i="10"/>
  <c r="CH125" i="10"/>
  <c r="BW129" i="10"/>
  <c r="BY129" i="10"/>
  <c r="CJ58" i="10"/>
  <c r="CH58" i="10"/>
  <c r="BW27" i="10"/>
  <c r="BY27" i="10"/>
  <c r="AV71" i="10"/>
  <c r="AN72" i="10"/>
  <c r="AR72" i="10" s="1"/>
  <c r="CP96" i="10" l="1"/>
  <c r="CP29" i="10"/>
  <c r="CE27" i="10"/>
  <c r="CL96" i="10"/>
  <c r="CE129" i="10"/>
  <c r="CA96" i="10"/>
  <c r="CE96" i="10"/>
  <c r="CA59" i="10"/>
  <c r="BY60" i="10" s="1"/>
  <c r="CE59" i="10"/>
  <c r="CL125" i="10"/>
  <c r="CH126" i="10" s="1"/>
  <c r="CL58" i="10"/>
  <c r="CH59" i="10" s="1"/>
  <c r="CJ126" i="10"/>
  <c r="CP125" i="10"/>
  <c r="CA129" i="10"/>
  <c r="BY130" i="10" s="1"/>
  <c r="CP58" i="10"/>
  <c r="CH30" i="10"/>
  <c r="CJ30" i="10"/>
  <c r="CA27" i="10"/>
  <c r="AV72" i="10"/>
  <c r="AN73" i="10"/>
  <c r="AP73" i="10"/>
  <c r="BW60" i="10" l="1"/>
  <c r="CA60" i="10" s="1"/>
  <c r="BY61" i="10" s="1"/>
  <c r="CJ97" i="10"/>
  <c r="CH97" i="10"/>
  <c r="BY97" i="10"/>
  <c r="BW97" i="10"/>
  <c r="CL126" i="10"/>
  <c r="CJ127" i="10" s="1"/>
  <c r="CJ59" i="10"/>
  <c r="CL59" i="10" s="1"/>
  <c r="BW61" i="10"/>
  <c r="CE60" i="10"/>
  <c r="CH127" i="10"/>
  <c r="CP126" i="10"/>
  <c r="BW130" i="10"/>
  <c r="CA130" i="10" s="1"/>
  <c r="CP30" i="10"/>
  <c r="CL30" i="10"/>
  <c r="BW28" i="10"/>
  <c r="BY28" i="10"/>
  <c r="AR73" i="10"/>
  <c r="AN74" i="10" s="1"/>
  <c r="AV73" i="10"/>
  <c r="AP74" i="10"/>
  <c r="CA97" i="10" l="1"/>
  <c r="BY98" i="10" s="1"/>
  <c r="CL97" i="10"/>
  <c r="CJ98" i="10" s="1"/>
  <c r="BW98" i="10"/>
  <c r="CH98" i="10"/>
  <c r="CP97" i="10"/>
  <c r="CE61" i="10"/>
  <c r="CE97" i="10"/>
  <c r="CP59" i="10"/>
  <c r="BY99" i="10"/>
  <c r="CP127" i="10"/>
  <c r="CA61" i="10"/>
  <c r="CE130" i="10"/>
  <c r="CL127" i="10"/>
  <c r="BW131" i="10"/>
  <c r="BY131" i="10"/>
  <c r="CH60" i="10"/>
  <c r="CJ60" i="10"/>
  <c r="CH31" i="10"/>
  <c r="CJ31" i="10"/>
  <c r="AR74" i="10"/>
  <c r="AN75" i="10" s="1"/>
  <c r="CA28" i="10"/>
  <c r="CE28" i="10"/>
  <c r="AV74" i="10"/>
  <c r="CE98" i="10" l="1"/>
  <c r="CA98" i="10"/>
  <c r="BW99" i="10" s="1"/>
  <c r="CA99" i="10" s="1"/>
  <c r="BW100" i="10" s="1"/>
  <c r="CP98" i="10"/>
  <c r="CL98" i="10"/>
  <c r="CJ99" i="10" s="1"/>
  <c r="BY100" i="10"/>
  <c r="CH99" i="10"/>
  <c r="BY62" i="10"/>
  <c r="BW62" i="10"/>
  <c r="CE131" i="10"/>
  <c r="CP31" i="10"/>
  <c r="CP60" i="10"/>
  <c r="CJ128" i="10"/>
  <c r="CH128" i="10"/>
  <c r="CA131" i="10"/>
  <c r="AP75" i="10"/>
  <c r="AV75" i="10" s="1"/>
  <c r="CL60" i="10"/>
  <c r="CL31" i="10"/>
  <c r="BW29" i="10"/>
  <c r="BY29" i="10"/>
  <c r="CE99" i="10" l="1"/>
  <c r="CA100" i="10"/>
  <c r="BY101" i="10" s="1"/>
  <c r="CE100" i="10"/>
  <c r="CP99" i="10"/>
  <c r="CL99" i="10"/>
  <c r="CJ100" i="10" s="1"/>
  <c r="CH100" i="10"/>
  <c r="BW101" i="10"/>
  <c r="CA101" i="10" s="1"/>
  <c r="BY102" i="10" s="1"/>
  <c r="CL128" i="10"/>
  <c r="CH129" i="10" s="1"/>
  <c r="CE62" i="10"/>
  <c r="CA62" i="10"/>
  <c r="CJ129" i="10"/>
  <c r="CP128" i="10"/>
  <c r="CE29" i="10"/>
  <c r="BW132" i="10"/>
  <c r="BY132" i="10"/>
  <c r="AR75" i="10"/>
  <c r="AP76" i="10" s="1"/>
  <c r="CH61" i="10"/>
  <c r="CJ61" i="10"/>
  <c r="CJ32" i="10"/>
  <c r="CH32" i="10"/>
  <c r="CA29" i="10"/>
  <c r="CL100" i="10" l="1"/>
  <c r="CJ101" i="10" s="1"/>
  <c r="CP100" i="10"/>
  <c r="CE101" i="10"/>
  <c r="BW102" i="10"/>
  <c r="CA102" i="10" s="1"/>
  <c r="BO42" i="10" s="1"/>
  <c r="BO44" i="10" s="1"/>
  <c r="BO45" i="10" s="1"/>
  <c r="BO51" i="10" s="1"/>
  <c r="BY63" i="10"/>
  <c r="BW63" i="10"/>
  <c r="AN76" i="10"/>
  <c r="AV76" i="10" s="1"/>
  <c r="CE132" i="10"/>
  <c r="CL32" i="10"/>
  <c r="CJ33" i="10" s="1"/>
  <c r="CL129" i="10"/>
  <c r="CJ130" i="10" s="1"/>
  <c r="CP129" i="10"/>
  <c r="CH101" i="10"/>
  <c r="CP61" i="10"/>
  <c r="CA132" i="10"/>
  <c r="BY133" i="10" s="1"/>
  <c r="CL61" i="10"/>
  <c r="CP32" i="10"/>
  <c r="BW30" i="10"/>
  <c r="BY30" i="10"/>
  <c r="BO47" i="10" l="1"/>
  <c r="BO48" i="10"/>
  <c r="CH130" i="10"/>
  <c r="CL130" i="10" s="1"/>
  <c r="CH131" i="10" s="1"/>
  <c r="CH33" i="10"/>
  <c r="CP33" i="10" s="1"/>
  <c r="CE102" i="10"/>
  <c r="BO50" i="10"/>
  <c r="BO52" i="10" s="1"/>
  <c r="CA63" i="10"/>
  <c r="BY64" i="10" s="1"/>
  <c r="CE63" i="10"/>
  <c r="AR76" i="10"/>
  <c r="CL33" i="10"/>
  <c r="CH34" i="10" s="1"/>
  <c r="CL101" i="10"/>
  <c r="CJ102" i="10" s="1"/>
  <c r="BW133" i="10"/>
  <c r="CA133" i="10" s="1"/>
  <c r="BW134" i="10" s="1"/>
  <c r="CP101" i="10"/>
  <c r="CE30" i="10"/>
  <c r="CH62" i="10"/>
  <c r="CJ62" i="10"/>
  <c r="CA30" i="10"/>
  <c r="BO49" i="10" l="1"/>
  <c r="CP130" i="10"/>
  <c r="CJ131" i="10"/>
  <c r="CP131" i="10" s="1"/>
  <c r="CJ34" i="10"/>
  <c r="CP34" i="10" s="1"/>
  <c r="BO53" i="10"/>
  <c r="BO55" i="10" s="1"/>
  <c r="BO57" i="10" s="1"/>
  <c r="BW64" i="10"/>
  <c r="CA64" i="10" s="1"/>
  <c r="BY65" i="10" s="1"/>
  <c r="BO54" i="10"/>
  <c r="BO56" i="10" s="1"/>
  <c r="BG23" i="10" s="1"/>
  <c r="CH102" i="10"/>
  <c r="CL102" i="10" s="1"/>
  <c r="BS42" i="10" s="1"/>
  <c r="BY134" i="10"/>
  <c r="CA134" i="10" s="1"/>
  <c r="BY135" i="10" s="1"/>
  <c r="AN77" i="10"/>
  <c r="AP77" i="10"/>
  <c r="CE133" i="10"/>
  <c r="CL62" i="10"/>
  <c r="CP62" i="10"/>
  <c r="BY31" i="10"/>
  <c r="BW31" i="10"/>
  <c r="CL131" i="10" l="1"/>
  <c r="CH132" i="10" s="1"/>
  <c r="CE64" i="10"/>
  <c r="BW65" i="10"/>
  <c r="CE65" i="10" s="1"/>
  <c r="CL34" i="10"/>
  <c r="BS4" i="10" s="1"/>
  <c r="CP102" i="10"/>
  <c r="CJ132" i="10"/>
  <c r="CP132" i="10" s="1"/>
  <c r="AR77" i="10"/>
  <c r="AN78" i="10" s="1"/>
  <c r="CE134" i="10"/>
  <c r="CA65" i="10"/>
  <c r="AV77" i="10"/>
  <c r="AP78" i="10"/>
  <c r="AV78" i="10" s="1"/>
  <c r="CL132" i="10"/>
  <c r="CA31" i="10"/>
  <c r="BY32" i="10" s="1"/>
  <c r="BS44" i="10"/>
  <c r="BS45" i="10" s="1"/>
  <c r="BS47" i="10"/>
  <c r="BS48" i="10"/>
  <c r="BW135" i="10"/>
  <c r="CA135" i="10" s="1"/>
  <c r="CH63" i="10"/>
  <c r="CJ63" i="10"/>
  <c r="BS6" i="10"/>
  <c r="BS7" i="10" s="1"/>
  <c r="BS10" i="10"/>
  <c r="BS9" i="10"/>
  <c r="CE31" i="10"/>
  <c r="CP63" i="10" l="1"/>
  <c r="AR78" i="10"/>
  <c r="AN79" i="10" s="1"/>
  <c r="BY66" i="10"/>
  <c r="BW66" i="10"/>
  <c r="CE135" i="10"/>
  <c r="BW32" i="10"/>
  <c r="CE32" i="10" s="1"/>
  <c r="CH133" i="10"/>
  <c r="CJ133" i="10"/>
  <c r="BS49" i="10"/>
  <c r="BS51" i="10"/>
  <c r="BS50" i="10"/>
  <c r="BW136" i="10"/>
  <c r="BY136" i="10"/>
  <c r="CL63" i="10"/>
  <c r="BS11" i="10"/>
  <c r="BS12" i="10"/>
  <c r="BS13" i="10"/>
  <c r="AP79" i="10" l="1"/>
  <c r="AR79" i="10" s="1"/>
  <c r="C6" i="10" s="1"/>
  <c r="CP133" i="10"/>
  <c r="CE66" i="10"/>
  <c r="CA66" i="10"/>
  <c r="CA32" i="10"/>
  <c r="BY33" i="10" s="1"/>
  <c r="CE136" i="10"/>
  <c r="CL133" i="10"/>
  <c r="BS52" i="10"/>
  <c r="BS54" i="10" s="1"/>
  <c r="BS56" i="10" s="1"/>
  <c r="BS53" i="10"/>
  <c r="BS55" i="10" s="1"/>
  <c r="BS57" i="10" s="1"/>
  <c r="CA136" i="10"/>
  <c r="BO61" i="10" s="1"/>
  <c r="CJ64" i="10"/>
  <c r="CH64" i="10"/>
  <c r="BS14" i="10"/>
  <c r="BS16" i="10" s="1"/>
  <c r="BS18" i="10" s="1"/>
  <c r="BS15" i="10"/>
  <c r="BS17" i="10" s="1"/>
  <c r="BS19" i="10" s="1"/>
  <c r="AK74" i="10"/>
  <c r="AG74" i="10"/>
  <c r="C56" i="10"/>
  <c r="C51" i="10"/>
  <c r="G51" i="10"/>
  <c r="AU44" i="10"/>
  <c r="AT44" i="10"/>
  <c r="AU43" i="10"/>
  <c r="AT43" i="10"/>
  <c r="C41" i="10"/>
  <c r="AU42" i="10"/>
  <c r="AT42" i="10"/>
  <c r="AU41" i="10"/>
  <c r="AT41" i="10"/>
  <c r="G39" i="10"/>
  <c r="AU40" i="10"/>
  <c r="AT40" i="10"/>
  <c r="AU39" i="10"/>
  <c r="AT39" i="10"/>
  <c r="AK39" i="10"/>
  <c r="AG39" i="10"/>
  <c r="AU38" i="10"/>
  <c r="AT38" i="10"/>
  <c r="AU37" i="10"/>
  <c r="AT37" i="10"/>
  <c r="AU36" i="10"/>
  <c r="AT36" i="10"/>
  <c r="G42" i="10"/>
  <c r="G43" i="10" s="1"/>
  <c r="AU35" i="10"/>
  <c r="AT35" i="10"/>
  <c r="AU34" i="10"/>
  <c r="AT34" i="10"/>
  <c r="AU33" i="10"/>
  <c r="AT33" i="10"/>
  <c r="G36" i="10"/>
  <c r="AU32" i="10"/>
  <c r="AT32" i="10"/>
  <c r="AU31" i="10"/>
  <c r="AT31" i="10"/>
  <c r="AU30" i="10"/>
  <c r="AT30" i="10"/>
  <c r="AU29" i="10"/>
  <c r="AT29" i="10"/>
  <c r="AU28" i="10"/>
  <c r="AT28" i="10"/>
  <c r="AU27" i="10"/>
  <c r="AT27" i="10"/>
  <c r="AU26" i="10"/>
  <c r="AT26" i="10"/>
  <c r="AU25" i="10"/>
  <c r="AT25" i="10"/>
  <c r="AU24" i="10"/>
  <c r="AT24" i="10"/>
  <c r="AU23" i="10"/>
  <c r="AT23" i="10"/>
  <c r="AU22" i="10"/>
  <c r="AT22" i="10"/>
  <c r="AU21" i="10"/>
  <c r="AT21" i="10"/>
  <c r="W21" i="10"/>
  <c r="S21" i="10"/>
  <c r="O21" i="10"/>
  <c r="G19" i="10"/>
  <c r="AU20" i="10"/>
  <c r="AT20" i="10"/>
  <c r="AU19" i="10"/>
  <c r="AT19" i="10"/>
  <c r="W19" i="10"/>
  <c r="S19" i="10"/>
  <c r="O19" i="10"/>
  <c r="AU18" i="10"/>
  <c r="AT18" i="10"/>
  <c r="AU17" i="10"/>
  <c r="AT17" i="10"/>
  <c r="C17" i="10"/>
  <c r="K44" i="10" s="1"/>
  <c r="AU16" i="10"/>
  <c r="AT16" i="10"/>
  <c r="AU15" i="10"/>
  <c r="AT15" i="10"/>
  <c r="AU14" i="10"/>
  <c r="AT14" i="10"/>
  <c r="AU13" i="10"/>
  <c r="AT13" i="10"/>
  <c r="G16" i="10"/>
  <c r="AU12" i="10"/>
  <c r="AT12" i="10"/>
  <c r="AU11" i="10"/>
  <c r="AT11" i="10"/>
  <c r="W11" i="10"/>
  <c r="S11" i="10"/>
  <c r="O11" i="10"/>
  <c r="AU10" i="10"/>
  <c r="AT10" i="10"/>
  <c r="AU9" i="10"/>
  <c r="AT9" i="10"/>
  <c r="AU8" i="10"/>
  <c r="AT8" i="10"/>
  <c r="G6" i="10"/>
  <c r="AU7" i="10"/>
  <c r="AT7" i="10"/>
  <c r="AU6" i="10"/>
  <c r="AT6" i="10"/>
  <c r="AV5" i="10"/>
  <c r="AU5" i="10"/>
  <c r="AT5" i="10"/>
  <c r="AN6" i="10" s="1"/>
  <c r="AR5" i="10"/>
  <c r="W5" i="10"/>
  <c r="S5" i="10"/>
  <c r="O5" i="10"/>
  <c r="AK4" i="10"/>
  <c r="AG4" i="10"/>
  <c r="AY4" i="10" l="1"/>
  <c r="G7" i="10"/>
  <c r="G8" i="10" s="1"/>
  <c r="AV79" i="10"/>
  <c r="BY67" i="10"/>
  <c r="BW67" i="10"/>
  <c r="BW33" i="10"/>
  <c r="CE33" i="10" s="1"/>
  <c r="CL64" i="10"/>
  <c r="CH65" i="10" s="1"/>
  <c r="CJ134" i="10"/>
  <c r="CH134" i="10"/>
  <c r="BK23" i="10"/>
  <c r="BO63" i="10"/>
  <c r="BO64" i="10" s="1"/>
  <c r="BO67" i="10"/>
  <c r="BO66" i="10"/>
  <c r="CP64" i="10"/>
  <c r="BK5" i="10"/>
  <c r="AP6" i="10"/>
  <c r="AV6" i="10" s="1"/>
  <c r="O22" i="10"/>
  <c r="G22" i="10"/>
  <c r="G30" i="10"/>
  <c r="G31" i="10" s="1"/>
  <c r="G40" i="10"/>
  <c r="G41" i="10" s="1"/>
  <c r="G20" i="10"/>
  <c r="G21" i="10" s="1"/>
  <c r="S22" i="10"/>
  <c r="S25" i="10" s="1"/>
  <c r="G44" i="10"/>
  <c r="W22" i="10"/>
  <c r="W25" i="10" s="1"/>
  <c r="CL134" i="10" l="1"/>
  <c r="BC6" i="10"/>
  <c r="BC7" i="10" s="1"/>
  <c r="BC5" i="10"/>
  <c r="CJ65" i="10"/>
  <c r="CL65" i="10" s="1"/>
  <c r="CE67" i="10"/>
  <c r="CA67" i="10"/>
  <c r="CA33" i="10"/>
  <c r="CH135" i="10"/>
  <c r="CJ135" i="10"/>
  <c r="CP134" i="10"/>
  <c r="BO68" i="10"/>
  <c r="BO70" i="10"/>
  <c r="BO69" i="10"/>
  <c r="AR6" i="10"/>
  <c r="AN7" i="10" s="1"/>
  <c r="AP7" i="10"/>
  <c r="G23" i="10"/>
  <c r="G29" i="10" s="1"/>
  <c r="K12" i="10" s="1"/>
  <c r="G24" i="10"/>
  <c r="O25" i="10"/>
  <c r="CP65" i="10" l="1"/>
  <c r="BG24" i="10"/>
  <c r="BG25" i="10" s="1"/>
  <c r="BO58" i="10"/>
  <c r="BK24" i="10"/>
  <c r="BK25" i="10" s="1"/>
  <c r="BS58" i="10"/>
  <c r="BK6" i="10"/>
  <c r="BK7" i="10" s="1"/>
  <c r="BS20" i="10"/>
  <c r="BW68" i="10"/>
  <c r="BY68" i="10"/>
  <c r="BW34" i="10"/>
  <c r="BY34" i="10"/>
  <c r="CP135" i="10"/>
  <c r="CL135" i="10"/>
  <c r="BO71" i="10"/>
  <c r="BO73" i="10" s="1"/>
  <c r="BO75" i="10" s="1"/>
  <c r="BO72" i="10"/>
  <c r="BO74" i="10" s="1"/>
  <c r="BO76" i="10" s="1"/>
  <c r="BG33" i="10" s="1"/>
  <c r="CH66" i="10"/>
  <c r="CJ66" i="10"/>
  <c r="AR7" i="10"/>
  <c r="AP8" i="10" s="1"/>
  <c r="AV7" i="10"/>
  <c r="BK9" i="10" l="1"/>
  <c r="BK10" i="10"/>
  <c r="BK8" i="10"/>
  <c r="CK4" i="10"/>
  <c r="BC24" i="10"/>
  <c r="CI4" i="10"/>
  <c r="CM4" i="10"/>
  <c r="CI72" i="10"/>
  <c r="BC28" i="10"/>
  <c r="CK72" i="10"/>
  <c r="CM72" i="10"/>
  <c r="BK27" i="10"/>
  <c r="BK28" i="10"/>
  <c r="BK26" i="10"/>
  <c r="BZ72" i="10"/>
  <c r="BC27" i="10"/>
  <c r="CB72" i="10"/>
  <c r="BX72" i="10"/>
  <c r="BG27" i="10"/>
  <c r="BG28" i="10"/>
  <c r="BG26" i="10"/>
  <c r="CE34" i="10"/>
  <c r="CE68" i="10"/>
  <c r="CA68" i="10"/>
  <c r="BO23" i="10" s="1"/>
  <c r="CA34" i="10"/>
  <c r="BO4" i="10" s="1"/>
  <c r="CH136" i="10"/>
  <c r="CJ136" i="10"/>
  <c r="CP66" i="10"/>
  <c r="BG32" i="10"/>
  <c r="BG34" i="10" s="1"/>
  <c r="BO77" i="10"/>
  <c r="CL66" i="10"/>
  <c r="AN8" i="10"/>
  <c r="AR8" i="10" s="1"/>
  <c r="BO25" i="10" l="1"/>
  <c r="BO26" i="10" s="1"/>
  <c r="BO28" i="10"/>
  <c r="BO29" i="10"/>
  <c r="BO9" i="10"/>
  <c r="BO6" i="10"/>
  <c r="BO7" i="10" s="1"/>
  <c r="BO10" i="10"/>
  <c r="CP136" i="10"/>
  <c r="CL136" i="10"/>
  <c r="BS61" i="10" s="1"/>
  <c r="CB106" i="10"/>
  <c r="BZ106" i="10"/>
  <c r="BC29" i="10"/>
  <c r="BX106" i="10"/>
  <c r="BG35" i="10"/>
  <c r="BG37" i="10"/>
  <c r="BG36" i="10"/>
  <c r="CJ67" i="10"/>
  <c r="CH67" i="10"/>
  <c r="AV8" i="10"/>
  <c r="AN9" i="10"/>
  <c r="AP9" i="10"/>
  <c r="BO30" i="10" l="1"/>
  <c r="BO31" i="10"/>
  <c r="BO32" i="10"/>
  <c r="BO13" i="10"/>
  <c r="BO12" i="10"/>
  <c r="BO11" i="10"/>
  <c r="CL67" i="10"/>
  <c r="CH68" i="10" s="1"/>
  <c r="BS67" i="10"/>
  <c r="BS66" i="10"/>
  <c r="BS63" i="10"/>
  <c r="BS64" i="10" s="1"/>
  <c r="CP67" i="10"/>
  <c r="AV9" i="10"/>
  <c r="AR9" i="10"/>
  <c r="AP10" i="10" s="1"/>
  <c r="AN10" i="10"/>
  <c r="CJ68" i="10" l="1"/>
  <c r="CL68" i="10" s="1"/>
  <c r="BS23" i="10" s="1"/>
  <c r="BS25" i="10" s="1"/>
  <c r="BS26" i="10" s="1"/>
  <c r="BO34" i="10"/>
  <c r="BO36" i="10" s="1"/>
  <c r="BO38" i="10" s="1"/>
  <c r="BG15" i="10" s="1"/>
  <c r="BO33" i="10"/>
  <c r="BO35" i="10" s="1"/>
  <c r="BO37" i="10" s="1"/>
  <c r="BO15" i="10"/>
  <c r="BO17" i="10" s="1"/>
  <c r="BO19" i="10" s="1"/>
  <c r="BG6" i="10" s="1"/>
  <c r="BO14" i="10"/>
  <c r="BO16" i="10" s="1"/>
  <c r="BO18" i="10" s="1"/>
  <c r="BS68" i="10"/>
  <c r="BS70" i="10"/>
  <c r="BS69" i="10"/>
  <c r="AV10" i="10"/>
  <c r="AR10" i="10"/>
  <c r="CP68" i="10" l="1"/>
  <c r="BS29" i="10"/>
  <c r="BS28" i="10"/>
  <c r="BG14" i="10"/>
  <c r="BG16" i="10" s="1"/>
  <c r="BO39" i="10"/>
  <c r="BG5" i="10"/>
  <c r="BG7" i="10" s="1"/>
  <c r="BO20" i="10"/>
  <c r="BS71" i="10"/>
  <c r="BS73" i="10" s="1"/>
  <c r="BS75" i="10" s="1"/>
  <c r="BS72" i="10"/>
  <c r="BS74" i="10" s="1"/>
  <c r="BS76" i="10" s="1"/>
  <c r="BK33" i="10" s="1"/>
  <c r="BS31" i="10"/>
  <c r="BS32" i="10"/>
  <c r="AP11" i="10"/>
  <c r="AN11" i="10"/>
  <c r="BS30" i="10" l="1"/>
  <c r="BZ38" i="10"/>
  <c r="BX38" i="10"/>
  <c r="BC25" i="10"/>
  <c r="CB38" i="10"/>
  <c r="BG17" i="10"/>
  <c r="BG19" i="10"/>
  <c r="BG18" i="10"/>
  <c r="BC23" i="10"/>
  <c r="BX4" i="10"/>
  <c r="BZ4" i="10"/>
  <c r="CB4" i="10"/>
  <c r="BG8" i="10"/>
  <c r="BG10" i="10"/>
  <c r="BG9" i="10"/>
  <c r="BK32" i="10"/>
  <c r="BK34" i="10" s="1"/>
  <c r="BS77" i="10"/>
  <c r="BS33" i="10"/>
  <c r="BS35" i="10" s="1"/>
  <c r="BS37" i="10" s="1"/>
  <c r="BS34" i="10"/>
  <c r="BS36" i="10" s="1"/>
  <c r="BS38" i="10" s="1"/>
  <c r="BK15" i="10" s="1"/>
  <c r="AR11" i="10"/>
  <c r="AN12" i="10" s="1"/>
  <c r="AV11" i="10"/>
  <c r="CM106" i="10" l="1"/>
  <c r="CK106" i="10"/>
  <c r="CI106" i="10"/>
  <c r="BK37" i="10"/>
  <c r="BK35" i="10"/>
  <c r="BK36" i="10"/>
  <c r="BK14" i="10"/>
  <c r="BK16" i="10" s="1"/>
  <c r="BS39" i="10"/>
  <c r="AP12" i="10"/>
  <c r="AV12" i="10" s="1"/>
  <c r="CK38" i="10" l="1"/>
  <c r="CI38" i="10"/>
  <c r="BC26" i="10"/>
  <c r="BC30" i="10" s="1"/>
  <c r="CM38" i="10"/>
  <c r="BK17" i="10"/>
  <c r="BK18" i="10"/>
  <c r="BC10" i="10" s="1"/>
  <c r="BK19" i="10"/>
  <c r="BC11" i="10" s="1"/>
  <c r="AR12" i="10"/>
  <c r="AN13" i="10" s="1"/>
  <c r="AP13" i="10"/>
  <c r="G10" i="10" l="1"/>
  <c r="BC15" i="10"/>
  <c r="BC17" i="10"/>
  <c r="BC12" i="10"/>
  <c r="BC18" i="10"/>
  <c r="BC19" i="10" s="1"/>
  <c r="AV13" i="10"/>
  <c r="AR13" i="10"/>
  <c r="G13" i="10" l="1"/>
  <c r="K27" i="10" s="1"/>
  <c r="BC20" i="10"/>
  <c r="BC16" i="10"/>
  <c r="AP14" i="10"/>
  <c r="AN14" i="10"/>
  <c r="AR14" i="10" l="1"/>
  <c r="AN15" i="10" s="1"/>
  <c r="AV14" i="10"/>
  <c r="AP15" i="10" l="1"/>
  <c r="AV15" i="10" s="1"/>
  <c r="AR15" i="10" l="1"/>
  <c r="AP16" i="10" s="1"/>
  <c r="AN16" i="10" l="1"/>
  <c r="AR16" i="10" s="1"/>
  <c r="AN17" i="10" s="1"/>
  <c r="AV16" i="10" l="1"/>
  <c r="AP17" i="10"/>
  <c r="AV17" i="10" s="1"/>
  <c r="AR17" i="10" l="1"/>
  <c r="AP18" i="10" s="1"/>
  <c r="AN18" i="10" l="1"/>
  <c r="AR18" i="10" s="1"/>
  <c r="AN19" i="10" s="1"/>
  <c r="AV18" i="10" l="1"/>
  <c r="AP19" i="10"/>
  <c r="AR19" i="10" s="1"/>
  <c r="AN20" i="10" s="1"/>
  <c r="AV19" i="10" l="1"/>
  <c r="AP20" i="10"/>
  <c r="AV20" i="10" s="1"/>
  <c r="AR20" i="10" l="1"/>
  <c r="AN21" i="10" s="1"/>
  <c r="AP21" i="10" l="1"/>
  <c r="AV21" i="10" s="1"/>
  <c r="AR21" i="10" l="1"/>
  <c r="AP22" i="10" s="1"/>
  <c r="AN22" i="10" l="1"/>
  <c r="AR22" i="10" s="1"/>
  <c r="AV22" i="10" l="1"/>
  <c r="AN23" i="10"/>
  <c r="AP23" i="10"/>
  <c r="AR23" i="10" l="1"/>
  <c r="AP24" i="10" s="1"/>
  <c r="AV23" i="10"/>
  <c r="AN24" i="10"/>
  <c r="AV24" i="10" l="1"/>
  <c r="AR24" i="10"/>
  <c r="AP25" i="10" l="1"/>
  <c r="AN25" i="10"/>
  <c r="AR25" i="10" l="1"/>
  <c r="AP26" i="10" s="1"/>
  <c r="AV25" i="10"/>
  <c r="AN26" i="10" l="1"/>
  <c r="AV26" i="10" s="1"/>
  <c r="AR26" i="10" l="1"/>
  <c r="AP27" i="10" s="1"/>
  <c r="AN27" i="10" l="1"/>
  <c r="AR27" i="10" s="1"/>
  <c r="AP28" i="10" s="1"/>
  <c r="AV27" i="10" l="1"/>
  <c r="AN28" i="10"/>
  <c r="AV28" i="10" s="1"/>
  <c r="AR28" i="10" l="1"/>
  <c r="AN29" i="10" s="1"/>
  <c r="AP29" i="10" l="1"/>
  <c r="AV29" i="10" s="1"/>
  <c r="AR29" i="10" l="1"/>
  <c r="AP30" i="10" s="1"/>
  <c r="AN30" i="10" l="1"/>
  <c r="AV30" i="10" s="1"/>
  <c r="AR30" i="10" l="1"/>
  <c r="AP31" i="10"/>
  <c r="AN31" i="10"/>
  <c r="AR31" i="10" l="1"/>
  <c r="AN32" i="10" s="1"/>
  <c r="AV31" i="10"/>
  <c r="AP32" i="10" l="1"/>
  <c r="AV32" i="10" s="1"/>
  <c r="AR32" i="10" l="1"/>
  <c r="AN33" i="10" s="1"/>
  <c r="AP33" i="10" l="1"/>
  <c r="AV33" i="10" s="1"/>
  <c r="AR33" i="10" l="1"/>
  <c r="AP34" i="10" s="1"/>
  <c r="AN34" i="10" l="1"/>
  <c r="AV34" i="10" s="1"/>
  <c r="AR34" i="10" l="1"/>
  <c r="AN35" i="10" s="1"/>
  <c r="AP35" i="10" l="1"/>
  <c r="AV35" i="10" s="1"/>
  <c r="AR35" i="10" l="1"/>
  <c r="AP36" i="10" s="1"/>
  <c r="AN36" i="10"/>
  <c r="AV36" i="10" l="1"/>
  <c r="AR36" i="10"/>
  <c r="AP37" i="10" l="1"/>
  <c r="AN37" i="10"/>
  <c r="AR37" i="10" l="1"/>
  <c r="AP38" i="10" s="1"/>
  <c r="AV37" i="10"/>
  <c r="AN38" i="10" l="1"/>
  <c r="AR38" i="10" s="1"/>
  <c r="AN39" i="10" s="1"/>
  <c r="AV38" i="10" l="1"/>
  <c r="AP39" i="10"/>
  <c r="AR39" i="10" s="1"/>
  <c r="AV39" i="10" l="1"/>
  <c r="AP40" i="10"/>
  <c r="AN40" i="10"/>
  <c r="AR40" i="10" l="1"/>
  <c r="AP41" i="10" s="1"/>
  <c r="AV40" i="10"/>
  <c r="AN41" i="10" l="1"/>
  <c r="AR41" i="10" s="1"/>
  <c r="AP42" i="10" s="1"/>
  <c r="AV41" i="10" l="1"/>
  <c r="AN42" i="10"/>
  <c r="AR42" i="10" s="1"/>
  <c r="AV42" i="10" l="1"/>
  <c r="AP43" i="10"/>
  <c r="AN43" i="10"/>
  <c r="AR43" i="10" l="1"/>
  <c r="AP44" i="10" s="1"/>
  <c r="AV43" i="10"/>
  <c r="AN44" i="10" l="1"/>
  <c r="AV44" i="10" s="1"/>
  <c r="AR44" i="10" l="1"/>
  <c r="C5" i="10" s="1"/>
  <c r="K31" i="10" s="1"/>
  <c r="K24" i="10" l="1"/>
  <c r="K25" i="10"/>
  <c r="K30" i="10"/>
  <c r="K36" i="10"/>
  <c r="K16" i="10"/>
  <c r="S6" i="10"/>
  <c r="S7" i="10" s="1"/>
  <c r="S9" i="10" s="1"/>
  <c r="S10" i="10" s="1"/>
  <c r="G52" i="10"/>
  <c r="K29" i="10"/>
  <c r="S4" i="10"/>
  <c r="S12" i="10" s="1"/>
  <c r="K23" i="10"/>
  <c r="G53" i="10"/>
  <c r="K4" i="10" s="1"/>
  <c r="K5" i="10" s="1"/>
  <c r="K26" i="10"/>
  <c r="O4" i="10"/>
  <c r="O12" i="10" s="1"/>
  <c r="O6" i="10"/>
  <c r="O7" i="10" s="1"/>
  <c r="O9" i="10" s="1"/>
  <c r="O10" i="10" s="1"/>
  <c r="K28" i="10"/>
  <c r="G9" i="10"/>
  <c r="G11" i="10" s="1"/>
  <c r="AO49" i="10" s="1"/>
  <c r="K22" i="10"/>
  <c r="W6" i="10"/>
  <c r="W7" i="10" s="1"/>
  <c r="W9" i="10" s="1"/>
  <c r="W10" i="10" s="1"/>
  <c r="W4" i="10"/>
  <c r="W12" i="10" s="1"/>
  <c r="S13" i="10" l="1"/>
  <c r="S16" i="10" s="1"/>
  <c r="K40" i="10"/>
  <c r="K47" i="10"/>
  <c r="O13" i="10"/>
  <c r="O16" i="10" s="1"/>
  <c r="K48" i="10"/>
  <c r="K39" i="10"/>
  <c r="AQ49" i="10"/>
  <c r="AS49" i="10"/>
  <c r="G12" i="10"/>
  <c r="W13" i="10"/>
  <c r="W14" i="10" s="1"/>
  <c r="W20" i="10" s="1"/>
  <c r="S14" i="10" l="1"/>
  <c r="S20" i="10" s="1"/>
  <c r="O14" i="10"/>
  <c r="O20" i="10" s="1"/>
  <c r="W15" i="10"/>
  <c r="W16" i="10"/>
  <c r="K18" i="10"/>
  <c r="O23" i="10"/>
  <c r="O28" i="10"/>
  <c r="O30" i="10" s="1"/>
  <c r="W28" i="10"/>
  <c r="W30" i="10" s="1"/>
  <c r="W23" i="10"/>
  <c r="S23" i="10"/>
  <c r="S28" i="10"/>
  <c r="S30" i="10" s="1"/>
  <c r="S15" i="10" l="1"/>
  <c r="O15" i="10"/>
  <c r="AF4" i="10"/>
  <c r="AH4" i="10"/>
  <c r="AD4" i="10"/>
  <c r="AD74" i="10"/>
  <c r="AH74" i="10"/>
  <c r="AF74" i="10"/>
  <c r="AH39" i="10"/>
  <c r="AD39" i="10"/>
  <c r="AF39" i="10"/>
  <c r="AI39" i="10" l="1"/>
  <c r="AC40" i="10" s="1"/>
  <c r="AD40" i="10" s="1"/>
  <c r="AJ74" i="10"/>
  <c r="AE75" i="10" s="1"/>
  <c r="AF75" i="10" s="1"/>
  <c r="AI4" i="10"/>
  <c r="AC5" i="10" s="1"/>
  <c r="AD5" i="10" s="1"/>
  <c r="AJ4" i="10"/>
  <c r="AE5" i="10" s="1"/>
  <c r="AI74" i="10"/>
  <c r="AC75" i="10" s="1"/>
  <c r="AJ39" i="10"/>
  <c r="AE40" i="10" s="1"/>
  <c r="AG5" i="10" l="1"/>
  <c r="AH5" i="10" s="1"/>
  <c r="AI5" i="10" s="1"/>
  <c r="AC6" i="10" s="1"/>
  <c r="AK5" i="10"/>
  <c r="AF5" i="10"/>
  <c r="AK40" i="10"/>
  <c r="AF40" i="10"/>
  <c r="AG75" i="10"/>
  <c r="AH75" i="10" s="1"/>
  <c r="AJ75" i="10" s="1"/>
  <c r="AE76" i="10" s="1"/>
  <c r="AD75" i="10"/>
  <c r="AG40" i="10"/>
  <c r="AH40" i="10" s="1"/>
  <c r="AI40" i="10" s="1"/>
  <c r="AC41" i="10" s="1"/>
  <c r="AK75" i="10"/>
  <c r="AJ5" i="10" l="1"/>
  <c r="AE6" i="10" s="1"/>
  <c r="AK6" i="10" s="1"/>
  <c r="AI75" i="10"/>
  <c r="AC76" i="10" s="1"/>
  <c r="AG76" i="10" s="1"/>
  <c r="AH76" i="10" s="1"/>
  <c r="AD41" i="10"/>
  <c r="AJ40" i="10"/>
  <c r="AE41" i="10" s="1"/>
  <c r="AF76" i="10"/>
  <c r="AD6" i="10"/>
  <c r="AK76" i="10" l="1"/>
  <c r="AG6" i="10"/>
  <c r="AH6" i="10" s="1"/>
  <c r="AI6" i="10" s="1"/>
  <c r="AC7" i="10" s="1"/>
  <c r="AF6" i="10"/>
  <c r="AD76" i="10"/>
  <c r="AI76" i="10" s="1"/>
  <c r="AC77" i="10" s="1"/>
  <c r="AJ76" i="10"/>
  <c r="AE77" i="10" s="1"/>
  <c r="AK41" i="10"/>
  <c r="AF41" i="10"/>
  <c r="AG41" i="10"/>
  <c r="AH41" i="10" s="1"/>
  <c r="AJ6" i="10" l="1"/>
  <c r="AE7" i="10" s="1"/>
  <c r="AG77" i="10"/>
  <c r="AH77" i="10" s="1"/>
  <c r="AK77" i="10"/>
  <c r="AD77" i="10"/>
  <c r="AJ41" i="10"/>
  <c r="AE42" i="10" s="1"/>
  <c r="AF42" i="10" s="1"/>
  <c r="AF77" i="10"/>
  <c r="AK7" i="10"/>
  <c r="AF7" i="10"/>
  <c r="AI41" i="10"/>
  <c r="AC42" i="10" s="1"/>
  <c r="AG7" i="10"/>
  <c r="AH7" i="10" s="1"/>
  <c r="AD7" i="10"/>
  <c r="AJ77" i="10" l="1"/>
  <c r="AE78" i="10" s="1"/>
  <c r="AI77" i="10"/>
  <c r="AC78" i="10" s="1"/>
  <c r="AD78" i="10" s="1"/>
  <c r="AK42" i="10"/>
  <c r="AI7" i="10"/>
  <c r="AC8" i="10" s="1"/>
  <c r="AG42" i="10"/>
  <c r="AH42" i="10" s="1"/>
  <c r="AJ42" i="10" s="1"/>
  <c r="AE43" i="10" s="1"/>
  <c r="AD42" i="10"/>
  <c r="AF78" i="10"/>
  <c r="AJ7" i="10"/>
  <c r="AE8" i="10" s="1"/>
  <c r="AG78" i="10" l="1"/>
  <c r="AH78" i="10" s="1"/>
  <c r="AI78" i="10" s="1"/>
  <c r="AC79" i="10" s="1"/>
  <c r="AD79" i="10" s="1"/>
  <c r="AK78" i="10"/>
  <c r="AI42" i="10"/>
  <c r="AC43" i="10" s="1"/>
  <c r="AK43" i="10" s="1"/>
  <c r="AK8" i="10"/>
  <c r="AF8" i="10"/>
  <c r="AF43" i="10"/>
  <c r="AG8" i="10"/>
  <c r="AH8" i="10" s="1"/>
  <c r="AD8" i="10"/>
  <c r="AD43" i="10" l="1"/>
  <c r="AG43" i="10"/>
  <c r="AH43" i="10" s="1"/>
  <c r="AJ43" i="10" s="1"/>
  <c r="AE44" i="10" s="1"/>
  <c r="AJ78" i="10"/>
  <c r="AE79" i="10" s="1"/>
  <c r="AK79" i="10" s="1"/>
  <c r="AJ8" i="10"/>
  <c r="AE9" i="10" s="1"/>
  <c r="AF9" i="10" s="1"/>
  <c r="AI8" i="10"/>
  <c r="AC9" i="10" s="1"/>
  <c r="AI43" i="10" l="1"/>
  <c r="AC44" i="10" s="1"/>
  <c r="AG44" i="10" s="1"/>
  <c r="AH44" i="10" s="1"/>
  <c r="AG79" i="10"/>
  <c r="AH79" i="10" s="1"/>
  <c r="AI79" i="10" s="1"/>
  <c r="AC80" i="10" s="1"/>
  <c r="AD80" i="10" s="1"/>
  <c r="AF79" i="10"/>
  <c r="AG9" i="10"/>
  <c r="AH9" i="10" s="1"/>
  <c r="AD9" i="10"/>
  <c r="AF44" i="10"/>
  <c r="AK9" i="10"/>
  <c r="AJ44" i="10" l="1"/>
  <c r="AE45" i="10" s="1"/>
  <c r="AK44" i="10"/>
  <c r="AD44" i="10"/>
  <c r="AI44" i="10" s="1"/>
  <c r="AC45" i="10" s="1"/>
  <c r="AJ79" i="10"/>
  <c r="AE80" i="10" s="1"/>
  <c r="AF80" i="10" s="1"/>
  <c r="AF45" i="10"/>
  <c r="AI9" i="10"/>
  <c r="AC10" i="10" s="1"/>
  <c r="AJ9" i="10"/>
  <c r="AE10" i="10" s="1"/>
  <c r="AK80" i="10" l="1"/>
  <c r="AG80" i="10"/>
  <c r="AH80" i="10" s="1"/>
  <c r="AI80" i="10" s="1"/>
  <c r="AC81" i="10" s="1"/>
  <c r="AD81" i="10" s="1"/>
  <c r="AD45" i="10"/>
  <c r="AG45" i="10"/>
  <c r="AH45" i="10" s="1"/>
  <c r="AJ45" i="10" s="1"/>
  <c r="AE46" i="10" s="1"/>
  <c r="AK10" i="10"/>
  <c r="AF10" i="10"/>
  <c r="AG10" i="10"/>
  <c r="AH10" i="10" s="1"/>
  <c r="AD10" i="10"/>
  <c r="AK45" i="10"/>
  <c r="AJ80" i="10" l="1"/>
  <c r="AE81" i="10" s="1"/>
  <c r="AI10" i="10"/>
  <c r="AC11" i="10" s="1"/>
  <c r="AD11" i="10" s="1"/>
  <c r="AI45" i="10"/>
  <c r="AC46" i="10" s="1"/>
  <c r="AK46" i="10" s="1"/>
  <c r="AF46" i="10"/>
  <c r="AJ10" i="10"/>
  <c r="AE11" i="10" s="1"/>
  <c r="AK81" i="10" l="1"/>
  <c r="AF81" i="10"/>
  <c r="AG81" i="10"/>
  <c r="AH81" i="10" s="1"/>
  <c r="AI81" i="10" s="1"/>
  <c r="AC82" i="10" s="1"/>
  <c r="AD82" i="10" s="1"/>
  <c r="AD46" i="10"/>
  <c r="AG46" i="10"/>
  <c r="AH46" i="10" s="1"/>
  <c r="AK11" i="10"/>
  <c r="AF11" i="10"/>
  <c r="AG11" i="10"/>
  <c r="AH11" i="10" s="1"/>
  <c r="AI11" i="10" s="1"/>
  <c r="AC12" i="10" s="1"/>
  <c r="AI46" i="10" l="1"/>
  <c r="AC47" i="10" s="1"/>
  <c r="AD47" i="10" s="1"/>
  <c r="AJ46" i="10"/>
  <c r="AE47" i="10" s="1"/>
  <c r="AF47" i="10" s="1"/>
  <c r="AJ81" i="10"/>
  <c r="AE82" i="10" s="1"/>
  <c r="AD12" i="10"/>
  <c r="AJ11" i="10"/>
  <c r="AE12" i="10" s="1"/>
  <c r="AG47" i="10" l="1"/>
  <c r="AH47" i="10" s="1"/>
  <c r="AI47" i="10" s="1"/>
  <c r="AC48" i="10" s="1"/>
  <c r="AD48" i="10" s="1"/>
  <c r="AK47" i="10"/>
  <c r="AG82" i="10"/>
  <c r="AH82" i="10" s="1"/>
  <c r="AI82" i="10" s="1"/>
  <c r="AC83" i="10" s="1"/>
  <c r="AD83" i="10" s="1"/>
  <c r="AK82" i="10"/>
  <c r="AF82" i="10"/>
  <c r="AK12" i="10"/>
  <c r="AF12" i="10"/>
  <c r="AG12" i="10"/>
  <c r="AH12" i="10" s="1"/>
  <c r="AI12" i="10" s="1"/>
  <c r="AC13" i="10" s="1"/>
  <c r="AJ47" i="10" l="1"/>
  <c r="AE48" i="10" s="1"/>
  <c r="AG48" i="10" s="1"/>
  <c r="AH48" i="10" s="1"/>
  <c r="AI48" i="10" s="1"/>
  <c r="AC49" i="10" s="1"/>
  <c r="AJ82" i="10"/>
  <c r="AE83" i="10" s="1"/>
  <c r="AF83" i="10" s="1"/>
  <c r="AD13" i="10"/>
  <c r="AJ12" i="10"/>
  <c r="AE13" i="10" s="1"/>
  <c r="AK48" i="10" l="1"/>
  <c r="AF48" i="10"/>
  <c r="AJ48" i="10" s="1"/>
  <c r="AE49" i="10" s="1"/>
  <c r="AK49" i="10" s="1"/>
  <c r="AG83" i="10"/>
  <c r="AH83" i="10" s="1"/>
  <c r="AI83" i="10" s="1"/>
  <c r="AC84" i="10" s="1"/>
  <c r="AD84" i="10" s="1"/>
  <c r="AK83" i="10"/>
  <c r="AK13" i="10"/>
  <c r="AF13" i="10"/>
  <c r="AD49" i="10"/>
  <c r="AG13" i="10"/>
  <c r="AH13" i="10" s="1"/>
  <c r="AI13" i="10" s="1"/>
  <c r="AC14" i="10" s="1"/>
  <c r="AD14" i="10" s="1"/>
  <c r="AG49" i="10" l="1"/>
  <c r="AH49" i="10" s="1"/>
  <c r="AI49" i="10" s="1"/>
  <c r="AC50" i="10" s="1"/>
  <c r="AD50" i="10" s="1"/>
  <c r="AJ83" i="10"/>
  <c r="AE84" i="10" s="1"/>
  <c r="AF49" i="10"/>
  <c r="AJ13" i="10"/>
  <c r="AE14" i="10" s="1"/>
  <c r="AJ49" i="10" l="1"/>
  <c r="AE50" i="10" s="1"/>
  <c r="AK84" i="10"/>
  <c r="AG84" i="10"/>
  <c r="AH84" i="10" s="1"/>
  <c r="AI84" i="10" s="1"/>
  <c r="AC85" i="10" s="1"/>
  <c r="AD85" i="10" s="1"/>
  <c r="AF84" i="10"/>
  <c r="AG14" i="10"/>
  <c r="AH14" i="10" s="1"/>
  <c r="AI14" i="10" s="1"/>
  <c r="AC15" i="10" s="1"/>
  <c r="AK14" i="10"/>
  <c r="AF14" i="10"/>
  <c r="AG50" i="10"/>
  <c r="AH50" i="10" s="1"/>
  <c r="AI50" i="10" s="1"/>
  <c r="AC51" i="10" s="1"/>
  <c r="AD51" i="10" s="1"/>
  <c r="AK50" i="10"/>
  <c r="AF50" i="10"/>
  <c r="AJ84" i="10" l="1"/>
  <c r="AE85" i="10" s="1"/>
  <c r="AJ14" i="10"/>
  <c r="AE15" i="10" s="1"/>
  <c r="AG15" i="10" s="1"/>
  <c r="AH15" i="10" s="1"/>
  <c r="AJ50" i="10"/>
  <c r="AE51" i="10" s="1"/>
  <c r="AG51" i="10" s="1"/>
  <c r="AH51" i="10" s="1"/>
  <c r="AI51" i="10" s="1"/>
  <c r="AC52" i="10" s="1"/>
  <c r="AD15" i="10"/>
  <c r="AK85" i="10" l="1"/>
  <c r="AF85" i="10"/>
  <c r="AG85" i="10"/>
  <c r="AH85" i="10" s="1"/>
  <c r="AI85" i="10" s="1"/>
  <c r="AC86" i="10" s="1"/>
  <c r="AD86" i="10" s="1"/>
  <c r="AF15" i="10"/>
  <c r="AJ15" i="10" s="1"/>
  <c r="AE16" i="10" s="1"/>
  <c r="AK15" i="10"/>
  <c r="AF51" i="10"/>
  <c r="AJ51" i="10" s="1"/>
  <c r="AE52" i="10" s="1"/>
  <c r="AK51" i="10"/>
  <c r="AI15" i="10"/>
  <c r="AC16" i="10" s="1"/>
  <c r="AD16" i="10" s="1"/>
  <c r="AD52" i="10"/>
  <c r="AJ85" i="10" l="1"/>
  <c r="AE86" i="10" s="1"/>
  <c r="AK52" i="10"/>
  <c r="AF52" i="10"/>
  <c r="AG52" i="10"/>
  <c r="AH52" i="10" s="1"/>
  <c r="AI52" i="10" s="1"/>
  <c r="AC53" i="10" s="1"/>
  <c r="AD53" i="10" s="1"/>
  <c r="AG16" i="10"/>
  <c r="AH16" i="10" s="1"/>
  <c r="AI16" i="10" s="1"/>
  <c r="AC17" i="10" s="1"/>
  <c r="AF16" i="10"/>
  <c r="AK16" i="10"/>
  <c r="AJ16" i="10" l="1"/>
  <c r="AE17" i="10" s="1"/>
  <c r="AK17" i="10" s="1"/>
  <c r="AG86" i="10"/>
  <c r="AH86" i="10" s="1"/>
  <c r="AI86" i="10" s="1"/>
  <c r="AC87" i="10" s="1"/>
  <c r="AF86" i="10"/>
  <c r="AK86" i="10"/>
  <c r="AJ52" i="10"/>
  <c r="AE53" i="10" s="1"/>
  <c r="AF53" i="10" s="1"/>
  <c r="AD17" i="10"/>
  <c r="AG17" i="10" l="1"/>
  <c r="AH17" i="10" s="1"/>
  <c r="AI17" i="10" s="1"/>
  <c r="AC18" i="10" s="1"/>
  <c r="AD18" i="10" s="1"/>
  <c r="AF17" i="10"/>
  <c r="AG53" i="10"/>
  <c r="AH53" i="10" s="1"/>
  <c r="AI53" i="10" s="1"/>
  <c r="AC54" i="10" s="1"/>
  <c r="AD54" i="10" s="1"/>
  <c r="AJ86" i="10"/>
  <c r="AE87" i="10" s="1"/>
  <c r="AF87" i="10" s="1"/>
  <c r="AD87" i="10"/>
  <c r="AK53" i="10"/>
  <c r="AJ17" i="10" l="1"/>
  <c r="AE18" i="10" s="1"/>
  <c r="AK18" i="10" s="1"/>
  <c r="AJ53" i="10"/>
  <c r="AE54" i="10" s="1"/>
  <c r="AF54" i="10" s="1"/>
  <c r="AG87" i="10"/>
  <c r="AH87" i="10" s="1"/>
  <c r="AI87" i="10" s="1"/>
  <c r="AC88" i="10" s="1"/>
  <c r="AK87" i="10"/>
  <c r="AF18" i="10"/>
  <c r="AG18" i="10"/>
  <c r="AH18" i="10" s="1"/>
  <c r="AI18" i="10" s="1"/>
  <c r="AC19" i="10" s="1"/>
  <c r="AG54" i="10" l="1"/>
  <c r="AH54" i="10" s="1"/>
  <c r="AI54" i="10" s="1"/>
  <c r="AC55" i="10" s="1"/>
  <c r="AD55" i="10" s="1"/>
  <c r="AK54" i="10"/>
  <c r="AJ87" i="10"/>
  <c r="AE88" i="10" s="1"/>
  <c r="AF88" i="10" s="1"/>
  <c r="AD88" i="10"/>
  <c r="AD19" i="10"/>
  <c r="AJ18" i="10"/>
  <c r="AE19" i="10" s="1"/>
  <c r="AJ54" i="10" l="1"/>
  <c r="AE55" i="10" s="1"/>
  <c r="AK55" i="10" s="1"/>
  <c r="AG88" i="10"/>
  <c r="AH88" i="10" s="1"/>
  <c r="AJ88" i="10" s="1"/>
  <c r="AE89" i="10" s="1"/>
  <c r="AF89" i="10" s="1"/>
  <c r="AK88" i="10"/>
  <c r="AK19" i="10"/>
  <c r="AF19" i="10"/>
  <c r="AG19" i="10"/>
  <c r="AH19" i="10" s="1"/>
  <c r="AI19" i="10" s="1"/>
  <c r="AC20" i="10" s="1"/>
  <c r="AG55" i="10" l="1"/>
  <c r="AH55" i="10" s="1"/>
  <c r="AI55" i="10" s="1"/>
  <c r="AC56" i="10" s="1"/>
  <c r="AD56" i="10" s="1"/>
  <c r="AF55" i="10"/>
  <c r="AI88" i="10"/>
  <c r="AC89" i="10" s="1"/>
  <c r="AK89" i="10" s="1"/>
  <c r="AD20" i="10"/>
  <c r="AJ19" i="10"/>
  <c r="AE20" i="10" s="1"/>
  <c r="AJ55" i="10" l="1"/>
  <c r="AE56" i="10" s="1"/>
  <c r="AG56" i="10" s="1"/>
  <c r="AH56" i="10" s="1"/>
  <c r="AI56" i="10" s="1"/>
  <c r="AC57" i="10" s="1"/>
  <c r="AD57" i="10" s="1"/>
  <c r="AG89" i="10"/>
  <c r="AH89" i="10" s="1"/>
  <c r="AJ89" i="10" s="1"/>
  <c r="AE90" i="10" s="1"/>
  <c r="AF90" i="10" s="1"/>
  <c r="AD89" i="10"/>
  <c r="AF20" i="10"/>
  <c r="AK20" i="10"/>
  <c r="AG20" i="10"/>
  <c r="AH20" i="10" s="1"/>
  <c r="AI20" i="10" s="1"/>
  <c r="AC21" i="10" s="1"/>
  <c r="AK56" i="10" l="1"/>
  <c r="AF56" i="10"/>
  <c r="AJ56" i="10" s="1"/>
  <c r="AE57" i="10" s="1"/>
  <c r="AF57" i="10" s="1"/>
  <c r="AI89" i="10"/>
  <c r="AC90" i="10" s="1"/>
  <c r="AD90" i="10" s="1"/>
  <c r="AJ20" i="10"/>
  <c r="AE21" i="10" s="1"/>
  <c r="AG21" i="10" s="1"/>
  <c r="AH21" i="10" s="1"/>
  <c r="AD21" i="10"/>
  <c r="AG57" i="10" l="1"/>
  <c r="AH57" i="10" s="1"/>
  <c r="AI57" i="10" s="1"/>
  <c r="AC58" i="10" s="1"/>
  <c r="AK57" i="10"/>
  <c r="AK90" i="10"/>
  <c r="AG90" i="10"/>
  <c r="AH90" i="10" s="1"/>
  <c r="AI90" i="10" s="1"/>
  <c r="AC91" i="10" s="1"/>
  <c r="AD91" i="10" s="1"/>
  <c r="AI21" i="10"/>
  <c r="AC22" i="10" s="1"/>
  <c r="AD22" i="10" s="1"/>
  <c r="AD58" i="10"/>
  <c r="AK21" i="10"/>
  <c r="AF21" i="10"/>
  <c r="AJ21" i="10" s="1"/>
  <c r="AE22" i="10" s="1"/>
  <c r="AJ57" i="10"/>
  <c r="AE58" i="10" s="1"/>
  <c r="AG58" i="10" s="1"/>
  <c r="AH58" i="10" s="1"/>
  <c r="AJ90" i="10" l="1"/>
  <c r="AE91" i="10" s="1"/>
  <c r="AF91" i="10" s="1"/>
  <c r="AI58" i="10"/>
  <c r="AC59" i="10" s="1"/>
  <c r="AD59" i="10" s="1"/>
  <c r="AF22" i="10"/>
  <c r="AK22" i="10"/>
  <c r="AK58" i="10"/>
  <c r="AF58" i="10"/>
  <c r="AJ58" i="10" s="1"/>
  <c r="AE59" i="10" s="1"/>
  <c r="AG22" i="10"/>
  <c r="AH22" i="10" s="1"/>
  <c r="AI22" i="10" s="1"/>
  <c r="AC23" i="10" s="1"/>
  <c r="AG91" i="10" l="1"/>
  <c r="AH91" i="10" s="1"/>
  <c r="AI91" i="10" s="1"/>
  <c r="AC92" i="10" s="1"/>
  <c r="AD92" i="10" s="1"/>
  <c r="AK91" i="10"/>
  <c r="AG59" i="10"/>
  <c r="AH59" i="10" s="1"/>
  <c r="AI59" i="10" s="1"/>
  <c r="AC60" i="10" s="1"/>
  <c r="AD60" i="10" s="1"/>
  <c r="AD23" i="10"/>
  <c r="AK59" i="10"/>
  <c r="AF59" i="10"/>
  <c r="AJ22" i="10"/>
  <c r="AE23" i="10" s="1"/>
  <c r="AJ91" i="10" l="1"/>
  <c r="AE92" i="10" s="1"/>
  <c r="AF92" i="10" s="1"/>
  <c r="AJ59" i="10"/>
  <c r="AE60" i="10" s="1"/>
  <c r="AF60" i="10" s="1"/>
  <c r="AK92" i="10"/>
  <c r="AG92" i="10"/>
  <c r="AH92" i="10" s="1"/>
  <c r="AI92" i="10" s="1"/>
  <c r="AC93" i="10" s="1"/>
  <c r="AD93" i="10" s="1"/>
  <c r="AF23" i="10"/>
  <c r="AK23" i="10"/>
  <c r="AG23" i="10"/>
  <c r="AH23" i="10" s="1"/>
  <c r="AI23" i="10" s="1"/>
  <c r="AC24" i="10" s="1"/>
  <c r="AG60" i="10" l="1"/>
  <c r="AH60" i="10" s="1"/>
  <c r="AI60" i="10" s="1"/>
  <c r="AC61" i="10" s="1"/>
  <c r="AK60" i="10"/>
  <c r="AJ92" i="10"/>
  <c r="AE93" i="10" s="1"/>
  <c r="AG93" i="10" s="1"/>
  <c r="AH93" i="10" s="1"/>
  <c r="AI93" i="10" s="1"/>
  <c r="AC94" i="10" s="1"/>
  <c r="AD94" i="10" s="1"/>
  <c r="AD24" i="10"/>
  <c r="AD61" i="10"/>
  <c r="AJ23" i="10"/>
  <c r="AE24" i="10" s="1"/>
  <c r="AJ60" i="10" l="1"/>
  <c r="AE61" i="10" s="1"/>
  <c r="AK61" i="10" s="1"/>
  <c r="AF93" i="10"/>
  <c r="AJ93" i="10" s="1"/>
  <c r="AE94" i="10" s="1"/>
  <c r="AF94" i="10" s="1"/>
  <c r="AK93" i="10"/>
  <c r="AK24" i="10"/>
  <c r="AF24" i="10"/>
  <c r="AG24" i="10"/>
  <c r="AH24" i="10" s="1"/>
  <c r="AI24" i="10" s="1"/>
  <c r="AC25" i="10" s="1"/>
  <c r="AG61" i="10" l="1"/>
  <c r="AH61" i="10" s="1"/>
  <c r="AI61" i="10" s="1"/>
  <c r="AC62" i="10" s="1"/>
  <c r="AF61" i="10"/>
  <c r="AJ61" i="10" s="1"/>
  <c r="AE62" i="10" s="1"/>
  <c r="AK94" i="10"/>
  <c r="AG94" i="10"/>
  <c r="AH94" i="10" s="1"/>
  <c r="AI94" i="10" s="1"/>
  <c r="AC95" i="10" s="1"/>
  <c r="AD95" i="10" s="1"/>
  <c r="AD25" i="10"/>
  <c r="AD62" i="10"/>
  <c r="AJ24" i="10"/>
  <c r="AE25" i="10" s="1"/>
  <c r="AJ94" i="10" l="1"/>
  <c r="AE95" i="10" s="1"/>
  <c r="AG95" i="10" s="1"/>
  <c r="AH95" i="10" s="1"/>
  <c r="AI95" i="10" s="1"/>
  <c r="AC96" i="10" s="1"/>
  <c r="AD96" i="10" s="1"/>
  <c r="AK62" i="10"/>
  <c r="AF62" i="10"/>
  <c r="AF25" i="10"/>
  <c r="AK25" i="10"/>
  <c r="AG62" i="10"/>
  <c r="AH62" i="10" s="1"/>
  <c r="AI62" i="10" s="1"/>
  <c r="AC63" i="10" s="1"/>
  <c r="AG25" i="10"/>
  <c r="AH25" i="10" s="1"/>
  <c r="AI25" i="10" s="1"/>
  <c r="AC26" i="10" s="1"/>
  <c r="AF95" i="10" l="1"/>
  <c r="AJ95" i="10" s="1"/>
  <c r="AE96" i="10" s="1"/>
  <c r="AK96" i="10" s="1"/>
  <c r="AK95" i="10"/>
  <c r="AD26" i="10"/>
  <c r="AJ25" i="10"/>
  <c r="AE26" i="10" s="1"/>
  <c r="AD63" i="10"/>
  <c r="AJ62" i="10"/>
  <c r="AE63" i="10" s="1"/>
  <c r="AG63" i="10" s="1"/>
  <c r="AH63" i="10" s="1"/>
  <c r="C19" i="9"/>
  <c r="BG4" i="9"/>
  <c r="BO8" i="9"/>
  <c r="BO5" i="9"/>
  <c r="C8" i="9"/>
  <c r="AF96" i="10" l="1"/>
  <c r="AG96" i="10"/>
  <c r="AH96" i="10" s="1"/>
  <c r="AI63" i="10"/>
  <c r="AC64" i="10" s="1"/>
  <c r="AD64" i="10" s="1"/>
  <c r="AK63" i="10"/>
  <c r="AF63" i="10"/>
  <c r="AJ63" i="10" s="1"/>
  <c r="AE64" i="10" s="1"/>
  <c r="AK26" i="10"/>
  <c r="AF26" i="10"/>
  <c r="AG26" i="10"/>
  <c r="AH26" i="10" s="1"/>
  <c r="AI26" i="10" s="1"/>
  <c r="AC27" i="10" s="1"/>
  <c r="BK4" i="9"/>
  <c r="BK31" i="9"/>
  <c r="AY34" i="9"/>
  <c r="AY33" i="9"/>
  <c r="AY32" i="9"/>
  <c r="AY31" i="9"/>
  <c r="AY30" i="9"/>
  <c r="AY29" i="9"/>
  <c r="AY28" i="9"/>
  <c r="BS65" i="9"/>
  <c r="BS62" i="9"/>
  <c r="BS43" i="9"/>
  <c r="CO136" i="9"/>
  <c r="CN136" i="9"/>
  <c r="CO135" i="9"/>
  <c r="CN135" i="9"/>
  <c r="CO134" i="9"/>
  <c r="CN134" i="9"/>
  <c r="CO133" i="9"/>
  <c r="CN133" i="9"/>
  <c r="CO132" i="9"/>
  <c r="CN132" i="9"/>
  <c r="CO131" i="9"/>
  <c r="CN131" i="9"/>
  <c r="CO130" i="9"/>
  <c r="CN130" i="9"/>
  <c r="CO129" i="9"/>
  <c r="CN129" i="9"/>
  <c r="CO128" i="9"/>
  <c r="CN128" i="9"/>
  <c r="CO127" i="9"/>
  <c r="CN127" i="9"/>
  <c r="CO126" i="9"/>
  <c r="CN126" i="9"/>
  <c r="CO125" i="9"/>
  <c r="CN125" i="9"/>
  <c r="CO124" i="9"/>
  <c r="CN124" i="9"/>
  <c r="CO123" i="9"/>
  <c r="CN123" i="9"/>
  <c r="CO122" i="9"/>
  <c r="CN122" i="9"/>
  <c r="CO121" i="9"/>
  <c r="CN121" i="9"/>
  <c r="CO120" i="9"/>
  <c r="CN120" i="9"/>
  <c r="CO119" i="9"/>
  <c r="CN119" i="9"/>
  <c r="CO118" i="9"/>
  <c r="CN118" i="9"/>
  <c r="CO117" i="9"/>
  <c r="CN117" i="9"/>
  <c r="CO116" i="9"/>
  <c r="CN116" i="9"/>
  <c r="CO115" i="9"/>
  <c r="CN115" i="9"/>
  <c r="CO114" i="9"/>
  <c r="CN114" i="9"/>
  <c r="CO113" i="9"/>
  <c r="CN113" i="9"/>
  <c r="CO112" i="9"/>
  <c r="CN112" i="9"/>
  <c r="CO111" i="9"/>
  <c r="CN111" i="9"/>
  <c r="CO110" i="9"/>
  <c r="CN110" i="9"/>
  <c r="CO109" i="9"/>
  <c r="CN109" i="9"/>
  <c r="CO108" i="9"/>
  <c r="CN108" i="9"/>
  <c r="CO107" i="9"/>
  <c r="CJ108" i="9" s="1"/>
  <c r="CN107" i="9"/>
  <c r="CH108" i="9" s="1"/>
  <c r="CJ107" i="9"/>
  <c r="CP107" i="9" s="1"/>
  <c r="CH107" i="9"/>
  <c r="CL107" i="9" s="1"/>
  <c r="AY10" i="9"/>
  <c r="AY27" i="9"/>
  <c r="AY26" i="9"/>
  <c r="AY25" i="9"/>
  <c r="AY24" i="9"/>
  <c r="AY23" i="9"/>
  <c r="AY22" i="9"/>
  <c r="AY21" i="9"/>
  <c r="AY20" i="9"/>
  <c r="AY19" i="9"/>
  <c r="AI96" i="10" l="1"/>
  <c r="AC97" i="10" s="1"/>
  <c r="AJ96" i="10"/>
  <c r="AE97" i="10" s="1"/>
  <c r="AD27" i="10"/>
  <c r="AJ26" i="10"/>
  <c r="AE27" i="10" s="1"/>
  <c r="AK64" i="10"/>
  <c r="AF64" i="10"/>
  <c r="AG64" i="10"/>
  <c r="AH64" i="10" s="1"/>
  <c r="AI64" i="10" s="1"/>
  <c r="AC65" i="10" s="1"/>
  <c r="CL108" i="9"/>
  <c r="CJ109" i="9" s="1"/>
  <c r="CP108" i="9"/>
  <c r="CH109" i="9"/>
  <c r="C30" i="9"/>
  <c r="AU79" i="9"/>
  <c r="AT79" i="9"/>
  <c r="AU78" i="9"/>
  <c r="AT78" i="9"/>
  <c r="AU77" i="9"/>
  <c r="AT77" i="9"/>
  <c r="AU76" i="9"/>
  <c r="AT76" i="9"/>
  <c r="AU75" i="9"/>
  <c r="AT75" i="9"/>
  <c r="AU74" i="9"/>
  <c r="AT74" i="9"/>
  <c r="AU73" i="9"/>
  <c r="AT73" i="9"/>
  <c r="AU72" i="9"/>
  <c r="AT72" i="9"/>
  <c r="AU71" i="9"/>
  <c r="AT71" i="9"/>
  <c r="AU70" i="9"/>
  <c r="AT70" i="9"/>
  <c r="AU69" i="9"/>
  <c r="AT69" i="9"/>
  <c r="AU68" i="9"/>
  <c r="AT68" i="9"/>
  <c r="AU67" i="9"/>
  <c r="AT67" i="9"/>
  <c r="AU66" i="9"/>
  <c r="AT66" i="9"/>
  <c r="AU65" i="9"/>
  <c r="AT65" i="9"/>
  <c r="AU64" i="9"/>
  <c r="AT64" i="9"/>
  <c r="AU63" i="9"/>
  <c r="AT63" i="9"/>
  <c r="AU62" i="9"/>
  <c r="AT62" i="9"/>
  <c r="AU61" i="9"/>
  <c r="AT61" i="9"/>
  <c r="AU60" i="9"/>
  <c r="AT60" i="9"/>
  <c r="AU59" i="9"/>
  <c r="AT59" i="9"/>
  <c r="AU58" i="9"/>
  <c r="AT58" i="9"/>
  <c r="AU57" i="9"/>
  <c r="AT57" i="9"/>
  <c r="AU56" i="9"/>
  <c r="AT56" i="9"/>
  <c r="AU55" i="9"/>
  <c r="AT55" i="9"/>
  <c r="AU54" i="9"/>
  <c r="AT54" i="9"/>
  <c r="AU53" i="9"/>
  <c r="AT53" i="9"/>
  <c r="AU52" i="9"/>
  <c r="AT52" i="9"/>
  <c r="AU51" i="9"/>
  <c r="AT51" i="9"/>
  <c r="AV50" i="9"/>
  <c r="AU50" i="9"/>
  <c r="AT50" i="9"/>
  <c r="AR50" i="9"/>
  <c r="G19" i="9"/>
  <c r="AY9" i="9"/>
  <c r="AY8" i="9"/>
  <c r="AF97" i="10" l="1"/>
  <c r="AK97" i="10"/>
  <c r="AD97" i="10"/>
  <c r="AG97" i="10"/>
  <c r="AH97" i="10" s="1"/>
  <c r="AD65" i="10"/>
  <c r="AJ64" i="10"/>
  <c r="AE65" i="10" s="1"/>
  <c r="AK27" i="10"/>
  <c r="AF27" i="10"/>
  <c r="AG27" i="10"/>
  <c r="AH27" i="10" s="1"/>
  <c r="AI27" i="10" s="1"/>
  <c r="AC28" i="10" s="1"/>
  <c r="AP51" i="9"/>
  <c r="AN51" i="9"/>
  <c r="CP109" i="9"/>
  <c r="CL109" i="9"/>
  <c r="AY3" i="9"/>
  <c r="AY46" i="9"/>
  <c r="AY45" i="9"/>
  <c r="BC3" i="9"/>
  <c r="BC4" i="9" s="1"/>
  <c r="BS5" i="9"/>
  <c r="BW5" i="9"/>
  <c r="BY5" i="9"/>
  <c r="CC5" i="9"/>
  <c r="CD5" i="9"/>
  <c r="CH5" i="9"/>
  <c r="CJ5" i="9"/>
  <c r="CN5" i="9"/>
  <c r="CO5" i="9"/>
  <c r="CC6" i="9"/>
  <c r="CD6" i="9"/>
  <c r="CN6" i="9"/>
  <c r="CO6" i="9"/>
  <c r="CC7" i="9"/>
  <c r="CD7" i="9"/>
  <c r="CN7" i="9"/>
  <c r="CO7" i="9"/>
  <c r="BS8" i="9"/>
  <c r="CC8" i="9"/>
  <c r="CD8" i="9"/>
  <c r="CN8" i="9"/>
  <c r="CO8" i="9"/>
  <c r="CC9" i="9"/>
  <c r="CD9" i="9"/>
  <c r="CN9" i="9"/>
  <c r="CO9" i="9"/>
  <c r="CC10" i="9"/>
  <c r="CD10" i="9"/>
  <c r="CN10" i="9"/>
  <c r="CO10" i="9"/>
  <c r="CC11" i="9"/>
  <c r="CD11" i="9"/>
  <c r="CN11" i="9"/>
  <c r="CO11" i="9"/>
  <c r="CC12" i="9"/>
  <c r="CD12" i="9"/>
  <c r="CN12" i="9"/>
  <c r="CO12" i="9"/>
  <c r="BG13" i="9"/>
  <c r="BK13" i="9"/>
  <c r="CC13" i="9"/>
  <c r="CD13" i="9"/>
  <c r="CN13" i="9"/>
  <c r="CO13" i="9"/>
  <c r="CC14" i="9"/>
  <c r="CD14" i="9"/>
  <c r="CN14" i="9"/>
  <c r="CO14" i="9"/>
  <c r="CC15" i="9"/>
  <c r="CD15" i="9"/>
  <c r="CN15" i="9"/>
  <c r="CO15" i="9"/>
  <c r="CC16" i="9"/>
  <c r="CD16" i="9"/>
  <c r="CN16" i="9"/>
  <c r="CO16" i="9"/>
  <c r="CC17" i="9"/>
  <c r="CD17" i="9"/>
  <c r="CN17" i="9"/>
  <c r="CO17" i="9"/>
  <c r="CC18" i="9"/>
  <c r="CD18" i="9"/>
  <c r="CN18" i="9"/>
  <c r="CO18" i="9"/>
  <c r="CC19" i="9"/>
  <c r="CD19" i="9"/>
  <c r="CN19" i="9"/>
  <c r="CO19" i="9"/>
  <c r="CC20" i="9"/>
  <c r="CD20" i="9"/>
  <c r="CN20" i="9"/>
  <c r="CO20" i="9"/>
  <c r="CC21" i="9"/>
  <c r="CD21" i="9"/>
  <c r="CN21" i="9"/>
  <c r="CO21" i="9"/>
  <c r="BG22" i="9"/>
  <c r="BK22" i="9"/>
  <c r="CC22" i="9"/>
  <c r="CD22" i="9"/>
  <c r="CN22" i="9"/>
  <c r="CO22" i="9"/>
  <c r="CC23" i="9"/>
  <c r="CD23" i="9"/>
  <c r="CN23" i="9"/>
  <c r="CO23" i="9"/>
  <c r="BO24" i="9"/>
  <c r="BS24" i="9"/>
  <c r="CC24" i="9"/>
  <c r="CD24" i="9"/>
  <c r="CN24" i="9"/>
  <c r="CO24" i="9"/>
  <c r="CC25" i="9"/>
  <c r="CD25" i="9"/>
  <c r="CN25" i="9"/>
  <c r="CO25" i="9"/>
  <c r="CC26" i="9"/>
  <c r="CD26" i="9"/>
  <c r="CN26" i="9"/>
  <c r="CO26" i="9"/>
  <c r="BO27" i="9"/>
  <c r="BS27" i="9"/>
  <c r="CC27" i="9"/>
  <c r="CD27" i="9"/>
  <c r="CN27" i="9"/>
  <c r="CO27" i="9"/>
  <c r="CC28" i="9"/>
  <c r="CD28" i="9"/>
  <c r="CN28" i="9"/>
  <c r="CO28" i="9"/>
  <c r="CC29" i="9"/>
  <c r="CD29" i="9"/>
  <c r="CN29" i="9"/>
  <c r="CO29" i="9"/>
  <c r="CC30" i="9"/>
  <c r="CD30" i="9"/>
  <c r="CN30" i="9"/>
  <c r="CO30" i="9"/>
  <c r="BG31" i="9"/>
  <c r="CC31" i="9"/>
  <c r="CD31" i="9"/>
  <c r="CN31" i="9"/>
  <c r="CO31" i="9"/>
  <c r="CC32" i="9"/>
  <c r="CD32" i="9"/>
  <c r="CN32" i="9"/>
  <c r="CO32" i="9"/>
  <c r="CC33" i="9"/>
  <c r="CD33" i="9"/>
  <c r="CN33" i="9"/>
  <c r="CO33" i="9"/>
  <c r="CC34" i="9"/>
  <c r="CD34" i="9"/>
  <c r="CN34" i="9"/>
  <c r="CO34" i="9"/>
  <c r="BW39" i="9"/>
  <c r="BY39" i="9"/>
  <c r="CC39" i="9"/>
  <c r="CD39" i="9"/>
  <c r="CH39" i="9"/>
  <c r="CJ39" i="9"/>
  <c r="CN39" i="9"/>
  <c r="CO39" i="9"/>
  <c r="CC40" i="9"/>
  <c r="CD40" i="9"/>
  <c r="CN40" i="9"/>
  <c r="CO40" i="9"/>
  <c r="CC41" i="9"/>
  <c r="CD41" i="9"/>
  <c r="CN41" i="9"/>
  <c r="CO41" i="9"/>
  <c r="CC42" i="9"/>
  <c r="CD42" i="9"/>
  <c r="CN42" i="9"/>
  <c r="CO42" i="9"/>
  <c r="BO43" i="9"/>
  <c r="CC43" i="9"/>
  <c r="CD43" i="9"/>
  <c r="CN43" i="9"/>
  <c r="CO43" i="9"/>
  <c r="CC44" i="9"/>
  <c r="CD44" i="9"/>
  <c r="CN44" i="9"/>
  <c r="CO44" i="9"/>
  <c r="CC45" i="9"/>
  <c r="CD45" i="9"/>
  <c r="CN45" i="9"/>
  <c r="CO45" i="9"/>
  <c r="BO46" i="9"/>
  <c r="BS46" i="9"/>
  <c r="CC46" i="9"/>
  <c r="CD46" i="9"/>
  <c r="CN46" i="9"/>
  <c r="CO46" i="9"/>
  <c r="CC47" i="9"/>
  <c r="CD47" i="9"/>
  <c r="CN47" i="9"/>
  <c r="CO47" i="9"/>
  <c r="CC48" i="9"/>
  <c r="CD48" i="9"/>
  <c r="CN48" i="9"/>
  <c r="CO48" i="9"/>
  <c r="CC49" i="9"/>
  <c r="CD49" i="9"/>
  <c r="CN49" i="9"/>
  <c r="CO49" i="9"/>
  <c r="CC50" i="9"/>
  <c r="CD50" i="9"/>
  <c r="CN50" i="9"/>
  <c r="CO50" i="9"/>
  <c r="CC51" i="9"/>
  <c r="CD51" i="9"/>
  <c r="CN51" i="9"/>
  <c r="CO51" i="9"/>
  <c r="CC52" i="9"/>
  <c r="CD52" i="9"/>
  <c r="CN52" i="9"/>
  <c r="CO52" i="9"/>
  <c r="CC53" i="9"/>
  <c r="CD53" i="9"/>
  <c r="CN53" i="9"/>
  <c r="CO53" i="9"/>
  <c r="CC54" i="9"/>
  <c r="CD54" i="9"/>
  <c r="CN54" i="9"/>
  <c r="CO54" i="9"/>
  <c r="CC55" i="9"/>
  <c r="CD55" i="9"/>
  <c r="CN55" i="9"/>
  <c r="CO55" i="9"/>
  <c r="CC56" i="9"/>
  <c r="CD56" i="9"/>
  <c r="CN56" i="9"/>
  <c r="CO56" i="9"/>
  <c r="CC57" i="9"/>
  <c r="CD57" i="9"/>
  <c r="CN57" i="9"/>
  <c r="CO57" i="9"/>
  <c r="CC58" i="9"/>
  <c r="CD58" i="9"/>
  <c r="CN58" i="9"/>
  <c r="CO58" i="9"/>
  <c r="CC59" i="9"/>
  <c r="CD59" i="9"/>
  <c r="CN59" i="9"/>
  <c r="CO59" i="9"/>
  <c r="CC60" i="9"/>
  <c r="CD60" i="9"/>
  <c r="CN60" i="9"/>
  <c r="CO60" i="9"/>
  <c r="CC61" i="9"/>
  <c r="CD61" i="9"/>
  <c r="CN61" i="9"/>
  <c r="CO61" i="9"/>
  <c r="BO62" i="9"/>
  <c r="CC62" i="9"/>
  <c r="CD62" i="9"/>
  <c r="CN62" i="9"/>
  <c r="CO62" i="9"/>
  <c r="CC63" i="9"/>
  <c r="CD63" i="9"/>
  <c r="CN63" i="9"/>
  <c r="CO63" i="9"/>
  <c r="CC64" i="9"/>
  <c r="CD64" i="9"/>
  <c r="CN64" i="9"/>
  <c r="CO64" i="9"/>
  <c r="BO65" i="9"/>
  <c r="CC65" i="9"/>
  <c r="CD65" i="9"/>
  <c r="CN65" i="9"/>
  <c r="CO65" i="9"/>
  <c r="CC66" i="9"/>
  <c r="CD66" i="9"/>
  <c r="CN66" i="9"/>
  <c r="CO66" i="9"/>
  <c r="CC67" i="9"/>
  <c r="CD67" i="9"/>
  <c r="CN67" i="9"/>
  <c r="CO67" i="9"/>
  <c r="CC68" i="9"/>
  <c r="CD68" i="9"/>
  <c r="CN68" i="9"/>
  <c r="CO68" i="9"/>
  <c r="BW73" i="9"/>
  <c r="BY73" i="9"/>
  <c r="CC73" i="9"/>
  <c r="CD73" i="9"/>
  <c r="CH73" i="9"/>
  <c r="CJ73" i="9"/>
  <c r="CN73" i="9"/>
  <c r="CH74" i="9" s="1"/>
  <c r="CO73" i="9"/>
  <c r="CC74" i="9"/>
  <c r="CD74" i="9"/>
  <c r="CN74" i="9"/>
  <c r="CO74" i="9"/>
  <c r="CC75" i="9"/>
  <c r="CD75" i="9"/>
  <c r="CN75" i="9"/>
  <c r="CO75" i="9"/>
  <c r="CC76" i="9"/>
  <c r="CD76" i="9"/>
  <c r="CN76" i="9"/>
  <c r="CO76" i="9"/>
  <c r="CC77" i="9"/>
  <c r="CD77" i="9"/>
  <c r="CN77" i="9"/>
  <c r="CO77" i="9"/>
  <c r="CC78" i="9"/>
  <c r="CD78" i="9"/>
  <c r="CN78" i="9"/>
  <c r="CO78" i="9"/>
  <c r="CC79" i="9"/>
  <c r="CD79" i="9"/>
  <c r="CN79" i="9"/>
  <c r="CO79" i="9"/>
  <c r="CC80" i="9"/>
  <c r="CD80" i="9"/>
  <c r="CN80" i="9"/>
  <c r="CO80" i="9"/>
  <c r="CC81" i="9"/>
  <c r="CD81" i="9"/>
  <c r="CN81" i="9"/>
  <c r="CO81" i="9"/>
  <c r="CC82" i="9"/>
  <c r="CD82" i="9"/>
  <c r="CN82" i="9"/>
  <c r="CO82" i="9"/>
  <c r="CC83" i="9"/>
  <c r="CD83" i="9"/>
  <c r="CN83" i="9"/>
  <c r="CO83" i="9"/>
  <c r="CC84" i="9"/>
  <c r="CD84" i="9"/>
  <c r="CN84" i="9"/>
  <c r="CO84" i="9"/>
  <c r="CC85" i="9"/>
  <c r="CD85" i="9"/>
  <c r="CN85" i="9"/>
  <c r="CO85" i="9"/>
  <c r="CC86" i="9"/>
  <c r="CD86" i="9"/>
  <c r="CN86" i="9"/>
  <c r="CO86" i="9"/>
  <c r="CC87" i="9"/>
  <c r="CD87" i="9"/>
  <c r="CN87" i="9"/>
  <c r="CO87" i="9"/>
  <c r="CC88" i="9"/>
  <c r="CD88" i="9"/>
  <c r="CN88" i="9"/>
  <c r="CO88" i="9"/>
  <c r="CC89" i="9"/>
  <c r="CD89" i="9"/>
  <c r="CN89" i="9"/>
  <c r="CO89" i="9"/>
  <c r="CC90" i="9"/>
  <c r="CD90" i="9"/>
  <c r="CN90" i="9"/>
  <c r="CO90" i="9"/>
  <c r="CC91" i="9"/>
  <c r="CD91" i="9"/>
  <c r="CN91" i="9"/>
  <c r="CO91" i="9"/>
  <c r="CC92" i="9"/>
  <c r="CD92" i="9"/>
  <c r="CN92" i="9"/>
  <c r="CO92" i="9"/>
  <c r="CC93" i="9"/>
  <c r="CD93" i="9"/>
  <c r="CN93" i="9"/>
  <c r="CO93" i="9"/>
  <c r="CC94" i="9"/>
  <c r="CD94" i="9"/>
  <c r="CN94" i="9"/>
  <c r="CO94" i="9"/>
  <c r="CC95" i="9"/>
  <c r="CD95" i="9"/>
  <c r="CN95" i="9"/>
  <c r="CO95" i="9"/>
  <c r="CC96" i="9"/>
  <c r="CD96" i="9"/>
  <c r="CN96" i="9"/>
  <c r="CO96" i="9"/>
  <c r="CC97" i="9"/>
  <c r="CD97" i="9"/>
  <c r="CN97" i="9"/>
  <c r="CO97" i="9"/>
  <c r="CC98" i="9"/>
  <c r="CD98" i="9"/>
  <c r="CN98" i="9"/>
  <c r="CO98" i="9"/>
  <c r="CC99" i="9"/>
  <c r="CD99" i="9"/>
  <c r="CN99" i="9"/>
  <c r="CO99" i="9"/>
  <c r="CC100" i="9"/>
  <c r="CD100" i="9"/>
  <c r="CN100" i="9"/>
  <c r="CO100" i="9"/>
  <c r="CC101" i="9"/>
  <c r="CD101" i="9"/>
  <c r="CN101" i="9"/>
  <c r="CO101" i="9"/>
  <c r="CC102" i="9"/>
  <c r="CD102" i="9"/>
  <c r="CN102" i="9"/>
  <c r="CO102" i="9"/>
  <c r="BW107" i="9"/>
  <c r="BY107" i="9"/>
  <c r="CE107" i="9" s="1"/>
  <c r="CC107" i="9"/>
  <c r="CD107" i="9"/>
  <c r="CC108" i="9"/>
  <c r="CD108" i="9"/>
  <c r="CC109" i="9"/>
  <c r="CD109" i="9"/>
  <c r="CC110" i="9"/>
  <c r="CD110" i="9"/>
  <c r="CC111" i="9"/>
  <c r="CD111" i="9"/>
  <c r="CC112" i="9"/>
  <c r="CD112" i="9"/>
  <c r="CC113" i="9"/>
  <c r="CD113" i="9"/>
  <c r="CC114" i="9"/>
  <c r="CD114" i="9"/>
  <c r="CC115" i="9"/>
  <c r="CD115" i="9"/>
  <c r="CC116" i="9"/>
  <c r="CD116" i="9"/>
  <c r="CC117" i="9"/>
  <c r="CD117" i="9"/>
  <c r="CC118" i="9"/>
  <c r="CD118" i="9"/>
  <c r="CC119" i="9"/>
  <c r="CD119" i="9"/>
  <c r="CC120" i="9"/>
  <c r="CD120" i="9"/>
  <c r="CC121" i="9"/>
  <c r="CD121" i="9"/>
  <c r="CC122" i="9"/>
  <c r="CD122" i="9"/>
  <c r="CC123" i="9"/>
  <c r="CD123" i="9"/>
  <c r="CC124" i="9"/>
  <c r="CD124" i="9"/>
  <c r="CC125" i="9"/>
  <c r="CD125" i="9"/>
  <c r="CC126" i="9"/>
  <c r="CD126" i="9"/>
  <c r="CC127" i="9"/>
  <c r="CD127" i="9"/>
  <c r="CC128" i="9"/>
  <c r="CD128" i="9"/>
  <c r="CC129" i="9"/>
  <c r="CD129" i="9"/>
  <c r="CC130" i="9"/>
  <c r="CD130" i="9"/>
  <c r="CC131" i="9"/>
  <c r="CD131" i="9"/>
  <c r="CC132" i="9"/>
  <c r="CD132" i="9"/>
  <c r="CC133" i="9"/>
  <c r="CD133" i="9"/>
  <c r="CC134" i="9"/>
  <c r="CD134" i="9"/>
  <c r="CC135" i="9"/>
  <c r="CD135" i="9"/>
  <c r="CC136" i="9"/>
  <c r="CD136" i="9"/>
  <c r="G6" i="9"/>
  <c r="AK74" i="9"/>
  <c r="AG74" i="9"/>
  <c r="G51" i="9"/>
  <c r="AU44" i="9"/>
  <c r="AT44" i="9"/>
  <c r="AU43" i="9"/>
  <c r="AT43" i="9"/>
  <c r="AU42" i="9"/>
  <c r="AT42" i="9"/>
  <c r="AU41" i="9"/>
  <c r="AT41" i="9"/>
  <c r="G39" i="9"/>
  <c r="AU40" i="9"/>
  <c r="AT40" i="9"/>
  <c r="AU39" i="9"/>
  <c r="AT39" i="9"/>
  <c r="AK39" i="9"/>
  <c r="AG39" i="9"/>
  <c r="AU38" i="9"/>
  <c r="AT38" i="9"/>
  <c r="AU37" i="9"/>
  <c r="AT37" i="9"/>
  <c r="AU36" i="9"/>
  <c r="AT36" i="9"/>
  <c r="AU35" i="9"/>
  <c r="AT35" i="9"/>
  <c r="AU34" i="9"/>
  <c r="AT34" i="9"/>
  <c r="AU33" i="9"/>
  <c r="AT33" i="9"/>
  <c r="G36" i="9"/>
  <c r="W4" i="9" s="1"/>
  <c r="AU32" i="9"/>
  <c r="AT32" i="9"/>
  <c r="AU31" i="9"/>
  <c r="AT31" i="9"/>
  <c r="AU30" i="9"/>
  <c r="AT30" i="9"/>
  <c r="AU29" i="9"/>
  <c r="AT29" i="9"/>
  <c r="AU28" i="9"/>
  <c r="AT28" i="9"/>
  <c r="AU27" i="9"/>
  <c r="AT27" i="9"/>
  <c r="AU26" i="9"/>
  <c r="AT26" i="9"/>
  <c r="AU25" i="9"/>
  <c r="AT25" i="9"/>
  <c r="AU24" i="9"/>
  <c r="AT24" i="9"/>
  <c r="AU23" i="9"/>
  <c r="AT23" i="9"/>
  <c r="AU22" i="9"/>
  <c r="AT22" i="9"/>
  <c r="AU21" i="9"/>
  <c r="AT21" i="9"/>
  <c r="K21" i="9"/>
  <c r="AU20" i="9"/>
  <c r="AT20" i="9"/>
  <c r="AU19" i="9"/>
  <c r="AT19" i="9"/>
  <c r="AU18" i="9"/>
  <c r="AT18" i="9"/>
  <c r="AU17" i="9"/>
  <c r="AT17" i="9"/>
  <c r="AU16" i="9"/>
  <c r="AT16" i="9"/>
  <c r="AU15" i="9"/>
  <c r="AT15" i="9"/>
  <c r="AU14" i="9"/>
  <c r="AT14" i="9"/>
  <c r="AU13" i="9"/>
  <c r="AT13" i="9"/>
  <c r="G16" i="9"/>
  <c r="G22" i="9" s="1"/>
  <c r="G23" i="9" s="1"/>
  <c r="C13" i="9"/>
  <c r="K31" i="9" s="1"/>
  <c r="AU12" i="9"/>
  <c r="AT12" i="9"/>
  <c r="AU11" i="9"/>
  <c r="AT11" i="9"/>
  <c r="AU10" i="9"/>
  <c r="AT10" i="9"/>
  <c r="AU9" i="9"/>
  <c r="AT9" i="9"/>
  <c r="AU8" i="9"/>
  <c r="AT8" i="9"/>
  <c r="AU7" i="9"/>
  <c r="AT7" i="9"/>
  <c r="AU6" i="9"/>
  <c r="AT6" i="9"/>
  <c r="AV5" i="9"/>
  <c r="AU5" i="9"/>
  <c r="AT5" i="9"/>
  <c r="AN6" i="9" s="1"/>
  <c r="AR5" i="9"/>
  <c r="AK4" i="9"/>
  <c r="AG4" i="9"/>
  <c r="S4" i="9"/>
  <c r="AI97" i="10" l="1"/>
  <c r="AC98" i="10" s="1"/>
  <c r="AD98" i="10" s="1"/>
  <c r="AJ97" i="10"/>
  <c r="AE98" i="10" s="1"/>
  <c r="AD28" i="10"/>
  <c r="AJ27" i="10"/>
  <c r="AE28" i="10" s="1"/>
  <c r="AK65" i="10"/>
  <c r="AF65" i="10"/>
  <c r="AG65" i="10"/>
  <c r="AH65" i="10" s="1"/>
  <c r="AI65" i="10" s="1"/>
  <c r="AC66" i="10" s="1"/>
  <c r="AV51" i="9"/>
  <c r="AR51" i="9"/>
  <c r="AP52" i="9" s="1"/>
  <c r="CJ110" i="9"/>
  <c r="CH110" i="9"/>
  <c r="CP5" i="9"/>
  <c r="CL73" i="9"/>
  <c r="BW6" i="9"/>
  <c r="CA5" i="9"/>
  <c r="BW40" i="9"/>
  <c r="CE5" i="9"/>
  <c r="CP39" i="9"/>
  <c r="CA107" i="9"/>
  <c r="BY108" i="9" s="1"/>
  <c r="CL39" i="9"/>
  <c r="CJ40" i="9" s="1"/>
  <c r="CA39" i="9"/>
  <c r="BY40" i="9" s="1"/>
  <c r="BY6" i="9"/>
  <c r="BW108" i="9"/>
  <c r="CP73" i="9"/>
  <c r="CH40" i="9"/>
  <c r="CJ74" i="9"/>
  <c r="CP74" i="9" s="1"/>
  <c r="BW74" i="9"/>
  <c r="CA73" i="9"/>
  <c r="BY74" i="9" s="1"/>
  <c r="CE73" i="9"/>
  <c r="CL5" i="9"/>
  <c r="CJ6" i="9" s="1"/>
  <c r="CE39" i="9"/>
  <c r="CH6" i="9"/>
  <c r="O4" i="9"/>
  <c r="AP6" i="9"/>
  <c r="AV6" i="9" s="1"/>
  <c r="G24" i="9"/>
  <c r="G42" i="9"/>
  <c r="AK98" i="10" l="1"/>
  <c r="AF98" i="10"/>
  <c r="AG98" i="10"/>
  <c r="AH98" i="10" s="1"/>
  <c r="AI98" i="10" s="1"/>
  <c r="AC99" i="10" s="1"/>
  <c r="AD99" i="10" s="1"/>
  <c r="AJ65" i="10"/>
  <c r="AE66" i="10" s="1"/>
  <c r="AG66" i="10" s="1"/>
  <c r="AH66" i="10" s="1"/>
  <c r="AD66" i="10"/>
  <c r="AF28" i="10"/>
  <c r="AK28" i="10"/>
  <c r="AG28" i="10"/>
  <c r="AH28" i="10" s="1"/>
  <c r="AI28" i="10" s="1"/>
  <c r="AC29" i="10" s="1"/>
  <c r="AN52" i="9"/>
  <c r="AV52" i="9" s="1"/>
  <c r="CL110" i="9"/>
  <c r="CJ111" i="9" s="1"/>
  <c r="CH111" i="9"/>
  <c r="CP110" i="9"/>
  <c r="CA40" i="9"/>
  <c r="BY41" i="9" s="1"/>
  <c r="CA6" i="9"/>
  <c r="BY7" i="9" s="1"/>
  <c r="CE6" i="9"/>
  <c r="CE108" i="9"/>
  <c r="CL40" i="9"/>
  <c r="CJ41" i="9" s="1"/>
  <c r="CA108" i="9"/>
  <c r="BY109" i="9" s="1"/>
  <c r="CP40" i="9"/>
  <c r="CL6" i="9"/>
  <c r="CJ7" i="9" s="1"/>
  <c r="CE74" i="9"/>
  <c r="CH7" i="9"/>
  <c r="CE40" i="9"/>
  <c r="CL74" i="9"/>
  <c r="CP6" i="9"/>
  <c r="CA74" i="9"/>
  <c r="BY75" i="9" s="1"/>
  <c r="AR6" i="9"/>
  <c r="AN7" i="9" s="1"/>
  <c r="G44" i="9"/>
  <c r="G43" i="9"/>
  <c r="G29" i="9" s="1"/>
  <c r="K9" i="9" s="1"/>
  <c r="AJ98" i="10" l="1"/>
  <c r="AE99" i="10" s="1"/>
  <c r="AI66" i="10"/>
  <c r="AC67" i="10" s="1"/>
  <c r="AD67" i="10" s="1"/>
  <c r="AD29" i="10"/>
  <c r="AJ28" i="10"/>
  <c r="AE29" i="10" s="1"/>
  <c r="AK66" i="10"/>
  <c r="AF66" i="10"/>
  <c r="AJ66" i="10" s="1"/>
  <c r="AE67" i="10" s="1"/>
  <c r="AP7" i="9"/>
  <c r="AV7" i="9" s="1"/>
  <c r="AR52" i="9"/>
  <c r="AN53" i="9" s="1"/>
  <c r="CL111" i="9"/>
  <c r="CH112" i="9" s="1"/>
  <c r="CJ112" i="9"/>
  <c r="CP111" i="9"/>
  <c r="BW41" i="9"/>
  <c r="CE41" i="9" s="1"/>
  <c r="BW7" i="9"/>
  <c r="CA7" i="9" s="1"/>
  <c r="BY8" i="9" s="1"/>
  <c r="BW109" i="9"/>
  <c r="CA109" i="9" s="1"/>
  <c r="CH41" i="9"/>
  <c r="CP41" i="9" s="1"/>
  <c r="CJ75" i="9"/>
  <c r="CH75" i="9"/>
  <c r="BW75" i="9"/>
  <c r="CA75" i="9" s="1"/>
  <c r="BY76" i="9" s="1"/>
  <c r="CL7" i="9"/>
  <c r="CJ8" i="9" s="1"/>
  <c r="CP7" i="9"/>
  <c r="AG99" i="10" l="1"/>
  <c r="AH99" i="10" s="1"/>
  <c r="AI99" i="10" s="1"/>
  <c r="AC100" i="10" s="1"/>
  <c r="AF99" i="10"/>
  <c r="AK99" i="10"/>
  <c r="AF67" i="10"/>
  <c r="AK67" i="10"/>
  <c r="AG67" i="10"/>
  <c r="AH67" i="10" s="1"/>
  <c r="AI67" i="10" s="1"/>
  <c r="AC68" i="10" s="1"/>
  <c r="AK29" i="10"/>
  <c r="AF29" i="10"/>
  <c r="AG29" i="10"/>
  <c r="AH29" i="10" s="1"/>
  <c r="AI29" i="10" s="1"/>
  <c r="AC30" i="10" s="1"/>
  <c r="AR7" i="9"/>
  <c r="AN8" i="9" s="1"/>
  <c r="AP53" i="9"/>
  <c r="AV53" i="9" s="1"/>
  <c r="CP112" i="9"/>
  <c r="CL112" i="9"/>
  <c r="CL75" i="9"/>
  <c r="CJ76" i="9" s="1"/>
  <c r="CA41" i="9"/>
  <c r="BY42" i="9" s="1"/>
  <c r="BW42" i="9"/>
  <c r="CE109" i="9"/>
  <c r="CH8" i="9"/>
  <c r="CL8" i="9" s="1"/>
  <c r="CJ9" i="9" s="1"/>
  <c r="BW8" i="9"/>
  <c r="CE8" i="9" s="1"/>
  <c r="CE7" i="9"/>
  <c r="BY110" i="9"/>
  <c r="BW110" i="9"/>
  <c r="CL41" i="9"/>
  <c r="CJ42" i="9" s="1"/>
  <c r="CP75" i="9"/>
  <c r="BW76" i="9"/>
  <c r="CA76" i="9" s="1"/>
  <c r="BY77" i="9" s="1"/>
  <c r="CE75" i="9"/>
  <c r="AJ99" i="10" l="1"/>
  <c r="AE100" i="10" s="1"/>
  <c r="AK100" i="10" s="1"/>
  <c r="AD100" i="10"/>
  <c r="AD30" i="10"/>
  <c r="AD68" i="10"/>
  <c r="AJ29" i="10"/>
  <c r="AE30" i="10" s="1"/>
  <c r="AJ67" i="10"/>
  <c r="AE68" i="10" s="1"/>
  <c r="AP8" i="9"/>
  <c r="AR8" i="9" s="1"/>
  <c r="AP9" i="9" s="1"/>
  <c r="AR53" i="9"/>
  <c r="AP54" i="9" s="1"/>
  <c r="CH76" i="9"/>
  <c r="CP76" i="9" s="1"/>
  <c r="CJ113" i="9"/>
  <c r="CH113" i="9"/>
  <c r="CE42" i="9"/>
  <c r="CA110" i="9"/>
  <c r="BY111" i="9" s="1"/>
  <c r="CP8" i="9"/>
  <c r="CA8" i="9"/>
  <c r="CA42" i="9"/>
  <c r="CE76" i="9"/>
  <c r="BW111" i="9"/>
  <c r="CE110" i="9"/>
  <c r="CH42" i="9"/>
  <c r="CL42" i="9" s="1"/>
  <c r="BW77" i="9"/>
  <c r="CE77" i="9" s="1"/>
  <c r="CH9" i="9"/>
  <c r="CP9" i="9" s="1"/>
  <c r="AG100" i="10" l="1"/>
  <c r="AH100" i="10" s="1"/>
  <c r="AI100" i="10" s="1"/>
  <c r="AC101" i="10" s="1"/>
  <c r="AF100" i="10"/>
  <c r="AF30" i="10"/>
  <c r="AK30" i="10"/>
  <c r="AK68" i="10"/>
  <c r="AF68" i="10"/>
  <c r="AG68" i="10"/>
  <c r="AH68" i="10" s="1"/>
  <c r="AI68" i="10" s="1"/>
  <c r="AC69" i="10" s="1"/>
  <c r="AG30" i="10"/>
  <c r="AH30" i="10" s="1"/>
  <c r="AI30" i="10" s="1"/>
  <c r="AC31" i="10" s="1"/>
  <c r="AV8" i="9"/>
  <c r="AN9" i="9"/>
  <c r="AV9" i="9" s="1"/>
  <c r="AN54" i="9"/>
  <c r="AR54" i="9" s="1"/>
  <c r="AN55" i="9" s="1"/>
  <c r="CL113" i="9"/>
  <c r="CH114" i="9" s="1"/>
  <c r="CL76" i="9"/>
  <c r="CJ77" i="9" s="1"/>
  <c r="CH77" i="9"/>
  <c r="CJ114" i="9"/>
  <c r="CP113" i="9"/>
  <c r="CA111" i="9"/>
  <c r="BW112" i="9" s="1"/>
  <c r="CH43" i="9"/>
  <c r="CJ43" i="9"/>
  <c r="BW9" i="9"/>
  <c r="BY9" i="9"/>
  <c r="BY43" i="9"/>
  <c r="BW43" i="9"/>
  <c r="CE111" i="9"/>
  <c r="CP42" i="9"/>
  <c r="CA77" i="9"/>
  <c r="CL9" i="9"/>
  <c r="CH10" i="9" s="1"/>
  <c r="AJ100" i="10" l="1"/>
  <c r="AE101" i="10" s="1"/>
  <c r="AF101" i="10" s="1"/>
  <c r="AD101" i="10"/>
  <c r="AD31" i="10"/>
  <c r="AD69" i="10"/>
  <c r="AJ68" i="10"/>
  <c r="AE69" i="10" s="1"/>
  <c r="AJ30" i="10"/>
  <c r="AE31" i="10" s="1"/>
  <c r="AR9" i="9"/>
  <c r="AP10" i="9" s="1"/>
  <c r="AV54" i="9"/>
  <c r="AP55" i="9"/>
  <c r="AV55" i="9" s="1"/>
  <c r="CP77" i="9"/>
  <c r="CL77" i="9"/>
  <c r="CH78" i="9" s="1"/>
  <c r="CL114" i="9"/>
  <c r="CJ115" i="9" s="1"/>
  <c r="CJ78" i="9"/>
  <c r="BY112" i="9"/>
  <c r="CA112" i="9" s="1"/>
  <c r="CP114" i="9"/>
  <c r="CP43" i="9"/>
  <c r="CE9" i="9"/>
  <c r="CA9" i="9"/>
  <c r="BY10" i="9" s="1"/>
  <c r="BW78" i="9"/>
  <c r="BY78" i="9"/>
  <c r="CL43" i="9"/>
  <c r="CE43" i="9"/>
  <c r="CA43" i="9"/>
  <c r="CJ10" i="9"/>
  <c r="CP10" i="9" s="1"/>
  <c r="AG101" i="10" l="1"/>
  <c r="AH101" i="10" s="1"/>
  <c r="AI101" i="10" s="1"/>
  <c r="AC102" i="10" s="1"/>
  <c r="AD102" i="10" s="1"/>
  <c r="AK101" i="10"/>
  <c r="AK69" i="10"/>
  <c r="AF69" i="10"/>
  <c r="AG69" i="10"/>
  <c r="AK31" i="10"/>
  <c r="AF31" i="10"/>
  <c r="AG31" i="10"/>
  <c r="AH31" i="10" s="1"/>
  <c r="AI31" i="10" s="1"/>
  <c r="AC32" i="10" s="1"/>
  <c r="AN10" i="9"/>
  <c r="AR10" i="9" s="1"/>
  <c r="AN11" i="9" s="1"/>
  <c r="CH115" i="9"/>
  <c r="CP115" i="9" s="1"/>
  <c r="AR55" i="9"/>
  <c r="AP56" i="9" s="1"/>
  <c r="CP78" i="9"/>
  <c r="CL78" i="9"/>
  <c r="CH79" i="9" s="1"/>
  <c r="CE112" i="9"/>
  <c r="BW10" i="9"/>
  <c r="CE10" i="9" s="1"/>
  <c r="CJ44" i="9"/>
  <c r="CH44" i="9"/>
  <c r="CE78" i="9"/>
  <c r="CA78" i="9"/>
  <c r="BY113" i="9"/>
  <c r="BW113" i="9"/>
  <c r="BW44" i="9"/>
  <c r="BY44" i="9"/>
  <c r="CL10" i="9"/>
  <c r="CH11" i="9" s="1"/>
  <c r="AJ101" i="10" l="1"/>
  <c r="AE102" i="10" s="1"/>
  <c r="AF102" i="10" s="1"/>
  <c r="AD32" i="10"/>
  <c r="AH69" i="10"/>
  <c r="AI69" i="10" s="1"/>
  <c r="O26" i="10"/>
  <c r="O27" i="10" s="1"/>
  <c r="G25" i="10" s="1"/>
  <c r="G26" i="10" s="1"/>
  <c r="AJ31" i="10"/>
  <c r="AE32" i="10" s="1"/>
  <c r="AG32" i="10" s="1"/>
  <c r="AH32" i="10" s="1"/>
  <c r="CL115" i="9"/>
  <c r="CH116" i="9" s="1"/>
  <c r="AV10" i="9"/>
  <c r="AN56" i="9"/>
  <c r="AR56" i="9" s="1"/>
  <c r="AP57" i="9" s="1"/>
  <c r="CJ79" i="9"/>
  <c r="CP79" i="9" s="1"/>
  <c r="CA10" i="9"/>
  <c r="BY11" i="9" s="1"/>
  <c r="CJ116" i="9"/>
  <c r="CP44" i="9"/>
  <c r="CL44" i="9"/>
  <c r="AP11" i="9"/>
  <c r="AV11" i="9" s="1"/>
  <c r="CA113" i="9"/>
  <c r="BW114" i="9" s="1"/>
  <c r="BY79" i="9"/>
  <c r="BW79" i="9"/>
  <c r="CE113" i="9"/>
  <c r="CA44" i="9"/>
  <c r="CE44" i="9"/>
  <c r="CJ11" i="9"/>
  <c r="CP11" i="9" s="1"/>
  <c r="AK102" i="10" l="1"/>
  <c r="AG102" i="10"/>
  <c r="AH102" i="10" s="1"/>
  <c r="AI102" i="10" s="1"/>
  <c r="AC103" i="10" s="1"/>
  <c r="AD103" i="10" s="1"/>
  <c r="AI32" i="10"/>
  <c r="AC33" i="10" s="1"/>
  <c r="AD33" i="10" s="1"/>
  <c r="AJ69" i="10"/>
  <c r="AJ102" i="10"/>
  <c r="AE103" i="10" s="1"/>
  <c r="AF32" i="10"/>
  <c r="AJ32" i="10" s="1"/>
  <c r="AE33" i="10" s="1"/>
  <c r="AK32" i="10"/>
  <c r="AN57" i="9"/>
  <c r="AV57" i="9" s="1"/>
  <c r="AV56" i="9"/>
  <c r="BW11" i="9"/>
  <c r="CA11" i="9" s="1"/>
  <c r="BY12" i="9" s="1"/>
  <c r="CL79" i="9"/>
  <c r="CL116" i="9"/>
  <c r="CJ117" i="9" s="1"/>
  <c r="CP116" i="9"/>
  <c r="BY114" i="9"/>
  <c r="CE114" i="9" s="1"/>
  <c r="CH45" i="9"/>
  <c r="CJ45" i="9"/>
  <c r="AR11" i="9"/>
  <c r="AP12" i="9" s="1"/>
  <c r="CA79" i="9"/>
  <c r="BW80" i="9" s="1"/>
  <c r="CE79" i="9"/>
  <c r="BW45" i="9"/>
  <c r="BY45" i="9"/>
  <c r="CL11" i="9"/>
  <c r="CH12" i="9" s="1"/>
  <c r="CJ12" i="9"/>
  <c r="AF103" i="10" l="1"/>
  <c r="AK103" i="10"/>
  <c r="AG103" i="10"/>
  <c r="AH103" i="10" s="1"/>
  <c r="AI103" i="10" s="1"/>
  <c r="AC104" i="10" s="1"/>
  <c r="AD104" i="10" s="1"/>
  <c r="AK33" i="10"/>
  <c r="AF33" i="10"/>
  <c r="AG33" i="10"/>
  <c r="AH33" i="10" s="1"/>
  <c r="AI33" i="10" s="1"/>
  <c r="AC34" i="10" s="1"/>
  <c r="AR57" i="9"/>
  <c r="AP58" i="9" s="1"/>
  <c r="BW12" i="9"/>
  <c r="CA12" i="9" s="1"/>
  <c r="BY13" i="9" s="1"/>
  <c r="CE11" i="9"/>
  <c r="CH80" i="9"/>
  <c r="CJ80" i="9"/>
  <c r="CH117" i="9"/>
  <c r="CL117" i="9" s="1"/>
  <c r="AN12" i="9"/>
  <c r="AV12" i="9" s="1"/>
  <c r="BY80" i="9"/>
  <c r="CE80" i="9" s="1"/>
  <c r="CA114" i="9"/>
  <c r="BY115" i="9" s="1"/>
  <c r="CP45" i="9"/>
  <c r="CL45" i="9"/>
  <c r="CE45" i="9"/>
  <c r="CL12" i="9"/>
  <c r="CH13" i="9" s="1"/>
  <c r="CP12" i="9"/>
  <c r="CA45" i="9"/>
  <c r="AJ103" i="10" l="1"/>
  <c r="AE104" i="10" s="1"/>
  <c r="AJ33" i="10"/>
  <c r="AE34" i="10" s="1"/>
  <c r="AG34" i="10" s="1"/>
  <c r="AD34" i="10"/>
  <c r="AN58" i="9"/>
  <c r="AV58" i="9" s="1"/>
  <c r="CE12" i="9"/>
  <c r="BW13" i="9"/>
  <c r="CE13" i="9" s="1"/>
  <c r="AR12" i="9"/>
  <c r="AP13" i="9" s="1"/>
  <c r="CP117" i="9"/>
  <c r="CP80" i="9"/>
  <c r="CL80" i="9"/>
  <c r="CJ118" i="9"/>
  <c r="CH118" i="9"/>
  <c r="CA80" i="9"/>
  <c r="BW81" i="9" s="1"/>
  <c r="BW115" i="9"/>
  <c r="CE115" i="9" s="1"/>
  <c r="CH46" i="9"/>
  <c r="CJ46" i="9"/>
  <c r="CJ13" i="9"/>
  <c r="CP13" i="9" s="1"/>
  <c r="BW46" i="9"/>
  <c r="BY46" i="9"/>
  <c r="AK104" i="10" l="1"/>
  <c r="AF104" i="10"/>
  <c r="AG104" i="10"/>
  <c r="S26" i="10"/>
  <c r="S27" i="10" s="1"/>
  <c r="G32" i="10" s="1"/>
  <c r="G33" i="10" s="1"/>
  <c r="AH34" i="10"/>
  <c r="AI34" i="10" s="1"/>
  <c r="AK34" i="10"/>
  <c r="AF34" i="10"/>
  <c r="AR58" i="9"/>
  <c r="AP59" i="9" s="1"/>
  <c r="CA13" i="9"/>
  <c r="BW14" i="9" s="1"/>
  <c r="AN13" i="9"/>
  <c r="AR13" i="9" s="1"/>
  <c r="AN14" i="9" s="1"/>
  <c r="CH81" i="9"/>
  <c r="CJ81" i="9"/>
  <c r="CL118" i="9"/>
  <c r="CP118" i="9"/>
  <c r="BY81" i="9"/>
  <c r="CE81" i="9" s="1"/>
  <c r="CA115" i="9"/>
  <c r="BY116" i="9" s="1"/>
  <c r="CP46" i="9"/>
  <c r="CL13" i="9"/>
  <c r="CJ14" i="9" s="1"/>
  <c r="CL46" i="9"/>
  <c r="CA46" i="9"/>
  <c r="CE46" i="9"/>
  <c r="W26" i="10" l="1"/>
  <c r="W27" i="10" s="1"/>
  <c r="G45" i="10" s="1"/>
  <c r="G46" i="10" s="1"/>
  <c r="K6" i="10" s="1"/>
  <c r="AH104" i="10"/>
  <c r="AJ34" i="10"/>
  <c r="AN59" i="9"/>
  <c r="AV59" i="9" s="1"/>
  <c r="BY14" i="9"/>
  <c r="CA14" i="9" s="1"/>
  <c r="BW15" i="9" s="1"/>
  <c r="AV13" i="9"/>
  <c r="AP14" i="9"/>
  <c r="AR14" i="9" s="1"/>
  <c r="AP15" i="9" s="1"/>
  <c r="CP81" i="9"/>
  <c r="CL81" i="9"/>
  <c r="CH119" i="9"/>
  <c r="CJ119" i="9"/>
  <c r="CA81" i="9"/>
  <c r="BW82" i="9" s="1"/>
  <c r="CH14" i="9"/>
  <c r="CP14" i="9" s="1"/>
  <c r="BW116" i="9"/>
  <c r="CA116" i="9" s="1"/>
  <c r="BY117" i="9" s="1"/>
  <c r="CJ47" i="9"/>
  <c r="CH47" i="9"/>
  <c r="BW47" i="9"/>
  <c r="BY47" i="9"/>
  <c r="K11" i="10" l="1"/>
  <c r="K17" i="10" s="1"/>
  <c r="K37" i="10" s="1"/>
  <c r="AI104" i="10"/>
  <c r="AJ104" i="10"/>
  <c r="K21" i="10"/>
  <c r="K20" i="10"/>
  <c r="K7" i="10"/>
  <c r="AR59" i="9"/>
  <c r="AP60" i="9" s="1"/>
  <c r="CE14" i="9"/>
  <c r="BY15" i="9"/>
  <c r="CE15" i="9" s="1"/>
  <c r="CP119" i="9"/>
  <c r="AV14" i="9"/>
  <c r="AN15" i="9"/>
  <c r="AV15" i="9" s="1"/>
  <c r="BY82" i="9"/>
  <c r="CE82" i="9" s="1"/>
  <c r="CL14" i="9"/>
  <c r="CJ15" i="9" s="1"/>
  <c r="CJ82" i="9"/>
  <c r="CH82" i="9"/>
  <c r="CL119" i="9"/>
  <c r="CE116" i="9"/>
  <c r="BW117" i="9"/>
  <c r="CA117" i="9" s="1"/>
  <c r="BW118" i="9" s="1"/>
  <c r="CL47" i="9"/>
  <c r="CJ48" i="9" s="1"/>
  <c r="CP47" i="9"/>
  <c r="CA47" i="9"/>
  <c r="CE47" i="9"/>
  <c r="K45" i="10" l="1"/>
  <c r="K38" i="10"/>
  <c r="K41" i="10" s="1"/>
  <c r="K32" i="10"/>
  <c r="AS4" i="10" s="1"/>
  <c r="K46" i="10"/>
  <c r="AN60" i="9"/>
  <c r="AR60" i="9" s="1"/>
  <c r="AN61" i="9" s="1"/>
  <c r="CA15" i="9"/>
  <c r="BY16" i="9" s="1"/>
  <c r="AR15" i="9"/>
  <c r="AP16" i="9" s="1"/>
  <c r="CH15" i="9"/>
  <c r="CP15" i="9" s="1"/>
  <c r="CA82" i="9"/>
  <c r="BY83" i="9" s="1"/>
  <c r="CL82" i="9"/>
  <c r="CJ83" i="9" s="1"/>
  <c r="CP82" i="9"/>
  <c r="CJ120" i="9"/>
  <c r="CH120" i="9"/>
  <c r="CH48" i="9"/>
  <c r="CP48" i="9" s="1"/>
  <c r="BY118" i="9"/>
  <c r="CA118" i="9" s="1"/>
  <c r="CE117" i="9"/>
  <c r="BW48" i="9"/>
  <c r="BY48" i="9"/>
  <c r="K49" i="10" l="1"/>
  <c r="AO4" i="10"/>
  <c r="K33" i="10"/>
  <c r="AQ4" i="10"/>
  <c r="AV60" i="9"/>
  <c r="CH83" i="9"/>
  <c r="CL83" i="9" s="1"/>
  <c r="CH84" i="9" s="1"/>
  <c r="BW83" i="9"/>
  <c r="CE83" i="9" s="1"/>
  <c r="BW16" i="9"/>
  <c r="CE16" i="9" s="1"/>
  <c r="AN16" i="9"/>
  <c r="AV16" i="9" s="1"/>
  <c r="CL15" i="9"/>
  <c r="CJ16" i="9" s="1"/>
  <c r="CL120" i="9"/>
  <c r="CH121" i="9" s="1"/>
  <c r="CP120" i="9"/>
  <c r="CL48" i="9"/>
  <c r="CJ49" i="9" s="1"/>
  <c r="CE118" i="9"/>
  <c r="AP61" i="9"/>
  <c r="AV61" i="9" s="1"/>
  <c r="BY119" i="9"/>
  <c r="BW119" i="9"/>
  <c r="CE48" i="9"/>
  <c r="CA48" i="9"/>
  <c r="CJ121" i="9" l="1"/>
  <c r="CL121" i="9" s="1"/>
  <c r="CH122" i="9" s="1"/>
  <c r="CP83" i="9"/>
  <c r="CJ84" i="9"/>
  <c r="CP84" i="9" s="1"/>
  <c r="CA83" i="9"/>
  <c r="BY84" i="9" s="1"/>
  <c r="CH16" i="9"/>
  <c r="CL16" i="9" s="1"/>
  <c r="CH17" i="9" s="1"/>
  <c r="CA16" i="9"/>
  <c r="BY17" i="9" s="1"/>
  <c r="AR16" i="9"/>
  <c r="AN17" i="9" s="1"/>
  <c r="CH49" i="9"/>
  <c r="CL49" i="9" s="1"/>
  <c r="AR61" i="9"/>
  <c r="AN62" i="9" s="1"/>
  <c r="CA119" i="9"/>
  <c r="BW120" i="9" s="1"/>
  <c r="CE119" i="9"/>
  <c r="BY49" i="9"/>
  <c r="BW49" i="9"/>
  <c r="CP121" i="9" l="1"/>
  <c r="AP17" i="9"/>
  <c r="AV17" i="9" s="1"/>
  <c r="BW17" i="9"/>
  <c r="CE17" i="9" s="1"/>
  <c r="BW84" i="9"/>
  <c r="CA84" i="9" s="1"/>
  <c r="CL84" i="9"/>
  <c r="CJ85" i="9" s="1"/>
  <c r="CP16" i="9"/>
  <c r="CJ122" i="9"/>
  <c r="CL122" i="9" s="1"/>
  <c r="AP62" i="9"/>
  <c r="AV62" i="9" s="1"/>
  <c r="CP49" i="9"/>
  <c r="CJ17" i="9"/>
  <c r="CL17" i="9" s="1"/>
  <c r="CH18" i="9" s="1"/>
  <c r="BY120" i="9"/>
  <c r="CE120" i="9" s="1"/>
  <c r="CH50" i="9"/>
  <c r="CJ50" i="9"/>
  <c r="CA49" i="9"/>
  <c r="BW50" i="9" s="1"/>
  <c r="CE49" i="9"/>
  <c r="CH85" i="9" l="1"/>
  <c r="CL85" i="9" s="1"/>
  <c r="CH86" i="9" s="1"/>
  <c r="AR17" i="9"/>
  <c r="AN18" i="9" s="1"/>
  <c r="CA17" i="9"/>
  <c r="BY18" i="9" s="1"/>
  <c r="CE84" i="9"/>
  <c r="CP122" i="9"/>
  <c r="CJ123" i="9"/>
  <c r="CH123" i="9"/>
  <c r="AR62" i="9"/>
  <c r="AN63" i="9" s="1"/>
  <c r="CP17" i="9"/>
  <c r="CA120" i="9"/>
  <c r="BY121" i="9" s="1"/>
  <c r="CP50" i="9"/>
  <c r="CL50" i="9"/>
  <c r="CJ18" i="9"/>
  <c r="CP18" i="9" s="1"/>
  <c r="BY50" i="9"/>
  <c r="CA50" i="9" s="1"/>
  <c r="BY85" i="9"/>
  <c r="BW85" i="9"/>
  <c r="BW18" i="9" l="1"/>
  <c r="CA18" i="9" s="1"/>
  <c r="BW19" i="9" s="1"/>
  <c r="CP85" i="9"/>
  <c r="AP18" i="9"/>
  <c r="AR18" i="9" s="1"/>
  <c r="AP63" i="9"/>
  <c r="AV63" i="9" s="1"/>
  <c r="CL123" i="9"/>
  <c r="CH124" i="9" s="1"/>
  <c r="CJ86" i="9"/>
  <c r="CP86" i="9" s="1"/>
  <c r="CP123" i="9"/>
  <c r="BW121" i="9"/>
  <c r="CA121" i="9" s="1"/>
  <c r="CE50" i="9"/>
  <c r="CJ51" i="9"/>
  <c r="CH51" i="9"/>
  <c r="CL18" i="9"/>
  <c r="CJ19" i="9" s="1"/>
  <c r="CA85" i="9"/>
  <c r="BY86" i="9" s="1"/>
  <c r="CE85" i="9"/>
  <c r="BW51" i="9"/>
  <c r="BY51" i="9"/>
  <c r="BY19" i="9" l="1"/>
  <c r="CE19" i="9" s="1"/>
  <c r="CE18" i="9"/>
  <c r="AV18" i="9"/>
  <c r="AN19" i="9"/>
  <c r="AP19" i="9"/>
  <c r="BW86" i="9"/>
  <c r="CA86" i="9" s="1"/>
  <c r="CJ124" i="9"/>
  <c r="CL124" i="9" s="1"/>
  <c r="CH125" i="9" s="1"/>
  <c r="AR63" i="9"/>
  <c r="AP64" i="9" s="1"/>
  <c r="CL86" i="9"/>
  <c r="CJ87" i="9" s="1"/>
  <c r="CE121" i="9"/>
  <c r="CH19" i="9"/>
  <c r="CL19" i="9" s="1"/>
  <c r="CJ20" i="9" s="1"/>
  <c r="CL51" i="9"/>
  <c r="CP51" i="9"/>
  <c r="BY122" i="9"/>
  <c r="BW122" i="9"/>
  <c r="CE51" i="9"/>
  <c r="CA51" i="9"/>
  <c r="CA19" i="9" l="1"/>
  <c r="BW20" i="9" s="1"/>
  <c r="AN64" i="9"/>
  <c r="AR64" i="9" s="1"/>
  <c r="AN65" i="9" s="1"/>
  <c r="AR19" i="9"/>
  <c r="AP20" i="9" s="1"/>
  <c r="AV19" i="9"/>
  <c r="CE86" i="9"/>
  <c r="CP124" i="9"/>
  <c r="CJ125" i="9"/>
  <c r="CL125" i="9" s="1"/>
  <c r="CJ126" i="9" s="1"/>
  <c r="CH87" i="9"/>
  <c r="CP87" i="9" s="1"/>
  <c r="BY20" i="9"/>
  <c r="CP19" i="9"/>
  <c r="CJ52" i="9"/>
  <c r="CH52" i="9"/>
  <c r="CE122" i="9"/>
  <c r="CA122" i="9"/>
  <c r="BW87" i="9"/>
  <c r="BY87" i="9"/>
  <c r="BY52" i="9"/>
  <c r="BW52" i="9"/>
  <c r="CH20" i="9"/>
  <c r="CP20" i="9" s="1"/>
  <c r="AV64" i="9" l="1"/>
  <c r="AN20" i="9"/>
  <c r="AV20" i="9" s="1"/>
  <c r="CP125" i="9"/>
  <c r="CH126" i="9"/>
  <c r="CP126" i="9" s="1"/>
  <c r="CL87" i="9"/>
  <c r="AP65" i="9"/>
  <c r="AR65" i="9" s="1"/>
  <c r="CE20" i="9"/>
  <c r="CL52" i="9"/>
  <c r="CJ53" i="9" s="1"/>
  <c r="CA20" i="9"/>
  <c r="CP52" i="9"/>
  <c r="BY123" i="9"/>
  <c r="BW123" i="9"/>
  <c r="CA52" i="9"/>
  <c r="BY53" i="9" s="1"/>
  <c r="CA87" i="9"/>
  <c r="CE87" i="9"/>
  <c r="CE52" i="9"/>
  <c r="CL20" i="9"/>
  <c r="CH21" i="9" s="1"/>
  <c r="AR20" i="9" l="1"/>
  <c r="AP21" i="9" s="1"/>
  <c r="CL126" i="9"/>
  <c r="CH127" i="9" s="1"/>
  <c r="CH53" i="9"/>
  <c r="CP53" i="9" s="1"/>
  <c r="CH88" i="9"/>
  <c r="CJ88" i="9"/>
  <c r="AV65" i="9"/>
  <c r="BY21" i="9"/>
  <c r="BW21" i="9"/>
  <c r="AN66" i="9"/>
  <c r="AP66" i="9"/>
  <c r="BW53" i="9"/>
  <c r="CA53" i="9" s="1"/>
  <c r="BY54" i="9" s="1"/>
  <c r="CE123" i="9"/>
  <c r="CA123" i="9"/>
  <c r="BW88" i="9"/>
  <c r="BY88" i="9"/>
  <c r="CJ21" i="9"/>
  <c r="CP21" i="9" s="1"/>
  <c r="AN21" i="9" l="1"/>
  <c r="AV21" i="9" s="1"/>
  <c r="CJ127" i="9"/>
  <c r="CP127" i="9" s="1"/>
  <c r="CL53" i="9"/>
  <c r="CH54" i="9" s="1"/>
  <c r="CP88" i="9"/>
  <c r="CL88" i="9"/>
  <c r="CA21" i="9"/>
  <c r="BY22" i="9" s="1"/>
  <c r="CE21" i="9"/>
  <c r="AV66" i="9"/>
  <c r="AR66" i="9"/>
  <c r="CE88" i="9"/>
  <c r="BW54" i="9"/>
  <c r="CE54" i="9" s="1"/>
  <c r="CE53" i="9"/>
  <c r="BW124" i="9"/>
  <c r="BY124" i="9"/>
  <c r="CA88" i="9"/>
  <c r="CL21" i="9"/>
  <c r="CH22" i="9" s="1"/>
  <c r="AR21" i="9" l="1"/>
  <c r="AP22" i="9" s="1"/>
  <c r="CL127" i="9"/>
  <c r="CJ128" i="9" s="1"/>
  <c r="CJ54" i="9"/>
  <c r="CL54" i="9" s="1"/>
  <c r="CH55" i="9" s="1"/>
  <c r="CH89" i="9"/>
  <c r="CJ89" i="9"/>
  <c r="BW22" i="9"/>
  <c r="CA22" i="9" s="1"/>
  <c r="AP67" i="9"/>
  <c r="AN67" i="9"/>
  <c r="CA54" i="9"/>
  <c r="BY55" i="9" s="1"/>
  <c r="CJ22" i="9"/>
  <c r="CL22" i="9" s="1"/>
  <c r="CH23" i="9" s="1"/>
  <c r="CE124" i="9"/>
  <c r="CA124" i="9"/>
  <c r="BW89" i="9"/>
  <c r="BY89" i="9"/>
  <c r="CH128" i="9" l="1"/>
  <c r="CP128" i="9" s="1"/>
  <c r="AN22" i="9"/>
  <c r="AV22" i="9" s="1"/>
  <c r="CP54" i="9"/>
  <c r="CP89" i="9"/>
  <c r="CL89" i="9"/>
  <c r="CE22" i="9"/>
  <c r="CJ55" i="9"/>
  <c r="CP55" i="9" s="1"/>
  <c r="BW23" i="9"/>
  <c r="BY23" i="9"/>
  <c r="AR67" i="9"/>
  <c r="AP68" i="9" s="1"/>
  <c r="AV67" i="9"/>
  <c r="BW55" i="9"/>
  <c r="CE55" i="9" s="1"/>
  <c r="CP22" i="9"/>
  <c r="CJ23" i="9"/>
  <c r="CL23" i="9" s="1"/>
  <c r="CH24" i="9" s="1"/>
  <c r="BY125" i="9"/>
  <c r="BW125" i="9"/>
  <c r="CE89" i="9"/>
  <c r="CA89" i="9"/>
  <c r="CL128" i="9" l="1"/>
  <c r="CH129" i="9" s="1"/>
  <c r="AR22" i="9"/>
  <c r="AN23" i="9" s="1"/>
  <c r="CH90" i="9"/>
  <c r="CJ90" i="9"/>
  <c r="AN68" i="9"/>
  <c r="AR68" i="9" s="1"/>
  <c r="AP69" i="9" s="1"/>
  <c r="CL55" i="9"/>
  <c r="CH56" i="9" s="1"/>
  <c r="CJ129" i="9"/>
  <c r="CE23" i="9"/>
  <c r="CA23" i="9"/>
  <c r="BW24" i="9" s="1"/>
  <c r="CA55" i="9"/>
  <c r="BW56" i="9" s="1"/>
  <c r="CA125" i="9"/>
  <c r="BY126" i="9" s="1"/>
  <c r="CP23" i="9"/>
  <c r="CE125" i="9"/>
  <c r="CJ24" i="9"/>
  <c r="CP24" i="9" s="1"/>
  <c r="BW90" i="9"/>
  <c r="BY90" i="9"/>
  <c r="AP23" i="9" l="1"/>
  <c r="AV23" i="9" s="1"/>
  <c r="CP90" i="9"/>
  <c r="CL90" i="9"/>
  <c r="AV68" i="9"/>
  <c r="CJ56" i="9"/>
  <c r="CL56" i="9" s="1"/>
  <c r="CJ57" i="9" s="1"/>
  <c r="AN69" i="9"/>
  <c r="AR69" i="9" s="1"/>
  <c r="AN70" i="9" s="1"/>
  <c r="CL129" i="9"/>
  <c r="CH130" i="9" s="1"/>
  <c r="BY24" i="9"/>
  <c r="CE24" i="9" s="1"/>
  <c r="CP129" i="9"/>
  <c r="BY56" i="9"/>
  <c r="CE56" i="9" s="1"/>
  <c r="BW126" i="9"/>
  <c r="CE126" i="9" s="1"/>
  <c r="CL24" i="9"/>
  <c r="CH25" i="9" s="1"/>
  <c r="CA90" i="9"/>
  <c r="CE90" i="9"/>
  <c r="AR23" i="9" l="1"/>
  <c r="AP24" i="9" s="1"/>
  <c r="CJ91" i="9"/>
  <c r="CH91" i="9"/>
  <c r="CP56" i="9"/>
  <c r="CJ130" i="9"/>
  <c r="CP130" i="9" s="1"/>
  <c r="AV69" i="9"/>
  <c r="CH57" i="9"/>
  <c r="CL57" i="9" s="1"/>
  <c r="CH58" i="9" s="1"/>
  <c r="AN24" i="9"/>
  <c r="AP70" i="9"/>
  <c r="AR70" i="9" s="1"/>
  <c r="CA24" i="9"/>
  <c r="BY25" i="9" s="1"/>
  <c r="CA56" i="9"/>
  <c r="BW57" i="9" s="1"/>
  <c r="CA126" i="9"/>
  <c r="BY127" i="9" s="1"/>
  <c r="CJ25" i="9"/>
  <c r="CP25" i="9" s="1"/>
  <c r="BW91" i="9"/>
  <c r="BY91" i="9"/>
  <c r="CL91" i="9" l="1"/>
  <c r="CH92" i="9" s="1"/>
  <c r="CP91" i="9"/>
  <c r="CL130" i="9"/>
  <c r="CH131" i="9" s="1"/>
  <c r="CP57" i="9"/>
  <c r="BW25" i="9"/>
  <c r="CE25" i="9" s="1"/>
  <c r="AV70" i="9"/>
  <c r="CJ58" i="9"/>
  <c r="CP58" i="9" s="1"/>
  <c r="AR24" i="9"/>
  <c r="AV24" i="9"/>
  <c r="BY57" i="9"/>
  <c r="CA57" i="9" s="1"/>
  <c r="BW58" i="9" s="1"/>
  <c r="CJ131" i="9"/>
  <c r="BW127" i="9"/>
  <c r="CE127" i="9" s="1"/>
  <c r="AP71" i="9"/>
  <c r="AN71" i="9"/>
  <c r="CL25" i="9"/>
  <c r="CH26" i="9" s="1"/>
  <c r="CE91" i="9"/>
  <c r="CA91" i="9"/>
  <c r="CJ92" i="9" l="1"/>
  <c r="CP92" i="9" s="1"/>
  <c r="CL58" i="9"/>
  <c r="CJ59" i="9" s="1"/>
  <c r="CA25" i="9"/>
  <c r="BW26" i="9" s="1"/>
  <c r="AN25" i="9"/>
  <c r="AP25" i="9"/>
  <c r="CL131" i="9"/>
  <c r="CJ132" i="9" s="1"/>
  <c r="CE57" i="9"/>
  <c r="BY58" i="9"/>
  <c r="CA58" i="9" s="1"/>
  <c r="BY59" i="9" s="1"/>
  <c r="CP131" i="9"/>
  <c r="CA127" i="9"/>
  <c r="BW128" i="9" s="1"/>
  <c r="AR71" i="9"/>
  <c r="AV71" i="9"/>
  <c r="CJ26" i="9"/>
  <c r="CP26" i="9" s="1"/>
  <c r="BW92" i="9"/>
  <c r="BY92" i="9"/>
  <c r="CL92" i="9" l="1"/>
  <c r="CH59" i="9"/>
  <c r="CL59" i="9" s="1"/>
  <c r="CH60" i="9" s="1"/>
  <c r="BY26" i="9"/>
  <c r="CE26" i="9" s="1"/>
  <c r="AR25" i="9"/>
  <c r="AV25" i="9"/>
  <c r="BW59" i="9"/>
  <c r="CE59" i="9" s="1"/>
  <c r="CH132" i="9"/>
  <c r="CL132" i="9" s="1"/>
  <c r="CJ133" i="9" s="1"/>
  <c r="CE58" i="9"/>
  <c r="BY128" i="9"/>
  <c r="CA128" i="9" s="1"/>
  <c r="AP72" i="9"/>
  <c r="AN72" i="9"/>
  <c r="CL26" i="9"/>
  <c r="CE92" i="9"/>
  <c r="CA92" i="9"/>
  <c r="CH93" i="9" l="1"/>
  <c r="CJ93" i="9"/>
  <c r="CP59" i="9"/>
  <c r="CJ60" i="9"/>
  <c r="CP60" i="9" s="1"/>
  <c r="CA26" i="9"/>
  <c r="CP132" i="9"/>
  <c r="CA59" i="9"/>
  <c r="BW60" i="9" s="1"/>
  <c r="AP26" i="9"/>
  <c r="AN26" i="9"/>
  <c r="CH133" i="9"/>
  <c r="CL133" i="9" s="1"/>
  <c r="CJ134" i="9" s="1"/>
  <c r="CE128" i="9"/>
  <c r="AR72" i="9"/>
  <c r="AP73" i="9" s="1"/>
  <c r="AV72" i="9"/>
  <c r="CH27" i="9"/>
  <c r="CJ27" i="9"/>
  <c r="BY129" i="9"/>
  <c r="BW129" i="9"/>
  <c r="BY93" i="9"/>
  <c r="BW93" i="9"/>
  <c r="BY60" i="9" l="1"/>
  <c r="CE60" i="9" s="1"/>
  <c r="CP93" i="9"/>
  <c r="CL93" i="9"/>
  <c r="CL60" i="9"/>
  <c r="CJ61" i="9" s="1"/>
  <c r="AN73" i="9"/>
  <c r="AR73" i="9" s="1"/>
  <c r="AP74" i="9" s="1"/>
  <c r="BY27" i="9"/>
  <c r="BW27" i="9"/>
  <c r="AR26" i="9"/>
  <c r="AN27" i="9" s="1"/>
  <c r="CP133" i="9"/>
  <c r="AV26" i="9"/>
  <c r="CH134" i="9"/>
  <c r="CP134" i="9" s="1"/>
  <c r="CA129" i="9"/>
  <c r="BW130" i="9" s="1"/>
  <c r="CP27" i="9"/>
  <c r="CL27" i="9"/>
  <c r="CE129" i="9"/>
  <c r="CA93" i="9"/>
  <c r="BY94" i="9" s="1"/>
  <c r="CE93" i="9"/>
  <c r="CA60" i="9" l="1"/>
  <c r="BY61" i="9" s="1"/>
  <c r="AP27" i="9"/>
  <c r="AR27" i="9" s="1"/>
  <c r="AN28" i="9" s="1"/>
  <c r="CH94" i="9"/>
  <c r="CJ94" i="9"/>
  <c r="CH61" i="9"/>
  <c r="CP61" i="9" s="1"/>
  <c r="AV73" i="9"/>
  <c r="CA27" i="9"/>
  <c r="BY28" i="9" s="1"/>
  <c r="CE27" i="9"/>
  <c r="CL134" i="9"/>
  <c r="CH135" i="9" s="1"/>
  <c r="AN74" i="9"/>
  <c r="AV74" i="9" s="1"/>
  <c r="BY130" i="9"/>
  <c r="CE130" i="9" s="1"/>
  <c r="CJ28" i="9"/>
  <c r="CH28" i="9"/>
  <c r="BW94" i="9"/>
  <c r="CA94" i="9" s="1"/>
  <c r="CJ135" i="9" l="1"/>
  <c r="CP135" i="9" s="1"/>
  <c r="BW61" i="9"/>
  <c r="CE61" i="9" s="1"/>
  <c r="AV27" i="9"/>
  <c r="CP94" i="9"/>
  <c r="CL94" i="9"/>
  <c r="AP28" i="9"/>
  <c r="AV28" i="9" s="1"/>
  <c r="CL61" i="9"/>
  <c r="CJ62" i="9" s="1"/>
  <c r="BW28" i="9"/>
  <c r="CE28" i="9" s="1"/>
  <c r="AR74" i="9"/>
  <c r="AN75" i="9" s="1"/>
  <c r="CA130" i="9"/>
  <c r="BY131" i="9" s="1"/>
  <c r="CL28" i="9"/>
  <c r="CP28" i="9"/>
  <c r="CE94" i="9"/>
  <c r="BY95" i="9"/>
  <c r="BW95" i="9"/>
  <c r="CL135" i="9" l="1"/>
  <c r="CJ136" i="9" s="1"/>
  <c r="CA61" i="9"/>
  <c r="BW62" i="9" s="1"/>
  <c r="CJ95" i="9"/>
  <c r="CH95" i="9"/>
  <c r="CH62" i="9"/>
  <c r="CP62" i="9" s="1"/>
  <c r="AR28" i="9"/>
  <c r="AN29" i="9" s="1"/>
  <c r="CA28" i="9"/>
  <c r="BY29" i="9" s="1"/>
  <c r="AP75" i="9"/>
  <c r="AV75" i="9" s="1"/>
  <c r="BW131" i="9"/>
  <c r="CA131" i="9" s="1"/>
  <c r="CH136" i="9"/>
  <c r="CH29" i="9"/>
  <c r="CJ29" i="9"/>
  <c r="CE95" i="9"/>
  <c r="CA95" i="9"/>
  <c r="BW96" i="9" s="1"/>
  <c r="BY62" i="9" l="1"/>
  <c r="CA62" i="9" s="1"/>
  <c r="BW63" i="9" s="1"/>
  <c r="AP29" i="9"/>
  <c r="AV29" i="9" s="1"/>
  <c r="CL62" i="9"/>
  <c r="CH63" i="9" s="1"/>
  <c r="CL95" i="9"/>
  <c r="CP95" i="9"/>
  <c r="BW29" i="9"/>
  <c r="CE29" i="9" s="1"/>
  <c r="AR75" i="9"/>
  <c r="CE131" i="9"/>
  <c r="BY96" i="9"/>
  <c r="CE96" i="9" s="1"/>
  <c r="CP136" i="9"/>
  <c r="CL136" i="9"/>
  <c r="BS61" i="9" s="1"/>
  <c r="CP29" i="9"/>
  <c r="CL29" i="9"/>
  <c r="BW132" i="9"/>
  <c r="BY132" i="9"/>
  <c r="CE62" i="9" l="1"/>
  <c r="AR29" i="9"/>
  <c r="AP30" i="9" s="1"/>
  <c r="CJ63" i="9"/>
  <c r="CP63" i="9" s="1"/>
  <c r="CJ96" i="9"/>
  <c r="CH96" i="9"/>
  <c r="CA29" i="9"/>
  <c r="BY30" i="9" s="1"/>
  <c r="AN76" i="9"/>
  <c r="AP76" i="9"/>
  <c r="CA96" i="9"/>
  <c r="BY97" i="9" s="1"/>
  <c r="BS67" i="9"/>
  <c r="BS63" i="9"/>
  <c r="BS64" i="9" s="1"/>
  <c r="BS70" i="9" s="1"/>
  <c r="BS66" i="9"/>
  <c r="BY63" i="9"/>
  <c r="CE63" i="9" s="1"/>
  <c r="CJ30" i="9"/>
  <c r="CH30" i="9"/>
  <c r="CE132" i="9"/>
  <c r="CA132" i="9"/>
  <c r="AN30" i="9" l="1"/>
  <c r="AR30" i="9" s="1"/>
  <c r="AP31" i="9" s="1"/>
  <c r="CL63" i="9"/>
  <c r="CH64" i="9" s="1"/>
  <c r="CL96" i="9"/>
  <c r="CJ97" i="9" s="1"/>
  <c r="CP96" i="9"/>
  <c r="BW30" i="9"/>
  <c r="CE30" i="9" s="1"/>
  <c r="AV76" i="9"/>
  <c r="BW97" i="9"/>
  <c r="CE97" i="9" s="1"/>
  <c r="AR76" i="9"/>
  <c r="BS68" i="9"/>
  <c r="BS69" i="9"/>
  <c r="CA63" i="9"/>
  <c r="BW64" i="9" s="1"/>
  <c r="CL30" i="9"/>
  <c r="CJ31" i="9" s="1"/>
  <c r="CP30" i="9"/>
  <c r="BW133" i="9"/>
  <c r="BY133" i="9"/>
  <c r="AV30" i="9" l="1"/>
  <c r="CJ64" i="9"/>
  <c r="CP64" i="9" s="1"/>
  <c r="CH97" i="9"/>
  <c r="CP97" i="9" s="1"/>
  <c r="CA30" i="9"/>
  <c r="BY31" i="9" s="1"/>
  <c r="CA97" i="9"/>
  <c r="BY98" i="9" s="1"/>
  <c r="AP77" i="9"/>
  <c r="AN77" i="9"/>
  <c r="AN31" i="9"/>
  <c r="AV31" i="9" s="1"/>
  <c r="BY64" i="9"/>
  <c r="CA64" i="9" s="1"/>
  <c r="BW65" i="9" s="1"/>
  <c r="BS71" i="9"/>
  <c r="BS72" i="9"/>
  <c r="CH31" i="9"/>
  <c r="CP31" i="9" s="1"/>
  <c r="CE133" i="9"/>
  <c r="CA133" i="9"/>
  <c r="CL64" i="9" l="1"/>
  <c r="CJ65" i="9" s="1"/>
  <c r="CL97" i="9"/>
  <c r="CJ98" i="9" s="1"/>
  <c r="BW31" i="9"/>
  <c r="CA31" i="9" s="1"/>
  <c r="BY32" i="9" s="1"/>
  <c r="BW98" i="9"/>
  <c r="CA98" i="9" s="1"/>
  <c r="BW99" i="9" s="1"/>
  <c r="AR77" i="9"/>
  <c r="AN78" i="9" s="1"/>
  <c r="AV77" i="9"/>
  <c r="CE64" i="9"/>
  <c r="AR31" i="9"/>
  <c r="AP32" i="9" s="1"/>
  <c r="CL31" i="9"/>
  <c r="CJ32" i="9" s="1"/>
  <c r="BY65" i="9"/>
  <c r="CE65" i="9" s="1"/>
  <c r="BW134" i="9"/>
  <c r="BY134" i="9"/>
  <c r="CH65" i="9" l="1"/>
  <c r="CP65" i="9" s="1"/>
  <c r="CH98" i="9"/>
  <c r="CL98" i="9" s="1"/>
  <c r="CJ99" i="9" s="1"/>
  <c r="AP78" i="9"/>
  <c r="AV78" i="9" s="1"/>
  <c r="CE98" i="9"/>
  <c r="CE31" i="9"/>
  <c r="BW32" i="9"/>
  <c r="CE32" i="9" s="1"/>
  <c r="AN32" i="9"/>
  <c r="AR32" i="9" s="1"/>
  <c r="CH32" i="9"/>
  <c r="CL32" i="9" s="1"/>
  <c r="BY99" i="9"/>
  <c r="CA99" i="9" s="1"/>
  <c r="BW100" i="9" s="1"/>
  <c r="CA65" i="9"/>
  <c r="BY66" i="9" s="1"/>
  <c r="CE134" i="9"/>
  <c r="CA134" i="9"/>
  <c r="CL65" i="9" l="1"/>
  <c r="CJ66" i="9" s="1"/>
  <c r="CH99" i="9"/>
  <c r="CP99" i="9" s="1"/>
  <c r="CP98" i="9"/>
  <c r="AR78" i="9"/>
  <c r="AN79" i="9" s="1"/>
  <c r="AV32" i="9"/>
  <c r="CA32" i="9"/>
  <c r="BY33" i="9" s="1"/>
  <c r="CP32" i="9"/>
  <c r="CE99" i="9"/>
  <c r="AN33" i="9"/>
  <c r="AP33" i="9"/>
  <c r="BY100" i="9"/>
  <c r="CE100" i="9" s="1"/>
  <c r="BW66" i="9"/>
  <c r="CA66" i="9" s="1"/>
  <c r="BW67" i="9" s="1"/>
  <c r="CH33" i="9"/>
  <c r="CJ33" i="9"/>
  <c r="BW135" i="9"/>
  <c r="BY135" i="9"/>
  <c r="CH66" i="9" l="1"/>
  <c r="CL66" i="9" s="1"/>
  <c r="CL99" i="9"/>
  <c r="CH100" i="9" s="1"/>
  <c r="AP79" i="9"/>
  <c r="AV79" i="9" s="1"/>
  <c r="BW33" i="9"/>
  <c r="CA33" i="9" s="1"/>
  <c r="BY34" i="9" s="1"/>
  <c r="AV33" i="9"/>
  <c r="AR33" i="9"/>
  <c r="CA100" i="9"/>
  <c r="BY101" i="9" s="1"/>
  <c r="BY67" i="9"/>
  <c r="CE67" i="9" s="1"/>
  <c r="CE66" i="9"/>
  <c r="CP33" i="9"/>
  <c r="CL33" i="9"/>
  <c r="CE135" i="9"/>
  <c r="CA135" i="9"/>
  <c r="CP66" i="9" l="1"/>
  <c r="CH67" i="9"/>
  <c r="CJ67" i="9"/>
  <c r="BW101" i="9"/>
  <c r="CE101" i="9" s="1"/>
  <c r="CJ100" i="9"/>
  <c r="CP100" i="9" s="1"/>
  <c r="AR79" i="9"/>
  <c r="C6" i="9" s="1"/>
  <c r="BW34" i="9"/>
  <c r="CA34" i="9" s="1"/>
  <c r="BO4" i="9" s="1"/>
  <c r="CE33" i="9"/>
  <c r="AP34" i="9"/>
  <c r="AN34" i="9"/>
  <c r="CA67" i="9"/>
  <c r="BY68" i="9" s="1"/>
  <c r="CJ34" i="9"/>
  <c r="CH34" i="9"/>
  <c r="BW136" i="9"/>
  <c r="BY136" i="9"/>
  <c r="G7" i="9" l="1"/>
  <c r="CP67" i="9"/>
  <c r="CL67" i="9"/>
  <c r="CH68" i="9" s="1"/>
  <c r="CA101" i="9"/>
  <c r="BW102" i="9" s="1"/>
  <c r="CL100" i="9"/>
  <c r="CH101" i="9" s="1"/>
  <c r="CE34" i="9"/>
  <c r="BO10" i="9"/>
  <c r="BO9" i="9"/>
  <c r="BO6" i="9"/>
  <c r="BO7" i="9" s="1"/>
  <c r="BO13" i="9" s="1"/>
  <c r="BW68" i="9"/>
  <c r="CA68" i="9" s="1"/>
  <c r="BO23" i="9" s="1"/>
  <c r="BO29" i="9" s="1"/>
  <c r="AR34" i="9"/>
  <c r="AN35" i="9" s="1"/>
  <c r="AV34" i="9"/>
  <c r="CP34" i="9"/>
  <c r="CL34" i="9"/>
  <c r="BS4" i="9" s="1"/>
  <c r="CE136" i="9"/>
  <c r="CA136" i="9"/>
  <c r="BO61" i="9" s="1"/>
  <c r="CJ68" i="9" l="1"/>
  <c r="CP68" i="9" s="1"/>
  <c r="BY102" i="9"/>
  <c r="CA102" i="9" s="1"/>
  <c r="BO42" i="9" s="1"/>
  <c r="BO48" i="9" s="1"/>
  <c r="CJ101" i="9"/>
  <c r="CP101" i="9" s="1"/>
  <c r="BO12" i="9"/>
  <c r="BO15" i="9" s="1"/>
  <c r="BO11" i="9"/>
  <c r="CE68" i="9"/>
  <c r="AP35" i="9"/>
  <c r="AR35" i="9" s="1"/>
  <c r="AN36" i="9" s="1"/>
  <c r="BO28" i="9"/>
  <c r="BO30" i="9" s="1"/>
  <c r="BO25" i="9"/>
  <c r="BO26" i="9" s="1"/>
  <c r="BO32" i="9" s="1"/>
  <c r="BS6" i="9"/>
  <c r="BS7" i="9" s="1"/>
  <c r="BS13" i="9" s="1"/>
  <c r="BS9" i="9"/>
  <c r="BS10" i="9"/>
  <c r="BO67" i="9"/>
  <c r="BO66" i="9"/>
  <c r="BO63" i="9"/>
  <c r="BO64" i="9" s="1"/>
  <c r="BO70" i="9" s="1"/>
  <c r="CL68" i="9" l="1"/>
  <c r="BS23" i="9" s="1"/>
  <c r="BS28" i="9" s="1"/>
  <c r="CE102" i="9"/>
  <c r="CL101" i="9"/>
  <c r="CH102" i="9" s="1"/>
  <c r="BO44" i="9"/>
  <c r="BO45" i="9" s="1"/>
  <c r="BO51" i="9" s="1"/>
  <c r="BO47" i="9"/>
  <c r="BO49" i="9" s="1"/>
  <c r="BO17" i="9"/>
  <c r="BO19" i="9" s="1"/>
  <c r="BO14" i="9"/>
  <c r="BO16" i="9" s="1"/>
  <c r="BO18" i="9" s="1"/>
  <c r="BG5" i="9" s="1"/>
  <c r="AV35" i="9"/>
  <c r="AP36" i="9"/>
  <c r="AR36" i="9" s="1"/>
  <c r="AN37" i="9" s="1"/>
  <c r="BO31" i="9"/>
  <c r="BO33" i="9" s="1"/>
  <c r="BO35" i="9" s="1"/>
  <c r="BO37" i="9" s="1"/>
  <c r="BG14" i="9" s="1"/>
  <c r="BO69" i="9"/>
  <c r="BS12" i="9"/>
  <c r="BS11" i="9"/>
  <c r="BO68" i="9"/>
  <c r="BS29" i="9" l="1"/>
  <c r="BS30" i="9" s="1"/>
  <c r="BS25" i="9"/>
  <c r="BS26" i="9" s="1"/>
  <c r="BS32" i="9" s="1"/>
  <c r="CJ102" i="9"/>
  <c r="CP102" i="9" s="1"/>
  <c r="BO50" i="9"/>
  <c r="BO53" i="9" s="1"/>
  <c r="BO55" i="9" s="1"/>
  <c r="BO57" i="9" s="1"/>
  <c r="AP37" i="9"/>
  <c r="AV37" i="9" s="1"/>
  <c r="AV36" i="9"/>
  <c r="BO34" i="9"/>
  <c r="BO36" i="9" s="1"/>
  <c r="BO38" i="9" s="1"/>
  <c r="BS74" i="9"/>
  <c r="BS76" i="9" s="1"/>
  <c r="BS73" i="9"/>
  <c r="BS75" i="9" s="1"/>
  <c r="BS15" i="9"/>
  <c r="BS17" i="9" s="1"/>
  <c r="BS19" i="9" s="1"/>
  <c r="BS14" i="9"/>
  <c r="BS16" i="9" s="1"/>
  <c r="BS18" i="9" s="1"/>
  <c r="BK5" i="9" s="1"/>
  <c r="BO72" i="9"/>
  <c r="BO74" i="9" s="1"/>
  <c r="BO76" i="9" s="1"/>
  <c r="BO71" i="9"/>
  <c r="BO73" i="9" s="1"/>
  <c r="BO75" i="9" s="1"/>
  <c r="BS31" i="9" l="1"/>
  <c r="BS33" i="9" s="1"/>
  <c r="BS35" i="9" s="1"/>
  <c r="BS37" i="9" s="1"/>
  <c r="BK14" i="9" s="1"/>
  <c r="CL102" i="9"/>
  <c r="BS42" i="9" s="1"/>
  <c r="BS47" i="9" s="1"/>
  <c r="BO52" i="9"/>
  <c r="BO54" i="9" s="1"/>
  <c r="BO56" i="9" s="1"/>
  <c r="BG23" i="9" s="1"/>
  <c r="AR37" i="9"/>
  <c r="AP38" i="9" s="1"/>
  <c r="BK32" i="9"/>
  <c r="BG32" i="9"/>
  <c r="BS34" i="9" l="1"/>
  <c r="BS36" i="9" s="1"/>
  <c r="BS38" i="9" s="1"/>
  <c r="BS44" i="9"/>
  <c r="BS45" i="9" s="1"/>
  <c r="BS50" i="9" s="1"/>
  <c r="BS48" i="9"/>
  <c r="BS49" i="9" s="1"/>
  <c r="AN38" i="9"/>
  <c r="AR38" i="9" s="1"/>
  <c r="AP39" i="9" s="1"/>
  <c r="BS51" i="9" l="1"/>
  <c r="BS52" i="9" s="1"/>
  <c r="BS54" i="9" s="1"/>
  <c r="BS56" i="9" s="1"/>
  <c r="BK23" i="9" s="1"/>
  <c r="AV38" i="9"/>
  <c r="AN39" i="9"/>
  <c r="AR39" i="9" s="1"/>
  <c r="AP40" i="9" s="1"/>
  <c r="BS53" i="9" l="1"/>
  <c r="BS55" i="9" s="1"/>
  <c r="BS57" i="9" s="1"/>
  <c r="AV39" i="9"/>
  <c r="AN40" i="9"/>
  <c r="AR40" i="9" s="1"/>
  <c r="AV40" i="9" l="1"/>
  <c r="AP41" i="9"/>
  <c r="AN41" i="9"/>
  <c r="AR41" i="9" l="1"/>
  <c r="AN42" i="9" s="1"/>
  <c r="AV41" i="9"/>
  <c r="AP42" i="9" l="1"/>
  <c r="AV42" i="9" s="1"/>
  <c r="AR42" i="9" l="1"/>
  <c r="AN43" i="9" s="1"/>
  <c r="AY4" i="9"/>
  <c r="BC6" i="9" s="1"/>
  <c r="BC7" i="9" s="1"/>
  <c r="AP43" i="9" l="1"/>
  <c r="BC5" i="9"/>
  <c r="G8" i="9"/>
  <c r="BS77" i="9" l="1"/>
  <c r="CM106" i="9" s="1"/>
  <c r="BO20" i="9"/>
  <c r="AR43" i="9"/>
  <c r="AV43" i="9"/>
  <c r="BK33" i="9"/>
  <c r="BK34" i="9" s="1"/>
  <c r="BK37" i="9" s="1"/>
  <c r="BG15" i="9"/>
  <c r="BG16" i="9" s="1"/>
  <c r="BO39" i="9"/>
  <c r="BG24" i="9"/>
  <c r="BG25" i="9" s="1"/>
  <c r="BO58" i="9"/>
  <c r="BK24" i="9"/>
  <c r="BK25" i="9" s="1"/>
  <c r="BG6" i="9"/>
  <c r="BG7" i="9" s="1"/>
  <c r="BS58" i="9"/>
  <c r="CI72" i="9" s="1"/>
  <c r="BG33" i="9"/>
  <c r="BG34" i="9" s="1"/>
  <c r="BO77" i="9"/>
  <c r="BK6" i="9"/>
  <c r="BK7" i="9" s="1"/>
  <c r="BS20" i="9"/>
  <c r="BK15" i="9"/>
  <c r="BK16" i="9" s="1"/>
  <c r="BS39" i="9"/>
  <c r="BG36" i="9" l="1"/>
  <c r="BG37" i="9"/>
  <c r="BK27" i="9"/>
  <c r="BK28" i="9"/>
  <c r="BG27" i="9"/>
  <c r="BG28" i="9"/>
  <c r="BK18" i="9"/>
  <c r="BK19" i="9"/>
  <c r="BG18" i="9"/>
  <c r="BG19" i="9"/>
  <c r="BK9" i="9"/>
  <c r="BK10" i="9"/>
  <c r="BG9" i="9"/>
  <c r="BG10" i="9"/>
  <c r="AN44" i="9"/>
  <c r="AP44" i="9"/>
  <c r="BK36" i="9"/>
  <c r="BK35" i="9"/>
  <c r="CI106" i="9"/>
  <c r="CK106" i="9"/>
  <c r="BC29" i="9"/>
  <c r="BX106" i="9"/>
  <c r="CB106" i="9"/>
  <c r="BZ106" i="9"/>
  <c r="BK8" i="9"/>
  <c r="BC28" i="9"/>
  <c r="CK72" i="9"/>
  <c r="CM72" i="9"/>
  <c r="BG26" i="9"/>
  <c r="BG35" i="9"/>
  <c r="BG8" i="9"/>
  <c r="CB38" i="9"/>
  <c r="BX38" i="9"/>
  <c r="BZ38" i="9"/>
  <c r="BC25" i="9"/>
  <c r="BC24" i="9"/>
  <c r="CM4" i="9"/>
  <c r="CI4" i="9"/>
  <c r="CK4" i="9"/>
  <c r="CB4" i="9"/>
  <c r="BX4" i="9"/>
  <c r="BZ4" i="9"/>
  <c r="BC23" i="9"/>
  <c r="BK26" i="9"/>
  <c r="BX72" i="9"/>
  <c r="BZ72" i="9"/>
  <c r="BC27" i="9"/>
  <c r="CB72" i="9"/>
  <c r="CM38" i="9"/>
  <c r="CK38" i="9"/>
  <c r="CI38" i="9"/>
  <c r="BC26" i="9"/>
  <c r="BK17" i="9"/>
  <c r="BG17" i="9"/>
  <c r="BC10" i="9" l="1"/>
  <c r="BC15" i="9" s="1"/>
  <c r="BC11" i="9"/>
  <c r="BC12" i="9" s="1"/>
  <c r="G13" i="9" s="1"/>
  <c r="AV44" i="9"/>
  <c r="AR44" i="9"/>
  <c r="C5" i="9" s="1"/>
  <c r="BC30" i="9"/>
  <c r="K19" i="9" l="1"/>
  <c r="BC16" i="9"/>
  <c r="K22" i="9"/>
  <c r="BC18" i="9"/>
  <c r="BC19" i="9" s="1"/>
  <c r="G10" i="9"/>
  <c r="BC17" i="9"/>
  <c r="K23" i="9" l="1"/>
  <c r="K12" i="9"/>
  <c r="G52" i="9"/>
  <c r="K24" i="9"/>
  <c r="G53" i="9"/>
  <c r="K39" i="9"/>
  <c r="S5" i="9"/>
  <c r="S6" i="9" s="1"/>
  <c r="S8" i="9" s="1"/>
  <c r="S11" i="9" s="1"/>
  <c r="K25" i="9"/>
  <c r="K18" i="9"/>
  <c r="K34" i="9" s="1"/>
  <c r="K26" i="9"/>
  <c r="G9" i="9"/>
  <c r="O5" i="9"/>
  <c r="O6" i="9" s="1"/>
  <c r="O8" i="9" s="1"/>
  <c r="O11" i="9" s="1"/>
  <c r="W5" i="9"/>
  <c r="W6" i="9" s="1"/>
  <c r="W8" i="9" s="1"/>
  <c r="W11" i="9" s="1"/>
  <c r="BC20" i="9"/>
  <c r="G11" i="9" l="1"/>
  <c r="AS49" i="9" s="1"/>
  <c r="S9" i="9"/>
  <c r="S10" i="9" s="1"/>
  <c r="S14" i="9" s="1"/>
  <c r="S15" i="9" s="1"/>
  <c r="S18" i="9" s="1"/>
  <c r="K35" i="9"/>
  <c r="K42" i="9"/>
  <c r="K43" i="9"/>
  <c r="W9" i="9"/>
  <c r="W10" i="9" s="1"/>
  <c r="W14" i="9" s="1"/>
  <c r="W19" i="9" s="1"/>
  <c r="O9" i="9"/>
  <c r="O10" i="9" s="1"/>
  <c r="O14" i="9" s="1"/>
  <c r="O19" i="9" s="1"/>
  <c r="AQ49" i="9" l="1"/>
  <c r="AO49" i="9"/>
  <c r="G12" i="9"/>
  <c r="S19" i="9"/>
  <c r="K14" i="9" s="1"/>
  <c r="O15" i="9"/>
  <c r="O18" i="9" s="1"/>
  <c r="O20" i="9" s="1"/>
  <c r="O23" i="9" s="1"/>
  <c r="W15" i="9"/>
  <c r="W18" i="9" s="1"/>
  <c r="W20" i="9" s="1"/>
  <c r="S20" i="9"/>
  <c r="K15" i="9" l="1"/>
  <c r="W23" i="9"/>
  <c r="W26" i="9" s="1"/>
  <c r="W28" i="9" s="1"/>
  <c r="G40" i="9"/>
  <c r="G41" i="9" s="1"/>
  <c r="O21" i="9"/>
  <c r="AF39" i="9" s="1"/>
  <c r="G20" i="9"/>
  <c r="G21" i="9" s="1"/>
  <c r="W21" i="9"/>
  <c r="AH74" i="9" s="1"/>
  <c r="S21" i="9"/>
  <c r="S23" i="9"/>
  <c r="S26" i="9" s="1"/>
  <c r="S28" i="9" s="1"/>
  <c r="G30" i="9"/>
  <c r="G31" i="9" s="1"/>
  <c r="AD39" i="9" l="1"/>
  <c r="AH39" i="9"/>
  <c r="O26" i="9"/>
  <c r="O28" i="9" s="1"/>
  <c r="AF74" i="9"/>
  <c r="AJ74" i="9" s="1"/>
  <c r="AE75" i="9" s="1"/>
  <c r="AF75" i="9" s="1"/>
  <c r="AD74" i="9"/>
  <c r="AI74" i="9" s="1"/>
  <c r="AC75" i="9" s="1"/>
  <c r="AD4" i="9"/>
  <c r="AH4" i="9"/>
  <c r="AF4" i="9"/>
  <c r="AI39" i="9" l="1"/>
  <c r="AC40" i="9" s="1"/>
  <c r="AD40" i="9" s="1"/>
  <c r="AJ39" i="9"/>
  <c r="AE40" i="9" s="1"/>
  <c r="AD75" i="9"/>
  <c r="AG75" i="9"/>
  <c r="AH75" i="9" s="1"/>
  <c r="AJ75" i="9" s="1"/>
  <c r="AE76" i="9" s="1"/>
  <c r="AF76" i="9" s="1"/>
  <c r="AK75" i="9"/>
  <c r="AJ4" i="9"/>
  <c r="AE5" i="9" s="1"/>
  <c r="AF5" i="9" s="1"/>
  <c r="AI4" i="9"/>
  <c r="AC5" i="9" s="1"/>
  <c r="AG40" i="9" l="1"/>
  <c r="AH40" i="9" s="1"/>
  <c r="AI40" i="9" s="1"/>
  <c r="AC41" i="9" s="1"/>
  <c r="AD41" i="9" s="1"/>
  <c r="AF40" i="9"/>
  <c r="AK40" i="9"/>
  <c r="AI75" i="9"/>
  <c r="AC76" i="9" s="1"/>
  <c r="AD5" i="9"/>
  <c r="AG5" i="9"/>
  <c r="AH5" i="9" s="1"/>
  <c r="AK5" i="9"/>
  <c r="AJ40" i="9" l="1"/>
  <c r="AE41" i="9" s="1"/>
  <c r="AF41" i="9" s="1"/>
  <c r="AD76" i="9"/>
  <c r="AK76" i="9"/>
  <c r="AG76" i="9"/>
  <c r="AH76" i="9" s="1"/>
  <c r="AI5" i="9"/>
  <c r="AC6" i="9" s="1"/>
  <c r="AD6" i="9" s="1"/>
  <c r="AJ5" i="9"/>
  <c r="AE6" i="9" s="1"/>
  <c r="AG41" i="9" l="1"/>
  <c r="AH41" i="9" s="1"/>
  <c r="AK41" i="9"/>
  <c r="AI76" i="9"/>
  <c r="AC77" i="9" s="1"/>
  <c r="AD77" i="9" s="1"/>
  <c r="AJ76" i="9"/>
  <c r="AE77" i="9" s="1"/>
  <c r="AK6" i="9"/>
  <c r="AF6" i="9"/>
  <c r="AG6" i="9"/>
  <c r="AH6" i="9" s="1"/>
  <c r="AI6" i="9" s="1"/>
  <c r="AC7" i="9" s="1"/>
  <c r="AI41" i="9" l="1"/>
  <c r="AC42" i="9" s="1"/>
  <c r="AD42" i="9" s="1"/>
  <c r="AJ41" i="9"/>
  <c r="AE42" i="9" s="1"/>
  <c r="AG77" i="9"/>
  <c r="AH77" i="9" s="1"/>
  <c r="AI77" i="9" s="1"/>
  <c r="AC78" i="9" s="1"/>
  <c r="AF77" i="9"/>
  <c r="AK77" i="9"/>
  <c r="AD7" i="9"/>
  <c r="AJ6" i="9"/>
  <c r="AE7" i="9" s="1"/>
  <c r="AG42" i="9" l="1"/>
  <c r="AH42" i="9" s="1"/>
  <c r="AI42" i="9" s="1"/>
  <c r="AC43" i="9" s="1"/>
  <c r="AK42" i="9"/>
  <c r="AF42" i="9"/>
  <c r="AJ77" i="9"/>
  <c r="AE78" i="9" s="1"/>
  <c r="AK78" i="9" s="1"/>
  <c r="AD78" i="9"/>
  <c r="AF7" i="9"/>
  <c r="AK7" i="9"/>
  <c r="AG7" i="9"/>
  <c r="AH7" i="9" s="1"/>
  <c r="AI7" i="9" s="1"/>
  <c r="AC8" i="9" s="1"/>
  <c r="AJ42" i="9" l="1"/>
  <c r="AE43" i="9" s="1"/>
  <c r="AK43" i="9" s="1"/>
  <c r="AD43" i="9"/>
  <c r="AG78" i="9"/>
  <c r="AH78" i="9" s="1"/>
  <c r="AI78" i="9" s="1"/>
  <c r="AC79" i="9" s="1"/>
  <c r="AD79" i="9" s="1"/>
  <c r="AF78" i="9"/>
  <c r="AD8" i="9"/>
  <c r="AJ7" i="9"/>
  <c r="AE8" i="9" s="1"/>
  <c r="AG43" i="9" l="1"/>
  <c r="AH43" i="9" s="1"/>
  <c r="AI43" i="9" s="1"/>
  <c r="AC44" i="9" s="1"/>
  <c r="AD44" i="9" s="1"/>
  <c r="AF43" i="9"/>
  <c r="AJ78" i="9"/>
  <c r="AE79" i="9" s="1"/>
  <c r="AK79" i="9" s="1"/>
  <c r="AF8" i="9"/>
  <c r="AK8" i="9"/>
  <c r="AG8" i="9"/>
  <c r="AH8" i="9" s="1"/>
  <c r="AI8" i="9" s="1"/>
  <c r="AC9" i="9" s="1"/>
  <c r="AJ43" i="9" l="1"/>
  <c r="AE44" i="9" s="1"/>
  <c r="AF44" i="9" s="1"/>
  <c r="AF79" i="9"/>
  <c r="AG79" i="9"/>
  <c r="AH79" i="9" s="1"/>
  <c r="AI79" i="9" s="1"/>
  <c r="AC80" i="9" s="1"/>
  <c r="AD80" i="9" s="1"/>
  <c r="AD9" i="9"/>
  <c r="AJ8" i="9"/>
  <c r="AE9" i="9" s="1"/>
  <c r="AK44" i="9" l="1"/>
  <c r="AG44" i="9"/>
  <c r="AH44" i="9" s="1"/>
  <c r="AI44" i="9" s="1"/>
  <c r="AC45" i="9" s="1"/>
  <c r="AD45" i="9" s="1"/>
  <c r="AJ79" i="9"/>
  <c r="AE80" i="9" s="1"/>
  <c r="AK80" i="9" s="1"/>
  <c r="AK9" i="9"/>
  <c r="AF9" i="9"/>
  <c r="AG9" i="9"/>
  <c r="AH9" i="9" s="1"/>
  <c r="AI9" i="9" s="1"/>
  <c r="AC10" i="9" s="1"/>
  <c r="AJ44" i="9" l="1"/>
  <c r="AE45" i="9" s="1"/>
  <c r="AK45" i="9" s="1"/>
  <c r="AG80" i="9"/>
  <c r="AH80" i="9" s="1"/>
  <c r="AI80" i="9" s="1"/>
  <c r="AC81" i="9" s="1"/>
  <c r="AD81" i="9" s="1"/>
  <c r="AF80" i="9"/>
  <c r="AD10" i="9"/>
  <c r="AJ9" i="9"/>
  <c r="AE10" i="9" s="1"/>
  <c r="AF45" i="9" l="1"/>
  <c r="AG45" i="9"/>
  <c r="AH45" i="9" s="1"/>
  <c r="AI45" i="9" s="1"/>
  <c r="AC46" i="9" s="1"/>
  <c r="AD46" i="9" s="1"/>
  <c r="AJ80" i="9"/>
  <c r="AE81" i="9" s="1"/>
  <c r="AK81" i="9" s="1"/>
  <c r="AF10" i="9"/>
  <c r="AK10" i="9"/>
  <c r="AG10" i="9"/>
  <c r="AH10" i="9" s="1"/>
  <c r="AI10" i="9" s="1"/>
  <c r="AC11" i="9" s="1"/>
  <c r="AJ45" i="9" l="1"/>
  <c r="AE46" i="9" s="1"/>
  <c r="AG46" i="9" s="1"/>
  <c r="AH46" i="9" s="1"/>
  <c r="AI46" i="9" s="1"/>
  <c r="AC47" i="9" s="1"/>
  <c r="AF81" i="9"/>
  <c r="AG81" i="9"/>
  <c r="AH81" i="9" s="1"/>
  <c r="AI81" i="9" s="1"/>
  <c r="AC82" i="9" s="1"/>
  <c r="AD82" i="9" s="1"/>
  <c r="AD11" i="9"/>
  <c r="AJ10" i="9"/>
  <c r="AE11" i="9" s="1"/>
  <c r="AK46" i="9" l="1"/>
  <c r="AF46" i="9"/>
  <c r="AJ46" i="9" s="1"/>
  <c r="AE47" i="9" s="1"/>
  <c r="AK47" i="9" s="1"/>
  <c r="AD47" i="9"/>
  <c r="AJ81" i="9"/>
  <c r="AE82" i="9" s="1"/>
  <c r="AG82" i="9" s="1"/>
  <c r="AH82" i="9" s="1"/>
  <c r="AI82" i="9" s="1"/>
  <c r="AC83" i="9" s="1"/>
  <c r="AD83" i="9" s="1"/>
  <c r="AK11" i="9"/>
  <c r="AF11" i="9"/>
  <c r="AG11" i="9"/>
  <c r="AH11" i="9" s="1"/>
  <c r="AI11" i="9" s="1"/>
  <c r="AC12" i="9" s="1"/>
  <c r="AG47" i="9" l="1"/>
  <c r="AH47" i="9" s="1"/>
  <c r="AI47" i="9" s="1"/>
  <c r="AC48" i="9" s="1"/>
  <c r="AD48" i="9" s="1"/>
  <c r="AF47" i="9"/>
  <c r="AF82" i="9"/>
  <c r="AJ82" i="9" s="1"/>
  <c r="AE83" i="9" s="1"/>
  <c r="AK82" i="9"/>
  <c r="AD12" i="9"/>
  <c r="AJ11" i="9"/>
  <c r="AE12" i="9" s="1"/>
  <c r="AJ47" i="9" l="1"/>
  <c r="AE48" i="9" s="1"/>
  <c r="AK48" i="9" s="1"/>
  <c r="AG83" i="9"/>
  <c r="AH83" i="9" s="1"/>
  <c r="AI83" i="9" s="1"/>
  <c r="AC84" i="9" s="1"/>
  <c r="AD84" i="9" s="1"/>
  <c r="AF83" i="9"/>
  <c r="AK83" i="9"/>
  <c r="AF12" i="9"/>
  <c r="AK12" i="9"/>
  <c r="AG12" i="9"/>
  <c r="AH12" i="9" s="1"/>
  <c r="AI12" i="9" s="1"/>
  <c r="AC13" i="9" s="1"/>
  <c r="AG48" i="9" l="1"/>
  <c r="AH48" i="9" s="1"/>
  <c r="AI48" i="9" s="1"/>
  <c r="AC49" i="9" s="1"/>
  <c r="AD49" i="9" s="1"/>
  <c r="AF48" i="9"/>
  <c r="AJ83" i="9"/>
  <c r="AE84" i="9" s="1"/>
  <c r="AK84" i="9" s="1"/>
  <c r="AD13" i="9"/>
  <c r="AJ12" i="9"/>
  <c r="AE13" i="9" s="1"/>
  <c r="AJ48" i="9" l="1"/>
  <c r="AE49" i="9" s="1"/>
  <c r="AG49" i="9" s="1"/>
  <c r="AH49" i="9" s="1"/>
  <c r="AI49" i="9" s="1"/>
  <c r="AC50" i="9" s="1"/>
  <c r="AD50" i="9" s="1"/>
  <c r="AF84" i="9"/>
  <c r="AG84" i="9"/>
  <c r="AH84" i="9" s="1"/>
  <c r="AI84" i="9" s="1"/>
  <c r="AC85" i="9" s="1"/>
  <c r="AD85" i="9" s="1"/>
  <c r="AF13" i="9"/>
  <c r="AK13" i="9"/>
  <c r="AG13" i="9"/>
  <c r="AH13" i="9" s="1"/>
  <c r="AI13" i="9" s="1"/>
  <c r="AC14" i="9" s="1"/>
  <c r="AK49" i="9" l="1"/>
  <c r="AF49" i="9"/>
  <c r="AJ49" i="9" s="1"/>
  <c r="AE50" i="9" s="1"/>
  <c r="AG50" i="9" s="1"/>
  <c r="AH50" i="9" s="1"/>
  <c r="AI50" i="9" s="1"/>
  <c r="AC51" i="9" s="1"/>
  <c r="AJ84" i="9"/>
  <c r="AE85" i="9" s="1"/>
  <c r="AG85" i="9" s="1"/>
  <c r="AH85" i="9" s="1"/>
  <c r="AI85" i="9" s="1"/>
  <c r="AC86" i="9" s="1"/>
  <c r="AD86" i="9" s="1"/>
  <c r="AD14" i="9"/>
  <c r="AJ13" i="9"/>
  <c r="AE14" i="9" s="1"/>
  <c r="AF50" i="9" l="1"/>
  <c r="AJ50" i="9" s="1"/>
  <c r="AE51" i="9" s="1"/>
  <c r="AK50" i="9"/>
  <c r="AD51" i="9"/>
  <c r="AK85" i="9"/>
  <c r="AF85" i="9"/>
  <c r="AJ85" i="9" s="1"/>
  <c r="AE86" i="9" s="1"/>
  <c r="AK86" i="9" s="1"/>
  <c r="AK14" i="9"/>
  <c r="AF14" i="9"/>
  <c r="AG14" i="9"/>
  <c r="AH14" i="9" s="1"/>
  <c r="AI14" i="9" s="1"/>
  <c r="AC15" i="9" s="1"/>
  <c r="AF51" i="9" l="1"/>
  <c r="AG51" i="9"/>
  <c r="AH51" i="9" s="1"/>
  <c r="AI51" i="9" s="1"/>
  <c r="AC52" i="9" s="1"/>
  <c r="AD52" i="9" s="1"/>
  <c r="AK51" i="9"/>
  <c r="AF86" i="9"/>
  <c r="AG86" i="9"/>
  <c r="AH86" i="9" s="1"/>
  <c r="AI86" i="9" s="1"/>
  <c r="AC87" i="9" s="1"/>
  <c r="AD87" i="9" s="1"/>
  <c r="AD15" i="9"/>
  <c r="AJ14" i="9"/>
  <c r="AE15" i="9" s="1"/>
  <c r="AJ51" i="9" l="1"/>
  <c r="AE52" i="9" s="1"/>
  <c r="AF52" i="9" s="1"/>
  <c r="AJ86" i="9"/>
  <c r="AE87" i="9" s="1"/>
  <c r="AK87" i="9" s="1"/>
  <c r="AF15" i="9"/>
  <c r="AK15" i="9"/>
  <c r="AG15" i="9"/>
  <c r="AH15" i="9" s="1"/>
  <c r="AI15" i="9" s="1"/>
  <c r="AC16" i="9" s="1"/>
  <c r="AG52" i="9" l="1"/>
  <c r="AH52" i="9" s="1"/>
  <c r="AI52" i="9" s="1"/>
  <c r="AC53" i="9" s="1"/>
  <c r="AD53" i="9" s="1"/>
  <c r="AK52" i="9"/>
  <c r="AG87" i="9"/>
  <c r="AH87" i="9" s="1"/>
  <c r="AI87" i="9" s="1"/>
  <c r="AC88" i="9" s="1"/>
  <c r="AD88" i="9" s="1"/>
  <c r="AF87" i="9"/>
  <c r="AD16" i="9"/>
  <c r="AJ15" i="9"/>
  <c r="AE16" i="9" s="1"/>
  <c r="AJ52" i="9" l="1"/>
  <c r="AE53" i="9" s="1"/>
  <c r="AF53" i="9" s="1"/>
  <c r="AJ87" i="9"/>
  <c r="AE88" i="9" s="1"/>
  <c r="AF88" i="9" s="1"/>
  <c r="AF16" i="9"/>
  <c r="AK16" i="9"/>
  <c r="AG16" i="9"/>
  <c r="AH16" i="9" s="1"/>
  <c r="AI16" i="9" s="1"/>
  <c r="AC17" i="9" s="1"/>
  <c r="AG53" i="9" l="1"/>
  <c r="AH53" i="9" s="1"/>
  <c r="AI53" i="9" s="1"/>
  <c r="AC54" i="9" s="1"/>
  <c r="AD54" i="9" s="1"/>
  <c r="AK53" i="9"/>
  <c r="AK88" i="9"/>
  <c r="AG88" i="9"/>
  <c r="AH88" i="9" s="1"/>
  <c r="AI88" i="9" s="1"/>
  <c r="AC89" i="9" s="1"/>
  <c r="AD89" i="9" s="1"/>
  <c r="AD17" i="9"/>
  <c r="AJ16" i="9"/>
  <c r="AE17" i="9" s="1"/>
  <c r="AG17" i="9" s="1"/>
  <c r="AH17" i="9" s="1"/>
  <c r="AJ53" i="9" l="1"/>
  <c r="AE54" i="9" s="1"/>
  <c r="AK54" i="9" s="1"/>
  <c r="AJ88" i="9"/>
  <c r="AE89" i="9" s="1"/>
  <c r="AK89" i="9" s="1"/>
  <c r="AI17" i="9"/>
  <c r="AC18" i="9" s="1"/>
  <c r="AD18" i="9" s="1"/>
  <c r="AF17" i="9"/>
  <c r="AJ17" i="9" s="1"/>
  <c r="AE18" i="9" s="1"/>
  <c r="AK17" i="9"/>
  <c r="AF54" i="9" l="1"/>
  <c r="AG54" i="9"/>
  <c r="AH54" i="9" s="1"/>
  <c r="AI54" i="9" s="1"/>
  <c r="AC55" i="9" s="1"/>
  <c r="AD55" i="9" s="1"/>
  <c r="AG89" i="9"/>
  <c r="AH89" i="9" s="1"/>
  <c r="AI89" i="9" s="1"/>
  <c r="AC90" i="9" s="1"/>
  <c r="AD90" i="9" s="1"/>
  <c r="AF89" i="9"/>
  <c r="AK18" i="9"/>
  <c r="AF18" i="9"/>
  <c r="AG18" i="9"/>
  <c r="AH18" i="9" s="1"/>
  <c r="AI18" i="9" s="1"/>
  <c r="AC19" i="9" s="1"/>
  <c r="AD19" i="9" s="1"/>
  <c r="AJ54" i="9" l="1"/>
  <c r="AE55" i="9" s="1"/>
  <c r="AJ89" i="9"/>
  <c r="AE90" i="9" s="1"/>
  <c r="AK90" i="9" s="1"/>
  <c r="AJ18" i="9"/>
  <c r="AE19" i="9" s="1"/>
  <c r="AG55" i="9" l="1"/>
  <c r="AH55" i="9" s="1"/>
  <c r="AI55" i="9" s="1"/>
  <c r="AC56" i="9" s="1"/>
  <c r="AD56" i="9" s="1"/>
  <c r="AF55" i="9"/>
  <c r="AK55" i="9"/>
  <c r="AG90" i="9"/>
  <c r="AH90" i="9" s="1"/>
  <c r="AI90" i="9" s="1"/>
  <c r="AC91" i="9" s="1"/>
  <c r="AD91" i="9" s="1"/>
  <c r="AF90" i="9"/>
  <c r="AG19" i="9"/>
  <c r="AH19" i="9" s="1"/>
  <c r="AI19" i="9" s="1"/>
  <c r="AC20" i="9" s="1"/>
  <c r="AD20" i="9" s="1"/>
  <c r="AK19" i="9"/>
  <c r="AF19" i="9"/>
  <c r="AJ55" i="9" l="1"/>
  <c r="AE56" i="9" s="1"/>
  <c r="AF56" i="9" s="1"/>
  <c r="AJ90" i="9"/>
  <c r="AE91" i="9" s="1"/>
  <c r="AK91" i="9" s="1"/>
  <c r="AJ19" i="9"/>
  <c r="AE20" i="9" s="1"/>
  <c r="AG20" i="9" s="1"/>
  <c r="AH20" i="9" s="1"/>
  <c r="AI20" i="9" s="1"/>
  <c r="AC21" i="9" s="1"/>
  <c r="AD21" i="9" s="1"/>
  <c r="AG56" i="9" l="1"/>
  <c r="AH56" i="9" s="1"/>
  <c r="AI56" i="9" s="1"/>
  <c r="AC57" i="9" s="1"/>
  <c r="AD57" i="9" s="1"/>
  <c r="AK56" i="9"/>
  <c r="AF91" i="9"/>
  <c r="AG91" i="9"/>
  <c r="AH91" i="9" s="1"/>
  <c r="AI91" i="9" s="1"/>
  <c r="AC92" i="9" s="1"/>
  <c r="AD92" i="9" s="1"/>
  <c r="AF20" i="9"/>
  <c r="AJ20" i="9" s="1"/>
  <c r="AE21" i="9" s="1"/>
  <c r="AG21" i="9" s="1"/>
  <c r="AH21" i="9" s="1"/>
  <c r="AI21" i="9" s="1"/>
  <c r="AC22" i="9" s="1"/>
  <c r="AK20" i="9"/>
  <c r="AJ56" i="9" l="1"/>
  <c r="AE57" i="9" s="1"/>
  <c r="AF57" i="9" s="1"/>
  <c r="AJ91" i="9"/>
  <c r="AE92" i="9" s="1"/>
  <c r="AF92" i="9" s="1"/>
  <c r="AK21" i="9"/>
  <c r="AF21" i="9"/>
  <c r="AJ21" i="9" s="1"/>
  <c r="AE22" i="9" s="1"/>
  <c r="AD22" i="9"/>
  <c r="AK57" i="9" l="1"/>
  <c r="AG57" i="9"/>
  <c r="AH57" i="9" s="1"/>
  <c r="AI57" i="9" s="1"/>
  <c r="AC58" i="9" s="1"/>
  <c r="AD58" i="9" s="1"/>
  <c r="AG92" i="9"/>
  <c r="AH92" i="9" s="1"/>
  <c r="AI92" i="9" s="1"/>
  <c r="AC93" i="9" s="1"/>
  <c r="AD93" i="9" s="1"/>
  <c r="AK92" i="9"/>
  <c r="AK22" i="9"/>
  <c r="AF22" i="9"/>
  <c r="AG22" i="9"/>
  <c r="AH22" i="9" s="1"/>
  <c r="AI22" i="9" s="1"/>
  <c r="AC23" i="9" s="1"/>
  <c r="AD23" i="9" s="1"/>
  <c r="AJ57" i="9" l="1"/>
  <c r="AE58" i="9" s="1"/>
  <c r="AG58" i="9" s="1"/>
  <c r="AH58" i="9" s="1"/>
  <c r="AI58" i="9" s="1"/>
  <c r="AC59" i="9" s="1"/>
  <c r="AD59" i="9" s="1"/>
  <c r="AJ92" i="9"/>
  <c r="AE93" i="9" s="1"/>
  <c r="AG93" i="9" s="1"/>
  <c r="AH93" i="9" s="1"/>
  <c r="AI93" i="9" s="1"/>
  <c r="AC94" i="9" s="1"/>
  <c r="AJ22" i="9"/>
  <c r="AE23" i="9" s="1"/>
  <c r="AG23" i="9" s="1"/>
  <c r="AH23" i="9" s="1"/>
  <c r="AI23" i="9" s="1"/>
  <c r="AC24" i="9" s="1"/>
  <c r="AF58" i="9" l="1"/>
  <c r="AJ58" i="9" s="1"/>
  <c r="AE59" i="9" s="1"/>
  <c r="AG59" i="9" s="1"/>
  <c r="AH59" i="9" s="1"/>
  <c r="AI59" i="9" s="1"/>
  <c r="AC60" i="9" s="1"/>
  <c r="AD60" i="9" s="1"/>
  <c r="AK58" i="9"/>
  <c r="AK93" i="9"/>
  <c r="AF93" i="9"/>
  <c r="AJ93" i="9" s="1"/>
  <c r="AE94" i="9" s="1"/>
  <c r="AK94" i="9" s="1"/>
  <c r="AF23" i="9"/>
  <c r="AJ23" i="9" s="1"/>
  <c r="AE24" i="9" s="1"/>
  <c r="AF24" i="9" s="1"/>
  <c r="AK23" i="9"/>
  <c r="AD94" i="9"/>
  <c r="AD24" i="9"/>
  <c r="AF59" i="9" l="1"/>
  <c r="AJ59" i="9" s="1"/>
  <c r="AE60" i="9" s="1"/>
  <c r="AF60" i="9" s="1"/>
  <c r="AK59" i="9"/>
  <c r="AG94" i="9"/>
  <c r="AH94" i="9" s="1"/>
  <c r="AI94" i="9" s="1"/>
  <c r="AC95" i="9" s="1"/>
  <c r="AD95" i="9" s="1"/>
  <c r="AF94" i="9"/>
  <c r="AG24" i="9"/>
  <c r="AH24" i="9" s="1"/>
  <c r="AI24" i="9" s="1"/>
  <c r="AC25" i="9" s="1"/>
  <c r="AD25" i="9" s="1"/>
  <c r="AK24" i="9"/>
  <c r="AG60" i="9" l="1"/>
  <c r="AH60" i="9" s="1"/>
  <c r="AI60" i="9" s="1"/>
  <c r="AC61" i="9" s="1"/>
  <c r="AD61" i="9" s="1"/>
  <c r="AK60" i="9"/>
  <c r="AJ94" i="9"/>
  <c r="AE95" i="9" s="1"/>
  <c r="AK95" i="9" s="1"/>
  <c r="AJ24" i="9"/>
  <c r="AE25" i="9" s="1"/>
  <c r="AG25" i="9" s="1"/>
  <c r="AH25" i="9" s="1"/>
  <c r="AI25" i="9" s="1"/>
  <c r="AC26" i="9" s="1"/>
  <c r="AJ60" i="9" l="1"/>
  <c r="AE61" i="9" s="1"/>
  <c r="AG61" i="9" s="1"/>
  <c r="AH61" i="9" s="1"/>
  <c r="AI61" i="9" s="1"/>
  <c r="AC62" i="9" s="1"/>
  <c r="AD62" i="9" s="1"/>
  <c r="AF95" i="9"/>
  <c r="AG95" i="9"/>
  <c r="AH95" i="9" s="1"/>
  <c r="AI95" i="9" s="1"/>
  <c r="AC96" i="9" s="1"/>
  <c r="AD96" i="9" s="1"/>
  <c r="AK25" i="9"/>
  <c r="AF25" i="9"/>
  <c r="AJ25" i="9" s="1"/>
  <c r="AE26" i="9" s="1"/>
  <c r="AF26" i="9" s="1"/>
  <c r="AD26" i="9"/>
  <c r="AF61" i="9" l="1"/>
  <c r="AJ61" i="9" s="1"/>
  <c r="AE62" i="9" s="1"/>
  <c r="AK61" i="9"/>
  <c r="AJ95" i="9"/>
  <c r="AE96" i="9" s="1"/>
  <c r="AF96" i="9" s="1"/>
  <c r="AG26" i="9"/>
  <c r="AH26" i="9" s="1"/>
  <c r="AI26" i="9" s="1"/>
  <c r="AC27" i="9" s="1"/>
  <c r="AD27" i="9" s="1"/>
  <c r="AK26" i="9"/>
  <c r="AG96" i="9" l="1"/>
  <c r="AH96" i="9" s="1"/>
  <c r="AI96" i="9" s="1"/>
  <c r="AC97" i="9" s="1"/>
  <c r="AD97" i="9" s="1"/>
  <c r="AK96" i="9"/>
  <c r="AF62" i="9"/>
  <c r="AG62" i="9"/>
  <c r="AH62" i="9" s="1"/>
  <c r="AI62" i="9" s="1"/>
  <c r="AC63" i="9" s="1"/>
  <c r="AD63" i="9" s="1"/>
  <c r="AK62" i="9"/>
  <c r="AJ26" i="9"/>
  <c r="AE27" i="9" s="1"/>
  <c r="AK27" i="9" s="1"/>
  <c r="AJ96" i="9" l="1"/>
  <c r="AE97" i="9" s="1"/>
  <c r="AG97" i="9" s="1"/>
  <c r="AH97" i="9" s="1"/>
  <c r="AI97" i="9" s="1"/>
  <c r="AC98" i="9" s="1"/>
  <c r="AD98" i="9" s="1"/>
  <c r="AJ62" i="9"/>
  <c r="AE63" i="9" s="1"/>
  <c r="AG27" i="9"/>
  <c r="AH27" i="9" s="1"/>
  <c r="AI27" i="9" s="1"/>
  <c r="AC28" i="9" s="1"/>
  <c r="AD28" i="9" s="1"/>
  <c r="AF27" i="9"/>
  <c r="AK97" i="9" l="1"/>
  <c r="AF97" i="9"/>
  <c r="AJ97" i="9" s="1"/>
  <c r="AE98" i="9" s="1"/>
  <c r="AG98" i="9" s="1"/>
  <c r="AH98" i="9" s="1"/>
  <c r="AI98" i="9" s="1"/>
  <c r="AC99" i="9" s="1"/>
  <c r="AF63" i="9"/>
  <c r="AK63" i="9"/>
  <c r="AG63" i="9"/>
  <c r="AH63" i="9" s="1"/>
  <c r="AI63" i="9" s="1"/>
  <c r="AC64" i="9" s="1"/>
  <c r="AD64" i="9" s="1"/>
  <c r="AJ27" i="9"/>
  <c r="AE28" i="9" s="1"/>
  <c r="AF28" i="9" s="1"/>
  <c r="AJ63" i="9" l="1"/>
  <c r="AE64" i="9" s="1"/>
  <c r="AK28" i="9"/>
  <c r="AG28" i="9"/>
  <c r="AH28" i="9" s="1"/>
  <c r="AI28" i="9" s="1"/>
  <c r="AC29" i="9" s="1"/>
  <c r="AD29" i="9" s="1"/>
  <c r="AF98" i="9"/>
  <c r="AJ98" i="9" s="1"/>
  <c r="AE99" i="9" s="1"/>
  <c r="AK98" i="9"/>
  <c r="AD99" i="9"/>
  <c r="AF64" i="9" l="1"/>
  <c r="AG64" i="9"/>
  <c r="AH64" i="9" s="1"/>
  <c r="AI64" i="9" s="1"/>
  <c r="AC65" i="9" s="1"/>
  <c r="AD65" i="9" s="1"/>
  <c r="AK64" i="9"/>
  <c r="AJ28" i="9"/>
  <c r="AE29" i="9" s="1"/>
  <c r="AG29" i="9" s="1"/>
  <c r="AH29" i="9" s="1"/>
  <c r="AI29" i="9" s="1"/>
  <c r="AC30" i="9" s="1"/>
  <c r="AD30" i="9" s="1"/>
  <c r="AK99" i="9"/>
  <c r="AG99" i="9"/>
  <c r="AH99" i="9" s="1"/>
  <c r="AI99" i="9" s="1"/>
  <c r="AC100" i="9" s="1"/>
  <c r="AF99" i="9"/>
  <c r="AF29" i="9" l="1"/>
  <c r="AJ29" i="9" s="1"/>
  <c r="AE30" i="9" s="1"/>
  <c r="AK30" i="9" s="1"/>
  <c r="AK29" i="9"/>
  <c r="AJ64" i="9"/>
  <c r="AE65" i="9" s="1"/>
  <c r="AJ99" i="9"/>
  <c r="AE100" i="9" s="1"/>
  <c r="AK100" i="9" s="1"/>
  <c r="AD100" i="9"/>
  <c r="AK65" i="9" l="1"/>
  <c r="AF65" i="9"/>
  <c r="AG65" i="9"/>
  <c r="AH65" i="9" s="1"/>
  <c r="AI65" i="9" s="1"/>
  <c r="AC66" i="9" s="1"/>
  <c r="AD66" i="9" s="1"/>
  <c r="AF30" i="9"/>
  <c r="AG30" i="9"/>
  <c r="AH30" i="9" s="1"/>
  <c r="AI30" i="9" s="1"/>
  <c r="AC31" i="9" s="1"/>
  <c r="AD31" i="9" s="1"/>
  <c r="AF100" i="9"/>
  <c r="AG100" i="9"/>
  <c r="AH100" i="9" s="1"/>
  <c r="AI100" i="9" s="1"/>
  <c r="AC101" i="9" s="1"/>
  <c r="AD101" i="9" s="1"/>
  <c r="AJ65" i="9" l="1"/>
  <c r="AE66" i="9" s="1"/>
  <c r="AJ30" i="9"/>
  <c r="AE31" i="9" s="1"/>
  <c r="AK31" i="9" s="1"/>
  <c r="AJ100" i="9"/>
  <c r="AE101" i="9" s="1"/>
  <c r="AG101" i="9" s="1"/>
  <c r="AH101" i="9" s="1"/>
  <c r="AI101" i="9" s="1"/>
  <c r="AC102" i="9" s="1"/>
  <c r="AD102" i="9" s="1"/>
  <c r="AF31" i="9" l="1"/>
  <c r="AG31" i="9"/>
  <c r="AH31" i="9" s="1"/>
  <c r="AI31" i="9" s="1"/>
  <c r="AC32" i="9" s="1"/>
  <c r="AD32" i="9" s="1"/>
  <c r="AF66" i="9"/>
  <c r="AK66" i="9"/>
  <c r="AG66" i="9"/>
  <c r="AH66" i="9" s="1"/>
  <c r="AI66" i="9" s="1"/>
  <c r="AC67" i="9" s="1"/>
  <c r="AD67" i="9" s="1"/>
  <c r="AK101" i="9"/>
  <c r="AF101" i="9"/>
  <c r="AJ101" i="9" s="1"/>
  <c r="AE102" i="9" s="1"/>
  <c r="AJ31" i="9" l="1"/>
  <c r="AE32" i="9" s="1"/>
  <c r="AG32" i="9" s="1"/>
  <c r="AH32" i="9" s="1"/>
  <c r="AI32" i="9" s="1"/>
  <c r="AC33" i="9" s="1"/>
  <c r="AD33" i="9" s="1"/>
  <c r="AJ66" i="9"/>
  <c r="AE67" i="9" s="1"/>
  <c r="AF102" i="9"/>
  <c r="AG102" i="9"/>
  <c r="AH102" i="9" s="1"/>
  <c r="AI102" i="9" s="1"/>
  <c r="AC103" i="9" s="1"/>
  <c r="AD103" i="9" s="1"/>
  <c r="AK102" i="9"/>
  <c r="AF32" i="9" l="1"/>
  <c r="AJ32" i="9" s="1"/>
  <c r="AE33" i="9" s="1"/>
  <c r="AF33" i="9" s="1"/>
  <c r="AK32" i="9"/>
  <c r="AF67" i="9"/>
  <c r="AK67" i="9"/>
  <c r="AG67" i="9"/>
  <c r="AH67" i="9" s="1"/>
  <c r="AJ102" i="9"/>
  <c r="AE103" i="9" s="1"/>
  <c r="AG103" i="9" s="1"/>
  <c r="AH103" i="9" s="1"/>
  <c r="AI103" i="9" s="1"/>
  <c r="AC104" i="9" s="1"/>
  <c r="AD104" i="9" s="1"/>
  <c r="AG33" i="9" l="1"/>
  <c r="AH33" i="9" s="1"/>
  <c r="AI33" i="9" s="1"/>
  <c r="AC34" i="9" s="1"/>
  <c r="AD34" i="9" s="1"/>
  <c r="AK33" i="9"/>
  <c r="AJ67" i="9"/>
  <c r="AE68" i="9" s="1"/>
  <c r="AI67" i="9"/>
  <c r="AC68" i="9" s="1"/>
  <c r="AK103" i="9"/>
  <c r="AF103" i="9"/>
  <c r="AJ103" i="9" s="1"/>
  <c r="AE104" i="9" s="1"/>
  <c r="AG104" i="9" s="1"/>
  <c r="AJ33" i="9" l="1"/>
  <c r="AE34" i="9" s="1"/>
  <c r="AF34" i="9" s="1"/>
  <c r="AD68" i="9"/>
  <c r="AG68" i="9"/>
  <c r="AH68" i="9" s="1"/>
  <c r="AF68" i="9"/>
  <c r="AK68" i="9"/>
  <c r="W24" i="9"/>
  <c r="W25" i="9" s="1"/>
  <c r="AH104" i="9"/>
  <c r="AI104" i="9" s="1"/>
  <c r="AF104" i="9"/>
  <c r="AK104" i="9"/>
  <c r="AK34" i="9" l="1"/>
  <c r="AG34" i="9"/>
  <c r="S24" i="9" s="1"/>
  <c r="S25" i="9" s="1"/>
  <c r="G32" i="9" s="1"/>
  <c r="G33" i="9" s="1"/>
  <c r="AI68" i="9"/>
  <c r="AC69" i="9" s="1"/>
  <c r="AD69" i="9" s="1"/>
  <c r="AJ68" i="9"/>
  <c r="AE69" i="9" s="1"/>
  <c r="G45" i="9"/>
  <c r="G46" i="9" s="1"/>
  <c r="AJ104" i="9"/>
  <c r="AH34" i="9" l="1"/>
  <c r="AJ34" i="9" s="1"/>
  <c r="AG69" i="9"/>
  <c r="AK69" i="9"/>
  <c r="AF69" i="9"/>
  <c r="AI34" i="9" l="1"/>
  <c r="O24" i="9"/>
  <c r="O25" i="9" s="1"/>
  <c r="AH69" i="9"/>
  <c r="AI69" i="9" s="1"/>
  <c r="G25" i="9" l="1"/>
  <c r="G26" i="9" s="1"/>
  <c r="AJ69" i="9"/>
  <c r="K8" i="9" l="1"/>
  <c r="K13" i="9" s="1"/>
  <c r="K40" i="9" s="1"/>
  <c r="K4" i="9"/>
  <c r="K16" i="9" l="1"/>
  <c r="K17" i="9"/>
  <c r="K32" i="9"/>
  <c r="K5" i="9"/>
  <c r="K27" i="9" l="1"/>
  <c r="AO4" i="9" s="1"/>
  <c r="K33" i="9"/>
  <c r="K36" i="9" s="1"/>
  <c r="K41" i="9"/>
  <c r="K44" i="9" s="1"/>
  <c r="K28" i="9" l="1"/>
  <c r="AQ4" i="9"/>
  <c r="AS4" i="9"/>
</calcChain>
</file>

<file path=xl/sharedStrings.xml><?xml version="1.0" encoding="utf-8"?>
<sst xmlns="http://schemas.openxmlformats.org/spreadsheetml/2006/main" count="1729" uniqueCount="286">
  <si>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</si>
  <si>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</si>
  <si>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</si>
  <si>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</si>
  <si>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</si>
  <si>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</si>
  <si>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</si>
  <si>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</si>
  <si>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</si>
  <si>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</si>
  <si>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</si>
  <si>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</si>
  <si>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</si>
  <si>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</si>
  <si>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</si>
  <si>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</si>
  <si>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</si>
  <si>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</si>
  <si>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</si>
  <si>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</si>
  <si>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</si>
  <si>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</si>
  <si>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</si>
  <si>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</si>
  <si>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</si>
  <si>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</si>
  <si>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</si>
  <si>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</si>
  <si>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</si>
  <si>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</si>
  <si>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</si>
  <si>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</si>
  <si>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</si>
  <si>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</si>
  <si>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</si>
  <si>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</si>
  <si>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</si>
  <si>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</si>
  <si>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</si>
  <si>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</si>
  <si>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</si>
  <si>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</si>
  <si>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</si>
  <si>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</si>
  <si>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</si>
  <si>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</si>
  <si>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</si>
  <si>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</si>
  <si>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</si>
  <si>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</si>
  <si>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</si>
  <si>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</si>
  <si>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</si>
  <si>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</si>
  <si>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</si>
  <si>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</si>
  <si>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</si>
  <si>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</si>
  <si>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</si>
  <si>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</si>
  <si>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</si>
  <si>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</si>
  <si>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</si>
  <si>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</si>
  <si>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</si>
  <si>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</si>
  <si>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</si>
  <si>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</si>
  <si>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</si>
  <si>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</si>
  <si>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</si>
  <si>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</si>
  <si>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</si>
  <si>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</si>
  <si>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</si>
  <si>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</si>
  <si>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</si>
  <si>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</si>
  <si>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</si>
  <si>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</si>
  <si>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</si>
  <si>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</si>
  <si>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</si>
  <si>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</si>
  <si>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</si>
  <si>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</si>
  <si>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</si>
  <si>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</si>
  <si>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</si>
  <si>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</si>
  <si>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</si>
  <si>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</si>
  <si>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</si>
  <si>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</si>
  <si>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</si>
  <si>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</si>
  <si>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</si>
  <si>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</si>
  <si>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</si>
  <si>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</si>
  <si>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</si>
  <si>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</si>
  <si>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</si>
  <si>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</si>
  <si>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</si>
  <si>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</si>
  <si>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</si>
  <si>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</si>
  <si>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</si>
  <si>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Aerodynamics in climb</t>
  </si>
  <si>
    <t>Bisection method for solving RotorInflow lambda in cruise</t>
  </si>
  <si>
    <t>Bisection method for solving RotorInflow lambda in climb</t>
  </si>
  <si>
    <t>N_lift_rotor</t>
  </si>
  <si>
    <t>r_lift_rotor</t>
  </si>
  <si>
    <t>Aerodynamics in descent</t>
  </si>
  <si>
    <t>Bisection method for solving RotorInflow lambda in descent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</si>
  <si>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</si>
  <si>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</si>
  <si>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</si>
  <si>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</si>
  <si>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</si>
  <si>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</si>
  <si>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</si>
  <si>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</si>
  <si>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</si>
  <si>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</si>
  <si>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</si>
  <si>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</si>
  <si>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</si>
  <si>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</si>
  <si>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</si>
  <si>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</si>
  <si>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</si>
  <si>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</si>
  <si>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</si>
  <si>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</si>
  <si>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k_prop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</si>
  <si>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</si>
  <si>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</si>
  <si>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</si>
  <si>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</si>
  <si>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</si>
  <si>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</si>
  <si>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</si>
  <si>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</si>
  <si>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</si>
  <si>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</si>
  <si>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</si>
  <si>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</si>
  <si>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</si>
  <si>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</si>
  <si>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</si>
  <si>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</si>
  <si>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</si>
  <si>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</si>
  <si>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</si>
  <si>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RPM_hover_lift_rotor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</si>
  <si>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</si>
  <si>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</si>
  <si>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</si>
  <si>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</si>
  <si>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</si>
  <si>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</si>
  <si>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</si>
  <si>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</si>
  <si>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</si>
  <si>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</si>
  <si>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</si>
  <si>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</si>
  <si>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</si>
  <si>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</si>
  <si>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</si>
  <si>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</si>
  <si>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</si>
  <si>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</si>
  <si>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</si>
  <si>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</si>
  <si>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</si>
  <si>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</si>
  <si>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</si>
  <si>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</si>
  <si>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</si>
  <si>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</si>
  <si>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</si>
  <si>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</si>
  <si>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</si>
  <si>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</si>
  <si>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</si>
  <si>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</si>
  <si>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</si>
  <si>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</si>
  <si>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</si>
  <si>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</si>
  <si>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</si>
  <si>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</si>
  <si>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</si>
  <si>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</si>
  <si>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</si>
  <si>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</si>
  <si>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</si>
  <si>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</si>
  <si>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</si>
  <si>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</si>
  <si>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</si>
  <si>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</si>
  <si>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</si>
  <si>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</si>
  <si>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</si>
  <si>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</si>
  <si>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</si>
  <si>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</si>
  <si>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</si>
  <si>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</si>
  <si>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</si>
  <si>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</si>
  <si>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</si>
  <si>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</si>
  <si>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</si>
  <si>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</si>
  <si>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</si>
  <si>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</si>
  <si>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</si>
  <si>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</si>
  <si>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</si>
  <si>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</si>
  <si>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</si>
  <si>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</si>
  <si>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</si>
  <si>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</si>
  <si>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</si>
  <si>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</si>
  <si>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</si>
  <si>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</si>
  <si>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</si>
  <si>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</si>
  <si>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</si>
  <si>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</si>
  <si>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</si>
  <si>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</si>
  <si>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</si>
  <si>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</si>
  <si>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</si>
  <si>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</si>
  <si>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</si>
  <si>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</si>
  <si>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</si>
  <si>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</si>
  <si>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</si>
  <si>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</si>
  <si>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</si>
  <si>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</si>
  <si>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</si>
  <si>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</si>
  <si>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</si>
  <si>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</si>
  <si>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</si>
  <si>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</si>
  <si>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</si>
  <si>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</si>
  <si>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Propeller|J</t>
  </si>
  <si>
    <t>Total drag</t>
  </si>
  <si>
    <t>L/D</t>
  </si>
  <si>
    <t>Propeller performance in climb</t>
  </si>
  <si>
    <t>Propeller performance in cruise</t>
  </si>
  <si>
    <t>Propeller performance in descent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</si>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</sst>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0" fillId="12" borderId="0" xfId="0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multirotor!$K$39:$K$43</c:f>
              <c:numCache>
                <c:formatCode>General</c:formatCode>
                <c:ptCount val="5"/>
                <c:pt idx="0">
                  <c:v>31.98</c:v>
                </c:pt>
                <c:pt idx="1">
                  <c:v>33.61</c:v>
                </c:pt>
                <c:pt idx="2">
                  <c:v>18.899999999999999</c:v>
                </c:pt>
                <c:pt idx="3">
                  <c:v>10.82</c:v>
                </c:pt>
                <c:pt idx="4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multirotor!$K$31:$K$35</c:f>
              <c:numCache>
                <c:formatCode>General</c:formatCode>
                <c:ptCount val="5"/>
                <c:pt idx="0">
                  <c:v>400</c:v>
                </c:pt>
                <c:pt idx="1">
                  <c:v>420.36</c:v>
                </c:pt>
                <c:pt idx="2">
                  <c:v>236.42</c:v>
                </c:pt>
                <c:pt idx="3">
                  <c:v>135.37</c:v>
                </c:pt>
                <c:pt idx="4">
                  <c:v>58.72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'lift+cruise'!$J$44:$J$48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'lift+cruise'!$K$44:$K$48</c:f>
              <c:numCache>
                <c:formatCode>General</c:formatCode>
                <c:ptCount val="5"/>
                <c:pt idx="0">
                  <c:v>400</c:v>
                </c:pt>
                <c:pt idx="1">
                  <c:v>306.08999999999997</c:v>
                </c:pt>
                <c:pt idx="2">
                  <c:v>270.83999999999997</c:v>
                </c:pt>
                <c:pt idx="3">
                  <c:v>371.59</c:v>
                </c:pt>
                <c:pt idx="4">
                  <c:v>66.680000000000007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'lift+cruise'!$J$36:$J$40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'lift+cruise'!$K$36:$K$40</c:f>
              <c:numCache>
                <c:formatCode>General</c:formatCode>
                <c:ptCount val="5"/>
                <c:pt idx="0">
                  <c:v>28.26</c:v>
                </c:pt>
                <c:pt idx="1">
                  <c:v>21.63</c:v>
                </c:pt>
                <c:pt idx="2">
                  <c:v>19.14</c:v>
                </c:pt>
                <c:pt idx="3">
                  <c:v>26.26</c:v>
                </c:pt>
                <c:pt idx="4">
                  <c:v>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416510</xdr:colOff>
      <xdr:row>30</xdr:row>
      <xdr:rowOff>7039</xdr:rowOff>
    </xdr:from>
    <xdr:to>
      <xdr:col>22</xdr:col>
      <xdr:colOff>804917</xdr:colOff>
      <xdr:row>41</xdr:row>
      <xdr:rowOff>180928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433189</xdr:colOff>
      <xdr:row>30</xdr:row>
      <xdr:rowOff>66800</xdr:rowOff>
    </xdr:from>
    <xdr:to>
      <xdr:col>17</xdr:col>
      <xdr:colOff>753256</xdr:colOff>
      <xdr:row>41</xdr:row>
      <xdr:rowOff>159933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104421</xdr:colOff>
      <xdr:row>33</xdr:row>
      <xdr:rowOff>118534</xdr:rowOff>
    </xdr:from>
    <xdr:to>
      <xdr:col>17</xdr:col>
      <xdr:colOff>427566</xdr:colOff>
      <xdr:row>45</xdr:row>
      <xdr:rowOff>98778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807155</xdr:colOff>
      <xdr:row>33</xdr:row>
      <xdr:rowOff>122768</xdr:rowOff>
    </xdr:from>
    <xdr:to>
      <xdr:col>21</xdr:col>
      <xdr:colOff>977900</xdr:colOff>
      <xdr:row>45</xdr:row>
      <xdr:rowOff>103012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P136"/>
  <sheetViews>
    <sheetView workbookViewId="0">
      <selection activeCell="I29" sqref="I29"/>
    </sheetView>
  </sheetViews>
  <sheetFormatPr baseColWidth="10" defaultRowHeight="16" x14ac:dyDescent="0.2"/>
  <cols>
    <col min="1" max="1" width="4.1640625" style="7" customWidth="1"/>
    <col min="2" max="2" width="20.5" style="7" customWidth="1"/>
    <col min="3" max="3" width="10.83203125" style="7"/>
    <col min="4" max="4" width="7.1640625" style="7" customWidth="1"/>
    <col min="5" max="5" width="5.6640625" style="7" customWidth="1"/>
    <col min="6" max="6" width="20.6640625" style="7" customWidth="1"/>
    <col min="7" max="7" width="13.1640625" style="7" customWidth="1"/>
    <col min="8" max="8" width="4.1640625" style="7" customWidth="1"/>
    <col min="9" max="9" width="6" style="7" customWidth="1"/>
    <col min="10" max="10" width="18.1640625" style="7" customWidth="1"/>
    <col min="11" max="11" width="13.1640625" style="7" customWidth="1"/>
    <col min="12" max="12" width="4.83203125" style="7" customWidth="1"/>
    <col min="13" max="13" width="6" style="7" customWidth="1"/>
    <col min="14" max="14" width="13.83203125" style="7" customWidth="1"/>
    <col min="15" max="15" width="11.1640625" style="7" customWidth="1"/>
    <col min="16" max="16" width="6.33203125" style="7" customWidth="1"/>
    <col min="17" max="17" width="6" style="7" customWidth="1"/>
    <col min="18" max="18" width="13.83203125" style="7" customWidth="1"/>
    <col min="19" max="19" width="11" style="7" bestFit="1" customWidth="1"/>
    <col min="20" max="20" width="6.33203125" style="7" customWidth="1"/>
    <col min="21" max="21" width="6.1640625" style="7" customWidth="1"/>
    <col min="22" max="22" width="13.83203125" style="7" customWidth="1"/>
    <col min="23" max="23" width="11.1640625" style="7" customWidth="1"/>
    <col min="24" max="24" width="6.5" style="7" customWidth="1"/>
    <col min="25" max="27" width="3.83203125" style="7" customWidth="1"/>
    <col min="28" max="28" width="5.5" style="7" customWidth="1"/>
    <col min="29" max="30" width="6.1640625" style="7" customWidth="1"/>
    <col min="31" max="31" width="6.6640625" style="7" customWidth="1"/>
    <col min="32" max="32" width="7" style="7" customWidth="1"/>
    <col min="33" max="33" width="14.6640625" style="7" customWidth="1"/>
    <col min="34" max="34" width="7.83203125" style="7" customWidth="1"/>
    <col min="35" max="35" width="10" style="7" customWidth="1"/>
    <col min="36" max="36" width="9.5" style="7" customWidth="1"/>
    <col min="37" max="37" width="13.6640625" style="7" customWidth="1"/>
    <col min="38" max="38" width="10.83203125" style="7"/>
    <col min="39" max="39" width="5.1640625" style="7" customWidth="1"/>
    <col min="40" max="40" width="11.83203125" style="7" bestFit="1" customWidth="1"/>
    <col min="41" max="41" width="16.5" style="7" bestFit="1" customWidth="1"/>
    <col min="42" max="42" width="11.83203125" style="7" bestFit="1" customWidth="1"/>
    <col min="43" max="43" width="14.1640625" style="7" bestFit="1" customWidth="1"/>
    <col min="44" max="44" width="18.33203125" style="7" customWidth="1"/>
    <col min="45" max="48" width="11.83203125" style="7" bestFit="1" customWidth="1"/>
    <col min="49" max="50" width="10.83203125" style="7"/>
    <col min="51" max="51" width="11.33203125" style="7" bestFit="1" customWidth="1"/>
    <col min="52" max="52" width="10.83203125" style="7"/>
    <col min="53" max="53" width="3.5" style="7" customWidth="1"/>
    <col min="54" max="54" width="12.33203125" style="7" customWidth="1"/>
    <col min="55" max="57" width="11.33203125" style="7" bestFit="1" customWidth="1"/>
    <col min="58" max="58" width="11.83203125" style="7" bestFit="1" customWidth="1"/>
    <col min="59" max="63" width="11.33203125" style="7" bestFit="1" customWidth="1"/>
    <col min="64" max="64" width="10.83203125" style="7"/>
    <col min="65" max="65" width="3.33203125" style="7" customWidth="1"/>
    <col min="66" max="66" width="10.83203125" style="7"/>
    <col min="67" max="67" width="14.5" style="7" bestFit="1" customWidth="1"/>
    <col min="68" max="68" width="10.83203125" style="7"/>
    <col min="69" max="69" width="3.33203125" style="7" customWidth="1"/>
    <col min="70" max="70" width="10.83203125" style="7"/>
    <col min="71" max="71" width="13.5" style="7" bestFit="1" customWidth="1"/>
    <col min="72" max="72" width="10.83203125" style="7"/>
    <col min="73" max="73" width="3" style="7" customWidth="1"/>
    <col min="74" max="75" width="11" style="7" bestFit="1" customWidth="1"/>
    <col min="76" max="76" width="14.5" style="7" bestFit="1" customWidth="1"/>
    <col min="77" max="77" width="11" style="7" bestFit="1" customWidth="1"/>
    <col min="78" max="78" width="14.5" style="7" bestFit="1" customWidth="1"/>
    <col min="79" max="79" width="11" style="7" bestFit="1" customWidth="1"/>
    <col min="80" max="80" width="14.5" style="7" bestFit="1" customWidth="1"/>
    <col min="81" max="83" width="11" style="7" bestFit="1" customWidth="1"/>
    <col min="84" max="84" width="2.83203125" style="7" customWidth="1"/>
    <col min="85" max="86" width="11" style="7" bestFit="1" customWidth="1"/>
    <col min="87" max="87" width="14.5" style="7" bestFit="1" customWidth="1"/>
    <col min="88" max="88" width="11" style="7" bestFit="1" customWidth="1"/>
    <col min="89" max="16384" width="10.83203125" style="7"/>
  </cols>
  <sheetData>
    <row r="1" spans="2:94" x14ac:dyDescent="0.2">
      <c r="B1" s="50" t="s">
        <v>0</v>
      </c>
      <c r="C1" s="50"/>
      <c r="D1" s="50"/>
    </row>
    <row r="2" spans="2:94" x14ac:dyDescent="0.2">
      <c r="AB2" s="17" t="s">
        <v>110</v>
      </c>
      <c r="AM2" s="17" t="s">
        <v>81</v>
      </c>
      <c r="AX2" s="59" t="s">
        <v>159</v>
      </c>
      <c r="AY2" s="59"/>
      <c r="AZ2" s="59"/>
      <c r="BA2"/>
      <c r="BB2" s="59" t="s">
        <v>160</v>
      </c>
      <c r="BC2" s="59"/>
      <c r="BD2" s="59"/>
      <c r="BE2"/>
      <c r="BF2" s="59" t="s">
        <v>161</v>
      </c>
      <c r="BG2" s="59"/>
      <c r="BH2" s="59"/>
      <c r="BI2" s="59"/>
      <c r="BJ2" s="59"/>
      <c r="BK2" s="59"/>
      <c r="BL2" s="59"/>
      <c r="BM2"/>
      <c r="BN2" s="59" t="s">
        <v>162</v>
      </c>
      <c r="BO2" s="59"/>
      <c r="BP2" s="59"/>
      <c r="BQ2" s="59"/>
      <c r="BR2" s="59"/>
      <c r="BS2" s="59"/>
      <c r="BT2" s="59"/>
      <c r="BU2"/>
      <c r="BV2" s="59" t="s">
        <v>163</v>
      </c>
      <c r="BW2" s="59"/>
      <c r="BX2" s="59"/>
      <c r="BY2" s="59"/>
      <c r="BZ2" s="59"/>
      <c r="CA2" s="59"/>
      <c r="CB2" s="59"/>
      <c r="CC2" s="59"/>
      <c r="CD2" s="59"/>
      <c r="CE2" s="59"/>
      <c r="CF2"/>
      <c r="CG2" s="59" t="s">
        <v>164</v>
      </c>
      <c r="CH2" s="59"/>
      <c r="CI2" s="59"/>
      <c r="CJ2" s="59"/>
      <c r="CK2" s="59"/>
      <c r="CL2" s="59"/>
      <c r="CM2" s="59"/>
      <c r="CN2" s="59"/>
      <c r="CO2" s="59"/>
      <c r="CP2" s="59"/>
    </row>
    <row r="3" spans="2:94" x14ac:dyDescent="0.2">
      <c r="B3" s="51" t="s">
        <v>148</v>
      </c>
      <c r="C3" s="52"/>
      <c r="D3" s="52"/>
      <c r="F3" s="51" t="s">
        <v>86</v>
      </c>
      <c r="G3" s="52"/>
      <c r="H3" s="52"/>
      <c r="J3" s="53" t="s">
        <v>121</v>
      </c>
      <c r="K3" s="53"/>
      <c r="L3" s="53"/>
      <c r="N3" s="53" t="s">
        <v>109</v>
      </c>
      <c r="O3" s="53"/>
      <c r="P3" s="53"/>
      <c r="R3" s="53" t="s">
        <v>108</v>
      </c>
      <c r="S3" s="53"/>
      <c r="T3" s="53"/>
      <c r="V3" s="53" t="s">
        <v>114</v>
      </c>
      <c r="W3" s="53"/>
      <c r="X3" s="53"/>
      <c r="AB3" s="8" t="s">
        <v>45</v>
      </c>
      <c r="AC3" s="8" t="s">
        <v>46</v>
      </c>
      <c r="AD3" s="8" t="s">
        <v>47</v>
      </c>
      <c r="AE3" s="8" t="s">
        <v>48</v>
      </c>
      <c r="AF3" s="8" t="s">
        <v>49</v>
      </c>
      <c r="AG3" s="8" t="s">
        <v>50</v>
      </c>
      <c r="AH3" s="8" t="s">
        <v>51</v>
      </c>
      <c r="AI3" s="8" t="s">
        <v>52</v>
      </c>
      <c r="AJ3" s="8" t="s">
        <v>53</v>
      </c>
      <c r="AK3" s="8" t="s">
        <v>54</v>
      </c>
      <c r="AM3" s="8" t="s">
        <v>45</v>
      </c>
      <c r="AN3" s="8" t="s">
        <v>46</v>
      </c>
      <c r="AO3" s="8" t="s">
        <v>47</v>
      </c>
      <c r="AP3" s="8" t="s">
        <v>48</v>
      </c>
      <c r="AQ3" s="8" t="s">
        <v>49</v>
      </c>
      <c r="AR3" s="8" t="s">
        <v>50</v>
      </c>
      <c r="AS3" s="8" t="s">
        <v>51</v>
      </c>
      <c r="AT3" s="8" t="s">
        <v>52</v>
      </c>
      <c r="AU3" s="8" t="s">
        <v>53</v>
      </c>
      <c r="AV3" s="8" t="s">
        <v>54</v>
      </c>
      <c r="AX3" s="3" t="s">
        <v>166</v>
      </c>
      <c r="AY3" s="3">
        <f>$G$4</f>
        <v>2.54</v>
      </c>
      <c r="AZ3" s="27" t="s">
        <v>10</v>
      </c>
      <c r="BA3"/>
      <c r="BB3" s="3" t="s">
        <v>167</v>
      </c>
      <c r="BC3" s="3">
        <f>0.5*AY9</f>
        <v>1.5</v>
      </c>
      <c r="BD3" s="27" t="s">
        <v>8</v>
      </c>
      <c r="BE3"/>
      <c r="BF3" s="60" t="s">
        <v>168</v>
      </c>
      <c r="BG3" s="60"/>
      <c r="BH3" s="60"/>
      <c r="BI3"/>
      <c r="BJ3" s="60" t="s">
        <v>169</v>
      </c>
      <c r="BK3" s="60"/>
      <c r="BL3" s="60"/>
      <c r="BM3"/>
      <c r="BN3" s="60" t="s">
        <v>168</v>
      </c>
      <c r="BO3" s="60"/>
      <c r="BP3" s="60"/>
      <c r="BQ3" s="3"/>
      <c r="BR3" s="60" t="s">
        <v>169</v>
      </c>
      <c r="BS3" s="60"/>
      <c r="BT3" s="60"/>
      <c r="BU3"/>
      <c r="BV3" s="8" t="s">
        <v>45</v>
      </c>
      <c r="BW3" s="8" t="s">
        <v>46</v>
      </c>
      <c r="BX3" s="8" t="s">
        <v>47</v>
      </c>
      <c r="BY3" s="8" t="s">
        <v>48</v>
      </c>
      <c r="BZ3" s="8" t="s">
        <v>49</v>
      </c>
      <c r="CA3" s="8" t="s">
        <v>50</v>
      </c>
      <c r="CB3" s="8" t="s">
        <v>51</v>
      </c>
      <c r="CC3" s="8" t="s">
        <v>52</v>
      </c>
      <c r="CD3" s="8" t="s">
        <v>53</v>
      </c>
      <c r="CE3" s="8" t="s">
        <v>54</v>
      </c>
      <c r="CF3"/>
      <c r="CG3" s="8" t="s">
        <v>45</v>
      </c>
      <c r="CH3" s="8" t="s">
        <v>46</v>
      </c>
      <c r="CI3" s="8" t="s">
        <v>47</v>
      </c>
      <c r="CJ3" s="8" t="s">
        <v>48</v>
      </c>
      <c r="CK3" s="8" t="s">
        <v>49</v>
      </c>
      <c r="CL3" s="8" t="s">
        <v>50</v>
      </c>
      <c r="CM3" s="8" t="s">
        <v>51</v>
      </c>
      <c r="CN3" s="8" t="s">
        <v>52</v>
      </c>
      <c r="CO3" s="8" t="s">
        <v>53</v>
      </c>
      <c r="CP3" s="8" t="s">
        <v>54</v>
      </c>
    </row>
    <row r="4" spans="2:94" x14ac:dyDescent="0.2">
      <c r="B4" s="7" t="s">
        <v>40</v>
      </c>
      <c r="C4" s="23" t="s">
        <v>76</v>
      </c>
      <c r="F4" t="s">
        <v>90</v>
      </c>
      <c r="G4" s="1">
        <v>2.54</v>
      </c>
      <c r="H4" t="s">
        <v>10</v>
      </c>
      <c r="J4" t="s">
        <v>122</v>
      </c>
      <c r="K4" s="7">
        <f>MAX(G13,G26,G33,G46,G53)</f>
        <v>217.65025075847254</v>
      </c>
      <c r="L4" s="7" t="s">
        <v>124</v>
      </c>
      <c r="N4" s="7" t="s">
        <v>26</v>
      </c>
      <c r="O4" s="7">
        <f xml:space="preserve"> 0.5 * $C$40 * $G$16^2</f>
        <v>1531.25</v>
      </c>
      <c r="P4" s="7" t="s">
        <v>27</v>
      </c>
      <c r="R4" s="7" t="s">
        <v>26</v>
      </c>
      <c r="S4" s="7">
        <f xml:space="preserve"> 0.5 * $C$40 * $C$9^2</f>
        <v>1531.25</v>
      </c>
      <c r="T4" s="7" t="s">
        <v>27</v>
      </c>
      <c r="V4" s="7" t="s">
        <v>26</v>
      </c>
      <c r="W4" s="7">
        <f xml:space="preserve"> 0.5 * $C$40 * $G$36^2</f>
        <v>1531.25</v>
      </c>
      <c r="X4" s="7" t="s">
        <v>27</v>
      </c>
      <c r="AB4" s="3">
        <v>0</v>
      </c>
      <c r="AC4" s="4">
        <v>0</v>
      </c>
      <c r="AD4" s="3">
        <f t="shared" ref="AD4:AD34" si="0" xml:space="preserve"> $C$10 * TAN($S$18/180*PI()) + $S$21 / (2 * SQRT($C$10^2 + AC4^2)) - AC4</f>
        <v>3.6386385252053226E-2</v>
      </c>
      <c r="AE4" s="4">
        <v>1</v>
      </c>
      <c r="AF4" s="3">
        <f t="shared" ref="AF4:AF34" si="1" xml:space="preserve"> $C$10 * TAN($S$18/180*PI()) + $S$21 / (2 * SQRT($C$10^2 + AE4^2)) - AE4</f>
        <v>-0.97881461749279308</v>
      </c>
      <c r="AG4" s="3">
        <f xml:space="preserve"> (AC4 + AE4)/2</f>
        <v>0.5</v>
      </c>
      <c r="AH4" s="3">
        <f t="shared" ref="AH4:AH34" si="2" xml:space="preserve"> $C$10 * TAN($S$18/180*PI()) + $S$21 / (2 * SQRT($C$10^2 + AG4^2)) - AG4</f>
        <v>-0.47396951099087836</v>
      </c>
      <c r="AI4" s="3">
        <f>AD4*AH4</f>
        <v>-1.7246037224641377E-2</v>
      </c>
      <c r="AJ4" s="3">
        <f>AF4*AH4</f>
        <v>0.4639282856037828</v>
      </c>
      <c r="AK4" s="3">
        <f>AE4-AC4</f>
        <v>1</v>
      </c>
      <c r="AM4" s="3">
        <v>0</v>
      </c>
      <c r="AN4" s="3"/>
      <c r="AO4" s="3">
        <f>K27</f>
        <v>-6.0117599787190557E-10</v>
      </c>
      <c r="AP4" s="3"/>
      <c r="AQ4" s="3">
        <f>K27</f>
        <v>-6.0117599787190557E-10</v>
      </c>
      <c r="AR4" s="3"/>
      <c r="AS4" s="3">
        <f>K27</f>
        <v>-6.0117599787190557E-10</v>
      </c>
      <c r="AT4" s="3"/>
      <c r="AU4" s="3"/>
      <c r="AV4" s="3"/>
      <c r="AX4" s="3" t="s">
        <v>173</v>
      </c>
      <c r="AY4" s="3">
        <f>$C$6</f>
        <v>855.4751155897975</v>
      </c>
      <c r="AZ4" s="27" t="s">
        <v>155</v>
      </c>
      <c r="BA4"/>
      <c r="BB4" s="3" t="s">
        <v>174</v>
      </c>
      <c r="BC4" s="3">
        <f>PI()*BC3^2</f>
        <v>7.0685834705770345</v>
      </c>
      <c r="BD4" s="27" t="s">
        <v>11</v>
      </c>
      <c r="BE4"/>
      <c r="BF4" s="3" t="s">
        <v>175</v>
      </c>
      <c r="BG4" s="3">
        <f>2*($AY$19 - $AY$10)</f>
        <v>0.16499999999999992</v>
      </c>
      <c r="BH4" s="27" t="s">
        <v>8</v>
      </c>
      <c r="BI4"/>
      <c r="BJ4" s="3" t="s">
        <v>175</v>
      </c>
      <c r="BK4" s="3">
        <f>$AY$20-$AY$19</f>
        <v>0.16500000000000004</v>
      </c>
      <c r="BL4" s="27" t="s">
        <v>8</v>
      </c>
      <c r="BM4"/>
      <c r="BN4" s="29" t="s">
        <v>176</v>
      </c>
      <c r="BO4" s="30">
        <f>CA34</f>
        <v>0.34894691708682246</v>
      </c>
      <c r="BP4" s="6" t="s">
        <v>177</v>
      </c>
      <c r="BQ4" s="3"/>
      <c r="BR4" s="29" t="s">
        <v>176</v>
      </c>
      <c r="BS4" s="30">
        <f>CL34</f>
        <v>0.27865597932746627</v>
      </c>
      <c r="BT4" s="6" t="s">
        <v>177</v>
      </c>
      <c r="BU4"/>
      <c r="BV4" s="31">
        <v>0</v>
      </c>
      <c r="BW4" s="31"/>
      <c r="BX4" s="31">
        <f>$BO$20</f>
        <v>-4.7968453376068254E-9</v>
      </c>
      <c r="BY4" s="31"/>
      <c r="BZ4" s="31">
        <f>$BO$20</f>
        <v>-4.7968453376068254E-9</v>
      </c>
      <c r="CA4" s="31"/>
      <c r="CB4" s="31">
        <f>$BO$20</f>
        <v>-4.7968453376068254E-9</v>
      </c>
      <c r="CC4" s="31"/>
      <c r="CD4" s="31"/>
      <c r="CE4" s="31"/>
      <c r="CF4"/>
      <c r="CG4" s="31">
        <v>0</v>
      </c>
      <c r="CH4" s="31"/>
      <c r="CI4" s="31">
        <f>$BS$20</f>
        <v>1.7743558428096051E-9</v>
      </c>
      <c r="CJ4" s="31"/>
      <c r="CK4" s="31">
        <f>$BS$20</f>
        <v>1.7743558428096051E-9</v>
      </c>
      <c r="CL4" s="31"/>
      <c r="CM4" s="31">
        <f>$BS$20</f>
        <v>1.7743558428096051E-9</v>
      </c>
      <c r="CN4" s="31"/>
      <c r="CO4" s="31"/>
      <c r="CP4" s="31"/>
    </row>
    <row r="5" spans="2:94" x14ac:dyDescent="0.2">
      <c r="B5" s="11" t="s">
        <v>41</v>
      </c>
      <c r="C5" s="11">
        <f>AR44</f>
        <v>1250.8707486431376</v>
      </c>
      <c r="D5" s="11" t="s">
        <v>7</v>
      </c>
      <c r="F5" t="s">
        <v>93</v>
      </c>
      <c r="G5" s="1">
        <v>152.4</v>
      </c>
      <c r="H5" t="s">
        <v>8</v>
      </c>
      <c r="J5" t="s">
        <v>123</v>
      </c>
      <c r="K5" s="7">
        <f>K4/$C$17</f>
        <v>54.412562689618134</v>
      </c>
      <c r="L5" s="7" t="s">
        <v>124</v>
      </c>
      <c r="N5" s="7" t="s">
        <v>140</v>
      </c>
      <c r="O5" s="7">
        <f xml:space="preserve"> 0.85 * ($C$5 *2.20462/1000)^(2/3) * 0.3048^2</f>
        <v>0.15529100628335973</v>
      </c>
      <c r="P5" s="7" t="s">
        <v>141</v>
      </c>
      <c r="R5" s="7" t="s">
        <v>140</v>
      </c>
      <c r="S5" s="7">
        <f xml:space="preserve"> 0.85 * ($C$5 *2.20462/1000)^(2/3) * 0.3048^2</f>
        <v>0.15529100628335973</v>
      </c>
      <c r="T5" s="7" t="s">
        <v>141</v>
      </c>
      <c r="V5" s="7" t="s">
        <v>140</v>
      </c>
      <c r="W5" s="7">
        <f xml:space="preserve"> 0.85 * ($C$5 *2.20462/1000)^(2/3) * 0.3048^2</f>
        <v>0.15529100628335973</v>
      </c>
      <c r="X5" s="7" t="s">
        <v>141</v>
      </c>
      <c r="AB5" s="3">
        <v>1</v>
      </c>
      <c r="AC5" s="3">
        <f>IF(AI4&gt;0, AG4, AC4)</f>
        <v>0</v>
      </c>
      <c r="AD5" s="3">
        <f t="shared" si="0"/>
        <v>3.6386385252053226E-2</v>
      </c>
      <c r="AE5" s="3">
        <f>IF(AJ4&gt;0, AG4, AE4)</f>
        <v>0.5</v>
      </c>
      <c r="AF5" s="3">
        <f t="shared" si="1"/>
        <v>-0.47396951099087836</v>
      </c>
      <c r="AG5" s="3">
        <f t="shared" ref="AG5:AG34" si="3" xml:space="preserve"> (AC5 + AE5)/2</f>
        <v>0.25</v>
      </c>
      <c r="AH5" s="3">
        <f t="shared" si="2"/>
        <v>-0.21855749815708703</v>
      </c>
      <c r="AI5" s="3">
        <f t="shared" ref="AI5:AI34" si="4">AD5*AH5</f>
        <v>-7.9525173276686813E-3</v>
      </c>
      <c r="AJ5" s="3">
        <f t="shared" ref="AJ5:AJ34" si="5">AF5*AH5</f>
        <v>0.10358959052490434</v>
      </c>
      <c r="AK5" s="3">
        <f t="shared" ref="AK5:AK33" si="6">AE5-AC5</f>
        <v>0.5</v>
      </c>
      <c r="AM5" s="3">
        <v>1</v>
      </c>
      <c r="AN5" s="4">
        <v>500</v>
      </c>
      <c r="AO5" s="3">
        <f t="dataTable" ref="AO5:AO44" dt2D="0" dtr="0" r1="C5" ca="1"/>
        <v>-414.18504445292729</v>
      </c>
      <c r="AP5" s="4">
        <v>2500</v>
      </c>
      <c r="AQ5" s="3">
        <f t="dataTable" ref="AQ5:AQ44" dt2D="0" dtr="0" r1="C5" ca="1"/>
        <v>264.75094796696294</v>
      </c>
      <c r="AR5" s="3">
        <f>(AN5+AP5)/2</f>
        <v>1500</v>
      </c>
      <c r="AS5" s="3">
        <f t="dataTable" ref="AS5:AS44" dt2D="0" dtr="0" r1="C5" ca="1"/>
        <v>87.054022023510015</v>
      </c>
      <c r="AT5" s="3">
        <f>AO5*AS5</f>
        <v>-36056.473981613606</v>
      </c>
      <c r="AU5" s="3">
        <f>AQ5*AS5</f>
        <v>23047.634855061147</v>
      </c>
      <c r="AV5" s="3">
        <f>AP5-AN5</f>
        <v>2000</v>
      </c>
      <c r="AX5" s="3" t="s">
        <v>179</v>
      </c>
      <c r="AY5" s="4">
        <v>20</v>
      </c>
      <c r="AZ5" s="27" t="s">
        <v>44</v>
      </c>
      <c r="BA5"/>
      <c r="BB5" s="3" t="s">
        <v>30</v>
      </c>
      <c r="BC5" s="3">
        <f>AY4*2*PI()/60</f>
        <v>89.585144615526218</v>
      </c>
      <c r="BD5" s="27" t="s">
        <v>31</v>
      </c>
      <c r="BE5"/>
      <c r="BF5" s="3" t="s">
        <v>180</v>
      </c>
      <c r="BG5" s="3">
        <f>(1+$BO$18)*$AY$3</f>
        <v>7.8379154684549333</v>
      </c>
      <c r="BH5" s="27" t="s">
        <v>10</v>
      </c>
      <c r="BI5"/>
      <c r="BJ5" s="3" t="s">
        <v>180</v>
      </c>
      <c r="BK5" s="3">
        <f>(1+$BS$18)*$AY$3</f>
        <v>10.291198901154949</v>
      </c>
      <c r="BL5" s="27" t="s">
        <v>10</v>
      </c>
      <c r="BM5"/>
      <c r="BN5" s="3" t="s">
        <v>181</v>
      </c>
      <c r="BO5" s="3">
        <f>($AY$35+$AY$5)/180*PI()</f>
        <v>0.46949356878647464</v>
      </c>
      <c r="BP5" s="3" t="s">
        <v>177</v>
      </c>
      <c r="BQ5" s="3"/>
      <c r="BR5" s="3" t="s">
        <v>181</v>
      </c>
      <c r="BS5" s="3">
        <f>($AY$36+$AY$5)/180*PI()</f>
        <v>0.44645522266014948</v>
      </c>
      <c r="BT5" s="3" t="s">
        <v>177</v>
      </c>
      <c r="BU5"/>
      <c r="BV5" s="3">
        <v>1</v>
      </c>
      <c r="BW5" s="4">
        <f>0.01*PI()</f>
        <v>3.1415926535897934E-2</v>
      </c>
      <c r="BX5" s="3">
        <f t="dataTable" ref="BX5:BX34" dt2D="0" dtr="0" r1="BO4" ca="1"/>
        <v>-1.783888947776217</v>
      </c>
      <c r="BY5" s="4">
        <f>0.9*PI()</f>
        <v>2.8274333882308138</v>
      </c>
      <c r="BZ5" s="3">
        <f t="dataTable" ref="BZ5:BZ34" dt2D="0" dtr="0" r1="BO4" ca="1"/>
        <v>0.46123933972378373</v>
      </c>
      <c r="CA5" s="3">
        <f t="shared" ref="CA5:CA34" si="7">(BW5+BY5)/2</f>
        <v>1.4294246573833558</v>
      </c>
      <c r="CB5" s="3">
        <f t="dataTable" ref="CB5:CB34" dt2D="0" dtr="0" r1="BO4"/>
        <v>1.0885538263714485</v>
      </c>
      <c r="CC5" s="3">
        <f t="shared" ref="CC5:CC34" si="8">BX5*CB5</f>
        <v>-1.9418591399235381</v>
      </c>
      <c r="CD5" s="3">
        <f t="shared" ref="CD5:CD34" si="9">BZ5*CB5</f>
        <v>0.50208384812936524</v>
      </c>
      <c r="CE5" s="3">
        <f t="shared" ref="CE5:CE34" si="10">BY5-BW5</f>
        <v>2.7960174616949161</v>
      </c>
      <c r="CF5"/>
      <c r="CG5" s="3">
        <v>1</v>
      </c>
      <c r="CH5" s="4">
        <f>0.01*PI()</f>
        <v>3.1415926535897934E-2</v>
      </c>
      <c r="CI5" s="3">
        <f t="dataTable" ref="CI5:CI34" dt2D="0" dtr="0" r1="BS4"/>
        <v>-1.2406456267517272</v>
      </c>
      <c r="CJ5" s="4">
        <f>0.9*PI()</f>
        <v>2.8274333882308138</v>
      </c>
      <c r="CK5" s="3">
        <f t="dataTable" ref="CK5:CK34" dt2D="0" dtr="0" r1="BS4" ca="1"/>
        <v>0.3922718396291261</v>
      </c>
      <c r="CL5" s="3">
        <f t="shared" ref="CL5:CL34" si="11">(CH5+CJ5)/2</f>
        <v>1.4294246573833558</v>
      </c>
      <c r="CM5" s="3">
        <f t="dataTable" ref="CM5:CM34" dt2D="0" dtr="0" r1="BS4" ca="1"/>
        <v>1.0372396707550644</v>
      </c>
      <c r="CN5" s="3">
        <f t="shared" ref="CN5:CN34" si="12">CI5*CM5</f>
        <v>-1.2868468614156721</v>
      </c>
      <c r="CO5" s="3">
        <f t="shared" ref="CO5:CO34" si="13">CK5*CM5</f>
        <v>0.40687991378339816</v>
      </c>
      <c r="CP5" s="3">
        <f t="shared" ref="CP5:CP34" si="14">CJ5-CH5</f>
        <v>2.7960174616949161</v>
      </c>
    </row>
    <row r="6" spans="2:94" x14ac:dyDescent="0.2">
      <c r="B6" s="11" t="s">
        <v>156</v>
      </c>
      <c r="C6" s="11">
        <f>AR79</f>
        <v>855.4751155897975</v>
      </c>
      <c r="D6" s="11" t="s">
        <v>155</v>
      </c>
      <c r="F6" t="s">
        <v>94</v>
      </c>
      <c r="G6" s="9">
        <f>$G$5/$G$4</f>
        <v>60</v>
      </c>
      <c r="H6" s="7" t="s">
        <v>14</v>
      </c>
      <c r="N6" t="s">
        <v>142</v>
      </c>
      <c r="O6">
        <f xml:space="preserve"> O5 / (PI() * $C$7^2)</f>
        <v>2.1969183349076694E-2</v>
      </c>
      <c r="R6" t="s">
        <v>142</v>
      </c>
      <c r="S6">
        <f xml:space="preserve"> S5 / (PI() * $C$7^2)</f>
        <v>2.1969183349076694E-2</v>
      </c>
      <c r="V6" t="s">
        <v>142</v>
      </c>
      <c r="W6">
        <f xml:space="preserve"> W5 / (PI() * $C$7^2)</f>
        <v>2.1969183349076694E-2</v>
      </c>
      <c r="AB6" s="3">
        <v>2</v>
      </c>
      <c r="AC6" s="3">
        <f t="shared" ref="AC6:AC34" si="15">IF(AI5&gt;0, AG5, AC5)</f>
        <v>0</v>
      </c>
      <c r="AD6" s="3">
        <f t="shared" si="0"/>
        <v>3.6386385252053226E-2</v>
      </c>
      <c r="AE6" s="3">
        <f t="shared" ref="AE6:AE34" si="16">IF(AJ5&gt;0, AG5, AE5)</f>
        <v>0.25</v>
      </c>
      <c r="AF6" s="3">
        <f t="shared" si="1"/>
        <v>-0.21855749815708703</v>
      </c>
      <c r="AG6" s="3">
        <f t="shared" si="3"/>
        <v>0.125</v>
      </c>
      <c r="AH6" s="3">
        <f t="shared" si="2"/>
        <v>-9.0254398350166173E-2</v>
      </c>
      <c r="AI6" s="3">
        <f t="shared" si="4"/>
        <v>-3.2840313090614233E-3</v>
      </c>
      <c r="AJ6" s="3">
        <f t="shared" si="5"/>
        <v>1.9725775501085441E-2</v>
      </c>
      <c r="AK6" s="3">
        <f t="shared" si="6"/>
        <v>0.25</v>
      </c>
      <c r="AM6" s="3">
        <v>2</v>
      </c>
      <c r="AN6" s="3">
        <f>IF(AT5&gt;0, AR5, AN5)</f>
        <v>500</v>
      </c>
      <c r="AO6" s="3">
        <v>-414.18504445292729</v>
      </c>
      <c r="AP6" s="3">
        <f>IF(AU5&gt;0, AR5, AP5)</f>
        <v>1500</v>
      </c>
      <c r="AQ6" s="3">
        <v>87.054022023510015</v>
      </c>
      <c r="AR6" s="3">
        <f t="shared" ref="AR6:AR43" si="17">(AN6+AP6)/2</f>
        <v>1000</v>
      </c>
      <c r="AS6" s="3">
        <v>-126.16351274402723</v>
      </c>
      <c r="AT6" s="3">
        <f t="shared" ref="AT6:AT44" si="18">AO6*AS6</f>
        <v>52255.040134222378</v>
      </c>
      <c r="AU6" s="3">
        <f t="shared" ref="AU6:AU44" si="19">AQ6*AS6</f>
        <v>-10983.041216981934</v>
      </c>
      <c r="AV6" s="3">
        <f t="shared" ref="AV6:AV44" si="20">AP6-AN6</f>
        <v>1000</v>
      </c>
      <c r="AX6" s="3"/>
      <c r="AY6" s="3"/>
      <c r="AZ6" s="27"/>
      <c r="BA6"/>
      <c r="BB6" s="3" t="s">
        <v>183</v>
      </c>
      <c r="BC6" s="34">
        <f>$AY$4/60</f>
        <v>14.257918593163291</v>
      </c>
      <c r="BD6" s="27" t="s">
        <v>184</v>
      </c>
      <c r="BE6"/>
      <c r="BF6" s="3" t="s">
        <v>185</v>
      </c>
      <c r="BG6" s="3">
        <f>(1-$BO$19)*$BC$5*$AY$19</f>
        <v>21.542466380398348</v>
      </c>
      <c r="BH6" s="27" t="s">
        <v>10</v>
      </c>
      <c r="BI6"/>
      <c r="BJ6" s="3" t="s">
        <v>185</v>
      </c>
      <c r="BK6" s="3">
        <f>(1-$BS$19)*$BC$5*$AY$20</f>
        <v>35.970670346995021</v>
      </c>
      <c r="BL6" s="27" t="s">
        <v>10</v>
      </c>
      <c r="BM6"/>
      <c r="BN6" s="3" t="s">
        <v>29</v>
      </c>
      <c r="BO6" s="3">
        <f>BO5-BO4</f>
        <v>0.12054665169965217</v>
      </c>
      <c r="BP6" s="3" t="s">
        <v>177</v>
      </c>
      <c r="BQ6" s="3"/>
      <c r="BR6" s="3" t="s">
        <v>29</v>
      </c>
      <c r="BS6" s="3">
        <f>BS5-BS4</f>
        <v>0.1677992433326832</v>
      </c>
      <c r="BT6" s="3" t="s">
        <v>177</v>
      </c>
      <c r="BU6"/>
      <c r="BV6" s="3">
        <v>2</v>
      </c>
      <c r="BW6" s="3">
        <f t="shared" ref="BW6:BW34" si="21">IF(CC5&gt;0,CA5,BW5)</f>
        <v>3.1415926535897934E-2</v>
      </c>
      <c r="BX6" s="3">
        <v>-1.783888947776217</v>
      </c>
      <c r="BY6" s="3">
        <f t="shared" ref="BY6:BY34" si="22">IF(CD5&gt;0,CA5,BY5)</f>
        <v>1.4294246573833558</v>
      </c>
      <c r="BZ6" s="3">
        <v>1.0885538263714485</v>
      </c>
      <c r="CA6" s="3">
        <f t="shared" si="7"/>
        <v>0.73042029195962688</v>
      </c>
      <c r="CB6" s="3">
        <v>0.66425055230115637</v>
      </c>
      <c r="CC6" s="3">
        <f t="shared" si="8"/>
        <v>-1.1849492188042807</v>
      </c>
      <c r="CD6" s="3">
        <f t="shared" si="9"/>
        <v>0.72307248037677174</v>
      </c>
      <c r="CE6" s="3">
        <f t="shared" si="10"/>
        <v>1.3980087308474578</v>
      </c>
      <c r="CF6"/>
      <c r="CG6" s="3">
        <v>2</v>
      </c>
      <c r="CH6" s="3">
        <f t="shared" ref="CH6:CH34" si="23">IF(CN5&gt;0,CL5,CH5)</f>
        <v>3.1415926535897934E-2</v>
      </c>
      <c r="CI6" s="3">
        <v>-1.2406456267517272</v>
      </c>
      <c r="CJ6" s="3">
        <f t="shared" ref="CJ6:CJ34" si="24">IF(CO5&gt;0,CL5,CJ5)</f>
        <v>1.4294246573833558</v>
      </c>
      <c r="CK6" s="3">
        <v>1.0372396707550644</v>
      </c>
      <c r="CL6" s="3">
        <f t="shared" si="11"/>
        <v>0.73042029195962688</v>
      </c>
      <c r="CM6" s="3">
        <v>0.65812976523480038</v>
      </c>
      <c r="CN6" s="3">
        <f t="shared" si="12"/>
        <v>-0.81650581507369602</v>
      </c>
      <c r="CO6" s="3">
        <f t="shared" si="13"/>
        <v>0.68263830100625222</v>
      </c>
      <c r="CP6" s="3">
        <f t="shared" si="14"/>
        <v>1.3980087308474578</v>
      </c>
    </row>
    <row r="7" spans="2:94" x14ac:dyDescent="0.2">
      <c r="B7" s="7" t="s">
        <v>113</v>
      </c>
      <c r="C7" s="18">
        <v>1.5</v>
      </c>
      <c r="D7" s="7" t="s">
        <v>8</v>
      </c>
      <c r="F7" t="s">
        <v>151</v>
      </c>
      <c r="G7" s="9">
        <f>$C$6*2*PI()*$C$7/60</f>
        <v>134.37771692328934</v>
      </c>
      <c r="H7" s="7" t="s">
        <v>10</v>
      </c>
      <c r="J7" s="53" t="s">
        <v>24</v>
      </c>
      <c r="K7" s="53"/>
      <c r="L7" s="53"/>
      <c r="N7" t="s">
        <v>144</v>
      </c>
      <c r="O7" s="18">
        <v>3.4909389999999998E-2</v>
      </c>
      <c r="R7" t="s">
        <v>144</v>
      </c>
      <c r="S7" s="18">
        <v>3.4909389999999998E-2</v>
      </c>
      <c r="V7" t="s">
        <v>144</v>
      </c>
      <c r="W7" s="18">
        <v>3.4909389999999998E-2</v>
      </c>
      <c r="AB7" s="3">
        <v>3</v>
      </c>
      <c r="AC7" s="3">
        <f t="shared" si="15"/>
        <v>0</v>
      </c>
      <c r="AD7" s="3">
        <f t="shared" si="0"/>
        <v>3.6386385252053226E-2</v>
      </c>
      <c r="AE7" s="3">
        <f t="shared" si="16"/>
        <v>0.125</v>
      </c>
      <c r="AF7" s="3">
        <f t="shared" si="1"/>
        <v>-9.0254398350166173E-2</v>
      </c>
      <c r="AG7" s="3">
        <f t="shared" si="3"/>
        <v>6.25E-2</v>
      </c>
      <c r="AH7" s="3">
        <f t="shared" si="2"/>
        <v>-2.6561966322007712E-2</v>
      </c>
      <c r="AI7" s="3">
        <f t="shared" si="4"/>
        <v>-9.6649393964463588E-4</v>
      </c>
      <c r="AJ7" s="3">
        <f t="shared" si="5"/>
        <v>2.3973342893901821E-3</v>
      </c>
      <c r="AK7" s="3">
        <f t="shared" si="6"/>
        <v>0.125</v>
      </c>
      <c r="AM7" s="3">
        <v>3</v>
      </c>
      <c r="AN7" s="3">
        <f t="shared" ref="AN7:AN44" si="25">IF(AT6&gt;0, AR6, AN6)</f>
        <v>1000</v>
      </c>
      <c r="AO7" s="3">
        <v>-126.16351274402723</v>
      </c>
      <c r="AP7" s="3">
        <f t="shared" ref="AP7:AP44" si="26">IF(AU6&gt;0, AR6, AP6)</f>
        <v>1500</v>
      </c>
      <c r="AQ7" s="3">
        <v>87.054022023510015</v>
      </c>
      <c r="AR7" s="3">
        <f t="shared" si="17"/>
        <v>1250</v>
      </c>
      <c r="AS7" s="3">
        <v>-0.33677573938814476</v>
      </c>
      <c r="AT7" s="3">
        <f t="shared" si="18"/>
        <v>42.488810288175394</v>
      </c>
      <c r="AU7" s="3">
        <f t="shared" si="19"/>
        <v>-29.317682633679421</v>
      </c>
      <c r="AV7" s="3">
        <f t="shared" si="20"/>
        <v>500</v>
      </c>
      <c r="AX7" s="59" t="s">
        <v>187</v>
      </c>
      <c r="AY7" s="59"/>
      <c r="AZ7" s="59"/>
      <c r="BA7"/>
      <c r="BB7" s="3" t="s">
        <v>188</v>
      </c>
      <c r="BC7" s="34">
        <f>$AY$3/(BC6*AY9)</f>
        <v>5.9382206535577048E-2</v>
      </c>
      <c r="BD7"/>
      <c r="BE7"/>
      <c r="BF7" s="3" t="s">
        <v>189</v>
      </c>
      <c r="BG7" s="3">
        <f>SQRT(BG5^2 + BG6^2)</f>
        <v>22.924021825178023</v>
      </c>
      <c r="BH7" s="27" t="s">
        <v>10</v>
      </c>
      <c r="BI7"/>
      <c r="BJ7" s="3" t="s">
        <v>189</v>
      </c>
      <c r="BK7" s="3">
        <f>SQRT(BK5^2 + BK6^2)</f>
        <v>37.413873095889443</v>
      </c>
      <c r="BL7" s="27" t="s">
        <v>10</v>
      </c>
      <c r="BM7"/>
      <c r="BN7" s="3" t="s">
        <v>190</v>
      </c>
      <c r="BO7" s="3">
        <f>BO6/PI()*180</f>
        <v>6.9068143768236023</v>
      </c>
      <c r="BP7" s="3" t="s">
        <v>44</v>
      </c>
      <c r="BQ7" s="3"/>
      <c r="BR7" s="3" t="s">
        <v>190</v>
      </c>
      <c r="BS7" s="3">
        <f>BS6/PI()*180</f>
        <v>9.6141884484514666</v>
      </c>
      <c r="BT7" s="3" t="s">
        <v>44</v>
      </c>
      <c r="BU7"/>
      <c r="BV7" s="3">
        <v>3</v>
      </c>
      <c r="BW7" s="3">
        <f t="shared" si="21"/>
        <v>3.1415926535897934E-2</v>
      </c>
      <c r="BX7" s="3">
        <v>-1.783888947776217</v>
      </c>
      <c r="BY7" s="3">
        <f t="shared" si="22"/>
        <v>0.73042029195962688</v>
      </c>
      <c r="BZ7" s="3">
        <v>0.66425055230115637</v>
      </c>
      <c r="CA7" s="3">
        <f t="shared" si="7"/>
        <v>0.38091810924776243</v>
      </c>
      <c r="CB7" s="3">
        <v>9.482930131713381E-2</v>
      </c>
      <c r="CC7" s="3">
        <f t="shared" si="8"/>
        <v>-0.16916494254497566</v>
      </c>
      <c r="CD7" s="3">
        <f t="shared" si="9"/>
        <v>6.2990415774238903E-2</v>
      </c>
      <c r="CE7" s="3">
        <f t="shared" si="10"/>
        <v>0.6990043654237289</v>
      </c>
      <c r="CF7"/>
      <c r="CG7" s="3">
        <v>3</v>
      </c>
      <c r="CH7" s="3">
        <f t="shared" si="23"/>
        <v>3.1415926535897934E-2</v>
      </c>
      <c r="CI7" s="3">
        <v>-1.2406456267517272</v>
      </c>
      <c r="CJ7" s="3">
        <f t="shared" si="24"/>
        <v>0.73042029195962688</v>
      </c>
      <c r="CK7" s="3">
        <v>0.65812976523480038</v>
      </c>
      <c r="CL7" s="3">
        <f t="shared" si="11"/>
        <v>0.38091810924776243</v>
      </c>
      <c r="CM7" s="3">
        <v>0.23247065624006802</v>
      </c>
      <c r="CN7" s="3">
        <f t="shared" si="12"/>
        <v>-0.28841370301234448</v>
      </c>
      <c r="CO7" s="3">
        <f t="shared" si="13"/>
        <v>0.15299585841525595</v>
      </c>
      <c r="CP7" s="3">
        <f t="shared" si="14"/>
        <v>0.6990043654237289</v>
      </c>
    </row>
    <row r="8" spans="2:94" x14ac:dyDescent="0.2">
      <c r="B8" s="7" t="s">
        <v>246</v>
      </c>
      <c r="C8" s="18">
        <f>(0.071475+0.069425+0.067375+0.065325+0.063275+0.061225+0.059175+0.057125)/8</f>
        <v>6.4299999999999982E-2</v>
      </c>
      <c r="F8" s="7" t="s">
        <v>154</v>
      </c>
      <c r="G8" s="7">
        <f>G7/$C$42</f>
        <v>0.39474559633885992</v>
      </c>
      <c r="H8" s="7" t="s">
        <v>152</v>
      </c>
      <c r="J8" s="7" t="s">
        <v>117</v>
      </c>
      <c r="K8" s="7">
        <f xml:space="preserve"> (G13*G6 + G26*G19 + G33*G29 + G46*G39 + G53*G51)/3600</f>
        <v>71.460483317048997</v>
      </c>
      <c r="L8" s="7" t="s">
        <v>125</v>
      </c>
      <c r="N8" s="7" t="s">
        <v>143</v>
      </c>
      <c r="O8" s="7">
        <f xml:space="preserve"> $O$7 + O6</f>
        <v>5.6878573349076693E-2</v>
      </c>
      <c r="R8" s="7" t="s">
        <v>143</v>
      </c>
      <c r="S8" s="7">
        <f xml:space="preserve"> $S$7 + S6</f>
        <v>5.6878573349076693E-2</v>
      </c>
      <c r="V8" s="7" t="s">
        <v>143</v>
      </c>
      <c r="W8" s="7">
        <f xml:space="preserve"> $W$7 + W6</f>
        <v>5.6878573349076693E-2</v>
      </c>
      <c r="AB8" s="3">
        <v>4</v>
      </c>
      <c r="AC8" s="3">
        <f t="shared" si="15"/>
        <v>0</v>
      </c>
      <c r="AD8" s="3">
        <f t="shared" si="0"/>
        <v>3.6386385252053226E-2</v>
      </c>
      <c r="AE8" s="3">
        <f t="shared" si="16"/>
        <v>6.25E-2</v>
      </c>
      <c r="AF8" s="3">
        <f t="shared" si="1"/>
        <v>-2.6561966322007712E-2</v>
      </c>
      <c r="AG8" s="3">
        <f t="shared" si="3"/>
        <v>3.125E-2</v>
      </c>
      <c r="AH8" s="3">
        <f t="shared" si="2"/>
        <v>5.0215949082570294E-3</v>
      </c>
      <c r="AI8" s="3">
        <f t="shared" si="4"/>
        <v>1.8271768691158915E-4</v>
      </c>
      <c r="AJ8" s="3">
        <f t="shared" si="5"/>
        <v>-1.3338343483588862E-4</v>
      </c>
      <c r="AK8" s="3">
        <f t="shared" si="6"/>
        <v>6.25E-2</v>
      </c>
      <c r="AM8" s="3">
        <v>4</v>
      </c>
      <c r="AN8" s="3">
        <f t="shared" si="25"/>
        <v>1250</v>
      </c>
      <c r="AO8" s="3">
        <v>-0.33677573938814476</v>
      </c>
      <c r="AP8" s="3">
        <f t="shared" si="26"/>
        <v>1500</v>
      </c>
      <c r="AQ8" s="3">
        <v>87.054022023510015</v>
      </c>
      <c r="AR8" s="3">
        <f t="shared" si="17"/>
        <v>1375</v>
      </c>
      <c r="AS8" s="3">
        <v>45.687515872547465</v>
      </c>
      <c r="AT8" s="3">
        <f t="shared" si="18"/>
        <v>-15.386446938784772</v>
      </c>
      <c r="AU8" s="3">
        <f t="shared" si="19"/>
        <v>3977.2820129682104</v>
      </c>
      <c r="AV8" s="3">
        <f t="shared" si="20"/>
        <v>250</v>
      </c>
      <c r="AX8" s="3" t="s">
        <v>191</v>
      </c>
      <c r="AY8" s="3">
        <f>$C$18</f>
        <v>5</v>
      </c>
      <c r="AZ8" s="27"/>
      <c r="BA8"/>
      <c r="BB8"/>
      <c r="BC8"/>
      <c r="BD8"/>
      <c r="BE8"/>
      <c r="BF8" s="3" t="s">
        <v>192</v>
      </c>
      <c r="BG8" s="38">
        <f>$AY$45*BG7*$AY$27/$AY$46</f>
        <v>168255.65851218367</v>
      </c>
      <c r="BH8" s="27"/>
      <c r="BI8"/>
      <c r="BJ8" s="3" t="s">
        <v>192</v>
      </c>
      <c r="BK8" s="38">
        <f>$AY$45*BK7*$AY$28/$AY$46</f>
        <v>266730.85593597754</v>
      </c>
      <c r="BL8" s="27"/>
      <c r="BM8"/>
      <c r="BN8" s="3" t="s">
        <v>193</v>
      </c>
      <c r="BO8" s="3">
        <f xml:space="preserve"> $AY$8*$AY$27 / (2*PI()*$AY$19)</f>
        <v>0.32501713021409195</v>
      </c>
      <c r="BP8" s="3"/>
      <c r="BQ8" s="3"/>
      <c r="BR8" s="3" t="s">
        <v>193</v>
      </c>
      <c r="BS8" s="3">
        <f xml:space="preserve"> $AY$8*$AY$28 / (2*PI()*$AY$20)</f>
        <v>0.19384792849394444</v>
      </c>
      <c r="BT8" s="3"/>
      <c r="BU8"/>
      <c r="BV8" s="3">
        <v>4</v>
      </c>
      <c r="BW8" s="3">
        <f t="shared" si="21"/>
        <v>3.1415926535897934E-2</v>
      </c>
      <c r="BX8" s="3">
        <v>-1.783888947776217</v>
      </c>
      <c r="BY8" s="3">
        <f t="shared" si="22"/>
        <v>0.38091810924776243</v>
      </c>
      <c r="BZ8" s="3">
        <v>9.482930131713381E-2</v>
      </c>
      <c r="CA8" s="3">
        <f t="shared" si="7"/>
        <v>0.20616701789183017</v>
      </c>
      <c r="CB8" s="3">
        <v>-0.49268415959742812</v>
      </c>
      <c r="CC8" s="3">
        <f t="shared" si="8"/>
        <v>0.87889382705026575</v>
      </c>
      <c r="CD8" s="3">
        <f t="shared" si="9"/>
        <v>-4.6720894624643357E-2</v>
      </c>
      <c r="CE8" s="3">
        <f t="shared" si="10"/>
        <v>0.34950218271186451</v>
      </c>
      <c r="CF8"/>
      <c r="CG8" s="3">
        <v>4</v>
      </c>
      <c r="CH8" s="3">
        <f t="shared" si="23"/>
        <v>3.1415926535897934E-2</v>
      </c>
      <c r="CI8" s="3">
        <v>-1.2406456267517272</v>
      </c>
      <c r="CJ8" s="3">
        <f t="shared" si="24"/>
        <v>0.38091810924776243</v>
      </c>
      <c r="CK8" s="3">
        <v>0.23247065624006802</v>
      </c>
      <c r="CL8" s="3">
        <f t="shared" si="11"/>
        <v>0.20616701789183017</v>
      </c>
      <c r="CM8" s="3">
        <v>-0.20070670540745617</v>
      </c>
      <c r="CN8" s="3">
        <f t="shared" si="12"/>
        <v>0.24900589632350772</v>
      </c>
      <c r="CO8" s="3">
        <f t="shared" si="13"/>
        <v>-4.6658419517853343E-2</v>
      </c>
      <c r="CP8" s="3">
        <f t="shared" si="14"/>
        <v>0.34950218271186451</v>
      </c>
    </row>
    <row r="9" spans="2:94" x14ac:dyDescent="0.2">
      <c r="B9" s="7" t="s">
        <v>9</v>
      </c>
      <c r="C9" s="18">
        <v>50</v>
      </c>
      <c r="D9" s="7" t="s">
        <v>10</v>
      </c>
      <c r="F9" t="s">
        <v>22</v>
      </c>
      <c r="G9" s="7">
        <f xml:space="preserve"> $C$5 * $C$43 / $C$17</f>
        <v>3066.712906795306</v>
      </c>
      <c r="H9" s="7" t="s">
        <v>23</v>
      </c>
      <c r="J9" s="7" t="s">
        <v>25</v>
      </c>
      <c r="K9" s="7">
        <f xml:space="preserve"> (G6 + G19 + G29 + G39 + G51)/60</f>
        <v>34.67079771753523</v>
      </c>
      <c r="L9" s="7" t="s">
        <v>126</v>
      </c>
      <c r="N9" s="7" t="s">
        <v>42</v>
      </c>
      <c r="O9" s="7">
        <f xml:space="preserve"> O4 *$O$8 * PI() * $C$7^2</f>
        <v>615.64050708934565</v>
      </c>
      <c r="P9" s="7" t="s">
        <v>23</v>
      </c>
      <c r="R9" s="7" t="s">
        <v>42</v>
      </c>
      <c r="S9" s="7">
        <f xml:space="preserve"> S4 *$S$8 * PI() * $C$7 * $C$7</f>
        <v>615.64050708934565</v>
      </c>
      <c r="T9" s="7" t="s">
        <v>23</v>
      </c>
      <c r="V9" s="7" t="s">
        <v>42</v>
      </c>
      <c r="W9" s="7">
        <f xml:space="preserve"> W4 *$W$8 * PI() * $C$7 * $C$7</f>
        <v>615.64050708934565</v>
      </c>
      <c r="X9" s="7" t="s">
        <v>23</v>
      </c>
      <c r="AB9" s="3">
        <v>5</v>
      </c>
      <c r="AC9" s="3">
        <f t="shared" si="15"/>
        <v>3.125E-2</v>
      </c>
      <c r="AD9" s="3">
        <f t="shared" si="0"/>
        <v>5.0215949082570294E-3</v>
      </c>
      <c r="AE9" s="3">
        <f t="shared" si="16"/>
        <v>6.25E-2</v>
      </c>
      <c r="AF9" s="3">
        <f t="shared" si="1"/>
        <v>-2.6561966322007712E-2</v>
      </c>
      <c r="AG9" s="3">
        <f t="shared" si="3"/>
        <v>4.6875E-2</v>
      </c>
      <c r="AH9" s="3">
        <f t="shared" si="2"/>
        <v>-1.0744320307733757E-2</v>
      </c>
      <c r="AI9" s="3">
        <f t="shared" si="4"/>
        <v>-5.3953624149998432E-5</v>
      </c>
      <c r="AJ9" s="3">
        <f t="shared" si="5"/>
        <v>2.853902741668876E-4</v>
      </c>
      <c r="AK9" s="3">
        <f t="shared" si="6"/>
        <v>3.125E-2</v>
      </c>
      <c r="AM9" s="3">
        <v>5</v>
      </c>
      <c r="AN9" s="3">
        <f t="shared" si="25"/>
        <v>1250</v>
      </c>
      <c r="AO9" s="3">
        <v>-0.33677573938814476</v>
      </c>
      <c r="AP9" s="3">
        <f t="shared" si="26"/>
        <v>1375</v>
      </c>
      <c r="AQ9" s="3">
        <v>45.687515872547465</v>
      </c>
      <c r="AR9" s="3">
        <f t="shared" si="17"/>
        <v>1312.5</v>
      </c>
      <c r="AS9" s="3">
        <v>23.261236463530167</v>
      </c>
      <c r="AT9" s="3">
        <f t="shared" si="18"/>
        <v>-7.8338201090878457</v>
      </c>
      <c r="AU9" s="3">
        <f t="shared" si="19"/>
        <v>1062.7481101426145</v>
      </c>
      <c r="AV9" s="3">
        <f t="shared" si="20"/>
        <v>125</v>
      </c>
      <c r="AX9" s="3" t="s">
        <v>194</v>
      </c>
      <c r="AY9" s="3">
        <f>2*$C$7</f>
        <v>3</v>
      </c>
      <c r="AZ9" s="27" t="s">
        <v>8</v>
      </c>
      <c r="BA9"/>
      <c r="BB9" s="59" t="s">
        <v>195</v>
      </c>
      <c r="BC9" s="59"/>
      <c r="BD9" s="59"/>
      <c r="BE9"/>
      <c r="BF9" s="3" t="s">
        <v>196</v>
      </c>
      <c r="BG9" s="34">
        <f xml:space="preserve"> $BO$8 * PI() * $AY$45 * BG7^2 *$BO$14 * $AY$19 * BG4</f>
        <v>25.912680474191088</v>
      </c>
      <c r="BH9" s="27" t="s">
        <v>23</v>
      </c>
      <c r="BI9"/>
      <c r="BJ9" s="3" t="s">
        <v>196</v>
      </c>
      <c r="BK9" s="34">
        <f xml:space="preserve"> $BS$8 * PI() * $AY$45 * BK7^2 * $BS$14 * $AY$20 * BK4</f>
        <v>86.330626816884617</v>
      </c>
      <c r="BL9" s="27" t="s">
        <v>23</v>
      </c>
      <c r="BM9"/>
      <c r="BN9" s="3" t="s">
        <v>197</v>
      </c>
      <c r="BO9" s="3">
        <f>IF(-$AY$8*($BC$3-$AY$19)/(2*$AY$19*SIN(BO4))&gt;500, 1, 2*ACOS(MIN(1, EXP(-$AY$8*($BC$3-$AY$19)/(2*$AY$19*SIN(BO4)))))/PI() )</f>
        <v>0.99999999999999933</v>
      </c>
      <c r="BP9" s="3"/>
      <c r="BQ9" s="3"/>
      <c r="BR9" s="3" t="s">
        <v>197</v>
      </c>
      <c r="BS9" s="3">
        <f>IF(-$AY$8*($BC$3-$AY$20)/(2*$AY$20*SIN(BS4))&gt;500, 1, 2*ACOS(MIN(1, EXP(-$AY$8*($BC$3-$AY$20)/(2*$AY$20*SIN(BS4)))))/PI() )</f>
        <v>0.99999999992034505</v>
      </c>
      <c r="BT9" s="3"/>
      <c r="BU9"/>
      <c r="BV9" s="3">
        <v>5</v>
      </c>
      <c r="BW9" s="3">
        <f t="shared" si="21"/>
        <v>0.20616701789183017</v>
      </c>
      <c r="BX9" s="3">
        <v>-0.49268415959742812</v>
      </c>
      <c r="BY9" s="3">
        <f t="shared" si="22"/>
        <v>0.38091810924776243</v>
      </c>
      <c r="BZ9" s="3">
        <v>9.482930131713381E-2</v>
      </c>
      <c r="CA9" s="3">
        <f t="shared" si="7"/>
        <v>0.2935425635697963</v>
      </c>
      <c r="CB9" s="3">
        <v>-0.17829078251560215</v>
      </c>
      <c r="CC9" s="3">
        <f t="shared" si="8"/>
        <v>8.7841044347667277E-2</v>
      </c>
      <c r="CD9" s="3">
        <f t="shared" si="9"/>
        <v>-1.690719033723961E-2</v>
      </c>
      <c r="CE9" s="3">
        <f t="shared" si="10"/>
        <v>0.17475109135593225</v>
      </c>
      <c r="CF9"/>
      <c r="CG9" s="3">
        <v>5</v>
      </c>
      <c r="CH9" s="3">
        <f t="shared" si="23"/>
        <v>0.20616701789183017</v>
      </c>
      <c r="CI9" s="3">
        <v>-0.20070670540745617</v>
      </c>
      <c r="CJ9" s="3">
        <f t="shared" si="24"/>
        <v>0.38091810924776243</v>
      </c>
      <c r="CK9" s="3">
        <v>0.23247065624006802</v>
      </c>
      <c r="CL9" s="3">
        <f t="shared" si="11"/>
        <v>0.2935425635697963</v>
      </c>
      <c r="CM9" s="3">
        <v>3.7308944539131764E-2</v>
      </c>
      <c r="CN9" s="3">
        <f t="shared" si="12"/>
        <v>-7.4881553406786396E-3</v>
      </c>
      <c r="CO9" s="3">
        <f t="shared" si="13"/>
        <v>8.673234820636264E-3</v>
      </c>
      <c r="CP9" s="3">
        <f t="shared" si="14"/>
        <v>0.17475109135593225</v>
      </c>
    </row>
    <row r="10" spans="2:94" x14ac:dyDescent="0.2">
      <c r="B10" s="7" t="s">
        <v>77</v>
      </c>
      <c r="C10" s="18">
        <v>0.3</v>
      </c>
      <c r="F10" s="7" t="s">
        <v>237</v>
      </c>
      <c r="G10" s="7">
        <f>BC10</f>
        <v>3066.7129014453935</v>
      </c>
      <c r="H10" s="7" t="s">
        <v>23</v>
      </c>
      <c r="N10" s="7" t="s">
        <v>43</v>
      </c>
      <c r="O10" s="7">
        <f xml:space="preserve"> O9</f>
        <v>615.64050708934565</v>
      </c>
      <c r="P10" s="7" t="s">
        <v>23</v>
      </c>
      <c r="R10" s="7" t="s">
        <v>43</v>
      </c>
      <c r="S10" s="7">
        <f xml:space="preserve"> S9</f>
        <v>615.64050708934565</v>
      </c>
      <c r="T10" s="7" t="s">
        <v>23</v>
      </c>
      <c r="V10" s="7" t="s">
        <v>43</v>
      </c>
      <c r="W10" s="7">
        <f xml:space="preserve"> W9 + W40</f>
        <v>615.64050708934565</v>
      </c>
      <c r="X10" s="7" t="s">
        <v>23</v>
      </c>
      <c r="AB10" s="3">
        <v>6</v>
      </c>
      <c r="AC10" s="3">
        <f t="shared" si="15"/>
        <v>3.125E-2</v>
      </c>
      <c r="AD10" s="3">
        <f t="shared" si="0"/>
        <v>5.0215949082570294E-3</v>
      </c>
      <c r="AE10" s="3">
        <f t="shared" si="16"/>
        <v>4.6875E-2</v>
      </c>
      <c r="AF10" s="3">
        <f t="shared" si="1"/>
        <v>-1.0744320307733757E-2</v>
      </c>
      <c r="AG10" s="3">
        <f t="shared" si="3"/>
        <v>3.90625E-2</v>
      </c>
      <c r="AH10" s="3">
        <f t="shared" si="2"/>
        <v>-2.8546657692824079E-3</v>
      </c>
      <c r="AI10" s="3">
        <f t="shared" si="4"/>
        <v>-1.4334975091804176E-5</v>
      </c>
      <c r="AJ10" s="3">
        <f t="shared" si="5"/>
        <v>3.0671443396693383E-5</v>
      </c>
      <c r="AK10" s="3">
        <f t="shared" si="6"/>
        <v>1.5625E-2</v>
      </c>
      <c r="AM10" s="3">
        <v>6</v>
      </c>
      <c r="AN10" s="3">
        <f t="shared" si="25"/>
        <v>1250</v>
      </c>
      <c r="AO10" s="3">
        <v>-0.33677573938814476</v>
      </c>
      <c r="AP10" s="3">
        <f t="shared" si="26"/>
        <v>1312.5</v>
      </c>
      <c r="AQ10" s="3">
        <v>23.261236463530167</v>
      </c>
      <c r="AR10" s="3">
        <f t="shared" si="17"/>
        <v>1281.25</v>
      </c>
      <c r="AS10" s="3">
        <v>11.608258331931552</v>
      </c>
      <c r="AT10" s="3">
        <f t="shared" si="18"/>
        <v>-3.9093797827448404</v>
      </c>
      <c r="AU10" s="3">
        <f t="shared" si="19"/>
        <v>270.02244198880408</v>
      </c>
      <c r="AV10" s="3">
        <f t="shared" si="20"/>
        <v>62.5</v>
      </c>
      <c r="AX10" s="3" t="s">
        <v>198</v>
      </c>
      <c r="AY10" s="4">
        <f>0.12*($AY$9/2)</f>
        <v>0.18</v>
      </c>
      <c r="AZ10" s="27" t="s">
        <v>8</v>
      </c>
      <c r="BA10"/>
      <c r="BB10" s="5" t="s">
        <v>199</v>
      </c>
      <c r="BC10" s="39">
        <f>BG9+BK9+BG18+BK18+BG27+BK27+BG36+BK36</f>
        <v>3066.7129014453935</v>
      </c>
      <c r="BD10" s="27" t="s">
        <v>23</v>
      </c>
      <c r="BE10"/>
      <c r="BF10" s="3" t="s">
        <v>200</v>
      </c>
      <c r="BG10" s="34">
        <f xml:space="preserve"> $BO$8 * PI() * $AY$45 * BG7^2 * $BO$15 * $AY$19^2 * BG4</f>
        <v>2.5339805546615861</v>
      </c>
      <c r="BH10" s="27" t="s">
        <v>201</v>
      </c>
      <c r="BI10"/>
      <c r="BJ10" s="3" t="s">
        <v>200</v>
      </c>
      <c r="BK10" s="34">
        <f xml:space="preserve"> $BS$8 * PI() * $AY$45 * BK7^2 * $BS$15 * $AY$20^2 * BK4</f>
        <v>11.079612717288388</v>
      </c>
      <c r="BL10" s="27" t="s">
        <v>201</v>
      </c>
      <c r="BM10"/>
      <c r="BN10" s="3" t="s">
        <v>202</v>
      </c>
      <c r="BO10" s="3">
        <f>IF(-$AY$8*($AY$19-$AY$10)/(2*$AY$19*SIN(BO4))&gt;500, 1, 2*ACOS(MIN(1, EXP(-$AY$8*($AY$19-$AY$10)/(2*$AY$19*SIN(BO4)))))/PI() )</f>
        <v>0.93593905180662662</v>
      </c>
      <c r="BP10" s="3"/>
      <c r="BQ10" s="3"/>
      <c r="BR10" s="3" t="s">
        <v>202</v>
      </c>
      <c r="BS10" s="3">
        <f>IF(-$AY$8*($AY$20-$AY$10)/(2*$AY$20*SIN(BS4))&gt;500, 1, 2*ACOS(MIN(1, EXP(-$AY$8*($AY$20-$AY$10)/(2*$AY$20*SIN(BS4)))))/PI() )</f>
        <v>0.9966989572026117</v>
      </c>
      <c r="BT10" s="3"/>
      <c r="BU10"/>
      <c r="BV10" s="3">
        <v>6</v>
      </c>
      <c r="BW10" s="3">
        <f t="shared" si="21"/>
        <v>0.2935425635697963</v>
      </c>
      <c r="BX10" s="3">
        <v>-0.17829078251560215</v>
      </c>
      <c r="BY10" s="3">
        <f t="shared" si="22"/>
        <v>0.38091810924776243</v>
      </c>
      <c r="BZ10" s="3">
        <v>9.482930131713381E-2</v>
      </c>
      <c r="CA10" s="3">
        <f t="shared" si="7"/>
        <v>0.33723033640877936</v>
      </c>
      <c r="CB10" s="3">
        <v>-3.6263188498869781E-2</v>
      </c>
      <c r="CC10" s="3">
        <f t="shared" si="8"/>
        <v>6.4653922539742777E-3</v>
      </c>
      <c r="CD10" s="3">
        <f t="shared" si="9"/>
        <v>-3.4388128288793439E-3</v>
      </c>
      <c r="CE10" s="3">
        <f t="shared" si="10"/>
        <v>8.7375545677966127E-2</v>
      </c>
      <c r="CF10"/>
      <c r="CG10" s="3">
        <v>6</v>
      </c>
      <c r="CH10" s="3">
        <f t="shared" si="23"/>
        <v>0.20616701789183017</v>
      </c>
      <c r="CI10" s="3">
        <v>-0.20070670540745617</v>
      </c>
      <c r="CJ10" s="3">
        <f t="shared" si="24"/>
        <v>0.2935425635697963</v>
      </c>
      <c r="CK10" s="3">
        <v>3.7308944539131764E-2</v>
      </c>
      <c r="CL10" s="3">
        <f t="shared" si="11"/>
        <v>0.24985479073081324</v>
      </c>
      <c r="CM10" s="3">
        <v>-7.580481610306912E-2</v>
      </c>
      <c r="CN10" s="3">
        <f t="shared" si="12"/>
        <v>1.5214534894065082E-2</v>
      </c>
      <c r="CO10" s="3">
        <f t="shared" si="13"/>
        <v>-2.8281976797884883E-3</v>
      </c>
      <c r="CP10" s="3">
        <f t="shared" si="14"/>
        <v>8.7375545677966127E-2</v>
      </c>
    </row>
    <row r="11" spans="2:94" x14ac:dyDescent="0.2">
      <c r="F11" s="7" t="s">
        <v>238</v>
      </c>
      <c r="G11" s="7">
        <f>G9-G10</f>
        <v>5.3499124987865798E-6</v>
      </c>
      <c r="H11" s="7" t="s">
        <v>23</v>
      </c>
      <c r="J11" s="51" t="s">
        <v>55</v>
      </c>
      <c r="K11" s="51"/>
      <c r="L11" s="51"/>
      <c r="N11" s="7" t="s">
        <v>139</v>
      </c>
      <c r="O11" s="7">
        <f>($O$8*PI()*$C$7^2)/(0.3048^2)/($C$5*2.20462/1000)^(2/3) + 0.4</f>
        <v>2.6006638380004725</v>
      </c>
      <c r="R11" s="7" t="s">
        <v>139</v>
      </c>
      <c r="S11" s="7">
        <f>($S$8*PI()*$C$7^2)/(0.3048^2)/($C$5*2.20462/1000)^(2/3) + 0.4</f>
        <v>2.6006638380004725</v>
      </c>
      <c r="V11" s="7" t="s">
        <v>139</v>
      </c>
      <c r="W11" s="7">
        <f>($W$8*PI()*$C$7^2)/(0.3048^2)/($C$5*2.20462/1000)^(2/3) + 0.4</f>
        <v>2.6006638380004725</v>
      </c>
      <c r="AB11" s="3">
        <v>7</v>
      </c>
      <c r="AC11" s="3">
        <f t="shared" si="15"/>
        <v>3.125E-2</v>
      </c>
      <c r="AD11" s="3">
        <f t="shared" si="0"/>
        <v>5.0215949082570294E-3</v>
      </c>
      <c r="AE11" s="3">
        <f t="shared" si="16"/>
        <v>3.90625E-2</v>
      </c>
      <c r="AF11" s="3">
        <f t="shared" si="1"/>
        <v>-2.8546657692824079E-3</v>
      </c>
      <c r="AG11" s="3">
        <f t="shared" si="3"/>
        <v>3.515625E-2</v>
      </c>
      <c r="AH11" s="3">
        <f t="shared" si="2"/>
        <v>1.0851639436988345E-3</v>
      </c>
      <c r="AI11" s="3">
        <f t="shared" si="4"/>
        <v>5.4492537343021847E-6</v>
      </c>
      <c r="AJ11" s="3">
        <f t="shared" si="5"/>
        <v>-3.0977803641365647E-6</v>
      </c>
      <c r="AK11" s="3">
        <f t="shared" si="6"/>
        <v>7.8125E-3</v>
      </c>
      <c r="AM11" s="3">
        <v>7</v>
      </c>
      <c r="AN11" s="3">
        <f t="shared" si="25"/>
        <v>1250</v>
      </c>
      <c r="AO11" s="3">
        <v>-0.33677573938814476</v>
      </c>
      <c r="AP11" s="3">
        <f t="shared" si="26"/>
        <v>1281.25</v>
      </c>
      <c r="AQ11" s="3">
        <v>11.608258331931552</v>
      </c>
      <c r="AR11" s="3">
        <f t="shared" si="17"/>
        <v>1265.625</v>
      </c>
      <c r="AS11" s="3">
        <v>5.6721175532131838</v>
      </c>
      <c r="AT11" s="3">
        <f t="shared" si="18"/>
        <v>-1.9102315828798444</v>
      </c>
      <c r="AU11" s="3">
        <f t="shared" si="19"/>
        <v>65.843405846782147</v>
      </c>
      <c r="AV11" s="3">
        <f t="shared" si="20"/>
        <v>31.25</v>
      </c>
      <c r="AX11" s="61" t="s">
        <v>203</v>
      </c>
      <c r="AY11" s="4" t="s">
        <v>241</v>
      </c>
      <c r="AZ11" s="27"/>
      <c r="BA11"/>
      <c r="BB11" s="5" t="s">
        <v>204</v>
      </c>
      <c r="BC11" s="39">
        <f>BG10+BK10+BG19+BK19+BG28+BK28+BG37+BK37</f>
        <v>606.69496170613093</v>
      </c>
      <c r="BD11" s="27" t="s">
        <v>201</v>
      </c>
      <c r="BE11"/>
      <c r="BF11"/>
      <c r="BG11" s="34"/>
      <c r="BH11"/>
      <c r="BI11"/>
      <c r="BJ11"/>
      <c r="BK11"/>
      <c r="BL11"/>
      <c r="BM11"/>
      <c r="BN11" s="3" t="s">
        <v>205</v>
      </c>
      <c r="BO11" s="3">
        <f>IF(BO4=0,1,BO9*BO10)</f>
        <v>0.93593905180662595</v>
      </c>
      <c r="BP11" s="3"/>
      <c r="BQ11" s="3"/>
      <c r="BR11" s="3" t="s">
        <v>205</v>
      </c>
      <c r="BS11" s="3">
        <f>IF(BS4=0,1,BS9*BS10)</f>
        <v>0.99669895712321965</v>
      </c>
      <c r="BT11" s="3"/>
      <c r="BU11"/>
      <c r="BV11" s="3">
        <v>7</v>
      </c>
      <c r="BW11" s="3">
        <f t="shared" si="21"/>
        <v>0.33723033640877936</v>
      </c>
      <c r="BX11" s="3">
        <v>-3.6263188498869781E-2</v>
      </c>
      <c r="BY11" s="3">
        <f t="shared" si="22"/>
        <v>0.38091810924776243</v>
      </c>
      <c r="BZ11" s="3">
        <v>9.482930131713381E-2</v>
      </c>
      <c r="CA11" s="3">
        <f t="shared" si="7"/>
        <v>0.35907422282827089</v>
      </c>
      <c r="CB11" s="3">
        <v>3.0699564007994631E-2</v>
      </c>
      <c r="CC11" s="3">
        <f t="shared" si="8"/>
        <v>-1.1132640764550275E-3</v>
      </c>
      <c r="CD11" s="3">
        <f t="shared" si="9"/>
        <v>2.9112182056187591E-3</v>
      </c>
      <c r="CE11" s="3">
        <f t="shared" si="10"/>
        <v>4.3687772838983063E-2</v>
      </c>
      <c r="CF11"/>
      <c r="CG11" s="3">
        <v>7</v>
      </c>
      <c r="CH11" s="3">
        <f t="shared" si="23"/>
        <v>0.24985479073081324</v>
      </c>
      <c r="CI11" s="3">
        <v>-7.580481610306912E-2</v>
      </c>
      <c r="CJ11" s="3">
        <f t="shared" si="24"/>
        <v>0.2935425635697963</v>
      </c>
      <c r="CK11" s="3">
        <v>3.7308944539131764E-2</v>
      </c>
      <c r="CL11" s="3">
        <f t="shared" si="11"/>
        <v>0.27169867715030477</v>
      </c>
      <c r="CM11" s="3">
        <v>-1.7866632103215423E-2</v>
      </c>
      <c r="CN11" s="3">
        <f t="shared" si="12"/>
        <v>1.3543767609654361E-3</v>
      </c>
      <c r="CO11" s="3">
        <f t="shared" si="13"/>
        <v>-6.6658518623993529E-4</v>
      </c>
      <c r="CP11" s="3">
        <f t="shared" si="14"/>
        <v>4.3687772838983063E-2</v>
      </c>
    </row>
    <row r="12" spans="2:94" x14ac:dyDescent="0.2">
      <c r="B12" s="53" t="s">
        <v>12</v>
      </c>
      <c r="C12" s="53"/>
      <c r="D12" s="53"/>
      <c r="F12" s="7" t="s">
        <v>239</v>
      </c>
      <c r="G12" s="5" t="str">
        <f>IF(ABS(G11)&lt;0.001, "TRUE", "FALSE")</f>
        <v>TRUE</v>
      </c>
      <c r="J12" s="11" t="s">
        <v>85</v>
      </c>
      <c r="K12" s="7">
        <f>C5</f>
        <v>1250.8707486431376</v>
      </c>
      <c r="L12" s="7" t="s">
        <v>7</v>
      </c>
      <c r="AB12" s="3">
        <v>8</v>
      </c>
      <c r="AC12" s="3">
        <f t="shared" si="15"/>
        <v>3.515625E-2</v>
      </c>
      <c r="AD12" s="3">
        <f t="shared" si="0"/>
        <v>1.0851639436988345E-3</v>
      </c>
      <c r="AE12" s="3">
        <f t="shared" si="16"/>
        <v>3.90625E-2</v>
      </c>
      <c r="AF12" s="3">
        <f t="shared" si="1"/>
        <v>-2.8546657692824079E-3</v>
      </c>
      <c r="AG12" s="3">
        <f t="shared" si="3"/>
        <v>3.7109375E-2</v>
      </c>
      <c r="AH12" s="3">
        <f t="shared" si="2"/>
        <v>-8.8432903677117952E-4</v>
      </c>
      <c r="AI12" s="3">
        <f t="shared" si="4"/>
        <v>-9.5964198507000477E-7</v>
      </c>
      <c r="AJ12" s="3">
        <f t="shared" si="5"/>
        <v>2.52446383005317E-6</v>
      </c>
      <c r="AK12" s="3">
        <f t="shared" si="6"/>
        <v>3.90625E-3</v>
      </c>
      <c r="AM12" s="3">
        <v>8</v>
      </c>
      <c r="AN12" s="3">
        <f t="shared" si="25"/>
        <v>1250</v>
      </c>
      <c r="AO12" s="3">
        <v>-0.33677573938814476</v>
      </c>
      <c r="AP12" s="3">
        <f t="shared" si="26"/>
        <v>1265.625</v>
      </c>
      <c r="AQ12" s="3">
        <v>5.6721175532131838</v>
      </c>
      <c r="AR12" s="3">
        <f t="shared" si="17"/>
        <v>1257.8125</v>
      </c>
      <c r="AS12" s="3">
        <v>2.6767494172792112</v>
      </c>
      <c r="AT12" s="3">
        <f t="shared" si="18"/>
        <v>-0.90146426416099201</v>
      </c>
      <c r="AU12" s="3">
        <f t="shared" si="19"/>
        <v>15.182837355302576</v>
      </c>
      <c r="AV12" s="3">
        <f t="shared" si="20"/>
        <v>15.625</v>
      </c>
      <c r="AX12" s="61"/>
      <c r="AY12" s="4" t="s">
        <v>241</v>
      </c>
      <c r="AZ12" s="27"/>
      <c r="BA12"/>
      <c r="BB12" s="5" t="s">
        <v>206</v>
      </c>
      <c r="BC12" s="39">
        <f>BC11*BC5/1000</f>
        <v>54.350855881954878</v>
      </c>
      <c r="BD12" s="27" t="s">
        <v>124</v>
      </c>
      <c r="BE12"/>
      <c r="BF12" s="60" t="s">
        <v>207</v>
      </c>
      <c r="BG12" s="60"/>
      <c r="BH12" s="60"/>
      <c r="BI12"/>
      <c r="BJ12" s="60" t="s">
        <v>208</v>
      </c>
      <c r="BK12" s="60"/>
      <c r="BL12" s="60"/>
      <c r="BM12"/>
      <c r="BN12" s="3" t="s">
        <v>209</v>
      </c>
      <c r="BO12" s="3">
        <f>IF(BO7&lt;$BH$43, $BC$44*BO7^2 + $BD$44*BO7 + $BE$44, IF(BO7&gt;$BI$43, $BJ$44*BO7^2 + $BK$44*BO7 + $BL$44, $BF$44*BO7^3 + $BG$44*BO7^2 + $BH$44*BO7 + $BI$44))</f>
        <v>0.9712526410803195</v>
      </c>
      <c r="BP12" s="3"/>
      <c r="BQ12" s="3"/>
      <c r="BR12" s="3" t="s">
        <v>209</v>
      </c>
      <c r="BS12" s="3">
        <f>IF(BS7&lt;$BH$43, $BC$44*BS7^2 + $BD$44*BS7 + $BE$44, IF(BS7&gt;$BI$43, $BJ$44*BS7^2 + $BK$44*BS7 + $BL$44, $BF$44*BS7^3 + $BG$44*BS7^2 + $BH$44*BS7 + $BI$44))</f>
        <v>1.2235844176061552</v>
      </c>
      <c r="BT12" s="3"/>
      <c r="BU12"/>
      <c r="BV12" s="3">
        <v>8</v>
      </c>
      <c r="BW12" s="3">
        <f t="shared" si="21"/>
        <v>0.33723033640877936</v>
      </c>
      <c r="BX12" s="3">
        <v>-3.6263188498869781E-2</v>
      </c>
      <c r="BY12" s="3">
        <f t="shared" si="22"/>
        <v>0.35907422282827089</v>
      </c>
      <c r="BZ12" s="3">
        <v>3.0699564007994631E-2</v>
      </c>
      <c r="CA12" s="3">
        <f t="shared" si="7"/>
        <v>0.34815227961852513</v>
      </c>
      <c r="CB12" s="3">
        <v>-2.4342926476736138E-3</v>
      </c>
      <c r="CC12" s="3">
        <f t="shared" si="8"/>
        <v>8.8275213144001056E-5</v>
      </c>
      <c r="CD12" s="3">
        <f t="shared" si="9"/>
        <v>-7.4731722951446822E-5</v>
      </c>
      <c r="CE12" s="3">
        <f t="shared" si="10"/>
        <v>2.1843886419491532E-2</v>
      </c>
      <c r="CF12"/>
      <c r="CG12" s="3">
        <v>8</v>
      </c>
      <c r="CH12" s="3">
        <f t="shared" si="23"/>
        <v>0.27169867715030477</v>
      </c>
      <c r="CI12" s="3">
        <v>-1.7866632103215423E-2</v>
      </c>
      <c r="CJ12" s="3">
        <f t="shared" si="24"/>
        <v>0.2935425635697963</v>
      </c>
      <c r="CK12" s="3">
        <v>3.7308944539131764E-2</v>
      </c>
      <c r="CL12" s="3">
        <f t="shared" si="11"/>
        <v>0.28262062036005053</v>
      </c>
      <c r="CM12" s="3">
        <v>1.0057852201782888E-2</v>
      </c>
      <c r="CN12" s="3">
        <f t="shared" si="12"/>
        <v>-1.7969994503777006E-4</v>
      </c>
      <c r="CO12" s="3">
        <f t="shared" si="13"/>
        <v>3.7524784997910207E-4</v>
      </c>
      <c r="CP12" s="3">
        <f t="shared" si="14"/>
        <v>2.1843886419491532E-2</v>
      </c>
    </row>
    <row r="13" spans="2:94" x14ac:dyDescent="0.2">
      <c r="B13" s="7" t="s">
        <v>72</v>
      </c>
      <c r="C13" s="7">
        <f>C24*100</f>
        <v>400</v>
      </c>
      <c r="D13" s="7" t="s">
        <v>7</v>
      </c>
      <c r="F13" s="43" t="s">
        <v>88</v>
      </c>
      <c r="G13" s="44">
        <f>$C$17 * BC12</f>
        <v>217.40342352781951</v>
      </c>
      <c r="H13" s="44" t="s">
        <v>124</v>
      </c>
      <c r="J13" s="12" t="s">
        <v>56</v>
      </c>
      <c r="K13" s="7">
        <f xml:space="preserve"> K8 * 1000 / ($C$35 * $C$36 * $C$37)</f>
        <v>420.35578421793531</v>
      </c>
      <c r="L13" s="7" t="s">
        <v>7</v>
      </c>
      <c r="N13" s="51" t="s">
        <v>78</v>
      </c>
      <c r="O13" s="57"/>
      <c r="P13" s="57"/>
      <c r="R13" s="51" t="s">
        <v>78</v>
      </c>
      <c r="S13" s="57"/>
      <c r="T13" s="57"/>
      <c r="V13" s="51" t="s">
        <v>78</v>
      </c>
      <c r="W13" s="57"/>
      <c r="X13" s="57"/>
      <c r="AB13" s="3">
        <v>9</v>
      </c>
      <c r="AC13" s="3">
        <f t="shared" si="15"/>
        <v>3.515625E-2</v>
      </c>
      <c r="AD13" s="3">
        <f t="shared" si="0"/>
        <v>1.0851639436988345E-3</v>
      </c>
      <c r="AE13" s="3">
        <f t="shared" si="16"/>
        <v>3.7109375E-2</v>
      </c>
      <c r="AF13" s="3">
        <f t="shared" si="1"/>
        <v>-8.8432903677117952E-4</v>
      </c>
      <c r="AG13" s="3">
        <f t="shared" si="3"/>
        <v>3.61328125E-2</v>
      </c>
      <c r="AH13" s="3">
        <f t="shared" si="2"/>
        <v>1.0052330462412273E-4</v>
      </c>
      <c r="AI13" s="3">
        <f t="shared" si="4"/>
        <v>1.0908426567955231E-7</v>
      </c>
      <c r="AJ13" s="3">
        <f t="shared" si="5"/>
        <v>-8.8895677151306313E-8</v>
      </c>
      <c r="AK13" s="3">
        <f t="shared" si="6"/>
        <v>1.953125E-3</v>
      </c>
      <c r="AM13" s="3">
        <v>9</v>
      </c>
      <c r="AN13" s="3">
        <f t="shared" si="25"/>
        <v>1250</v>
      </c>
      <c r="AO13" s="3">
        <v>-0.33677573938814476</v>
      </c>
      <c r="AP13" s="3">
        <f t="shared" si="26"/>
        <v>1257.8125</v>
      </c>
      <c r="AQ13" s="3">
        <v>2.6767494172792112</v>
      </c>
      <c r="AR13" s="3">
        <f t="shared" si="17"/>
        <v>1253.90625</v>
      </c>
      <c r="AS13" s="3">
        <v>1.172249406567289</v>
      </c>
      <c r="AT13" s="3">
        <f t="shared" si="18"/>
        <v>-0.3947851606440127</v>
      </c>
      <c r="AU13" s="3">
        <f t="shared" si="19"/>
        <v>3.137817915934892</v>
      </c>
      <c r="AV13" s="3">
        <f t="shared" si="20"/>
        <v>7.8125</v>
      </c>
      <c r="AX13" s="61"/>
      <c r="AY13" s="4" t="s">
        <v>241</v>
      </c>
      <c r="AZ13" s="27"/>
      <c r="BA13"/>
      <c r="BB13"/>
      <c r="BC13"/>
      <c r="BD13"/>
      <c r="BE13"/>
      <c r="BF13" s="3" t="s">
        <v>175</v>
      </c>
      <c r="BG13" s="3">
        <f>$AY$21-$AY$20</f>
        <v>0.16500000000000004</v>
      </c>
      <c r="BH13" s="27" t="s">
        <v>8</v>
      </c>
      <c r="BI13"/>
      <c r="BJ13" s="3" t="s">
        <v>175</v>
      </c>
      <c r="BK13" s="3">
        <f>$AY$22-$AY$21</f>
        <v>0.16500000000000004</v>
      </c>
      <c r="BL13" s="27" t="s">
        <v>8</v>
      </c>
      <c r="BM13"/>
      <c r="BN13" s="3" t="s">
        <v>210</v>
      </c>
      <c r="BO13" s="3">
        <f>IF(BO7&lt;$BH$43, $BC$45*BO7^2 + $BD$45*BO7 + $BE$45, IF(BO7&gt;$BI$43, $BJ$45*BO7^2 + $BK$45*BO7 + $BL$45, $BF$45*BO7^3 + $BG$45*BO7^2 + $BH$45*BO7 + $BI$45))</f>
        <v>7.4368343302734907E-3</v>
      </c>
      <c r="BP13" s="3"/>
      <c r="BQ13" s="3"/>
      <c r="BR13" s="3" t="s">
        <v>210</v>
      </c>
      <c r="BS13" s="3">
        <f>IF(BS7&lt;$BH$43, $BC$45*BS7^2 + $BD$45*BS7 + $BE$45, IF(BS7&gt;$BI$43, $BJ$45*BS7^2 + $BK$45*BS7 + $BL$45, $BF$45*BS7^3 + $BG$45*BS7^2 + $BH$45*BS7 + $BI$45))</f>
        <v>1.5898263504349051E-2</v>
      </c>
      <c r="BT13" s="3"/>
      <c r="BU13"/>
      <c r="BV13" s="3">
        <v>9</v>
      </c>
      <c r="BW13" s="3">
        <f t="shared" si="21"/>
        <v>0.34815227961852513</v>
      </c>
      <c r="BX13" s="3">
        <v>-2.4342926476736138E-3</v>
      </c>
      <c r="BY13" s="3">
        <f t="shared" si="22"/>
        <v>0.35907422282827089</v>
      </c>
      <c r="BZ13" s="3">
        <v>3.0699564007994631E-2</v>
      </c>
      <c r="CA13" s="3">
        <f t="shared" si="7"/>
        <v>0.35361325122339804</v>
      </c>
      <c r="CB13" s="3">
        <v>1.4220320998954109E-2</v>
      </c>
      <c r="CC13" s="3">
        <f t="shared" si="8"/>
        <v>-3.4616422855312684E-5</v>
      </c>
      <c r="CD13" s="3">
        <f t="shared" si="9"/>
        <v>4.3655765472162182E-4</v>
      </c>
      <c r="CE13" s="3">
        <f t="shared" si="10"/>
        <v>1.0921943209745766E-2</v>
      </c>
      <c r="CF13"/>
      <c r="CG13" s="3">
        <v>9</v>
      </c>
      <c r="CH13" s="3">
        <f t="shared" si="23"/>
        <v>0.27169867715030477</v>
      </c>
      <c r="CI13" s="3">
        <v>-1.7866632103215423E-2</v>
      </c>
      <c r="CJ13" s="3">
        <f t="shared" si="24"/>
        <v>0.28262062036005053</v>
      </c>
      <c r="CK13" s="3">
        <v>1.0057852201782888E-2</v>
      </c>
      <c r="CL13" s="3">
        <f t="shared" si="11"/>
        <v>0.27715964875517762</v>
      </c>
      <c r="CM13" s="3">
        <v>-3.8192345380559517E-3</v>
      </c>
      <c r="CN13" s="3">
        <f t="shared" si="12"/>
        <v>6.8236858407339597E-5</v>
      </c>
      <c r="CO13" s="3">
        <f t="shared" si="13"/>
        <v>-3.8413296507711307E-5</v>
      </c>
      <c r="CP13" s="3">
        <f t="shared" si="14"/>
        <v>1.0921943209745766E-2</v>
      </c>
    </row>
    <row r="14" spans="2:94" x14ac:dyDescent="0.2">
      <c r="B14" s="7" t="s">
        <v>13</v>
      </c>
      <c r="C14" s="18">
        <v>96000</v>
      </c>
      <c r="D14" s="7" t="s">
        <v>8</v>
      </c>
      <c r="J14" s="13" t="s">
        <v>157</v>
      </c>
      <c r="K14" s="7">
        <f xml:space="preserve"> $C$17 * (0.0095 * MAX(G9,O19,S19,W19,G52) - 1.9275)</f>
        <v>109.2681188646964</v>
      </c>
      <c r="L14" s="7" t="s">
        <v>7</v>
      </c>
      <c r="N14" s="7" t="s">
        <v>79</v>
      </c>
      <c r="O14" s="7">
        <f>SQRT((O10*COS(G24/180*PI()))^2 + (O10*SIN(G24/180*PI())+$C$5*$C$43)^2)</f>
        <v>12313.486196283831</v>
      </c>
      <c r="P14" s="7" t="s">
        <v>23</v>
      </c>
      <c r="R14" s="7" t="s">
        <v>79</v>
      </c>
      <c r="S14" s="7">
        <f xml:space="preserve"> SQRT( ($C$5*$C$43)^2 + S10^2)</f>
        <v>12282.290587559304</v>
      </c>
      <c r="T14" s="7" t="s">
        <v>23</v>
      </c>
      <c r="V14" s="7" t="s">
        <v>79</v>
      </c>
      <c r="W14" s="7">
        <f xml:space="preserve"> SQRT( (W10*COS(G44/180*PI()))^2 + ($C$5*$C$43 - W10*SIN(G44/180*PI()))^2 )</f>
        <v>12263.535132250941</v>
      </c>
      <c r="X14" s="7" t="s">
        <v>23</v>
      </c>
      <c r="AB14" s="3">
        <v>10</v>
      </c>
      <c r="AC14" s="3">
        <f t="shared" si="15"/>
        <v>3.61328125E-2</v>
      </c>
      <c r="AD14" s="3">
        <f t="shared" si="0"/>
        <v>1.0052330462412273E-4</v>
      </c>
      <c r="AE14" s="3">
        <f t="shared" si="16"/>
        <v>3.7109375E-2</v>
      </c>
      <c r="AF14" s="3">
        <f t="shared" si="1"/>
        <v>-8.8432903677117952E-4</v>
      </c>
      <c r="AG14" s="3">
        <f t="shared" si="3"/>
        <v>3.662109375E-2</v>
      </c>
      <c r="AH14" s="3">
        <f t="shared" si="2"/>
        <v>-3.9187645036001251E-4</v>
      </c>
      <c r="AI14" s="3">
        <f t="shared" si="4"/>
        <v>-3.9392715794559447E-8</v>
      </c>
      <c r="AJ14" s="3">
        <f t="shared" si="5"/>
        <v>3.4654772388017882E-7</v>
      </c>
      <c r="AK14" s="3">
        <f t="shared" si="6"/>
        <v>9.765625E-4</v>
      </c>
      <c r="AM14" s="3">
        <v>10</v>
      </c>
      <c r="AN14" s="3">
        <f t="shared" si="25"/>
        <v>1250</v>
      </c>
      <c r="AO14" s="3">
        <v>-0.33677573938814476</v>
      </c>
      <c r="AP14" s="3">
        <f t="shared" si="26"/>
        <v>1253.90625</v>
      </c>
      <c r="AQ14" s="3">
        <v>1.172249406567289</v>
      </c>
      <c r="AR14" s="3">
        <f t="shared" si="17"/>
        <v>1251.953125</v>
      </c>
      <c r="AS14" s="3">
        <v>0.41830800036632354</v>
      </c>
      <c r="AT14" s="3">
        <f t="shared" si="18"/>
        <v>-0.14087598611534494</v>
      </c>
      <c r="AU14" s="3">
        <f t="shared" si="19"/>
        <v>0.49036130519177212</v>
      </c>
      <c r="AV14" s="3">
        <f t="shared" si="20"/>
        <v>3.90625</v>
      </c>
      <c r="AX14" s="61"/>
      <c r="AY14" s="4" t="s">
        <v>241</v>
      </c>
      <c r="AZ14" s="27"/>
      <c r="BA14"/>
      <c r="BB14" s="59" t="s">
        <v>211</v>
      </c>
      <c r="BC14" s="59"/>
      <c r="BD14" s="59"/>
      <c r="BE14"/>
      <c r="BF14" s="3" t="s">
        <v>180</v>
      </c>
      <c r="BG14" s="3">
        <f>(1+$BO$37)*$AY$3</f>
        <v>12.145615763984653</v>
      </c>
      <c r="BH14" s="27" t="s">
        <v>10</v>
      </c>
      <c r="BI14"/>
      <c r="BJ14" s="3" t="s">
        <v>180</v>
      </c>
      <c r="BK14" s="3">
        <f>(1+$BS$37)*$AY$3</f>
        <v>13.575945781262703</v>
      </c>
      <c r="BL14" s="27" t="s">
        <v>10</v>
      </c>
      <c r="BM14"/>
      <c r="BN14" s="3" t="s">
        <v>212</v>
      </c>
      <c r="BO14" s="3">
        <f xml:space="preserve"> BO12*COS(BO4) - BO13*SIN(BO4)</f>
        <v>0.91017572552280468</v>
      </c>
      <c r="BP14" s="3"/>
      <c r="BQ14" s="3"/>
      <c r="BR14" s="3" t="s">
        <v>212</v>
      </c>
      <c r="BS14" s="3">
        <f xml:space="preserve"> BS12*COS(BS4) - BS13*SIN(BS4)</f>
        <v>1.1720128341739551</v>
      </c>
      <c r="BT14" s="3"/>
      <c r="BU14"/>
      <c r="BV14" s="3">
        <v>10</v>
      </c>
      <c r="BW14" s="3">
        <f t="shared" si="21"/>
        <v>0.34815227961852513</v>
      </c>
      <c r="BX14" s="3">
        <v>-2.4342926476736138E-3</v>
      </c>
      <c r="BY14" s="3">
        <f t="shared" si="22"/>
        <v>0.35361325122339804</v>
      </c>
      <c r="BZ14" s="3">
        <v>1.4220320998954109E-2</v>
      </c>
      <c r="CA14" s="3">
        <f t="shared" si="7"/>
        <v>0.35088276542096158</v>
      </c>
      <c r="CB14" s="3">
        <v>5.914833391214902E-3</v>
      </c>
      <c r="CC14" s="3">
        <f t="shared" si="8"/>
        <v>-1.4398435436448824E-5</v>
      </c>
      <c r="CD14" s="3">
        <f t="shared" si="9"/>
        <v>8.4110829478408207E-5</v>
      </c>
      <c r="CE14" s="3">
        <f t="shared" si="10"/>
        <v>5.4609716048729107E-3</v>
      </c>
      <c r="CF14"/>
      <c r="CG14" s="3">
        <v>10</v>
      </c>
      <c r="CH14" s="3">
        <f t="shared" si="23"/>
        <v>0.27715964875517762</v>
      </c>
      <c r="CI14" s="3">
        <v>-3.8192345380559517E-3</v>
      </c>
      <c r="CJ14" s="3">
        <f t="shared" si="24"/>
        <v>0.28262062036005053</v>
      </c>
      <c r="CK14" s="3">
        <v>1.0057852201782888E-2</v>
      </c>
      <c r="CL14" s="3">
        <f t="shared" si="11"/>
        <v>0.27989013455761408</v>
      </c>
      <c r="CM14" s="3">
        <v>3.1404695246571579E-3</v>
      </c>
      <c r="CN14" s="3">
        <f t="shared" si="12"/>
        <v>-1.1994189674282774E-5</v>
      </c>
      <c r="CO14" s="3">
        <f t="shared" si="13"/>
        <v>3.1586378323205058E-5</v>
      </c>
      <c r="CP14" s="3">
        <f t="shared" si="14"/>
        <v>5.4609716048729107E-3</v>
      </c>
    </row>
    <row r="15" spans="2:94" x14ac:dyDescent="0.2">
      <c r="F15" s="54" t="s">
        <v>98</v>
      </c>
      <c r="G15" s="55"/>
      <c r="H15" s="55"/>
      <c r="J15" s="13" t="s">
        <v>158</v>
      </c>
      <c r="K15" s="7">
        <f xml:space="preserve"> C44 * C17 * 0.0037 * C18^0.28 * (C7*3.28084)^1.5 * (G7*3.28084)^0.43 * (0.01742 * C18^0.66 * (C8*C7)*3.28084 * (C7*3.28084)^1.3 * (G7*3.28084)^0.67 + C43*3.28084 * 0.5*(K14/C17)*2.20462)^0.55 * 0.453592</f>
        <v>55.612033804218342</v>
      </c>
      <c r="L15" s="7" t="s">
        <v>7</v>
      </c>
      <c r="N15" s="7" t="s">
        <v>120</v>
      </c>
      <c r="O15" s="7">
        <f>ACOS(O10*COS(G24/180*PI())/O14) /PI() *180</f>
        <v>87.137876806424188</v>
      </c>
      <c r="P15" s="7" t="s">
        <v>44</v>
      </c>
      <c r="R15" s="7" t="s">
        <v>80</v>
      </c>
      <c r="S15" s="7">
        <f>$C$5*$C$43/S14</f>
        <v>0.99874299013950063</v>
      </c>
      <c r="V15" s="7" t="s">
        <v>120</v>
      </c>
      <c r="W15" s="7">
        <f xml:space="preserve"> ACOS(W10*COS(G44/180*PI())/W14) /PI() * 180</f>
        <v>87.12382887417931</v>
      </c>
      <c r="X15" s="7" t="s">
        <v>44</v>
      </c>
      <c r="AB15" s="3">
        <v>11</v>
      </c>
      <c r="AC15" s="3">
        <f t="shared" si="15"/>
        <v>3.61328125E-2</v>
      </c>
      <c r="AD15" s="3">
        <f t="shared" si="0"/>
        <v>1.0052330462412273E-4</v>
      </c>
      <c r="AE15" s="3">
        <f t="shared" si="16"/>
        <v>3.662109375E-2</v>
      </c>
      <c r="AF15" s="3">
        <f t="shared" si="1"/>
        <v>-3.9187645036001251E-4</v>
      </c>
      <c r="AG15" s="3">
        <f t="shared" si="3"/>
        <v>3.6376953125E-2</v>
      </c>
      <c r="AH15" s="3">
        <f t="shared" si="2"/>
        <v>-1.4566996301143553E-4</v>
      </c>
      <c r="AI15" s="3">
        <f t="shared" si="4"/>
        <v>-1.4643226066383225E-8</v>
      </c>
      <c r="AJ15" s="3">
        <f t="shared" si="5"/>
        <v>5.7084628028995677E-8</v>
      </c>
      <c r="AK15" s="3">
        <f t="shared" si="6"/>
        <v>4.8828125E-4</v>
      </c>
      <c r="AM15" s="3">
        <v>11</v>
      </c>
      <c r="AN15" s="3">
        <f t="shared" si="25"/>
        <v>1250</v>
      </c>
      <c r="AO15" s="3">
        <v>-0.33677573938814476</v>
      </c>
      <c r="AP15" s="3">
        <f t="shared" si="26"/>
        <v>1251.953125</v>
      </c>
      <c r="AQ15" s="3">
        <v>0.41830800036632354</v>
      </c>
      <c r="AR15" s="3">
        <f t="shared" si="17"/>
        <v>1250.9765625</v>
      </c>
      <c r="AS15" s="3">
        <v>4.0908596944177589E-2</v>
      </c>
      <c r="AT15" s="3">
        <f t="shared" si="18"/>
        <v>-1.3777022983207007E-2</v>
      </c>
      <c r="AU15" s="3">
        <f t="shared" si="19"/>
        <v>1.7112393385510821E-2</v>
      </c>
      <c r="AV15" s="3">
        <f t="shared" si="20"/>
        <v>1.953125</v>
      </c>
      <c r="AX15" s="61"/>
      <c r="AY15" s="4" t="s">
        <v>241</v>
      </c>
      <c r="AZ15" s="27"/>
      <c r="BA15"/>
      <c r="BB15" s="3" t="s">
        <v>213</v>
      </c>
      <c r="BC15" s="3">
        <f>BC10*(AY3/2 + SQRT( (AY3/2)^2 + BC10/(2*AY45*PI()*BC3^2) ) )/1000</f>
        <v>44.889576311340456</v>
      </c>
      <c r="BD15" s="27" t="s">
        <v>124</v>
      </c>
      <c r="BE15"/>
      <c r="BF15" s="3" t="s">
        <v>185</v>
      </c>
      <c r="BG15" s="3">
        <f>(1-$BO$38)*$BC$5*$AY$21</f>
        <v>50.613309804794596</v>
      </c>
      <c r="BH15" s="27" t="s">
        <v>10</v>
      </c>
      <c r="BI15"/>
      <c r="BJ15" s="3" t="s">
        <v>185</v>
      </c>
      <c r="BK15" s="3">
        <f>(1-$BS$38)*$BC$5*$AY$22</f>
        <v>65.373422961697472</v>
      </c>
      <c r="BL15" s="27" t="s">
        <v>10</v>
      </c>
      <c r="BM15"/>
      <c r="BN15" s="3" t="s">
        <v>214</v>
      </c>
      <c r="BO15" s="3">
        <f xml:space="preserve"> BO12*SIN(BO4) + BO13*COS(BO4)</f>
        <v>0.33906805803464901</v>
      </c>
      <c r="BP15" s="3"/>
      <c r="BQ15" s="3"/>
      <c r="BR15" s="3" t="s">
        <v>214</v>
      </c>
      <c r="BS15" s="3">
        <f xml:space="preserve"> BS12*SIN(BS4) + BS13*COS(BS4)</f>
        <v>0.35184868668588354</v>
      </c>
      <c r="BT15" s="3"/>
      <c r="BU15"/>
      <c r="BV15" s="3">
        <v>11</v>
      </c>
      <c r="BW15" s="3">
        <f t="shared" si="21"/>
        <v>0.34815227961852513</v>
      </c>
      <c r="BX15" s="3">
        <v>-2.4342926476736138E-3</v>
      </c>
      <c r="BY15" s="3">
        <f t="shared" si="22"/>
        <v>0.35088276542096158</v>
      </c>
      <c r="BZ15" s="3">
        <v>5.914833391214902E-3</v>
      </c>
      <c r="CA15" s="3">
        <f t="shared" si="7"/>
        <v>0.34951752251974333</v>
      </c>
      <c r="CB15" s="3">
        <v>1.7457125315522432E-3</v>
      </c>
      <c r="CC15" s="3">
        <f t="shared" si="8"/>
        <v>-4.2495751805093168E-6</v>
      </c>
      <c r="CD15" s="3">
        <f t="shared" si="9"/>
        <v>1.0325598773087506E-5</v>
      </c>
      <c r="CE15" s="3">
        <f t="shared" si="10"/>
        <v>2.7304858024364553E-3</v>
      </c>
      <c r="CF15"/>
      <c r="CG15" s="3">
        <v>11</v>
      </c>
      <c r="CH15" s="3">
        <f t="shared" si="23"/>
        <v>0.27715964875517762</v>
      </c>
      <c r="CI15" s="3">
        <v>-3.8192345380559517E-3</v>
      </c>
      <c r="CJ15" s="3">
        <f t="shared" si="24"/>
        <v>0.27989013455761408</v>
      </c>
      <c r="CK15" s="3">
        <v>3.1404695246571579E-3</v>
      </c>
      <c r="CL15" s="3">
        <f t="shared" si="11"/>
        <v>0.27852489165639582</v>
      </c>
      <c r="CM15" s="3">
        <v>-3.3407667277821074E-4</v>
      </c>
      <c r="CN15" s="3">
        <f t="shared" si="12"/>
        <v>1.275917167033359E-6</v>
      </c>
      <c r="CO15" s="3">
        <f t="shared" si="13"/>
        <v>-1.0491576097588324E-6</v>
      </c>
      <c r="CP15" s="3">
        <f t="shared" si="14"/>
        <v>2.7304858024364553E-3</v>
      </c>
    </row>
    <row r="16" spans="2:94" x14ac:dyDescent="0.2">
      <c r="B16" s="56" t="s">
        <v>135</v>
      </c>
      <c r="C16" s="56"/>
      <c r="D16" s="56"/>
      <c r="F16" s="2" t="s">
        <v>118</v>
      </c>
      <c r="G16" s="1">
        <f>$C$9</f>
        <v>50</v>
      </c>
      <c r="H16" t="s">
        <v>10</v>
      </c>
      <c r="J16" s="14" t="s">
        <v>57</v>
      </c>
      <c r="K16" s="7">
        <f xml:space="preserve"> 0.2138 * K4</f>
        <v>46.533623612161428</v>
      </c>
      <c r="L16" s="7" t="s">
        <v>7</v>
      </c>
      <c r="AB16" s="3">
        <v>12</v>
      </c>
      <c r="AC16" s="3">
        <f t="shared" si="15"/>
        <v>3.61328125E-2</v>
      </c>
      <c r="AD16" s="3">
        <f t="shared" si="0"/>
        <v>1.0052330462412273E-4</v>
      </c>
      <c r="AE16" s="3">
        <f t="shared" si="16"/>
        <v>3.6376953125E-2</v>
      </c>
      <c r="AF16" s="3">
        <f t="shared" si="1"/>
        <v>-1.4566996301143553E-4</v>
      </c>
      <c r="AG16" s="3">
        <f t="shared" si="3"/>
        <v>3.62548828125E-2</v>
      </c>
      <c r="AH16" s="3">
        <f t="shared" si="2"/>
        <v>-2.2571675992316687E-5</v>
      </c>
      <c r="AI16" s="3">
        <f t="shared" si="4"/>
        <v>-2.268979461652648E-9</v>
      </c>
      <c r="AJ16" s="3">
        <f t="shared" si="5"/>
        <v>3.2880152069068792E-9</v>
      </c>
      <c r="AK16" s="3">
        <f t="shared" si="6"/>
        <v>2.44140625E-4</v>
      </c>
      <c r="AM16" s="3">
        <v>12</v>
      </c>
      <c r="AN16" s="3">
        <f t="shared" si="25"/>
        <v>1250</v>
      </c>
      <c r="AO16" s="3">
        <v>-0.33677573938814476</v>
      </c>
      <c r="AP16" s="3">
        <f t="shared" si="26"/>
        <v>1250.9765625</v>
      </c>
      <c r="AQ16" s="3">
        <v>4.0908596944177589E-2</v>
      </c>
      <c r="AR16" s="3">
        <f t="shared" si="17"/>
        <v>1250.48828125</v>
      </c>
      <c r="AS16" s="3">
        <v>-0.14789651160049289</v>
      </c>
      <c r="AT16" s="3">
        <f t="shared" si="18"/>
        <v>4.980795704718332E-2</v>
      </c>
      <c r="AU16" s="3">
        <f t="shared" si="19"/>
        <v>-6.0502387825144485E-3</v>
      </c>
      <c r="AV16" s="3">
        <f t="shared" si="20"/>
        <v>0.9765625</v>
      </c>
      <c r="AX16" s="61"/>
      <c r="AY16" s="4" t="s">
        <v>241</v>
      </c>
      <c r="AZ16" s="27"/>
      <c r="BA16"/>
      <c r="BB16" s="3" t="s">
        <v>215</v>
      </c>
      <c r="BC16" s="3">
        <f>BC15/BC12</f>
        <v>0.82592216043177935</v>
      </c>
      <c r="BD16" s="27"/>
      <c r="BE16"/>
      <c r="BF16" s="3" t="s">
        <v>189</v>
      </c>
      <c r="BG16" s="3">
        <f>SQRT(BG14^2 + BG15^2)</f>
        <v>52.05019799849439</v>
      </c>
      <c r="BH16" s="27" t="s">
        <v>10</v>
      </c>
      <c r="BI16"/>
      <c r="BJ16" s="3" t="s">
        <v>189</v>
      </c>
      <c r="BK16" s="3">
        <f>SQRT(BK14^2 + BK15^2)</f>
        <v>66.768186538086979</v>
      </c>
      <c r="BL16" s="27" t="s">
        <v>10</v>
      </c>
      <c r="BM16"/>
      <c r="BN16" s="3" t="s">
        <v>39</v>
      </c>
      <c r="BO16" s="3">
        <f xml:space="preserve"> 4*BO11*SIN(BO4)*SIN(BO4) / (BO8*BO14)</f>
        <v>1.4794338481094635</v>
      </c>
      <c r="BP16" s="3"/>
      <c r="BQ16" s="3"/>
      <c r="BR16" s="3" t="s">
        <v>39</v>
      </c>
      <c r="BS16" s="3">
        <f xml:space="preserve"> 4*BS11*SIN(BS4)*SIN(BS4) / (BS8*BS14)</f>
        <v>1.3276912426568661</v>
      </c>
      <c r="BT16" s="3"/>
      <c r="BU16"/>
      <c r="BV16" s="3">
        <v>12</v>
      </c>
      <c r="BW16" s="3">
        <f t="shared" si="21"/>
        <v>0.34815227961852513</v>
      </c>
      <c r="BX16" s="3">
        <v>-2.4342926476736138E-3</v>
      </c>
      <c r="BY16" s="3">
        <f t="shared" si="22"/>
        <v>0.34951752251974333</v>
      </c>
      <c r="BZ16" s="3">
        <v>1.7457125315522432E-3</v>
      </c>
      <c r="CA16" s="3">
        <f t="shared" si="7"/>
        <v>0.34883490106913423</v>
      </c>
      <c r="CB16" s="3">
        <v>-3.4293109082902951E-4</v>
      </c>
      <c r="CC16" s="3">
        <f t="shared" si="8"/>
        <v>8.3479463306379878E-7</v>
      </c>
      <c r="CD16" s="3">
        <f t="shared" si="9"/>
        <v>-5.9865910271911738E-7</v>
      </c>
      <c r="CE16" s="3">
        <f t="shared" si="10"/>
        <v>1.3652429012181999E-3</v>
      </c>
      <c r="CF16"/>
      <c r="CG16" s="3">
        <v>12</v>
      </c>
      <c r="CH16" s="3">
        <f t="shared" si="23"/>
        <v>0.27852489165639582</v>
      </c>
      <c r="CI16" s="3">
        <v>-3.3407667277821074E-4</v>
      </c>
      <c r="CJ16" s="3">
        <f t="shared" si="24"/>
        <v>0.27989013455761408</v>
      </c>
      <c r="CK16" s="3">
        <v>3.1404695246571579E-3</v>
      </c>
      <c r="CL16" s="3">
        <f t="shared" si="11"/>
        <v>0.27920751310700498</v>
      </c>
      <c r="CM16" s="3">
        <v>1.4045209049202145E-3</v>
      </c>
      <c r="CN16" s="3">
        <f t="shared" si="12"/>
        <v>-4.6921767076318694E-7</v>
      </c>
      <c r="CO16" s="3">
        <f t="shared" si="13"/>
        <v>4.410855098645827E-6</v>
      </c>
      <c r="CP16" s="3">
        <f t="shared" si="14"/>
        <v>1.3652429012182554E-3</v>
      </c>
    </row>
    <row r="17" spans="2:94" x14ac:dyDescent="0.2">
      <c r="B17" s="7" t="s">
        <v>112</v>
      </c>
      <c r="C17" s="18">
        <v>4</v>
      </c>
      <c r="F17" t="s">
        <v>100</v>
      </c>
      <c r="G17" s="1">
        <v>2.54</v>
      </c>
      <c r="H17" t="s">
        <v>10</v>
      </c>
      <c r="J17" s="14" t="s">
        <v>83</v>
      </c>
      <c r="K17" s="7">
        <f xml:space="preserve"> 0.1149 * K4</f>
        <v>25.008013812148494</v>
      </c>
      <c r="L17" s="7" t="s">
        <v>7</v>
      </c>
      <c r="N17" s="51" t="s">
        <v>28</v>
      </c>
      <c r="O17" s="57"/>
      <c r="P17" s="57"/>
      <c r="R17" s="51" t="s">
        <v>28</v>
      </c>
      <c r="S17" s="57"/>
      <c r="T17" s="57"/>
      <c r="V17" s="51" t="s">
        <v>28</v>
      </c>
      <c r="W17" s="57"/>
      <c r="X17" s="57"/>
      <c r="AB17" s="3">
        <v>13</v>
      </c>
      <c r="AC17" s="3">
        <f t="shared" si="15"/>
        <v>3.61328125E-2</v>
      </c>
      <c r="AD17" s="3">
        <f t="shared" si="0"/>
        <v>1.0052330462412273E-4</v>
      </c>
      <c r="AE17" s="3">
        <f t="shared" si="16"/>
        <v>3.62548828125E-2</v>
      </c>
      <c r="AF17" s="3">
        <f t="shared" si="1"/>
        <v>-2.2571675992316687E-5</v>
      </c>
      <c r="AG17" s="3">
        <f t="shared" si="3"/>
        <v>3.619384765625E-2</v>
      </c>
      <c r="AH17" s="3">
        <f t="shared" si="2"/>
        <v>3.897622770815401E-5</v>
      </c>
      <c r="AI17" s="3">
        <f t="shared" si="4"/>
        <v>3.9180192110059386E-9</v>
      </c>
      <c r="AJ17" s="3">
        <f t="shared" si="5"/>
        <v>-8.797587832312083E-10</v>
      </c>
      <c r="AK17" s="3">
        <f t="shared" si="6"/>
        <v>1.220703125E-4</v>
      </c>
      <c r="AM17" s="3">
        <v>13</v>
      </c>
      <c r="AN17" s="3">
        <f t="shared" si="25"/>
        <v>1250.48828125</v>
      </c>
      <c r="AO17" s="3">
        <v>-0.14789651160049289</v>
      </c>
      <c r="AP17" s="3">
        <f t="shared" si="26"/>
        <v>1250.9765625</v>
      </c>
      <c r="AQ17" s="3">
        <v>4.0908596944177589E-2</v>
      </c>
      <c r="AR17" s="3">
        <f t="shared" si="17"/>
        <v>1250.732421875</v>
      </c>
      <c r="AS17" s="3">
        <v>-5.3484599374769459E-2</v>
      </c>
      <c r="AT17" s="3">
        <f t="shared" si="18"/>
        <v>7.9101856718783066E-3</v>
      </c>
      <c r="AU17" s="3">
        <f t="shared" si="19"/>
        <v>-2.1879799185432563E-3</v>
      </c>
      <c r="AV17" s="3">
        <f t="shared" si="20"/>
        <v>0.48828125</v>
      </c>
      <c r="AX17" s="61"/>
      <c r="AY17" s="4" t="s">
        <v>241</v>
      </c>
      <c r="AZ17" s="27"/>
      <c r="BA17"/>
      <c r="BB17" s="3" t="s">
        <v>212</v>
      </c>
      <c r="BC17" s="3">
        <f>BC10/($AY$45*BC6^2*AY9^4)</f>
        <v>0.15203366017936182</v>
      </c>
      <c r="BD17" s="3"/>
      <c r="BE17"/>
      <c r="BF17" s="3" t="s">
        <v>192</v>
      </c>
      <c r="BG17" s="38">
        <f>$AY$45*BG16*$AY$29/$AY$46</f>
        <v>360118.85900357494</v>
      </c>
      <c r="BH17" s="27"/>
      <c r="BI17"/>
      <c r="BJ17" s="3" t="s">
        <v>192</v>
      </c>
      <c r="BK17" s="38">
        <f>$AY$45*BK16*$AY$30/$AY$46</f>
        <v>447892.40745691862</v>
      </c>
      <c r="BL17" s="27"/>
      <c r="BM17"/>
      <c r="BN17" s="3" t="s">
        <v>216</v>
      </c>
      <c r="BO17" s="3">
        <f xml:space="preserve"> 4*BO11*SIN(BO4)*COS(BO4) / (BO8*BO15)</f>
        <v>10.915126864625378</v>
      </c>
      <c r="BP17" s="3"/>
      <c r="BQ17" s="3"/>
      <c r="BR17" s="3" t="s">
        <v>216</v>
      </c>
      <c r="BS17" s="3">
        <f xml:space="preserve"> 4*BS11*SIN(BS4)*COS(BS4) / (BS8*BS15)</f>
        <v>15.458098554300474</v>
      </c>
      <c r="BT17" s="3"/>
      <c r="BU17"/>
      <c r="BV17" s="3">
        <v>13</v>
      </c>
      <c r="BW17" s="3">
        <f t="shared" si="21"/>
        <v>0.34883490106913423</v>
      </c>
      <c r="BX17" s="3">
        <v>-3.4293109082902951E-4</v>
      </c>
      <c r="BY17" s="3">
        <f t="shared" si="22"/>
        <v>0.34951752251974333</v>
      </c>
      <c r="BZ17" s="3">
        <v>1.7457125315522432E-3</v>
      </c>
      <c r="CA17" s="3">
        <f t="shared" si="7"/>
        <v>0.34917621179443881</v>
      </c>
      <c r="CB17" s="3">
        <v>7.0173065840506421E-4</v>
      </c>
      <c r="CC17" s="3">
        <f t="shared" si="8"/>
        <v>-2.4064526015502173E-7</v>
      </c>
      <c r="CD17" s="3">
        <f t="shared" si="9"/>
        <v>1.225020004152127E-6</v>
      </c>
      <c r="CE17" s="3">
        <f t="shared" si="10"/>
        <v>6.8262145060909996E-4</v>
      </c>
      <c r="CF17"/>
      <c r="CG17" s="3">
        <v>13</v>
      </c>
      <c r="CH17" s="3">
        <f t="shared" si="23"/>
        <v>0.27852489165639582</v>
      </c>
      <c r="CI17" s="3">
        <v>-3.3407667277821074E-4</v>
      </c>
      <c r="CJ17" s="3">
        <f t="shared" si="24"/>
        <v>0.27920751310700498</v>
      </c>
      <c r="CK17" s="3">
        <v>1.4045209049202145E-3</v>
      </c>
      <c r="CL17" s="3">
        <f t="shared" si="11"/>
        <v>0.2788662023817004</v>
      </c>
      <c r="CM17" s="3">
        <v>5.355534818676233E-4</v>
      </c>
      <c r="CN17" s="3">
        <f t="shared" si="12"/>
        <v>-1.7891592531712141E-7</v>
      </c>
      <c r="CO17" s="3">
        <f t="shared" si="13"/>
        <v>7.5219606098588597E-7</v>
      </c>
      <c r="CP17" s="3">
        <f t="shared" si="14"/>
        <v>6.8262145060915547E-4</v>
      </c>
    </row>
    <row r="18" spans="2:94" x14ac:dyDescent="0.2">
      <c r="B18" t="s">
        <v>134</v>
      </c>
      <c r="C18" s="1">
        <v>5</v>
      </c>
      <c r="D18"/>
      <c r="F18" t="s">
        <v>99</v>
      </c>
      <c r="G18" s="1">
        <v>304.8</v>
      </c>
      <c r="H18" t="s">
        <v>8</v>
      </c>
      <c r="J18" s="15" t="s">
        <v>64</v>
      </c>
      <c r="K18" s="7">
        <f xml:space="preserve"> $C$44 * (14.86 * ($C$5*2.20462)^0.144 * ($C$25/(PI()*$C$26))^0.778 * ($C$25*3.28084)^0.383 * $C$24^0.455 * 0.453592)</f>
        <v>88.037494710187843</v>
      </c>
      <c r="L18" s="7" t="s">
        <v>7</v>
      </c>
      <c r="N18" s="7" t="s">
        <v>29</v>
      </c>
      <c r="O18" s="7">
        <f xml:space="preserve"> 90 + G24 - O15</f>
        <v>5.7740021283445202</v>
      </c>
      <c r="P18" s="7" t="s">
        <v>44</v>
      </c>
      <c r="R18" s="7" t="s">
        <v>29</v>
      </c>
      <c r="S18" s="7">
        <f xml:space="preserve"> ACOS(S15)/PI()*180</f>
        <v>2.873111468318037</v>
      </c>
      <c r="T18" s="7" t="s">
        <v>44</v>
      </c>
      <c r="V18" s="7" t="s">
        <v>29</v>
      </c>
      <c r="W18" s="7">
        <f>90-G44-W15</f>
        <v>1.1295252471859953</v>
      </c>
      <c r="X18" s="7" t="s">
        <v>44</v>
      </c>
      <c r="AB18" s="3">
        <v>14</v>
      </c>
      <c r="AC18" s="3">
        <f t="shared" si="15"/>
        <v>3.619384765625E-2</v>
      </c>
      <c r="AD18" s="3">
        <f t="shared" si="0"/>
        <v>3.897622770815401E-5</v>
      </c>
      <c r="AE18" s="3">
        <f t="shared" si="16"/>
        <v>3.62548828125E-2</v>
      </c>
      <c r="AF18" s="3">
        <f t="shared" si="1"/>
        <v>-2.2571675992316687E-5</v>
      </c>
      <c r="AG18" s="3">
        <f t="shared" si="3"/>
        <v>3.6224365234375E-2</v>
      </c>
      <c r="AH18" s="3">
        <f t="shared" si="2"/>
        <v>8.2023791945079472E-6</v>
      </c>
      <c r="AI18" s="3">
        <f t="shared" si="4"/>
        <v>3.1969779923376664E-10</v>
      </c>
      <c r="AJ18" s="3">
        <f t="shared" si="5"/>
        <v>-1.8514144554455292E-10</v>
      </c>
      <c r="AK18" s="3">
        <f t="shared" si="6"/>
        <v>6.103515625E-5</v>
      </c>
      <c r="AM18" s="3">
        <v>14</v>
      </c>
      <c r="AN18" s="3">
        <f t="shared" si="25"/>
        <v>1250.732421875</v>
      </c>
      <c r="AO18" s="3">
        <v>-5.3484599374769459E-2</v>
      </c>
      <c r="AP18" s="3">
        <f t="shared" si="26"/>
        <v>1250.9765625</v>
      </c>
      <c r="AQ18" s="3">
        <v>4.0908596944177589E-2</v>
      </c>
      <c r="AR18" s="3">
        <f t="shared" si="17"/>
        <v>1250.8544921875</v>
      </c>
      <c r="AS18" s="3">
        <v>-6.2888423658478132E-3</v>
      </c>
      <c r="AT18" s="3">
        <f t="shared" si="18"/>
        <v>3.3635621446844762E-4</v>
      </c>
      <c r="AU18" s="3">
        <f t="shared" si="19"/>
        <v>-2.5726771758993641E-4</v>
      </c>
      <c r="AV18" s="3">
        <f t="shared" si="20"/>
        <v>0.244140625</v>
      </c>
      <c r="AX18" s="61"/>
      <c r="AY18" s="4" t="s">
        <v>241</v>
      </c>
      <c r="BA18"/>
      <c r="BB18" s="3" t="s">
        <v>214</v>
      </c>
      <c r="BC18" s="3">
        <f>BC11/($AY$45*BC6^2*AY9^5)</f>
        <v>1.0025724459685319E-2</v>
      </c>
      <c r="BD18" s="27"/>
      <c r="BE18"/>
      <c r="BF18" s="3" t="s">
        <v>196</v>
      </c>
      <c r="BG18" s="34">
        <f xml:space="preserve"> $BO$27 * PI() * $AY$45 * BG16^2 *$BO$33 * $AY$21 * BG13</f>
        <v>175.510701045925</v>
      </c>
      <c r="BH18" s="27" t="s">
        <v>23</v>
      </c>
      <c r="BI18"/>
      <c r="BJ18" s="3" t="s">
        <v>196</v>
      </c>
      <c r="BK18" s="34">
        <f xml:space="preserve"> $BS$27 * PI() * $AY$45 * BK16^2 * $BS$33 * $AY$22 * BK13</f>
        <v>288.24858324921649</v>
      </c>
      <c r="BL18" s="27" t="s">
        <v>23</v>
      </c>
      <c r="BM18"/>
      <c r="BN18" s="3" t="s">
        <v>46</v>
      </c>
      <c r="BO18" s="3">
        <f>1/(BO16-1)</f>
        <v>2.0857934915176903</v>
      </c>
      <c r="BP18" s="3"/>
      <c r="BQ18" s="3"/>
      <c r="BR18" s="3" t="s">
        <v>46</v>
      </c>
      <c r="BS18" s="3">
        <f>1/(BS16-1)</f>
        <v>3.0516531106909244</v>
      </c>
      <c r="BT18" s="3"/>
      <c r="BU18"/>
      <c r="BV18" s="3">
        <v>14</v>
      </c>
      <c r="BW18" s="3">
        <f t="shared" si="21"/>
        <v>0.34883490106913423</v>
      </c>
      <c r="BX18" s="3">
        <v>-3.4293109082902951E-4</v>
      </c>
      <c r="BY18" s="3">
        <f t="shared" si="22"/>
        <v>0.34917621179443881</v>
      </c>
      <c r="BZ18" s="3">
        <v>7.0173065840506421E-4</v>
      </c>
      <c r="CA18" s="3">
        <f t="shared" si="7"/>
        <v>0.34900555643178655</v>
      </c>
      <c r="CB18" s="3">
        <v>1.7948474374733514E-4</v>
      </c>
      <c r="CC18" s="3">
        <f t="shared" si="8"/>
        <v>-6.1550898960442473E-8</v>
      </c>
      <c r="CD18" s="3">
        <f t="shared" si="9"/>
        <v>1.2594994740348172E-7</v>
      </c>
      <c r="CE18" s="3">
        <f t="shared" si="10"/>
        <v>3.4131072530457773E-4</v>
      </c>
      <c r="CF18"/>
      <c r="CG18" s="3">
        <v>14</v>
      </c>
      <c r="CH18" s="3">
        <f t="shared" si="23"/>
        <v>0.27852489165639582</v>
      </c>
      <c r="CI18" s="3">
        <v>-3.3407667277821074E-4</v>
      </c>
      <c r="CJ18" s="3">
        <f t="shared" si="24"/>
        <v>0.2788662023817004</v>
      </c>
      <c r="CK18" s="3">
        <v>5.355534818676233E-4</v>
      </c>
      <c r="CL18" s="3">
        <f t="shared" si="11"/>
        <v>0.27869554701904808</v>
      </c>
      <c r="CM18" s="3">
        <v>1.0082127687086051E-4</v>
      </c>
      <c r="CN18" s="3">
        <f t="shared" si="12"/>
        <v>-3.3682036722267855E-8</v>
      </c>
      <c r="CO18" s="3">
        <f t="shared" si="13"/>
        <v>5.3995185874529024E-8</v>
      </c>
      <c r="CP18" s="3">
        <f t="shared" si="14"/>
        <v>3.4131072530457773E-4</v>
      </c>
    </row>
    <row r="19" spans="2:94" x14ac:dyDescent="0.2">
      <c r="B19" s="7" t="s">
        <v>149</v>
      </c>
      <c r="C19" s="7">
        <f>$C$18*$C$8/PI()</f>
        <v>0.10233662840808867</v>
      </c>
      <c r="F19" t="s">
        <v>104</v>
      </c>
      <c r="G19" s="9">
        <f>$G$18/$G$17</f>
        <v>120</v>
      </c>
      <c r="H19" t="s">
        <v>14</v>
      </c>
      <c r="J19" s="15" t="s">
        <v>65</v>
      </c>
      <c r="K19" s="7">
        <f xml:space="preserve"> $C$44 * C30 * $C$5</f>
        <v>32.522639464721578</v>
      </c>
      <c r="L19" s="7" t="s">
        <v>7</v>
      </c>
      <c r="N19" s="7" t="s">
        <v>22</v>
      </c>
      <c r="O19" s="7">
        <f xml:space="preserve"> O14 / $C$17</f>
        <v>3078.3715490709578</v>
      </c>
      <c r="P19" s="7" t="s">
        <v>23</v>
      </c>
      <c r="R19" s="7" t="s">
        <v>22</v>
      </c>
      <c r="S19" s="7">
        <f xml:space="preserve"> S14 / $C$17</f>
        <v>3070.572646889826</v>
      </c>
      <c r="T19" s="7" t="s">
        <v>23</v>
      </c>
      <c r="V19" s="7" t="s">
        <v>22</v>
      </c>
      <c r="W19" s="7">
        <f xml:space="preserve"> W14 / $C$17</f>
        <v>3065.8837830627353</v>
      </c>
      <c r="X19" s="7" t="s">
        <v>23</v>
      </c>
      <c r="AB19" s="3">
        <v>15</v>
      </c>
      <c r="AC19" s="3">
        <f t="shared" si="15"/>
        <v>3.6224365234375E-2</v>
      </c>
      <c r="AD19" s="3">
        <f t="shared" si="0"/>
        <v>8.2023791945079472E-6</v>
      </c>
      <c r="AE19" s="3">
        <f t="shared" si="16"/>
        <v>3.62548828125E-2</v>
      </c>
      <c r="AF19" s="3">
        <f t="shared" si="1"/>
        <v>-2.2571675992316687E-5</v>
      </c>
      <c r="AG19" s="3">
        <f t="shared" si="3"/>
        <v>3.62396240234375E-2</v>
      </c>
      <c r="AH19" s="3">
        <f t="shared" si="2"/>
        <v>-7.1846225661933993E-6</v>
      </c>
      <c r="AI19" s="3">
        <f t="shared" si="4"/>
        <v>-5.8930998657337031E-11</v>
      </c>
      <c r="AJ19" s="3">
        <f t="shared" si="5"/>
        <v>1.6216897269120426E-10</v>
      </c>
      <c r="AK19" s="3">
        <f t="shared" si="6"/>
        <v>3.0517578125E-5</v>
      </c>
      <c r="AM19" s="3">
        <v>15</v>
      </c>
      <c r="AN19" s="3">
        <f t="shared" si="25"/>
        <v>1250.8544921875</v>
      </c>
      <c r="AO19" s="3">
        <v>-6.2888423658478132E-3</v>
      </c>
      <c r="AP19" s="3">
        <f t="shared" si="26"/>
        <v>1250.9765625</v>
      </c>
      <c r="AQ19" s="3">
        <v>4.0908596944177589E-2</v>
      </c>
      <c r="AR19" s="3">
        <f t="shared" si="17"/>
        <v>1250.91552734375</v>
      </c>
      <c r="AS19" s="3">
        <v>1.7310606491719227E-2</v>
      </c>
      <c r="AT19" s="3">
        <f t="shared" si="18"/>
        <v>-1.0886367548364405E-4</v>
      </c>
      <c r="AU19" s="3">
        <f t="shared" si="19"/>
        <v>7.081526238290059E-4</v>
      </c>
      <c r="AV19" s="3">
        <f t="shared" si="20"/>
        <v>0.1220703125</v>
      </c>
      <c r="AX19" s="61" t="s">
        <v>217</v>
      </c>
      <c r="AY19" s="4">
        <f>0.175*($AY$9/2)</f>
        <v>0.26249999999999996</v>
      </c>
      <c r="AZ19" s="27" t="s">
        <v>8</v>
      </c>
      <c r="BA19"/>
      <c r="BB19" s="3" t="s">
        <v>218</v>
      </c>
      <c r="BC19" s="3">
        <f>2*PI()*BC18</f>
        <v>6.2993484618925788E-2</v>
      </c>
      <c r="BD19" s="27"/>
      <c r="BE19"/>
      <c r="BF19" s="3" t="s">
        <v>200</v>
      </c>
      <c r="BG19" s="34">
        <f xml:space="preserve"> $BO$27 * PI() * $AY$45 * BG16^2 * $BO$34 * $AY$21^2 * BG13</f>
        <v>26.695629924014742</v>
      </c>
      <c r="BH19" s="27" t="s">
        <v>201</v>
      </c>
      <c r="BI19"/>
      <c r="BJ19" s="3" t="s">
        <v>200</v>
      </c>
      <c r="BK19" s="34">
        <f xml:space="preserve"> $BS$27 * PI() * $AY$45 * BK16^2 * $BS$34 * $AY$22^2 * BK13</f>
        <v>49.212178269799573</v>
      </c>
      <c r="BL19" s="27" t="s">
        <v>201</v>
      </c>
      <c r="BM19"/>
      <c r="BN19" s="3" t="s">
        <v>219</v>
      </c>
      <c r="BO19" s="3">
        <f>1/(BO17+1)</f>
        <v>8.3926928463421008E-2</v>
      </c>
      <c r="BP19" s="3"/>
      <c r="BQ19" s="3"/>
      <c r="BR19" s="3" t="s">
        <v>219</v>
      </c>
      <c r="BS19" s="3">
        <f>1/(BS17+1)</f>
        <v>6.0760360420779085E-2</v>
      </c>
      <c r="BT19" s="3"/>
      <c r="BU19"/>
      <c r="BV19" s="3">
        <v>15</v>
      </c>
      <c r="BW19" s="3">
        <f t="shared" si="21"/>
        <v>0.34883490106913423</v>
      </c>
      <c r="BX19" s="3">
        <v>-3.4293109082902951E-4</v>
      </c>
      <c r="BY19" s="3">
        <f t="shared" si="22"/>
        <v>0.34900555643178655</v>
      </c>
      <c r="BZ19" s="3">
        <v>1.7948474374733514E-4</v>
      </c>
      <c r="CA19" s="3">
        <f t="shared" si="7"/>
        <v>0.34892022875046036</v>
      </c>
      <c r="CB19" s="3">
        <v>-8.1701936618230886E-5</v>
      </c>
      <c r="CC19" s="3">
        <f t="shared" si="8"/>
        <v>2.8018134247334146E-8</v>
      </c>
      <c r="CD19" s="3">
        <f t="shared" si="9"/>
        <v>-1.4664251157584189E-8</v>
      </c>
      <c r="CE19" s="3">
        <f t="shared" si="10"/>
        <v>1.7065536265231662E-4</v>
      </c>
      <c r="CF19"/>
      <c r="CG19" s="3">
        <v>15</v>
      </c>
      <c r="CH19" s="3">
        <f t="shared" si="23"/>
        <v>0.27852489165639582</v>
      </c>
      <c r="CI19" s="3">
        <v>-3.3407667277821074E-4</v>
      </c>
      <c r="CJ19" s="3">
        <f t="shared" si="24"/>
        <v>0.27869554701904808</v>
      </c>
      <c r="CK19" s="3">
        <v>1.0082127687086051E-4</v>
      </c>
      <c r="CL19" s="3">
        <f t="shared" si="11"/>
        <v>0.27861021933772195</v>
      </c>
      <c r="CM19" s="3">
        <v>-1.1660697600492098E-4</v>
      </c>
      <c r="CN19" s="3">
        <f t="shared" si="12"/>
        <v>3.8955670566452657E-8</v>
      </c>
      <c r="CO19" s="3">
        <f t="shared" si="13"/>
        <v>-1.1756464212865926E-8</v>
      </c>
      <c r="CP19" s="3">
        <f t="shared" si="14"/>
        <v>1.7065536265226111E-4</v>
      </c>
    </row>
    <row r="20" spans="2:94" x14ac:dyDescent="0.2">
      <c r="B20" s="7" t="s">
        <v>150</v>
      </c>
      <c r="C20" s="18">
        <v>0.75</v>
      </c>
      <c r="F20" t="s">
        <v>151</v>
      </c>
      <c r="G20" s="9">
        <f>O20*$C$7</f>
        <v>165.82107675824881</v>
      </c>
      <c r="H20" s="7" t="s">
        <v>10</v>
      </c>
      <c r="J20" s="15" t="s">
        <v>66</v>
      </c>
      <c r="K20" s="7">
        <f xml:space="preserve"> $C$44 * 0</f>
        <v>0</v>
      </c>
      <c r="L20" s="7" t="s">
        <v>7</v>
      </c>
      <c r="N20" s="7" t="s">
        <v>30</v>
      </c>
      <c r="O20" s="7">
        <f xml:space="preserve"> $G$16 * COS(O18/180*PI()) / ($C$10 * $C$7)</f>
        <v>110.54738450549921</v>
      </c>
      <c r="P20" s="7" t="s">
        <v>31</v>
      </c>
      <c r="R20" s="7" t="s">
        <v>30</v>
      </c>
      <c r="S20" s="7">
        <f xml:space="preserve"> $C$9 * COS(S18/180*PI()) / ($C$10 * $C$7)</f>
        <v>110.97144334883342</v>
      </c>
      <c r="T20" s="7" t="s">
        <v>31</v>
      </c>
      <c r="V20" s="7" t="s">
        <v>30</v>
      </c>
      <c r="W20" s="7">
        <f xml:space="preserve"> $G$36 * COS(W18/180*PI()) / ($C$10 * $C$7)</f>
        <v>111.08952074284365</v>
      </c>
      <c r="X20" s="7" t="s">
        <v>31</v>
      </c>
      <c r="AB20" s="3">
        <v>16</v>
      </c>
      <c r="AC20" s="3">
        <f t="shared" si="15"/>
        <v>3.6224365234375E-2</v>
      </c>
      <c r="AD20" s="3">
        <f t="shared" si="0"/>
        <v>8.2023791945079472E-6</v>
      </c>
      <c r="AE20" s="3">
        <f t="shared" si="16"/>
        <v>3.62396240234375E-2</v>
      </c>
      <c r="AF20" s="3">
        <f t="shared" si="1"/>
        <v>-7.1846225661933993E-6</v>
      </c>
      <c r="AG20" s="3">
        <f t="shared" si="3"/>
        <v>3.623199462890625E-2</v>
      </c>
      <c r="AH20" s="3">
        <f t="shared" si="2"/>
        <v>5.0888477251542774E-7</v>
      </c>
      <c r="AI20" s="3">
        <f t="shared" si="4"/>
        <v>4.1740658704824539E-12</v>
      </c>
      <c r="AJ20" s="3">
        <f t="shared" si="5"/>
        <v>-3.6561450202065371E-12</v>
      </c>
      <c r="AK20" s="3">
        <f t="shared" si="6"/>
        <v>1.52587890625E-5</v>
      </c>
      <c r="AM20" s="3">
        <v>16</v>
      </c>
      <c r="AN20" s="3">
        <f t="shared" si="25"/>
        <v>1250.8544921875</v>
      </c>
      <c r="AO20" s="3">
        <v>-6.2888423658478132E-3</v>
      </c>
      <c r="AP20" s="3">
        <f t="shared" si="26"/>
        <v>1250.91552734375</v>
      </c>
      <c r="AQ20" s="3">
        <v>1.7310606491719227E-2</v>
      </c>
      <c r="AR20" s="3">
        <f t="shared" si="17"/>
        <v>1250.885009765625</v>
      </c>
      <c r="AS20" s="3">
        <v>5.5135045330416688E-3</v>
      </c>
      <c r="AT20" s="3">
        <f t="shared" si="18"/>
        <v>-3.4673560891686414E-5</v>
      </c>
      <c r="AU20" s="3">
        <f t="shared" si="19"/>
        <v>9.5442107361794502E-5</v>
      </c>
      <c r="AV20" s="3">
        <f t="shared" si="20"/>
        <v>6.103515625E-2</v>
      </c>
      <c r="AX20" s="61"/>
      <c r="AY20" s="4">
        <f>0.285*($AY$9/2)</f>
        <v>0.42749999999999999</v>
      </c>
      <c r="AZ20" s="27" t="s">
        <v>8</v>
      </c>
      <c r="BA20"/>
      <c r="BB20" s="3" t="s">
        <v>220</v>
      </c>
      <c r="BC20" s="3">
        <f>BC17/BC19*BC7</f>
        <v>0.14331790444274289</v>
      </c>
      <c r="BD20" s="40"/>
      <c r="BE20"/>
      <c r="BF20"/>
      <c r="BG20"/>
      <c r="BH20"/>
      <c r="BI20"/>
      <c r="BJ20"/>
      <c r="BK20"/>
      <c r="BL20"/>
      <c r="BM20"/>
      <c r="BN20" s="8" t="s">
        <v>221</v>
      </c>
      <c r="BO20" s="41">
        <f>SIN(BO4)/(1+BO18) - $AY$3*COS(BO4)/($BC$5*$AY$19*(1-BO19))</f>
        <v>-4.7968453376068254E-9</v>
      </c>
      <c r="BP20" s="41"/>
      <c r="BQ20" s="3"/>
      <c r="BR20" s="8" t="s">
        <v>221</v>
      </c>
      <c r="BS20" s="41">
        <f>SIN(BS4)/(1+BS18) - $AY$3*COS(BS4)/($BC$5*$AY$20*(1-BS19))</f>
        <v>1.7743558428096051E-9</v>
      </c>
      <c r="BT20" s="41"/>
      <c r="BU20"/>
      <c r="BV20" s="3">
        <v>16</v>
      </c>
      <c r="BW20" s="3">
        <f t="shared" si="21"/>
        <v>0.34892022875046036</v>
      </c>
      <c r="BX20" s="3">
        <v>-8.1701936618230886E-5</v>
      </c>
      <c r="BY20" s="3">
        <f t="shared" si="22"/>
        <v>0.34900555643178655</v>
      </c>
      <c r="BZ20" s="3">
        <v>1.7948474374733514E-4</v>
      </c>
      <c r="CA20" s="3">
        <f t="shared" si="7"/>
        <v>0.34896289259112345</v>
      </c>
      <c r="CB20" s="3">
        <v>4.8896713178508966E-5</v>
      </c>
      <c r="CC20" s="3">
        <f t="shared" si="8"/>
        <v>-3.9949561609503547E-9</v>
      </c>
      <c r="CD20" s="3">
        <f t="shared" si="9"/>
        <v>8.7762140349316262E-9</v>
      </c>
      <c r="CE20" s="3">
        <f t="shared" si="10"/>
        <v>8.5327681326186067E-5</v>
      </c>
      <c r="CF20"/>
      <c r="CG20" s="3">
        <v>16</v>
      </c>
      <c r="CH20" s="3">
        <f t="shared" si="23"/>
        <v>0.27861021933772195</v>
      </c>
      <c r="CI20" s="3">
        <v>-1.1660697600492098E-4</v>
      </c>
      <c r="CJ20" s="3">
        <f t="shared" si="24"/>
        <v>0.27869554701904808</v>
      </c>
      <c r="CK20" s="3">
        <v>1.0082127687086051E-4</v>
      </c>
      <c r="CL20" s="3">
        <f t="shared" si="11"/>
        <v>0.27865288317838499</v>
      </c>
      <c r="CM20" s="3">
        <v>-7.8876695636526106E-6</v>
      </c>
      <c r="CN20" s="3">
        <f t="shared" si="12"/>
        <v>9.1975729554358555E-10</v>
      </c>
      <c r="CO20" s="3">
        <f t="shared" si="13"/>
        <v>-7.9524491694287935E-10</v>
      </c>
      <c r="CP20" s="3">
        <f t="shared" si="14"/>
        <v>8.5327681326130556E-5</v>
      </c>
    </row>
    <row r="21" spans="2:94" x14ac:dyDescent="0.2">
      <c r="B21" t="s">
        <v>136</v>
      </c>
      <c r="C21" s="1">
        <v>0.14399999999999999</v>
      </c>
      <c r="D21"/>
      <c r="F21" s="7" t="s">
        <v>154</v>
      </c>
      <c r="G21" s="7">
        <f>G20/$C$42</f>
        <v>0.48711305214281586</v>
      </c>
      <c r="H21" s="7" t="s">
        <v>152</v>
      </c>
      <c r="J21" s="15" t="s">
        <v>67</v>
      </c>
      <c r="K21" s="7">
        <f xml:space="preserve"> $C$44 * 0</f>
        <v>0</v>
      </c>
      <c r="L21" s="7" t="s">
        <v>7</v>
      </c>
      <c r="N21" s="7" t="s">
        <v>33</v>
      </c>
      <c r="O21" s="7">
        <f xml:space="preserve"> O19 / ($C$40 * PI() * $C$7^2 * O20^2 * $C$7^2)</f>
        <v>1.2929242919483256E-2</v>
      </c>
      <c r="R21" s="7" t="s">
        <v>33</v>
      </c>
      <c r="S21" s="7">
        <f xml:space="preserve"> S19 / ($C$40 * PI() * $C$7^2 * S20^2 * $C$7^2)</f>
        <v>1.2798112097311265E-2</v>
      </c>
      <c r="V21" s="7" t="s">
        <v>33</v>
      </c>
      <c r="W21" s="7">
        <f xml:space="preserve"> W19 / ($C$40 * PI() * $C$7^2 * W20^2 * $C$7^2)</f>
        <v>1.2751418641931434E-2</v>
      </c>
      <c r="AB21" s="3">
        <v>17</v>
      </c>
      <c r="AC21" s="3">
        <f t="shared" si="15"/>
        <v>3.623199462890625E-2</v>
      </c>
      <c r="AD21" s="3">
        <f t="shared" si="0"/>
        <v>5.0888477251542774E-7</v>
      </c>
      <c r="AE21" s="3">
        <f t="shared" si="16"/>
        <v>3.62396240234375E-2</v>
      </c>
      <c r="AF21" s="3">
        <f t="shared" si="1"/>
        <v>-7.1846225661933993E-6</v>
      </c>
      <c r="AG21" s="3">
        <f t="shared" si="3"/>
        <v>3.6235809326171875E-2</v>
      </c>
      <c r="AH21" s="3">
        <f t="shared" si="2"/>
        <v>-3.337867282279805E-6</v>
      </c>
      <c r="AI21" s="3">
        <f t="shared" si="4"/>
        <v>-1.6985898326296476E-12</v>
      </c>
      <c r="AJ21" s="3">
        <f t="shared" si="5"/>
        <v>2.3981316599226119E-11</v>
      </c>
      <c r="AK21" s="3">
        <f t="shared" si="6"/>
        <v>7.62939453125E-6</v>
      </c>
      <c r="AM21" s="3">
        <v>17</v>
      </c>
      <c r="AN21" s="3">
        <f t="shared" si="25"/>
        <v>1250.8544921875</v>
      </c>
      <c r="AO21" s="3">
        <v>-6.2888423658478132E-3</v>
      </c>
      <c r="AP21" s="3">
        <f t="shared" si="26"/>
        <v>1250.885009765625</v>
      </c>
      <c r="AQ21" s="3">
        <v>5.5135045330416688E-3</v>
      </c>
      <c r="AR21" s="3">
        <f t="shared" si="17"/>
        <v>1250.8697509765625</v>
      </c>
      <c r="AS21" s="3">
        <v>-3.872848162700393E-4</v>
      </c>
      <c r="AT21" s="3">
        <f t="shared" si="18"/>
        <v>2.4355731602086095E-6</v>
      </c>
      <c r="AU21" s="3">
        <f t="shared" si="19"/>
        <v>-2.1352965900830713E-6</v>
      </c>
      <c r="AV21" s="3">
        <f t="shared" si="20"/>
        <v>3.0517578125E-2</v>
      </c>
      <c r="AX21" s="61"/>
      <c r="AY21" s="4">
        <f>0.395*($AY$9/2)</f>
        <v>0.59250000000000003</v>
      </c>
      <c r="AZ21" s="27" t="s">
        <v>8</v>
      </c>
      <c r="BA21"/>
      <c r="BB21"/>
      <c r="BC21"/>
      <c r="BD21" s="40"/>
      <c r="BE21"/>
      <c r="BF21" s="60" t="s">
        <v>222</v>
      </c>
      <c r="BG21" s="60"/>
      <c r="BH21" s="60"/>
      <c r="BI21"/>
      <c r="BJ21" s="60" t="s">
        <v>223</v>
      </c>
      <c r="BK21" s="60"/>
      <c r="BL21" s="60"/>
      <c r="BM21"/>
      <c r="BN21" s="3"/>
      <c r="BO21" s="3"/>
      <c r="BP21" s="3"/>
      <c r="BQ21" s="3"/>
      <c r="BR21" s="3"/>
      <c r="BS21" s="3"/>
      <c r="BT21" s="3"/>
      <c r="BU21"/>
      <c r="BV21" s="3">
        <v>17</v>
      </c>
      <c r="BW21" s="3">
        <f t="shared" si="21"/>
        <v>0.34892022875046036</v>
      </c>
      <c r="BX21" s="3">
        <v>-8.1701936618230886E-5</v>
      </c>
      <c r="BY21" s="3">
        <f t="shared" si="22"/>
        <v>0.34896289259112345</v>
      </c>
      <c r="BZ21" s="3">
        <v>4.8896713178508966E-5</v>
      </c>
      <c r="CA21" s="3">
        <f t="shared" si="7"/>
        <v>0.34894156067079191</v>
      </c>
      <c r="CB21" s="3">
        <v>-1.6401284364295221E-5</v>
      </c>
      <c r="CC21" s="3">
        <f t="shared" si="8"/>
        <v>1.3400166955892294E-9</v>
      </c>
      <c r="CD21" s="3">
        <f t="shared" si="9"/>
        <v>-8.0196889732010721E-10</v>
      </c>
      <c r="CE21" s="3">
        <f t="shared" si="10"/>
        <v>4.2663840663093033E-5</v>
      </c>
      <c r="CF21"/>
      <c r="CG21" s="3">
        <v>17</v>
      </c>
      <c r="CH21" s="3">
        <f t="shared" si="23"/>
        <v>0.27865288317838499</v>
      </c>
      <c r="CI21" s="3">
        <v>-7.8876695636526106E-6</v>
      </c>
      <c r="CJ21" s="3">
        <f t="shared" si="24"/>
        <v>0.27869554701904808</v>
      </c>
      <c r="CK21" s="3">
        <v>1.0082127687086051E-4</v>
      </c>
      <c r="CL21" s="3">
        <f t="shared" si="11"/>
        <v>0.27867421509871654</v>
      </c>
      <c r="CM21" s="3">
        <v>4.6468098594085183E-5</v>
      </c>
      <c r="CN21" s="3">
        <f t="shared" si="12"/>
        <v>-3.6652500696137438E-10</v>
      </c>
      <c r="CO21" s="3">
        <f t="shared" si="13"/>
        <v>4.6849730340167066E-9</v>
      </c>
      <c r="CP21" s="3">
        <f t="shared" si="14"/>
        <v>4.2663840663093033E-5</v>
      </c>
    </row>
    <row r="22" spans="2:94" x14ac:dyDescent="0.2">
      <c r="F22" t="s">
        <v>101</v>
      </c>
      <c r="G22" s="9">
        <f>SQRT($G$16^2-$G$17^2)</f>
        <v>49.935442323063484</v>
      </c>
      <c r="H22" t="s">
        <v>10</v>
      </c>
      <c r="J22" s="15" t="s">
        <v>138</v>
      </c>
      <c r="K22" s="7">
        <f>$C$44*(0.14*$G$13*1000/745.7)*0.453592</f>
        <v>14.811043063834033</v>
      </c>
      <c r="L22" s="7" t="s">
        <v>7</v>
      </c>
      <c r="N22" s="7" t="s">
        <v>1</v>
      </c>
      <c r="O22" s="18">
        <v>1.2E-2</v>
      </c>
      <c r="R22" s="7" t="s">
        <v>1</v>
      </c>
      <c r="S22" s="18">
        <v>1.2E-2</v>
      </c>
      <c r="V22" s="7" t="s">
        <v>1</v>
      </c>
      <c r="W22" s="18">
        <v>1.2E-2</v>
      </c>
      <c r="AB22" s="3">
        <v>18</v>
      </c>
      <c r="AC22" s="3">
        <f t="shared" si="15"/>
        <v>3.623199462890625E-2</v>
      </c>
      <c r="AD22" s="3">
        <f t="shared" si="0"/>
        <v>5.0888477251542774E-7</v>
      </c>
      <c r="AE22" s="3">
        <f t="shared" si="16"/>
        <v>3.6235809326171875E-2</v>
      </c>
      <c r="AF22" s="3">
        <f t="shared" si="1"/>
        <v>-3.337867282279805E-6</v>
      </c>
      <c r="AG22" s="3">
        <f t="shared" si="3"/>
        <v>3.6233901977539062E-2</v>
      </c>
      <c r="AH22" s="3">
        <f t="shared" si="2"/>
        <v>-1.4144908512397913E-6</v>
      </c>
      <c r="AI22" s="3">
        <f t="shared" si="4"/>
        <v>-7.1981285505831493E-13</v>
      </c>
      <c r="AJ22" s="3">
        <f t="shared" si="5"/>
        <v>4.7213827334374105E-12</v>
      </c>
      <c r="AK22" s="3">
        <f t="shared" si="6"/>
        <v>3.814697265625E-6</v>
      </c>
      <c r="AM22" s="3">
        <v>18</v>
      </c>
      <c r="AN22" s="3">
        <f t="shared" si="25"/>
        <v>1250.8697509765625</v>
      </c>
      <c r="AO22" s="3">
        <v>-3.872848162700393E-4</v>
      </c>
      <c r="AP22" s="3">
        <f t="shared" si="26"/>
        <v>1250.885009765625</v>
      </c>
      <c r="AQ22" s="3">
        <v>5.5135045330416688E-3</v>
      </c>
      <c r="AR22" s="3">
        <f t="shared" si="17"/>
        <v>1250.8773803710938</v>
      </c>
      <c r="AS22" s="3">
        <v>2.5628988709058831E-3</v>
      </c>
      <c r="AT22" s="3">
        <f t="shared" si="18"/>
        <v>-9.9257181833747601E-7</v>
      </c>
      <c r="AU22" s="3">
        <f t="shared" si="19"/>
        <v>1.4130554542466961E-5</v>
      </c>
      <c r="AV22" s="3">
        <f t="shared" si="20"/>
        <v>1.52587890625E-2</v>
      </c>
      <c r="AX22" s="61"/>
      <c r="AY22" s="4">
        <f>0.505*($AY$9/2)</f>
        <v>0.75750000000000006</v>
      </c>
      <c r="AZ22" s="27" t="s">
        <v>8</v>
      </c>
      <c r="BA22"/>
      <c r="BB22" s="59" t="s">
        <v>224</v>
      </c>
      <c r="BC22" s="59"/>
      <c r="BD22" s="59"/>
      <c r="BE22"/>
      <c r="BF22" s="3" t="s">
        <v>175</v>
      </c>
      <c r="BG22" s="3">
        <f>$AY$23-$AY$22</f>
        <v>0.16499999999999992</v>
      </c>
      <c r="BH22" s="27" t="s">
        <v>8</v>
      </c>
      <c r="BI22"/>
      <c r="BJ22" s="3" t="s">
        <v>175</v>
      </c>
      <c r="BK22" s="3">
        <f>$AY$24-$AY$23</f>
        <v>0.16499999999999992</v>
      </c>
      <c r="BL22" s="27" t="s">
        <v>8</v>
      </c>
      <c r="BM22"/>
      <c r="BN22" s="60" t="s">
        <v>207</v>
      </c>
      <c r="BO22" s="60"/>
      <c r="BP22" s="60"/>
      <c r="BQ22" s="3"/>
      <c r="BR22" s="60" t="s">
        <v>208</v>
      </c>
      <c r="BS22" s="60"/>
      <c r="BT22" s="60"/>
      <c r="BU22"/>
      <c r="BV22" s="3">
        <v>18</v>
      </c>
      <c r="BW22" s="3">
        <f t="shared" si="21"/>
        <v>0.34894156067079191</v>
      </c>
      <c r="BX22" s="3">
        <v>-1.6401284364295221E-5</v>
      </c>
      <c r="BY22" s="3">
        <f t="shared" si="22"/>
        <v>0.34896289259112345</v>
      </c>
      <c r="BZ22" s="3">
        <v>4.8896713178508966E-5</v>
      </c>
      <c r="CA22" s="3">
        <f t="shared" si="7"/>
        <v>0.34895222663095771</v>
      </c>
      <c r="CB22" s="3">
        <v>1.6248046252081982E-5</v>
      </c>
      <c r="CC22" s="3">
        <f t="shared" si="8"/>
        <v>-2.6648882694461778E-10</v>
      </c>
      <c r="CD22" s="3">
        <f t="shared" si="9"/>
        <v>7.9447605729920025E-10</v>
      </c>
      <c r="CE22" s="3">
        <f t="shared" si="10"/>
        <v>2.1331920331546517E-5</v>
      </c>
      <c r="CF22"/>
      <c r="CG22" s="3">
        <v>18</v>
      </c>
      <c r="CH22" s="3">
        <f t="shared" si="23"/>
        <v>0.27865288317838499</v>
      </c>
      <c r="CI22" s="3">
        <v>-7.8876695636526106E-6</v>
      </c>
      <c r="CJ22" s="3">
        <f t="shared" si="24"/>
        <v>0.27867421509871654</v>
      </c>
      <c r="CK22" s="3">
        <v>4.6468098594085183E-5</v>
      </c>
      <c r="CL22" s="3">
        <f t="shared" si="11"/>
        <v>0.27866354913855074</v>
      </c>
      <c r="CM22" s="3">
        <v>1.9290538257776824E-5</v>
      </c>
      <c r="CN22" s="3">
        <f t="shared" si="12"/>
        <v>-1.521573914823425E-10</v>
      </c>
      <c r="CO22" s="3">
        <f t="shared" si="13"/>
        <v>8.9639463369534562E-10</v>
      </c>
      <c r="CP22" s="3">
        <f t="shared" si="14"/>
        <v>2.1331920331546517E-5</v>
      </c>
    </row>
    <row r="23" spans="2:94" x14ac:dyDescent="0.2">
      <c r="B23" s="56" t="s">
        <v>127</v>
      </c>
      <c r="C23" s="56"/>
      <c r="D23" s="56"/>
      <c r="F23" t="s">
        <v>102</v>
      </c>
      <c r="G23" s="9">
        <f>$G$22*($G$18/$G$17)</f>
        <v>5992.2530787676178</v>
      </c>
      <c r="H23" t="s">
        <v>8</v>
      </c>
      <c r="J23" s="16" t="s">
        <v>68</v>
      </c>
      <c r="K23" s="7">
        <f xml:space="preserve"> $C$44 * (0.0268 * $C$5)</f>
        <v>26.818668850908871</v>
      </c>
      <c r="L23" s="7" t="s">
        <v>7</v>
      </c>
      <c r="N23" s="7" t="s">
        <v>34</v>
      </c>
      <c r="O23" s="7">
        <f xml:space="preserve"> ($C$19 * O22 / 8) * (1 + 4.65 *$C$10^ 2) * ( PI() * $C$40 * O20^3 *$C$7^ 5)</f>
        <v>8596.8505316036899</v>
      </c>
      <c r="P23" s="7" t="s">
        <v>21</v>
      </c>
      <c r="R23" s="7" t="s">
        <v>34</v>
      </c>
      <c r="S23" s="7">
        <f xml:space="preserve"> ($C$19 * S22 / 8) * (1 + 4.65 *$C$10^ 2) * ( PI() * $C$40 * S20^3 *$C$7^ 5)</f>
        <v>8696.1628609289619</v>
      </c>
      <c r="T23" s="7" t="s">
        <v>21</v>
      </c>
      <c r="V23" s="7" t="s">
        <v>34</v>
      </c>
      <c r="W23" s="7">
        <f xml:space="preserve"> ($C$19 * W22 / 8) * (1 + 4.65 *$C$10^ 2) * ( PI() * $C$40 * W20^3 *$C$7^ 5)</f>
        <v>8723.9514480655253</v>
      </c>
      <c r="X23" s="7" t="s">
        <v>21</v>
      </c>
      <c r="AB23" s="3">
        <v>19</v>
      </c>
      <c r="AC23" s="3">
        <f t="shared" si="15"/>
        <v>3.623199462890625E-2</v>
      </c>
      <c r="AD23" s="3">
        <f t="shared" si="0"/>
        <v>5.0888477251542774E-7</v>
      </c>
      <c r="AE23" s="3">
        <f t="shared" si="16"/>
        <v>3.6233901977539062E-2</v>
      </c>
      <c r="AF23" s="3">
        <f t="shared" si="1"/>
        <v>-1.4144908512397913E-6</v>
      </c>
      <c r="AG23" s="3">
        <f t="shared" si="3"/>
        <v>3.6232948303222656E-2</v>
      </c>
      <c r="AH23" s="3">
        <f t="shared" si="2"/>
        <v>-4.5280293844984776E-7</v>
      </c>
      <c r="AI23" s="3">
        <f t="shared" si="4"/>
        <v>-2.3042452032736802E-13</v>
      </c>
      <c r="AJ23" s="3">
        <f t="shared" si="5"/>
        <v>6.4048561385180398E-13</v>
      </c>
      <c r="AK23" s="3">
        <f t="shared" si="6"/>
        <v>1.9073486328125E-6</v>
      </c>
      <c r="AM23" s="3">
        <v>19</v>
      </c>
      <c r="AN23" s="3">
        <f t="shared" si="25"/>
        <v>1250.8697509765625</v>
      </c>
      <c r="AO23" s="3">
        <v>-3.872848162700393E-4</v>
      </c>
      <c r="AP23" s="3">
        <f t="shared" si="26"/>
        <v>1250.8773803710938</v>
      </c>
      <c r="AQ23" s="3">
        <v>2.5628988709058831E-3</v>
      </c>
      <c r="AR23" s="3">
        <f t="shared" si="17"/>
        <v>1250.8735656738281</v>
      </c>
      <c r="AS23" s="3">
        <v>1.0874473506419235E-3</v>
      </c>
      <c r="AT23" s="3">
        <f t="shared" si="18"/>
        <v>-4.2115184739669836E-7</v>
      </c>
      <c r="AU23" s="3">
        <f t="shared" si="19"/>
        <v>2.78701758712978E-6</v>
      </c>
      <c r="AV23" s="3">
        <f t="shared" si="20"/>
        <v>7.62939453125E-3</v>
      </c>
      <c r="AX23" s="61"/>
      <c r="AY23" s="4">
        <f>0.615*($AY$9/2)</f>
        <v>0.92249999999999999</v>
      </c>
      <c r="AZ23" s="27" t="s">
        <v>8</v>
      </c>
      <c r="BA23"/>
      <c r="BB23" s="62" t="s">
        <v>225</v>
      </c>
      <c r="BC23" s="61">
        <f>BO20</f>
        <v>-4.7968453376068254E-9</v>
      </c>
      <c r="BD23" s="61"/>
      <c r="BE23"/>
      <c r="BF23" s="3" t="s">
        <v>180</v>
      </c>
      <c r="BG23" s="3">
        <f>(1+$BO$56)*$AY$3</f>
        <v>14.701828630940808</v>
      </c>
      <c r="BH23" s="27" t="s">
        <v>10</v>
      </c>
      <c r="BI23"/>
      <c r="BJ23" s="3" t="s">
        <v>180</v>
      </c>
      <c r="BK23" s="3">
        <f>(1+$BS$56)*$AY$3</f>
        <v>15.593353812955206</v>
      </c>
      <c r="BL23" s="27" t="s">
        <v>10</v>
      </c>
      <c r="BM23"/>
      <c r="BN23" s="29" t="s">
        <v>176</v>
      </c>
      <c r="BO23" s="30">
        <f>CA68</f>
        <v>0.23551548273753581</v>
      </c>
      <c r="BP23" s="6" t="s">
        <v>177</v>
      </c>
      <c r="BQ23" s="3"/>
      <c r="BR23" s="29" t="s">
        <v>176</v>
      </c>
      <c r="BS23" s="30">
        <f>CL68</f>
        <v>0.20475734303789994</v>
      </c>
      <c r="BT23" s="6" t="s">
        <v>177</v>
      </c>
      <c r="BU23"/>
      <c r="BV23" s="3">
        <v>19</v>
      </c>
      <c r="BW23" s="3">
        <f t="shared" si="21"/>
        <v>0.34894156067079191</v>
      </c>
      <c r="BX23" s="3">
        <v>-1.6401284364295221E-5</v>
      </c>
      <c r="BY23" s="3">
        <f t="shared" si="22"/>
        <v>0.34895222663095771</v>
      </c>
      <c r="BZ23" s="3">
        <v>1.6248046252081982E-5</v>
      </c>
      <c r="CA23" s="3">
        <f t="shared" si="7"/>
        <v>0.34894689365087483</v>
      </c>
      <c r="CB23" s="3">
        <v>-7.6536095572343754E-8</v>
      </c>
      <c r="CC23" s="3">
        <f t="shared" si="8"/>
        <v>1.2552902676148864E-12</v>
      </c>
      <c r="CD23" s="3">
        <f t="shared" si="9"/>
        <v>-1.2435620208132083E-12</v>
      </c>
      <c r="CE23" s="3">
        <f t="shared" si="10"/>
        <v>1.0665960165801014E-5</v>
      </c>
      <c r="CF23"/>
      <c r="CG23" s="3">
        <v>19</v>
      </c>
      <c r="CH23" s="3">
        <f t="shared" si="23"/>
        <v>0.27865288317838499</v>
      </c>
      <c r="CI23" s="3">
        <v>-7.8876695636526106E-6</v>
      </c>
      <c r="CJ23" s="3">
        <f t="shared" si="24"/>
        <v>0.27866354913855074</v>
      </c>
      <c r="CK23" s="3">
        <v>1.9290538257776824E-5</v>
      </c>
      <c r="CL23" s="3">
        <f t="shared" si="11"/>
        <v>0.27865821615846786</v>
      </c>
      <c r="CM23" s="3">
        <v>5.7015152837153193E-6</v>
      </c>
      <c r="CN23" s="3">
        <f t="shared" si="12"/>
        <v>-4.4971668570061504E-11</v>
      </c>
      <c r="CO23" s="3">
        <f t="shared" si="13"/>
        <v>1.0998529870780965E-10</v>
      </c>
      <c r="CP23" s="3">
        <f t="shared" si="14"/>
        <v>1.0665960165745503E-5</v>
      </c>
    </row>
    <row r="24" spans="2:94" x14ac:dyDescent="0.2">
      <c r="B24" t="s">
        <v>128</v>
      </c>
      <c r="C24" s="1">
        <v>4</v>
      </c>
      <c r="D24"/>
      <c r="F24" t="s">
        <v>116</v>
      </c>
      <c r="G24" s="9">
        <f>ATAN(G17/G22)/PI()*180</f>
        <v>2.9118789347687013</v>
      </c>
      <c r="H24" t="s">
        <v>44</v>
      </c>
      <c r="J24" s="16" t="s">
        <v>69</v>
      </c>
      <c r="K24" s="7">
        <f xml:space="preserve"> $C$44 * (11.5 * ($C$5*2.20462/1000)^0.4 * 0.453592)</f>
        <v>6.2614034114077022</v>
      </c>
      <c r="L24" s="7" t="s">
        <v>7</v>
      </c>
      <c r="N24" s="7" t="s">
        <v>35</v>
      </c>
      <c r="O24" s="19">
        <f>AG69</f>
        <v>5.1572582218796015E-2</v>
      </c>
      <c r="R24" s="7" t="s">
        <v>35</v>
      </c>
      <c r="S24" s="19">
        <f>AG34</f>
        <v>3.6232498940080404E-2</v>
      </c>
      <c r="V24" s="7" t="s">
        <v>35</v>
      </c>
      <c r="W24" s="19">
        <f>AG104</f>
        <v>2.7081246022135019E-2</v>
      </c>
      <c r="AB24" s="3">
        <v>20</v>
      </c>
      <c r="AC24" s="3">
        <f t="shared" si="15"/>
        <v>3.623199462890625E-2</v>
      </c>
      <c r="AD24" s="3">
        <f t="shared" si="0"/>
        <v>5.0888477251542774E-7</v>
      </c>
      <c r="AE24" s="3">
        <f t="shared" si="16"/>
        <v>3.6232948303222656E-2</v>
      </c>
      <c r="AF24" s="3">
        <f t="shared" si="1"/>
        <v>-4.5280293844984776E-7</v>
      </c>
      <c r="AG24" s="3">
        <f t="shared" si="3"/>
        <v>3.6232471466064453E-2</v>
      </c>
      <c r="AH24" s="3">
        <f t="shared" si="2"/>
        <v>2.8040942262608226E-8</v>
      </c>
      <c r="AI24" s="3">
        <f t="shared" si="4"/>
        <v>1.4269608524425629E-14</v>
      </c>
      <c r="AJ24" s="3">
        <f t="shared" si="5"/>
        <v>-1.2697021053411527E-14</v>
      </c>
      <c r="AK24" s="3">
        <f t="shared" si="6"/>
        <v>9.5367431640625E-7</v>
      </c>
      <c r="AM24" s="3">
        <v>20</v>
      </c>
      <c r="AN24" s="3">
        <f t="shared" si="25"/>
        <v>1250.8697509765625</v>
      </c>
      <c r="AO24" s="3">
        <v>-3.872848162700393E-4</v>
      </c>
      <c r="AP24" s="3">
        <f t="shared" si="26"/>
        <v>1250.8735656738281</v>
      </c>
      <c r="AQ24" s="3">
        <v>1.0874473506419235E-3</v>
      </c>
      <c r="AR24" s="3">
        <f t="shared" si="17"/>
        <v>1250.8716583251953</v>
      </c>
      <c r="AS24" s="3">
        <v>3.4972051264503534E-4</v>
      </c>
      <c r="AT24" s="3">
        <f t="shared" si="18"/>
        <v>-1.3544144448559647E-7</v>
      </c>
      <c r="AU24" s="3">
        <f t="shared" si="19"/>
        <v>3.8030264494097901E-7</v>
      </c>
      <c r="AV24" s="3">
        <f t="shared" si="20"/>
        <v>3.814697265625E-3</v>
      </c>
      <c r="AX24" s="61"/>
      <c r="AY24" s="4">
        <f>0.725*($AY$9/2)</f>
        <v>1.0874999999999999</v>
      </c>
      <c r="AZ24" s="27" t="s">
        <v>8</v>
      </c>
      <c r="BA24"/>
      <c r="BB24" s="62"/>
      <c r="BC24" s="61">
        <f>BS20</f>
        <v>1.7743558428096051E-9</v>
      </c>
      <c r="BD24" s="61"/>
      <c r="BE24"/>
      <c r="BF24" s="3" t="s">
        <v>185</v>
      </c>
      <c r="BG24" s="3">
        <f>(1-$BO$57)*$BC$5*$AY$23</f>
        <v>80.198611580561234</v>
      </c>
      <c r="BH24" s="27" t="s">
        <v>10</v>
      </c>
      <c r="BI24"/>
      <c r="BJ24" s="3" t="s">
        <v>185</v>
      </c>
      <c r="BK24" s="3">
        <f>(1-$BS$57)*$BC$5*$AY$24</f>
        <v>95.063119836589408</v>
      </c>
      <c r="BL24" s="27" t="s">
        <v>10</v>
      </c>
      <c r="BM24"/>
      <c r="BN24" s="3" t="s">
        <v>181</v>
      </c>
      <c r="BO24" s="3">
        <f>($AY$37+$AY$5)/180*PI()</f>
        <v>0.42341687653382432</v>
      </c>
      <c r="BP24" s="3" t="s">
        <v>177</v>
      </c>
      <c r="BQ24" s="3"/>
      <c r="BR24" s="3" t="s">
        <v>181</v>
      </c>
      <c r="BS24" s="3">
        <f>($AY$38+$AY$5)/180*PI()</f>
        <v>0.40037853040749921</v>
      </c>
      <c r="BT24" s="3" t="s">
        <v>177</v>
      </c>
      <c r="BU24"/>
      <c r="BV24" s="3">
        <v>20</v>
      </c>
      <c r="BW24" s="3">
        <f t="shared" si="21"/>
        <v>0.34894689365087483</v>
      </c>
      <c r="BX24" s="3">
        <v>-7.6536095572343754E-8</v>
      </c>
      <c r="BY24" s="3">
        <f t="shared" si="22"/>
        <v>0.34895222663095771</v>
      </c>
      <c r="BZ24" s="3">
        <v>1.6248046252081982E-5</v>
      </c>
      <c r="CA24" s="3">
        <f t="shared" si="7"/>
        <v>0.34894956014091627</v>
      </c>
      <c r="CB24" s="3">
        <v>8.0857758184421646E-6</v>
      </c>
      <c r="CC24" s="3">
        <f t="shared" si="8"/>
        <v>-6.1885371081683554E-13</v>
      </c>
      <c r="CD24" s="3">
        <f t="shared" si="9"/>
        <v>1.3137805948201434E-10</v>
      </c>
      <c r="CE24" s="3">
        <f t="shared" si="10"/>
        <v>5.3329800828727514E-6</v>
      </c>
      <c r="CF24"/>
      <c r="CG24" s="3">
        <v>20</v>
      </c>
      <c r="CH24" s="3">
        <f t="shared" si="23"/>
        <v>0.27865288317838499</v>
      </c>
      <c r="CI24" s="3">
        <v>-7.8876695636526106E-6</v>
      </c>
      <c r="CJ24" s="3">
        <f t="shared" si="24"/>
        <v>0.27865821615846786</v>
      </c>
      <c r="CK24" s="3">
        <v>5.7015152837153193E-6</v>
      </c>
      <c r="CL24" s="3">
        <f t="shared" si="11"/>
        <v>0.27865554966842643</v>
      </c>
      <c r="CM24" s="3">
        <v>-1.0930569057099326E-6</v>
      </c>
      <c r="CN24" s="3">
        <f t="shared" si="12"/>
        <v>8.6216716865085377E-12</v>
      </c>
      <c r="CO24" s="3">
        <f t="shared" si="13"/>
        <v>-6.2320806538757554E-12</v>
      </c>
      <c r="CP24" s="3">
        <f t="shared" si="14"/>
        <v>5.3329800828727514E-6</v>
      </c>
    </row>
    <row r="25" spans="2:94" x14ac:dyDescent="0.2">
      <c r="B25" t="s">
        <v>129</v>
      </c>
      <c r="C25" s="1">
        <v>5.2</v>
      </c>
      <c r="D25" t="s">
        <v>8</v>
      </c>
      <c r="F25" t="s">
        <v>119</v>
      </c>
      <c r="G25" s="7">
        <f xml:space="preserve"> 1/1000 * (O23 + O19 * (O28 * O25 + $G$16 * SIN(O18/180*PI())))</f>
        <v>36.684557497258851</v>
      </c>
      <c r="H25" t="s">
        <v>124</v>
      </c>
      <c r="J25" s="16" t="s">
        <v>70</v>
      </c>
      <c r="K25" s="7">
        <f xml:space="preserve"> $C$44 * (8 * ($C$5/1000))</f>
        <v>8.0055727913160819</v>
      </c>
      <c r="L25" s="7" t="s">
        <v>7</v>
      </c>
      <c r="N25" s="7" t="s">
        <v>36</v>
      </c>
      <c r="O25" s="7">
        <f xml:space="preserve"> O20 * $C$7 * O24 - $C$9 * SIN(O18/180*PI())</f>
        <v>3.5215780543793169</v>
      </c>
      <c r="P25" s="7" t="s">
        <v>10</v>
      </c>
      <c r="R25" s="7" t="s">
        <v>36</v>
      </c>
      <c r="S25" s="7">
        <f xml:space="preserve"> S20 * $C$7 * S24 - $C$9 * SIN(S18/180*PI())</f>
        <v>3.5249469497201127</v>
      </c>
      <c r="T25" s="7" t="s">
        <v>10</v>
      </c>
      <c r="V25" s="7" t="s">
        <v>36</v>
      </c>
      <c r="W25" s="7">
        <f xml:space="preserve"> W20 * $C$7 * W24 - $C$9 * SIN(W18/180*PI())</f>
        <v>3.5270310806802381</v>
      </c>
      <c r="X25" s="7" t="s">
        <v>10</v>
      </c>
      <c r="AB25" s="3">
        <v>21</v>
      </c>
      <c r="AC25" s="3">
        <f t="shared" si="15"/>
        <v>3.6232471466064453E-2</v>
      </c>
      <c r="AD25" s="3">
        <f t="shared" si="0"/>
        <v>2.8040942262608226E-8</v>
      </c>
      <c r="AE25" s="3">
        <f t="shared" si="16"/>
        <v>3.6232948303222656E-2</v>
      </c>
      <c r="AF25" s="3">
        <f t="shared" si="1"/>
        <v>-4.5280293844984776E-7</v>
      </c>
      <c r="AG25" s="3">
        <f t="shared" si="3"/>
        <v>3.6232709884643555E-2</v>
      </c>
      <c r="AH25" s="3">
        <f t="shared" si="2"/>
        <v>-2.123809917931041E-7</v>
      </c>
      <c r="AI25" s="3">
        <f t="shared" si="4"/>
        <v>-5.9553631285459038E-15</v>
      </c>
      <c r="AJ25" s="3">
        <f t="shared" si="5"/>
        <v>9.6166737154810541E-14</v>
      </c>
      <c r="AK25" s="3">
        <f t="shared" si="6"/>
        <v>4.76837158203125E-7</v>
      </c>
      <c r="AM25" s="3">
        <v>21</v>
      </c>
      <c r="AN25" s="3">
        <f t="shared" si="25"/>
        <v>1250.8697509765625</v>
      </c>
      <c r="AO25" s="3">
        <v>-3.872848162700393E-4</v>
      </c>
      <c r="AP25" s="3">
        <f t="shared" si="26"/>
        <v>1250.8716583251953</v>
      </c>
      <c r="AQ25" s="3">
        <v>3.4972051264503534E-4</v>
      </c>
      <c r="AR25" s="3">
        <f t="shared" si="17"/>
        <v>1250.8707046508789</v>
      </c>
      <c r="AS25" s="3">
        <v>-1.8420948890707223E-5</v>
      </c>
      <c r="AT25" s="3">
        <f t="shared" si="18"/>
        <v>7.1341538066573313E-9</v>
      </c>
      <c r="AU25" s="3">
        <f t="shared" si="19"/>
        <v>-6.4421836894661251E-9</v>
      </c>
      <c r="AV25" s="3">
        <f t="shared" si="20"/>
        <v>1.9073486328125E-3</v>
      </c>
      <c r="AX25" s="61"/>
      <c r="AY25" s="4">
        <f>0.835*($AY$9/2)</f>
        <v>1.2524999999999999</v>
      </c>
      <c r="AZ25" s="27" t="s">
        <v>8</v>
      </c>
      <c r="BA25"/>
      <c r="BB25" s="62"/>
      <c r="BC25" s="61">
        <f>BO39</f>
        <v>-1.5528180477564213E-9</v>
      </c>
      <c r="BD25" s="61"/>
      <c r="BE25"/>
      <c r="BF25" s="3" t="s">
        <v>189</v>
      </c>
      <c r="BG25" s="3">
        <f>SQRT(BG23^2 + BG24^2)</f>
        <v>81.535029677699157</v>
      </c>
      <c r="BH25" s="27" t="s">
        <v>10</v>
      </c>
      <c r="BI25"/>
      <c r="BJ25" s="3" t="s">
        <v>189</v>
      </c>
      <c r="BK25" s="3">
        <f>SQRT(BK23^2 + BK24^2)</f>
        <v>96.33353225228359</v>
      </c>
      <c r="BL25" s="27" t="s">
        <v>10</v>
      </c>
      <c r="BM25"/>
      <c r="BN25" s="3" t="s">
        <v>29</v>
      </c>
      <c r="BO25" s="3">
        <f>BO24-BO23</f>
        <v>0.18790139379628851</v>
      </c>
      <c r="BP25" s="3" t="s">
        <v>177</v>
      </c>
      <c r="BQ25" s="3"/>
      <c r="BR25" s="3" t="s">
        <v>29</v>
      </c>
      <c r="BS25" s="3">
        <f>BS24-BS23</f>
        <v>0.19562118736959927</v>
      </c>
      <c r="BT25" s="3" t="s">
        <v>177</v>
      </c>
      <c r="BU25"/>
      <c r="BV25" s="3">
        <v>21</v>
      </c>
      <c r="BW25" s="3">
        <f t="shared" si="21"/>
        <v>0.34894689365087483</v>
      </c>
      <c r="BX25" s="3">
        <v>-7.6536095572343754E-8</v>
      </c>
      <c r="BY25" s="3">
        <f t="shared" si="22"/>
        <v>0.34894956014091627</v>
      </c>
      <c r="BZ25" s="3">
        <v>8.0857758184421646E-6</v>
      </c>
      <c r="CA25" s="3">
        <f t="shared" si="7"/>
        <v>0.34894822689589555</v>
      </c>
      <c r="CB25" s="3">
        <v>4.0046250464331745E-6</v>
      </c>
      <c r="CC25" s="3">
        <f t="shared" si="8"/>
        <v>-3.06498365285211E-13</v>
      </c>
      <c r="CD25" s="3">
        <f t="shared" si="9"/>
        <v>3.2380500362377196E-11</v>
      </c>
      <c r="CE25" s="3">
        <f t="shared" si="10"/>
        <v>2.6664900414363757E-6</v>
      </c>
      <c r="CF25"/>
      <c r="CG25" s="3">
        <v>21</v>
      </c>
      <c r="CH25" s="3">
        <f t="shared" si="23"/>
        <v>0.27865554966842643</v>
      </c>
      <c r="CI25" s="3">
        <v>-1.0930569057099326E-6</v>
      </c>
      <c r="CJ25" s="3">
        <f t="shared" si="24"/>
        <v>0.27865821615846786</v>
      </c>
      <c r="CK25" s="3">
        <v>5.7015152837153193E-6</v>
      </c>
      <c r="CL25" s="3">
        <f t="shared" si="11"/>
        <v>0.27865688291344715</v>
      </c>
      <c r="CM25" s="3">
        <v>2.3042342475049216E-6</v>
      </c>
      <c r="CN25" s="3">
        <f t="shared" si="12"/>
        <v>-2.5186591566085846E-12</v>
      </c>
      <c r="CO25" s="3">
        <f t="shared" si="13"/>
        <v>1.3137626779409579E-11</v>
      </c>
      <c r="CP25" s="3">
        <f t="shared" si="14"/>
        <v>2.6664900414363757E-6</v>
      </c>
    </row>
    <row r="26" spans="2:94" x14ac:dyDescent="0.2">
      <c r="B26" t="s">
        <v>130</v>
      </c>
      <c r="C26" s="1">
        <v>1.8</v>
      </c>
      <c r="D26" t="s">
        <v>8</v>
      </c>
      <c r="F26" s="43" t="s">
        <v>103</v>
      </c>
      <c r="G26" s="46">
        <f>$C$17*G25</f>
        <v>146.7382299890354</v>
      </c>
      <c r="H26" s="43" t="s">
        <v>124</v>
      </c>
      <c r="J26" s="16" t="s">
        <v>71</v>
      </c>
      <c r="K26" s="7">
        <f xml:space="preserve"> $C$44 * (13 * ($C$5*2.20462/1000)^1.3 * 0.453592)</f>
        <v>17.636352040202453</v>
      </c>
      <c r="L26" s="7" t="s">
        <v>7</v>
      </c>
      <c r="N26" s="7" t="s">
        <v>37</v>
      </c>
      <c r="O26" s="7">
        <f xml:space="preserve"> 1/$C$20 - O23 * SQRT( (2*$C$40*PI()*$C$7^2) / O19^3 )</f>
        <v>1.1238704590215545</v>
      </c>
      <c r="R26" s="7" t="s">
        <v>37</v>
      </c>
      <c r="S26" s="7">
        <f xml:space="preserve"> 1/$C$20 - S23 * SQRT( (2*$C$40*PI()*$C$7^2) / S19^3 )</f>
        <v>1.1206429583663002</v>
      </c>
      <c r="V26" s="7" t="s">
        <v>37</v>
      </c>
      <c r="W26" s="7">
        <f xml:space="preserve"> 1/$C$20 - W23 * SQRT( (2*$C$40*PI()*$C$7^2) / W19^3 )</f>
        <v>1.1194736373409377</v>
      </c>
      <c r="AB26" s="3">
        <v>22</v>
      </c>
      <c r="AC26" s="3">
        <f t="shared" si="15"/>
        <v>3.6232471466064453E-2</v>
      </c>
      <c r="AD26" s="3">
        <f t="shared" si="0"/>
        <v>2.8040942262608226E-8</v>
      </c>
      <c r="AE26" s="3">
        <f t="shared" si="16"/>
        <v>3.6232709884643555E-2</v>
      </c>
      <c r="AF26" s="3">
        <f t="shared" si="1"/>
        <v>-2.123809917931041E-7</v>
      </c>
      <c r="AG26" s="3">
        <f t="shared" si="3"/>
        <v>3.6232590675354004E-2</v>
      </c>
      <c r="AH26" s="3">
        <f t="shared" si="2"/>
        <v>-9.2170023183180128E-8</v>
      </c>
      <c r="AI26" s="3">
        <f t="shared" si="4"/>
        <v>-2.5845342984228156E-15</v>
      </c>
      <c r="AJ26" s="3">
        <f t="shared" si="5"/>
        <v>1.9575160937237192E-14</v>
      </c>
      <c r="AK26" s="3">
        <f t="shared" si="6"/>
        <v>2.384185791015625E-7</v>
      </c>
      <c r="AM26" s="3">
        <v>22</v>
      </c>
      <c r="AN26" s="3">
        <f t="shared" si="25"/>
        <v>1250.8707046508789</v>
      </c>
      <c r="AO26" s="3">
        <v>-1.8420948890707223E-5</v>
      </c>
      <c r="AP26" s="3">
        <f t="shared" si="26"/>
        <v>1250.8716583251953</v>
      </c>
      <c r="AQ26" s="3">
        <v>3.4972051264503534E-4</v>
      </c>
      <c r="AR26" s="3">
        <f t="shared" si="17"/>
        <v>1250.8711814880371</v>
      </c>
      <c r="AS26" s="3">
        <v>1.660109178374114E-4</v>
      </c>
      <c r="AT26" s="3">
        <f t="shared" si="18"/>
        <v>-3.0580786327823516E-9</v>
      </c>
      <c r="AU26" s="3">
        <f t="shared" si="19"/>
        <v>5.8057423290772356E-8</v>
      </c>
      <c r="AV26" s="3">
        <f t="shared" si="20"/>
        <v>9.5367431640625E-4</v>
      </c>
      <c r="AX26" s="61"/>
      <c r="AY26" s="4">
        <f>0.945*($AY$9/2)</f>
        <v>1.4175</v>
      </c>
      <c r="AZ26" s="7" t="s">
        <v>8</v>
      </c>
      <c r="BA26"/>
      <c r="BB26" s="62"/>
      <c r="BC26" s="61">
        <f>BS39</f>
        <v>4.1155700236661374E-9</v>
      </c>
      <c r="BD26" s="61"/>
      <c r="BE26"/>
      <c r="BF26" s="3" t="s">
        <v>192</v>
      </c>
      <c r="BG26" s="38">
        <f>$AY$45*BG25*$AY$31/$AY$46</f>
        <v>529786.7456622126</v>
      </c>
      <c r="BH26" s="27"/>
      <c r="BI26"/>
      <c r="BJ26" s="3" t="s">
        <v>192</v>
      </c>
      <c r="BK26" s="38">
        <f>$AY$45*BK25*$AY$32/$AY$46</f>
        <v>605662.91155906639</v>
      </c>
      <c r="BL26" s="27"/>
      <c r="BM26"/>
      <c r="BN26" s="3" t="s">
        <v>190</v>
      </c>
      <c r="BO26" s="3">
        <f>BO25/PI()*180</f>
        <v>10.765956829153001</v>
      </c>
      <c r="BP26" s="3" t="s">
        <v>44</v>
      </c>
      <c r="BQ26" s="3"/>
      <c r="BR26" s="3" t="s">
        <v>190</v>
      </c>
      <c r="BS26" s="3">
        <f>BS25/PI()*180</f>
        <v>11.208268419615925</v>
      </c>
      <c r="BT26" s="3" t="s">
        <v>44</v>
      </c>
      <c r="BU26"/>
      <c r="BV26" s="3">
        <v>22</v>
      </c>
      <c r="BW26" s="3">
        <f t="shared" si="21"/>
        <v>0.34894689365087483</v>
      </c>
      <c r="BX26" s="3">
        <v>-7.6536095572343754E-8</v>
      </c>
      <c r="BY26" s="3">
        <f t="shared" si="22"/>
        <v>0.34894822689589555</v>
      </c>
      <c r="BZ26" s="3">
        <v>4.0046250464331745E-6</v>
      </c>
      <c r="CA26" s="3">
        <f t="shared" si="7"/>
        <v>0.34894756027338519</v>
      </c>
      <c r="CB26" s="3">
        <v>1.9640457717962079E-6</v>
      </c>
      <c r="CC26" s="3">
        <f t="shared" si="8"/>
        <v>-1.5032039489865222E-13</v>
      </c>
      <c r="CD26" s="3">
        <f t="shared" si="9"/>
        <v>7.8652668900762697E-12</v>
      </c>
      <c r="CE26" s="3">
        <f t="shared" si="10"/>
        <v>1.3332450207181878E-6</v>
      </c>
      <c r="CF26"/>
      <c r="CG26" s="3">
        <v>22</v>
      </c>
      <c r="CH26" s="3">
        <f t="shared" si="23"/>
        <v>0.27865554966842643</v>
      </c>
      <c r="CI26" s="3">
        <v>-1.0930569057099326E-6</v>
      </c>
      <c r="CJ26" s="3">
        <f t="shared" si="24"/>
        <v>0.27865688291344715</v>
      </c>
      <c r="CK26" s="3">
        <v>2.3042342475049216E-6</v>
      </c>
      <c r="CL26" s="3">
        <f t="shared" si="11"/>
        <v>0.27865621629093679</v>
      </c>
      <c r="CM26" s="3">
        <v>6.0558993558723628E-7</v>
      </c>
      <c r="CN26" s="3">
        <f t="shared" si="12"/>
        <v>-6.6194426112206194E-13</v>
      </c>
      <c r="CO26" s="3">
        <f t="shared" si="13"/>
        <v>1.3954210695244094E-12</v>
      </c>
      <c r="CP26" s="3">
        <f t="shared" si="14"/>
        <v>1.3332450207181878E-6</v>
      </c>
    </row>
    <row r="27" spans="2:94" x14ac:dyDescent="0.2">
      <c r="J27" s="11" t="s">
        <v>58</v>
      </c>
      <c r="K27" s="11">
        <f>$C$5 - $C$13 - SUM(K13:K26)</f>
        <v>-6.0117599787190557E-10</v>
      </c>
      <c r="L27" s="11" t="s">
        <v>7</v>
      </c>
      <c r="N27" s="7" t="s">
        <v>38</v>
      </c>
      <c r="O27" s="18">
        <v>1.1499999999999999</v>
      </c>
      <c r="R27" s="7" t="s">
        <v>38</v>
      </c>
      <c r="S27" s="18">
        <v>1.1499999999999999</v>
      </c>
      <c r="V27" s="7" t="s">
        <v>38</v>
      </c>
      <c r="W27" s="18">
        <v>1.1499999999999999</v>
      </c>
      <c r="AB27" s="3">
        <v>23</v>
      </c>
      <c r="AC27" s="3">
        <f t="shared" si="15"/>
        <v>3.6232471466064453E-2</v>
      </c>
      <c r="AD27" s="3">
        <f t="shared" si="0"/>
        <v>2.8040942262608226E-8</v>
      </c>
      <c r="AE27" s="3">
        <f t="shared" si="16"/>
        <v>3.6232590675354004E-2</v>
      </c>
      <c r="AF27" s="3">
        <f t="shared" si="1"/>
        <v>-9.2170023183180128E-8</v>
      </c>
      <c r="AG27" s="3">
        <f t="shared" si="3"/>
        <v>3.6232531070709229E-2</v>
      </c>
      <c r="AH27" s="3">
        <f t="shared" si="2"/>
        <v>-3.2064540071707892E-8</v>
      </c>
      <c r="AI27" s="3">
        <f t="shared" si="4"/>
        <v>-8.9911991682784882E-16</v>
      </c>
      <c r="AJ27" s="3">
        <f t="shared" si="5"/>
        <v>2.9553894017673247E-15</v>
      </c>
      <c r="AK27" s="3">
        <f t="shared" si="6"/>
        <v>1.1920928955078125E-7</v>
      </c>
      <c r="AM27" s="3">
        <v>23</v>
      </c>
      <c r="AN27" s="3">
        <f t="shared" si="25"/>
        <v>1250.8707046508789</v>
      </c>
      <c r="AO27" s="3">
        <v>-1.8420948890707223E-5</v>
      </c>
      <c r="AP27" s="3">
        <f t="shared" si="26"/>
        <v>1250.8711814880371</v>
      </c>
      <c r="AQ27" s="3">
        <v>1.660109178374114E-4</v>
      </c>
      <c r="AR27" s="3">
        <f t="shared" si="17"/>
        <v>1250.870943069458</v>
      </c>
      <c r="AS27" s="3">
        <v>7.3794990157693974E-5</v>
      </c>
      <c r="AT27" s="3">
        <f t="shared" si="18"/>
        <v>-1.3593737420851231E-9</v>
      </c>
      <c r="AU27" s="3">
        <f t="shared" si="19"/>
        <v>1.2250774047881518E-8</v>
      </c>
      <c r="AV27" s="3">
        <f t="shared" si="20"/>
        <v>4.76837158203125E-4</v>
      </c>
      <c r="AX27" s="61" t="s">
        <v>226</v>
      </c>
      <c r="AY27" s="4">
        <f>0.071475*($AY$9/2)</f>
        <v>0.10721249999999999</v>
      </c>
      <c r="AZ27" s="27" t="s">
        <v>8</v>
      </c>
      <c r="BA27"/>
      <c r="BB27" s="62"/>
      <c r="BC27" s="61">
        <f>BO58</f>
        <v>7.2491207481206743E-11</v>
      </c>
      <c r="BD27" s="61"/>
      <c r="BE27"/>
      <c r="BF27" s="3" t="s">
        <v>196</v>
      </c>
      <c r="BG27" s="34">
        <f xml:space="preserve"> $BO$46 * PI() * $AY$45 * BG25^2 * $BO$52 * $AY$23 * BG22</f>
        <v>418.90501704836981</v>
      </c>
      <c r="BH27" s="27" t="s">
        <v>23</v>
      </c>
      <c r="BI27"/>
      <c r="BJ27" s="3" t="s">
        <v>196</v>
      </c>
      <c r="BK27" s="34">
        <f xml:space="preserve"> $BS$46 * PI() * $AY$45 * BK25^2 * $BS$52 * $AY$24 * BK22</f>
        <v>561.21543663951979</v>
      </c>
      <c r="BL27" s="27" t="s">
        <v>23</v>
      </c>
      <c r="BM27"/>
      <c r="BN27" s="3" t="s">
        <v>193</v>
      </c>
      <c r="BO27" s="3">
        <f xml:space="preserve"> $AY$8*$AY$29 / (2*PI()*$AY$21)</f>
        <v>0.13573499102299302</v>
      </c>
      <c r="BP27" s="3"/>
      <c r="BQ27" s="3"/>
      <c r="BR27" s="3" t="s">
        <v>193</v>
      </c>
      <c r="BS27" s="3">
        <f xml:space="preserve"> $AY$8*$AY$30 / (2*PI()*$AY$22)</f>
        <v>0.10293858076710952</v>
      </c>
      <c r="BT27" s="3"/>
      <c r="BU27"/>
      <c r="BV27" s="3">
        <v>23</v>
      </c>
      <c r="BW27" s="3">
        <f t="shared" si="21"/>
        <v>0.34894689365087483</v>
      </c>
      <c r="BX27" s="3">
        <v>-7.6536095572343754E-8</v>
      </c>
      <c r="BY27" s="3">
        <f t="shared" si="22"/>
        <v>0.34894756027338519</v>
      </c>
      <c r="BZ27" s="3">
        <v>1.9640457717962079E-6</v>
      </c>
      <c r="CA27" s="3">
        <f t="shared" si="7"/>
        <v>0.34894722696212999</v>
      </c>
      <c r="CB27" s="3">
        <v>9.4375516211664401E-7</v>
      </c>
      <c r="CC27" s="3">
        <f t="shared" si="8"/>
        <v>-7.2231335284652245E-14</v>
      </c>
      <c r="CD27" s="3">
        <f t="shared" si="9"/>
        <v>1.8535783357660393E-12</v>
      </c>
      <c r="CE27" s="3">
        <f t="shared" si="10"/>
        <v>6.6662251035909392E-7</v>
      </c>
      <c r="CF27"/>
      <c r="CG27" s="3">
        <v>23</v>
      </c>
      <c r="CH27" s="3">
        <f t="shared" si="23"/>
        <v>0.27865554966842643</v>
      </c>
      <c r="CI27" s="3">
        <v>-1.0930569057099326E-6</v>
      </c>
      <c r="CJ27" s="3">
        <f t="shared" si="24"/>
        <v>0.27865621629093679</v>
      </c>
      <c r="CK27" s="3">
        <v>6.0558993558723628E-7</v>
      </c>
      <c r="CL27" s="3">
        <f t="shared" si="11"/>
        <v>0.27865588297968158</v>
      </c>
      <c r="CM27" s="3">
        <v>-2.4373316898085307E-7</v>
      </c>
      <c r="CN27" s="3">
        <f t="shared" si="12"/>
        <v>2.6641422350508737E-13</v>
      </c>
      <c r="CO27" s="3">
        <f t="shared" si="13"/>
        <v>-1.4760235410358778E-13</v>
      </c>
      <c r="CP27" s="3">
        <f t="shared" si="14"/>
        <v>6.6662251035909392E-7</v>
      </c>
    </row>
    <row r="28" spans="2:94" x14ac:dyDescent="0.2">
      <c r="B28" s="56" t="s">
        <v>131</v>
      </c>
      <c r="C28" s="56"/>
      <c r="D28" s="56"/>
      <c r="F28" s="51" t="s">
        <v>92</v>
      </c>
      <c r="G28" s="52"/>
      <c r="H28" s="52"/>
      <c r="J28" s="7" t="s">
        <v>59</v>
      </c>
      <c r="K28" s="5" t="str">
        <f>IF(ABS(K27)&lt;0.00001, "TRUE", "FALSE")</f>
        <v>TRUE</v>
      </c>
      <c r="N28" s="7" t="s">
        <v>39</v>
      </c>
      <c r="O28" s="7">
        <f xml:space="preserve"> 1/$C$47 * LN( EXP($C$47 * O26) + EXP($C$47 * O27) )</f>
        <v>1.1625374724589819</v>
      </c>
      <c r="R28" s="7" t="s">
        <v>39</v>
      </c>
      <c r="S28" s="7">
        <f xml:space="preserve"> 1/$C$47 * LN( EXP($C$47 * S26) + EXP($C$47 * S27) )</f>
        <v>1.16155892100078</v>
      </c>
      <c r="V28" s="7" t="s">
        <v>39</v>
      </c>
      <c r="W28" s="7">
        <f xml:space="preserve"> 1/$C$47 * LN( EXP($C$47 * W26) + EXP($C$47 * W27) )</f>
        <v>1.1612205025668172</v>
      </c>
      <c r="AB28" s="3">
        <v>24</v>
      </c>
      <c r="AC28" s="3">
        <f t="shared" si="15"/>
        <v>3.6232471466064453E-2</v>
      </c>
      <c r="AD28" s="3">
        <f t="shared" si="0"/>
        <v>2.8040942262608226E-8</v>
      </c>
      <c r="AE28" s="3">
        <f t="shared" si="16"/>
        <v>3.6232531070709229E-2</v>
      </c>
      <c r="AF28" s="3">
        <f t="shared" si="1"/>
        <v>-3.2064540071707892E-8</v>
      </c>
      <c r="AG28" s="3">
        <f t="shared" si="3"/>
        <v>3.6232501268386841E-2</v>
      </c>
      <c r="AH28" s="3">
        <f t="shared" si="2"/>
        <v>-2.0117988108747653E-9</v>
      </c>
      <c r="AI28" s="3">
        <f t="shared" si="4"/>
        <v>-5.6412734299723184E-17</v>
      </c>
      <c r="AJ28" s="3">
        <f t="shared" si="5"/>
        <v>6.4507403587508198E-17</v>
      </c>
      <c r="AK28" s="3">
        <f t="shared" si="6"/>
        <v>5.9604644775390625E-8</v>
      </c>
      <c r="AM28" s="3">
        <v>24</v>
      </c>
      <c r="AN28" s="3">
        <f t="shared" si="25"/>
        <v>1250.8707046508789</v>
      </c>
      <c r="AO28" s="3">
        <v>-1.8420948890707223E-5</v>
      </c>
      <c r="AP28" s="3">
        <f t="shared" si="26"/>
        <v>1250.870943069458</v>
      </c>
      <c r="AQ28" s="3">
        <v>7.3794990157693974E-5</v>
      </c>
      <c r="AR28" s="3">
        <f t="shared" si="17"/>
        <v>1250.8708238601685</v>
      </c>
      <c r="AS28" s="3">
        <v>2.7687021997735428E-5</v>
      </c>
      <c r="AT28" s="3">
        <f t="shared" si="18"/>
        <v>-5.1002121715617096E-10</v>
      </c>
      <c r="AU28" s="3">
        <f t="shared" si="19"/>
        <v>2.0431635158187424E-9</v>
      </c>
      <c r="AV28" s="3">
        <f t="shared" si="20"/>
        <v>2.384185791015625E-4</v>
      </c>
      <c r="AX28" s="61"/>
      <c r="AY28" s="4">
        <f>0.069425*($AY$9/2)</f>
        <v>0.10413749999999999</v>
      </c>
      <c r="AZ28" s="27" t="s">
        <v>8</v>
      </c>
      <c r="BA28"/>
      <c r="BB28" s="62"/>
      <c r="BC28" s="61">
        <f>BS58</f>
        <v>-4.2439070938038448E-9</v>
      </c>
      <c r="BD28" s="61"/>
      <c r="BE28"/>
      <c r="BF28" s="3" t="s">
        <v>200</v>
      </c>
      <c r="BG28" s="34">
        <f xml:space="preserve"> $BO$46 * PI() * $AY$45 * BG25^2 * $BO$53 * $AY$23^2 * BG22</f>
        <v>77.647621941702582</v>
      </c>
      <c r="BH28" s="27" t="s">
        <v>201</v>
      </c>
      <c r="BI28"/>
      <c r="BJ28" s="3" t="s">
        <v>200</v>
      </c>
      <c r="BK28" s="34">
        <f xml:space="preserve"> $BS$46 * PI() * $AY$45 * BK25^2 * $BS$53 * $AY$24^2 * BK22</f>
        <v>110.37792378628215</v>
      </c>
      <c r="BL28" s="27" t="s">
        <v>201</v>
      </c>
      <c r="BM28"/>
      <c r="BN28" s="3" t="s">
        <v>197</v>
      </c>
      <c r="BO28" s="3">
        <f>IF(-$AY$8*($BC$3-$AY$21)/(2*$AY$21*SIN(BO23))&gt;500, 1, 2*ACOS(MIN(1, EXP(-$AY$8*($BC$3-$AY$21)/(2*$AY$21*SIN(BO23)))))/PI() )</f>
        <v>0.99999995244133721</v>
      </c>
      <c r="BP28" s="3"/>
      <c r="BQ28" s="3"/>
      <c r="BR28" s="3" t="s">
        <v>197</v>
      </c>
      <c r="BS28" s="3">
        <f>IF(-$AY$8*($BC$3-$AY$22)/(2*$AY$22*SIN(BS23))&gt;500, 1, 2*ACOS(MIN(1, EXP(-$AY$8*($BC$3-$AY$22)/(2*$AY$22*SIN(BS23)))))/PI() )</f>
        <v>0.99999628607128743</v>
      </c>
      <c r="BT28" s="3"/>
      <c r="BU28"/>
      <c r="BV28" s="3">
        <v>24</v>
      </c>
      <c r="BW28" s="3">
        <f t="shared" si="21"/>
        <v>0.34894689365087483</v>
      </c>
      <c r="BX28" s="3">
        <v>-7.6536095572343754E-8</v>
      </c>
      <c r="BY28" s="3">
        <f t="shared" si="22"/>
        <v>0.34894722696212999</v>
      </c>
      <c r="BZ28" s="3">
        <v>9.4375516211664401E-7</v>
      </c>
      <c r="CA28" s="3">
        <f t="shared" si="7"/>
        <v>0.34894706030650241</v>
      </c>
      <c r="CB28" s="3">
        <v>4.3360961425598088E-7</v>
      </c>
      <c r="CC28" s="3">
        <f t="shared" si="8"/>
        <v>-3.3186786877782859E-14</v>
      </c>
      <c r="CD28" s="3">
        <f t="shared" si="9"/>
        <v>4.0922131179748869E-13</v>
      </c>
      <c r="CE28" s="3">
        <f t="shared" si="10"/>
        <v>3.3331125515179139E-7</v>
      </c>
      <c r="CF28"/>
      <c r="CG28" s="3">
        <v>24</v>
      </c>
      <c r="CH28" s="3">
        <f t="shared" si="23"/>
        <v>0.27865588297968158</v>
      </c>
      <c r="CI28" s="3">
        <v>-2.4373316898085307E-7</v>
      </c>
      <c r="CJ28" s="3">
        <f t="shared" si="24"/>
        <v>0.27865621629093679</v>
      </c>
      <c r="CK28" s="3">
        <v>6.0558993558723628E-7</v>
      </c>
      <c r="CL28" s="3">
        <f t="shared" si="11"/>
        <v>0.27865604963530921</v>
      </c>
      <c r="CM28" s="3">
        <v>1.8092846237882654E-7</v>
      </c>
      <c r="CN28" s="3">
        <f t="shared" si="12"/>
        <v>-4.4098267494424447E-14</v>
      </c>
      <c r="CO28" s="3">
        <f t="shared" si="13"/>
        <v>1.0956845587789127E-13</v>
      </c>
      <c r="CP28" s="3">
        <f t="shared" si="14"/>
        <v>3.3331125520730254E-7</v>
      </c>
    </row>
    <row r="29" spans="2:94" x14ac:dyDescent="0.2">
      <c r="B29" s="7" t="s">
        <v>145</v>
      </c>
      <c r="C29" s="22" t="s">
        <v>146</v>
      </c>
      <c r="F29" s="10" t="s">
        <v>95</v>
      </c>
      <c r="G29" s="7">
        <f xml:space="preserve"> ($C$14-G23-G43)/$C$9</f>
        <v>1600.2478630521136</v>
      </c>
      <c r="H29" s="7" t="s">
        <v>14</v>
      </c>
      <c r="AB29" s="3">
        <v>25</v>
      </c>
      <c r="AC29" s="3">
        <f t="shared" si="15"/>
        <v>3.6232471466064453E-2</v>
      </c>
      <c r="AD29" s="3">
        <f t="shared" si="0"/>
        <v>2.8040942262608226E-8</v>
      </c>
      <c r="AE29" s="3">
        <f t="shared" si="16"/>
        <v>3.6232501268386841E-2</v>
      </c>
      <c r="AF29" s="3">
        <f t="shared" si="1"/>
        <v>-2.0117988108747653E-9</v>
      </c>
      <c r="AG29" s="3">
        <f t="shared" si="3"/>
        <v>3.6232486367225647E-2</v>
      </c>
      <c r="AH29" s="3">
        <f t="shared" si="2"/>
        <v>1.3014571753622306E-8</v>
      </c>
      <c r="AI29" s="3">
        <f t="shared" si="4"/>
        <v>3.6494085511589497E-16</v>
      </c>
      <c r="AJ29" s="3">
        <f t="shared" si="5"/>
        <v>-2.6182699977981664E-17</v>
      </c>
      <c r="AK29" s="3">
        <f t="shared" si="6"/>
        <v>2.9802322387695312E-8</v>
      </c>
      <c r="AM29" s="3">
        <v>25</v>
      </c>
      <c r="AN29" s="3">
        <f t="shared" si="25"/>
        <v>1250.8707046508789</v>
      </c>
      <c r="AO29" s="3">
        <v>-1.8420948890707223E-5</v>
      </c>
      <c r="AP29" s="3">
        <f t="shared" si="26"/>
        <v>1250.8708238601685</v>
      </c>
      <c r="AQ29" s="3">
        <v>2.7687021997735428E-5</v>
      </c>
      <c r="AR29" s="3">
        <f t="shared" si="17"/>
        <v>1250.8707642555237</v>
      </c>
      <c r="AS29" s="3">
        <v>6.9467283765334287E-6</v>
      </c>
      <c r="AT29" s="3">
        <f t="shared" si="18"/>
        <v>-1.2796532838174785E-10</v>
      </c>
      <c r="AU29" s="3">
        <f t="shared" si="19"/>
        <v>1.9233422137337394E-10</v>
      </c>
      <c r="AV29" s="3">
        <f t="shared" si="20"/>
        <v>1.1920928955078125E-4</v>
      </c>
      <c r="AX29" s="61"/>
      <c r="AY29" s="4">
        <f>0.067375*($AY$9/2)</f>
        <v>0.1010625</v>
      </c>
      <c r="AZ29" s="27" t="s">
        <v>8</v>
      </c>
      <c r="BA29"/>
      <c r="BB29" s="62"/>
      <c r="BC29" s="61">
        <f>BO77</f>
        <v>-3.7650529603749927E-9</v>
      </c>
      <c r="BD29" s="61"/>
      <c r="BE29"/>
      <c r="BF29"/>
      <c r="BG29"/>
      <c r="BH29"/>
      <c r="BI29"/>
      <c r="BJ29"/>
      <c r="BK29"/>
      <c r="BL29"/>
      <c r="BM29"/>
      <c r="BN29" s="3" t="s">
        <v>202</v>
      </c>
      <c r="BO29" s="3">
        <f>IF(-$AY$8*($AY$21-$AY$10)/(2*$AY$21*SIN(BO23))&gt;500, 1, 2*ACOS(MIN(1, EXP(-$AY$8*($AY$21-$AY$10)/(2*$AY$21*SIN(BO23)))))/PI() )</f>
        <v>0.99963314574407525</v>
      </c>
      <c r="BP29" s="3"/>
      <c r="BQ29" s="3"/>
      <c r="BR29" s="3" t="s">
        <v>202</v>
      </c>
      <c r="BS29" s="3">
        <f>IF(-$AY$8*($AY$22-$AY$10)/(2*$AY$22*SIN(BS23))&gt;500, 1, 2*ACOS(MIN(1, EXP(-$AY$8*($AY$22-$AY$10)/(2*$AY$22*SIN(BS23)))))/PI() )</f>
        <v>0.99994593016782574</v>
      </c>
      <c r="BT29" s="3"/>
      <c r="BU29"/>
      <c r="BV29" s="3">
        <v>25</v>
      </c>
      <c r="BW29" s="3">
        <f t="shared" si="21"/>
        <v>0.34894689365087483</v>
      </c>
      <c r="BX29" s="3">
        <v>-7.6536095572343754E-8</v>
      </c>
      <c r="BY29" s="3">
        <f t="shared" si="22"/>
        <v>0.34894706030650241</v>
      </c>
      <c r="BZ29" s="3">
        <v>4.3360961425598088E-7</v>
      </c>
      <c r="CA29" s="3">
        <f t="shared" si="7"/>
        <v>0.34894697697868859</v>
      </c>
      <c r="CB29" s="3">
        <v>1.7853677954093872E-7</v>
      </c>
      <c r="CC29" s="3">
        <f t="shared" si="8"/>
        <v>-1.3664508022123752E-14</v>
      </c>
      <c r="CD29" s="3">
        <f t="shared" si="9"/>
        <v>7.7415264107251541E-14</v>
      </c>
      <c r="CE29" s="3">
        <f t="shared" si="10"/>
        <v>1.6665562757589569E-7</v>
      </c>
      <c r="CF29"/>
      <c r="CG29" s="3">
        <v>25</v>
      </c>
      <c r="CH29" s="3">
        <f t="shared" si="23"/>
        <v>0.27865588297968158</v>
      </c>
      <c r="CI29" s="3">
        <v>-2.4373316898085307E-7</v>
      </c>
      <c r="CJ29" s="3">
        <f t="shared" si="24"/>
        <v>0.27865604963530921</v>
      </c>
      <c r="CK29" s="3">
        <v>1.8092846237882654E-7</v>
      </c>
      <c r="CL29" s="3">
        <f t="shared" si="11"/>
        <v>0.2786559663074954</v>
      </c>
      <c r="CM29" s="3">
        <v>-3.1402333622310152E-8</v>
      </c>
      <c r="CN29" s="3">
        <f t="shared" si="12"/>
        <v>7.6537902871596448E-15</v>
      </c>
      <c r="CO29" s="3">
        <f t="shared" si="13"/>
        <v>-5.6815759373915023E-15</v>
      </c>
      <c r="CP29" s="3">
        <f t="shared" si="14"/>
        <v>1.6665562763140684E-7</v>
      </c>
    </row>
    <row r="30" spans="2:94" x14ac:dyDescent="0.2">
      <c r="B30" s="7" t="s">
        <v>147</v>
      </c>
      <c r="C30" s="7">
        <f>IF(C29="wheeled",0.0325,0.014)</f>
        <v>3.2500000000000001E-2</v>
      </c>
      <c r="F30" t="s">
        <v>151</v>
      </c>
      <c r="G30" s="9">
        <f>S20*$C$7</f>
        <v>166.45716502325013</v>
      </c>
      <c r="H30" s="7" t="s">
        <v>10</v>
      </c>
      <c r="J30" s="53" t="s">
        <v>137</v>
      </c>
      <c r="K30" s="53"/>
      <c r="L30" s="53"/>
      <c r="AB30" s="3">
        <v>26</v>
      </c>
      <c r="AC30" s="3">
        <f t="shared" si="15"/>
        <v>3.6232486367225647E-2</v>
      </c>
      <c r="AD30" s="3">
        <f t="shared" si="0"/>
        <v>1.3014571753622306E-8</v>
      </c>
      <c r="AE30" s="3">
        <f t="shared" si="16"/>
        <v>3.6232501268386841E-2</v>
      </c>
      <c r="AF30" s="3">
        <f t="shared" si="1"/>
        <v>-2.0117988108747653E-9</v>
      </c>
      <c r="AG30" s="3">
        <f t="shared" si="3"/>
        <v>3.6232493817806244E-2</v>
      </c>
      <c r="AH30" s="3">
        <f t="shared" si="2"/>
        <v>5.5013864783126643E-9</v>
      </c>
      <c r="AI30" s="3">
        <f t="shared" si="4"/>
        <v>7.1598189066407697E-17</v>
      </c>
      <c r="AJ30" s="3">
        <f t="shared" si="5"/>
        <v>-1.1067682775231931E-17</v>
      </c>
      <c r="AK30" s="3">
        <f t="shared" si="6"/>
        <v>1.4901161193847656E-8</v>
      </c>
      <c r="AM30" s="3">
        <v>26</v>
      </c>
      <c r="AN30" s="3">
        <f t="shared" si="25"/>
        <v>1250.8707046508789</v>
      </c>
      <c r="AO30" s="3">
        <v>-1.8420948890707223E-5</v>
      </c>
      <c r="AP30" s="3">
        <f t="shared" si="26"/>
        <v>1250.8707642555237</v>
      </c>
      <c r="AQ30" s="3">
        <v>6.9467283765334287E-6</v>
      </c>
      <c r="AR30" s="3">
        <f t="shared" si="17"/>
        <v>1250.8707344532013</v>
      </c>
      <c r="AS30" s="3">
        <v>-6.3149578863885836E-6</v>
      </c>
      <c r="AT30" s="3">
        <f t="shared" si="18"/>
        <v>1.1632751647213261E-10</v>
      </c>
      <c r="AU30" s="3">
        <f t="shared" si="19"/>
        <v>-4.3868297145989137E-11</v>
      </c>
      <c r="AV30" s="3">
        <f t="shared" si="20"/>
        <v>5.9604644775390625E-5</v>
      </c>
      <c r="AX30" s="61"/>
      <c r="AY30" s="4">
        <f>0.065325*($AY$9/2)</f>
        <v>9.7987499999999991E-2</v>
      </c>
      <c r="AZ30" s="27" t="s">
        <v>8</v>
      </c>
      <c r="BA30"/>
      <c r="BB30" s="39" t="s">
        <v>227</v>
      </c>
      <c r="BC30" s="61" t="b">
        <f>IF(BC23&lt;0.00001,IF(BC24&lt;0.00001,IF(BC25&lt;0.00001,IF(BC26&lt;0.00001,IF(BC27&lt;0.00001,IF(BC28&lt;0.00001,IF(BC29&lt;0.00001,TRUE,FALSE),FALSE),FALSE),FALSE),FALSE),FALSE),FALSE)</f>
        <v>1</v>
      </c>
      <c r="BD30" s="61"/>
      <c r="BE30"/>
      <c r="BF30" s="60" t="s">
        <v>228</v>
      </c>
      <c r="BG30" s="60"/>
      <c r="BH30" s="60"/>
      <c r="BI30"/>
      <c r="BJ30" s="60" t="s">
        <v>242</v>
      </c>
      <c r="BK30" s="60"/>
      <c r="BL30" s="60"/>
      <c r="BM30"/>
      <c r="BN30" s="3" t="s">
        <v>205</v>
      </c>
      <c r="BO30" s="3">
        <f>IF(BO23=0,1,BO28*BO29)</f>
        <v>0.9996330982028595</v>
      </c>
      <c r="BP30" s="3"/>
      <c r="BQ30" s="3"/>
      <c r="BR30" s="3" t="s">
        <v>205</v>
      </c>
      <c r="BS30" s="3">
        <f>IF(BS23=0,1,BS28*BS29)</f>
        <v>0.99994221643992465</v>
      </c>
      <c r="BT30" s="3"/>
      <c r="BU30"/>
      <c r="BV30" s="3">
        <v>26</v>
      </c>
      <c r="BW30" s="3">
        <f t="shared" si="21"/>
        <v>0.34894689365087483</v>
      </c>
      <c r="BX30" s="3">
        <v>-7.6536095572343754E-8</v>
      </c>
      <c r="BY30" s="3">
        <f t="shared" si="22"/>
        <v>0.34894697697868859</v>
      </c>
      <c r="BZ30" s="3">
        <v>1.7853677954093872E-7</v>
      </c>
      <c r="CA30" s="3">
        <f t="shared" si="7"/>
        <v>0.34894693531478171</v>
      </c>
      <c r="CB30" s="3">
        <v>5.1000347042751137E-8</v>
      </c>
      <c r="CC30" s="3">
        <f t="shared" si="8"/>
        <v>-3.9033674354867002E-15</v>
      </c>
      <c r="CD30" s="3">
        <f t="shared" si="9"/>
        <v>9.1054377164830257E-15</v>
      </c>
      <c r="CE30" s="3">
        <f t="shared" si="10"/>
        <v>8.3327813760192271E-8</v>
      </c>
      <c r="CF30"/>
      <c r="CG30" s="3">
        <v>26</v>
      </c>
      <c r="CH30" s="3">
        <f t="shared" si="23"/>
        <v>0.2786559663074954</v>
      </c>
      <c r="CI30" s="3">
        <v>-3.1402333622310152E-8</v>
      </c>
      <c r="CJ30" s="3">
        <f t="shared" si="24"/>
        <v>0.27865604963530921</v>
      </c>
      <c r="CK30" s="3">
        <v>1.8092846237882654E-7</v>
      </c>
      <c r="CL30" s="3">
        <f t="shared" si="11"/>
        <v>0.27865600797140233</v>
      </c>
      <c r="CM30" s="3">
        <v>7.476306945752853E-8</v>
      </c>
      <c r="CN30" s="3">
        <f t="shared" si="12"/>
        <v>-2.3477348497332572E-15</v>
      </c>
      <c r="CO30" s="3">
        <f t="shared" si="13"/>
        <v>1.3526767199672047E-14</v>
      </c>
      <c r="CP30" s="3">
        <f t="shared" si="14"/>
        <v>8.3327813815703422E-8</v>
      </c>
    </row>
    <row r="31" spans="2:94" x14ac:dyDescent="0.2">
      <c r="B31" t="s">
        <v>132</v>
      </c>
      <c r="C31" s="1">
        <v>0.3</v>
      </c>
      <c r="D31" t="s">
        <v>8</v>
      </c>
      <c r="F31" s="7" t="s">
        <v>154</v>
      </c>
      <c r="G31" s="7">
        <f>G30/$C$42</f>
        <v>0.48898161374098198</v>
      </c>
      <c r="H31" s="7" t="s">
        <v>152</v>
      </c>
      <c r="J31" s="7" t="s">
        <v>61</v>
      </c>
      <c r="K31" s="7">
        <f>ROUND($C$13,2)</f>
        <v>400</v>
      </c>
      <c r="L31" s="7" t="s">
        <v>7</v>
      </c>
      <c r="AB31" s="3">
        <v>27</v>
      </c>
      <c r="AC31" s="3">
        <f t="shared" si="15"/>
        <v>3.6232493817806244E-2</v>
      </c>
      <c r="AD31" s="3">
        <f t="shared" si="0"/>
        <v>5.5013864783126643E-9</v>
      </c>
      <c r="AE31" s="3">
        <f t="shared" si="16"/>
        <v>3.6232501268386841E-2</v>
      </c>
      <c r="AF31" s="3">
        <f t="shared" si="1"/>
        <v>-2.0117988108747653E-9</v>
      </c>
      <c r="AG31" s="3">
        <f t="shared" si="3"/>
        <v>3.6232497543096542E-2</v>
      </c>
      <c r="AH31" s="3">
        <f t="shared" si="2"/>
        <v>1.7447938371883964E-9</v>
      </c>
      <c r="AI31" s="3">
        <f t="shared" si="4"/>
        <v>9.5987852233515129E-18</v>
      </c>
      <c r="AJ31" s="3">
        <f t="shared" si="5"/>
        <v>-3.5101741668772348E-18</v>
      </c>
      <c r="AK31" s="3">
        <f t="shared" si="6"/>
        <v>7.4505805969238281E-9</v>
      </c>
      <c r="AM31" s="3">
        <v>27</v>
      </c>
      <c r="AN31" s="3">
        <f t="shared" si="25"/>
        <v>1250.8707344532013</v>
      </c>
      <c r="AO31" s="3">
        <v>-6.3149578863885836E-6</v>
      </c>
      <c r="AP31" s="3">
        <f t="shared" si="26"/>
        <v>1250.8707642555237</v>
      </c>
      <c r="AQ31" s="3">
        <v>6.9467283765334287E-6</v>
      </c>
      <c r="AR31" s="3">
        <f t="shared" si="17"/>
        <v>1250.8707493543625</v>
      </c>
      <c r="AS31" s="3">
        <v>3.1588558613293571E-7</v>
      </c>
      <c r="AT31" s="3">
        <f t="shared" si="18"/>
        <v>-1.9948041733466626E-12</v>
      </c>
      <c r="AU31" s="3">
        <f t="shared" si="19"/>
        <v>2.1943713649275591E-12</v>
      </c>
      <c r="AV31" s="3">
        <f t="shared" si="20"/>
        <v>2.9802322387695312E-5</v>
      </c>
      <c r="AX31" s="61"/>
      <c r="AY31" s="4">
        <f>0.063275*($AY$9/2)</f>
        <v>9.4912499999999997E-2</v>
      </c>
      <c r="AZ31" s="27" t="s">
        <v>8</v>
      </c>
      <c r="BA31"/>
      <c r="BB31"/>
      <c r="BC31"/>
      <c r="BD31"/>
      <c r="BE31"/>
      <c r="BF31" s="3" t="s">
        <v>175</v>
      </c>
      <c r="BG31" s="3">
        <f>$AY$25-$AY$24</f>
        <v>0.16500000000000004</v>
      </c>
      <c r="BH31" s="27" t="s">
        <v>8</v>
      </c>
      <c r="BI31"/>
      <c r="BJ31" s="3" t="s">
        <v>175</v>
      </c>
      <c r="BK31" s="3">
        <f>2*($AY$9/2 - $AY$26)</f>
        <v>0.16500000000000004</v>
      </c>
      <c r="BL31" s="27" t="s">
        <v>8</v>
      </c>
      <c r="BM31"/>
      <c r="BN31" s="3" t="s">
        <v>209</v>
      </c>
      <c r="BO31" s="3">
        <f>IF(BO26&lt;$BH$43, $BC$44*BO26^2 + $BD$44*BO26 + $BE$44, IF(BO26&gt;$BI$43, $BJ$44*BO26^2 + $BK$44*BO26 + $BL$44, $BF$44*BO26^3 + $BG$44*BO26^2 + $BH$44*BO26 + $BI$44))</f>
        <v>1.3095235316644507</v>
      </c>
      <c r="BP31" s="3"/>
      <c r="BQ31" s="3"/>
      <c r="BR31" s="3" t="s">
        <v>209</v>
      </c>
      <c r="BS31" s="3">
        <f>IF(BS26&lt;$BH$43, $BC$44*BS26^2 + $BD$44*BS26 + $BE$44, IF(BS26&gt;$BI$43, $BJ$44*BS26^2 + $BK$44*BS26 + $BL$44, $BF$44*BS26^3 + $BG$44*BS26^2 + $BH$44*BS26 + $BI$44))</f>
        <v>1.3384270545965729</v>
      </c>
      <c r="BT31" s="3"/>
      <c r="BU31"/>
      <c r="BV31" s="3">
        <v>27</v>
      </c>
      <c r="BW31" s="3">
        <f t="shared" si="21"/>
        <v>0.34894689365087483</v>
      </c>
      <c r="BX31" s="3">
        <v>-7.6536095572343754E-8</v>
      </c>
      <c r="BY31" s="3">
        <f t="shared" si="22"/>
        <v>0.34894693531478171</v>
      </c>
      <c r="BZ31" s="3">
        <v>5.1000347042751137E-8</v>
      </c>
      <c r="CA31" s="3">
        <f t="shared" si="7"/>
        <v>0.34894691448282827</v>
      </c>
      <c r="CB31" s="3">
        <v>-1.2767873036612087E-8</v>
      </c>
      <c r="CC31" s="3">
        <f t="shared" si="8"/>
        <v>9.7720315098569354E-16</v>
      </c>
      <c r="CD31" s="3">
        <f t="shared" si="9"/>
        <v>-6.5116595586500129E-16</v>
      </c>
      <c r="CE31" s="3">
        <f t="shared" si="10"/>
        <v>4.1663906880096135E-8</v>
      </c>
      <c r="CF31"/>
      <c r="CG31" s="3">
        <v>27</v>
      </c>
      <c r="CH31" s="3">
        <f t="shared" si="23"/>
        <v>0.2786559663074954</v>
      </c>
      <c r="CI31" s="3">
        <v>-3.1402333622310152E-8</v>
      </c>
      <c r="CJ31" s="3">
        <f t="shared" si="24"/>
        <v>0.27865600797140233</v>
      </c>
      <c r="CK31" s="3">
        <v>7.476306945752853E-8</v>
      </c>
      <c r="CL31" s="3">
        <f t="shared" si="11"/>
        <v>0.27865598713944884</v>
      </c>
      <c r="CM31" s="3">
        <v>2.1680369124976728E-8</v>
      </c>
      <c r="CN31" s="3">
        <f t="shared" si="12"/>
        <v>-6.8081418431735167E-16</v>
      </c>
      <c r="CO31" s="3">
        <f t="shared" si="13"/>
        <v>1.6208909427554922E-15</v>
      </c>
      <c r="CP31" s="3">
        <f t="shared" si="14"/>
        <v>4.1663906935607287E-8</v>
      </c>
    </row>
    <row r="32" spans="2:94" x14ac:dyDescent="0.2">
      <c r="B32" t="s">
        <v>133</v>
      </c>
      <c r="C32" s="1">
        <v>5.7</v>
      </c>
      <c r="D32"/>
      <c r="F32" s="10" t="s">
        <v>119</v>
      </c>
      <c r="G32" s="7">
        <f xml:space="preserve"> 1/1000 * (S23 + S19 * (S25 * S28 + $C$9 * SIN(S18/180*PI())))</f>
        <v>28.963924940989362</v>
      </c>
      <c r="H32" s="7" t="s">
        <v>124</v>
      </c>
      <c r="J32" s="12" t="s">
        <v>56</v>
      </c>
      <c r="K32" s="7">
        <f>ROUND(K13,2)</f>
        <v>420.36</v>
      </c>
      <c r="L32" s="7" t="s">
        <v>7</v>
      </c>
      <c r="AB32" s="3">
        <v>28</v>
      </c>
      <c r="AC32" s="3">
        <f t="shared" si="15"/>
        <v>3.6232497543096542E-2</v>
      </c>
      <c r="AD32" s="3">
        <f t="shared" si="0"/>
        <v>1.7447938371883964E-9</v>
      </c>
      <c r="AE32" s="3">
        <f t="shared" si="16"/>
        <v>3.6232501268386841E-2</v>
      </c>
      <c r="AF32" s="3">
        <f t="shared" si="1"/>
        <v>-2.0117988108747653E-9</v>
      </c>
      <c r="AG32" s="3">
        <f t="shared" si="3"/>
        <v>3.6232499405741692E-2</v>
      </c>
      <c r="AH32" s="3">
        <f t="shared" si="2"/>
        <v>-1.3350248684318444E-10</v>
      </c>
      <c r="AI32" s="3">
        <f t="shared" si="4"/>
        <v>-2.3293431629331319E-19</v>
      </c>
      <c r="AJ32" s="3">
        <f t="shared" si="5"/>
        <v>2.6858014427994246E-19</v>
      </c>
      <c r="AK32" s="3">
        <f t="shared" si="6"/>
        <v>3.7252902984619141E-9</v>
      </c>
      <c r="AM32" s="3">
        <v>28</v>
      </c>
      <c r="AN32" s="3">
        <f t="shared" si="25"/>
        <v>1250.8707344532013</v>
      </c>
      <c r="AO32" s="3">
        <v>-6.3149578863885836E-6</v>
      </c>
      <c r="AP32" s="3">
        <f t="shared" si="26"/>
        <v>1250.8707493543625</v>
      </c>
      <c r="AQ32" s="3">
        <v>3.1588558613293571E-7</v>
      </c>
      <c r="AR32" s="3">
        <f t="shared" si="17"/>
        <v>1250.8707419037819</v>
      </c>
      <c r="AS32" s="3">
        <v>-2.9995354680067976E-6</v>
      </c>
      <c r="AT32" s="3">
        <f t="shared" si="18"/>
        <v>1.8941940159191797E-11</v>
      </c>
      <c r="AU32" s="3">
        <f t="shared" si="19"/>
        <v>-9.475100194378569E-13</v>
      </c>
      <c r="AV32" s="3">
        <f t="shared" si="20"/>
        <v>1.4901161193847656E-5</v>
      </c>
      <c r="AX32" s="61"/>
      <c r="AY32" s="4">
        <f>0.061225*($AY$9/2)</f>
        <v>9.1837500000000002E-2</v>
      </c>
      <c r="AZ32" s="27" t="s">
        <v>8</v>
      </c>
      <c r="BA32"/>
      <c r="BB32"/>
      <c r="BC32"/>
      <c r="BD32"/>
      <c r="BE32"/>
      <c r="BF32" s="3" t="s">
        <v>180</v>
      </c>
      <c r="BG32" s="3">
        <f>(1+$BO$75)*$AY$3</f>
        <v>16.388355077720224</v>
      </c>
      <c r="BH32" s="27" t="s">
        <v>10</v>
      </c>
      <c r="BI32"/>
      <c r="BJ32" s="3" t="s">
        <v>180</v>
      </c>
      <c r="BK32" s="3">
        <f>(1+$BS$75)*$AY$3</f>
        <v>18.493554091899298</v>
      </c>
      <c r="BL32" s="27" t="s">
        <v>10</v>
      </c>
      <c r="BM32"/>
      <c r="BN32" s="3" t="s">
        <v>210</v>
      </c>
      <c r="BO32" s="3">
        <f>IF(BO26&lt;$BH$43, $BC$45*BO26^2 + $BD$45*BO26 + $BE$45, IF(BO26&gt;$BI$43, $BJ$45*BO26^2 + $BK$45*BO26 + $BL$45, $BF$45*BO26^3 + $BG$45*BO26^2 + $BH$45*BO26 + $BI$45))</f>
        <v>2.0654794364202485E-2</v>
      </c>
      <c r="BP32" s="3"/>
      <c r="BQ32" s="3"/>
      <c r="BR32" s="3" t="s">
        <v>210</v>
      </c>
      <c r="BS32" s="3">
        <f>IF(BS26&lt;$BH$43, $BC$45*BS26^2 + $BD$45*BS26 + $BE$45, IF(BS26&gt;$BI$43, $BJ$45*BS26^2 + $BK$45*BS26 + $BL$45, $BF$45*BS26^3 + $BG$45*BS26^2 + $BH$45*BS26 + $BI$45))</f>
        <v>2.2651575973210644E-2</v>
      </c>
      <c r="BT32" s="3"/>
      <c r="BU32"/>
      <c r="BV32" s="3">
        <v>28</v>
      </c>
      <c r="BW32" s="3">
        <f t="shared" si="21"/>
        <v>0.34894691448282827</v>
      </c>
      <c r="BX32" s="3">
        <v>-1.2767873036612087E-8</v>
      </c>
      <c r="BY32" s="3">
        <f t="shared" si="22"/>
        <v>0.34894693531478171</v>
      </c>
      <c r="BZ32" s="3">
        <v>5.1000347042751137E-8</v>
      </c>
      <c r="CA32" s="3">
        <f t="shared" si="7"/>
        <v>0.34894692489880497</v>
      </c>
      <c r="CB32" s="3">
        <v>1.9116237287564175E-8</v>
      </c>
      <c r="CC32" s="3">
        <f t="shared" si="8"/>
        <v>-2.440736906253692E-16</v>
      </c>
      <c r="CD32" s="3">
        <f t="shared" si="9"/>
        <v>9.7493473581735257E-16</v>
      </c>
      <c r="CE32" s="3">
        <f t="shared" si="10"/>
        <v>2.0831953440048068E-8</v>
      </c>
      <c r="CF32"/>
      <c r="CG32" s="3">
        <v>28</v>
      </c>
      <c r="CH32" s="3">
        <f t="shared" si="23"/>
        <v>0.2786559663074954</v>
      </c>
      <c r="CI32" s="3">
        <v>-3.1402333622310152E-8</v>
      </c>
      <c r="CJ32" s="3">
        <f t="shared" si="24"/>
        <v>0.27865598713944884</v>
      </c>
      <c r="CK32" s="3">
        <v>2.1680369124976728E-8</v>
      </c>
      <c r="CL32" s="3">
        <f t="shared" si="11"/>
        <v>0.27865597672347209</v>
      </c>
      <c r="CM32" s="3">
        <v>-4.8609820196832132E-9</v>
      </c>
      <c r="CN32" s="3">
        <f t="shared" si="12"/>
        <v>1.5264617911414327E-16</v>
      </c>
      <c r="CO32" s="3">
        <f t="shared" si="13"/>
        <v>-1.0538788449660696E-16</v>
      </c>
      <c r="CP32" s="3">
        <f t="shared" si="14"/>
        <v>2.0831953440048068E-8</v>
      </c>
    </row>
    <row r="33" spans="2:94" x14ac:dyDescent="0.2">
      <c r="F33" s="45" t="s">
        <v>247</v>
      </c>
      <c r="G33" s="44">
        <f>$C$17 * G32</f>
        <v>115.85569976395745</v>
      </c>
      <c r="H33" s="44" t="s">
        <v>124</v>
      </c>
      <c r="J33" s="20" t="s">
        <v>84</v>
      </c>
      <c r="K33" s="7">
        <f>ROUND(SUM(K14:K17),2)</f>
        <v>236.42</v>
      </c>
      <c r="L33" s="7" t="s">
        <v>7</v>
      </c>
      <c r="AB33" s="3">
        <v>29</v>
      </c>
      <c r="AC33" s="3">
        <f t="shared" si="15"/>
        <v>3.6232497543096542E-2</v>
      </c>
      <c r="AD33" s="3">
        <f t="shared" si="0"/>
        <v>1.7447938371883964E-9</v>
      </c>
      <c r="AE33" s="3">
        <f t="shared" si="16"/>
        <v>3.6232499405741692E-2</v>
      </c>
      <c r="AF33" s="3">
        <f t="shared" si="1"/>
        <v>-1.3350248684318444E-10</v>
      </c>
      <c r="AG33" s="3">
        <f t="shared" si="3"/>
        <v>3.6232498474419117E-2</v>
      </c>
      <c r="AH33" s="3">
        <f t="shared" si="2"/>
        <v>8.0564567517260599E-10</v>
      </c>
      <c r="AI33" s="3">
        <f t="shared" si="4"/>
        <v>1.4056856089986476E-18</v>
      </c>
      <c r="AJ33" s="3">
        <f t="shared" si="5"/>
        <v>-1.0755570114999928E-19</v>
      </c>
      <c r="AK33" s="3">
        <f t="shared" si="6"/>
        <v>1.862645149230957E-9</v>
      </c>
      <c r="AM33" s="3">
        <v>29</v>
      </c>
      <c r="AN33" s="3">
        <f t="shared" si="25"/>
        <v>1250.8707419037819</v>
      </c>
      <c r="AO33" s="3">
        <v>-2.9995354680067976E-6</v>
      </c>
      <c r="AP33" s="3">
        <f t="shared" si="26"/>
        <v>1250.8707493543625</v>
      </c>
      <c r="AQ33" s="3">
        <v>3.1588558613293571E-7</v>
      </c>
      <c r="AR33" s="3">
        <f t="shared" si="17"/>
        <v>1250.8707456290722</v>
      </c>
      <c r="AS33" s="3">
        <v>-1.3418253956842818E-6</v>
      </c>
      <c r="AT33" s="3">
        <f t="shared" si="18"/>
        <v>4.0248528662272587E-12</v>
      </c>
      <c r="AU33" s="3">
        <f t="shared" si="19"/>
        <v>-4.2386330160378775E-13</v>
      </c>
      <c r="AV33" s="3">
        <f t="shared" si="20"/>
        <v>7.4505805969238281E-6</v>
      </c>
      <c r="AX33" s="61"/>
      <c r="AY33" s="4">
        <f>0.059175*($AY$9/2)</f>
        <v>8.8762499999999994E-2</v>
      </c>
      <c r="AZ33" s="27" t="s">
        <v>8</v>
      </c>
      <c r="BA33"/>
      <c r="BB33"/>
      <c r="BC33"/>
      <c r="BD33"/>
      <c r="BE33"/>
      <c r="BF33" s="3" t="s">
        <v>185</v>
      </c>
      <c r="BG33" s="3">
        <f>(1-$BO$76)*$BC$5*$AY$25</f>
        <v>109.92650724199972</v>
      </c>
      <c r="BH33" s="27" t="s">
        <v>10</v>
      </c>
      <c r="BI33"/>
      <c r="BJ33" s="3" t="s">
        <v>185</v>
      </c>
      <c r="BK33" s="3">
        <f>(1-$BS$76)*$BC$5*$AY$26</f>
        <v>124.41829199404822</v>
      </c>
      <c r="BL33" s="27" t="s">
        <v>10</v>
      </c>
      <c r="BM33"/>
      <c r="BN33" s="3" t="s">
        <v>212</v>
      </c>
      <c r="BO33" s="3">
        <f xml:space="preserve"> BO31*COS(BO23) - BO32*SIN(BO23)</f>
        <v>1.2685533901919988</v>
      </c>
      <c r="BP33" s="3"/>
      <c r="BQ33"/>
      <c r="BR33" s="3" t="s">
        <v>212</v>
      </c>
      <c r="BS33" s="3">
        <f xml:space="preserve"> BS31*COS(BS23) - BS32*SIN(BS23)</f>
        <v>1.3058620500838523</v>
      </c>
      <c r="BT33" s="3"/>
      <c r="BU33"/>
      <c r="BV33" s="3">
        <v>29</v>
      </c>
      <c r="BW33" s="3">
        <f t="shared" si="21"/>
        <v>0.34894691448282827</v>
      </c>
      <c r="BX33" s="3">
        <v>-1.2767873036612087E-8</v>
      </c>
      <c r="BY33" s="3">
        <f t="shared" si="22"/>
        <v>0.34894692489880497</v>
      </c>
      <c r="BZ33" s="3">
        <v>1.9116237287564175E-8</v>
      </c>
      <c r="CA33" s="3">
        <f t="shared" si="7"/>
        <v>0.34894691969081659</v>
      </c>
      <c r="CB33" s="3">
        <v>3.1741821671094073E-9</v>
      </c>
      <c r="CC33" s="3">
        <f t="shared" si="8"/>
        <v>-4.0527554904731122E-17</v>
      </c>
      <c r="CD33" s="3">
        <f t="shared" si="9"/>
        <v>6.0678419500418107E-17</v>
      </c>
      <c r="CE33" s="3">
        <f t="shared" si="10"/>
        <v>1.0415976692268458E-8</v>
      </c>
      <c r="CF33"/>
      <c r="CG33" s="3">
        <v>29</v>
      </c>
      <c r="CH33" s="3">
        <f t="shared" si="23"/>
        <v>0.27865597672347209</v>
      </c>
      <c r="CI33" s="3">
        <v>-4.8609820196832132E-9</v>
      </c>
      <c r="CJ33" s="3">
        <f t="shared" si="24"/>
        <v>0.27865598713944884</v>
      </c>
      <c r="CK33" s="3">
        <v>2.1680369124976728E-8</v>
      </c>
      <c r="CL33" s="3">
        <f t="shared" si="11"/>
        <v>0.27865598193146046</v>
      </c>
      <c r="CM33" s="3">
        <v>8.40969366366906E-9</v>
      </c>
      <c r="CN33" s="3">
        <f t="shared" si="12"/>
        <v>-4.0879369690139147E-17</v>
      </c>
      <c r="CO33" s="3">
        <f t="shared" si="13"/>
        <v>1.8232526285632311E-16</v>
      </c>
      <c r="CP33" s="3">
        <f t="shared" si="14"/>
        <v>1.0415976747779609E-8</v>
      </c>
    </row>
    <row r="34" spans="2:94" x14ac:dyDescent="0.2">
      <c r="B34" s="53" t="s">
        <v>2</v>
      </c>
      <c r="C34" s="53"/>
      <c r="D34" s="53"/>
      <c r="J34" s="21" t="s">
        <v>73</v>
      </c>
      <c r="K34" s="7">
        <f>ROUND(SUM(K18:K22),2)</f>
        <v>135.37</v>
      </c>
      <c r="L34" s="7" t="s">
        <v>7</v>
      </c>
      <c r="AB34" s="3">
        <v>30</v>
      </c>
      <c r="AC34" s="3">
        <f t="shared" si="15"/>
        <v>3.6232498474419117E-2</v>
      </c>
      <c r="AD34" s="3">
        <f t="shared" si="0"/>
        <v>8.0564567517260599E-10</v>
      </c>
      <c r="AE34" s="3">
        <f t="shared" si="16"/>
        <v>3.6232499405741692E-2</v>
      </c>
      <c r="AF34" s="3">
        <f t="shared" si="1"/>
        <v>-1.3350248684318444E-10</v>
      </c>
      <c r="AG34" s="3">
        <f t="shared" si="3"/>
        <v>3.6232498940080404E-2</v>
      </c>
      <c r="AH34" s="3">
        <f t="shared" si="2"/>
        <v>3.3607160110360468E-10</v>
      </c>
      <c r="AI34" s="3">
        <f t="shared" si="4"/>
        <v>2.7075463197745231E-19</v>
      </c>
      <c r="AJ34" s="3">
        <f t="shared" si="5"/>
        <v>-4.4866394504701914E-20</v>
      </c>
      <c r="AK34" s="3">
        <f>AE34-AC34</f>
        <v>9.3132257461547852E-10</v>
      </c>
      <c r="AM34" s="3">
        <v>30</v>
      </c>
      <c r="AN34" s="3">
        <f t="shared" si="25"/>
        <v>1250.8707456290722</v>
      </c>
      <c r="AO34" s="3">
        <v>-1.3418253956842818E-6</v>
      </c>
      <c r="AP34" s="3">
        <f t="shared" si="26"/>
        <v>1250.8707493543625</v>
      </c>
      <c r="AQ34" s="3">
        <v>3.1588558613293571E-7</v>
      </c>
      <c r="AR34" s="3">
        <f t="shared" si="17"/>
        <v>1250.8707474917173</v>
      </c>
      <c r="AS34" s="3">
        <v>-5.1296979108883534E-7</v>
      </c>
      <c r="AT34" s="3">
        <f t="shared" si="18"/>
        <v>6.8831589290185986E-13</v>
      </c>
      <c r="AU34" s="3">
        <f t="shared" si="19"/>
        <v>-1.6203976312658633E-13</v>
      </c>
      <c r="AV34" s="3">
        <f t="shared" si="20"/>
        <v>3.7252902984619141E-6</v>
      </c>
      <c r="AX34" s="61"/>
      <c r="AY34" s="4">
        <f>0.057125*($AY$9/2)</f>
        <v>8.56875E-2</v>
      </c>
      <c r="AZ34" s="27" t="s">
        <v>8</v>
      </c>
      <c r="BA34"/>
      <c r="BB34"/>
      <c r="BC34"/>
      <c r="BD34"/>
      <c r="BE34"/>
      <c r="BF34" s="3" t="s">
        <v>189</v>
      </c>
      <c r="BG34" s="3">
        <f>SQRT(BG32^2 + BG33^2)</f>
        <v>111.14141971640839</v>
      </c>
      <c r="BH34" s="27" t="s">
        <v>10</v>
      </c>
      <c r="BI34"/>
      <c r="BJ34" s="3" t="s">
        <v>189</v>
      </c>
      <c r="BK34" s="3">
        <f>SQRT(BK32^2 + BK33^2)</f>
        <v>125.78522538703125</v>
      </c>
      <c r="BL34" s="27" t="s">
        <v>10</v>
      </c>
      <c r="BM34"/>
      <c r="BN34" s="3" t="s">
        <v>214</v>
      </c>
      <c r="BO34" s="3">
        <f xml:space="preserve"> BO31*SIN(BO23) + BO32*COS(BO23)</f>
        <v>0.32565441306014825</v>
      </c>
      <c r="BP34" s="3"/>
      <c r="BQ34"/>
      <c r="BR34" s="3" t="s">
        <v>214</v>
      </c>
      <c r="BS34" s="3">
        <f xml:space="preserve"> BS31*SIN(BS23) + BS32*COS(BS23)</f>
        <v>0.29432020066744619</v>
      </c>
      <c r="BT34" s="3"/>
      <c r="BU34"/>
      <c r="BV34" s="3">
        <v>30</v>
      </c>
      <c r="BW34" s="3">
        <f t="shared" si="21"/>
        <v>0.34894691448282827</v>
      </c>
      <c r="BX34" s="3">
        <v>-1.2767873036612087E-8</v>
      </c>
      <c r="BY34" s="3">
        <f t="shared" si="22"/>
        <v>0.34894691969081659</v>
      </c>
      <c r="BZ34" s="3">
        <v>3.1741821671094073E-9</v>
      </c>
      <c r="CA34" s="6">
        <f t="shared" si="7"/>
        <v>0.34894691708682246</v>
      </c>
      <c r="CB34" s="3">
        <v>-4.7968453376068254E-9</v>
      </c>
      <c r="CC34" s="3">
        <f t="shared" si="8"/>
        <v>6.1245512246828593E-17</v>
      </c>
      <c r="CD34" s="3">
        <f t="shared" si="9"/>
        <v>-1.522606092901349E-17</v>
      </c>
      <c r="CE34" s="3">
        <f t="shared" si="10"/>
        <v>5.2079883183786535E-9</v>
      </c>
      <c r="CF34"/>
      <c r="CG34" s="3">
        <v>30</v>
      </c>
      <c r="CH34" s="3">
        <f t="shared" si="23"/>
        <v>0.27865597672347209</v>
      </c>
      <c r="CI34" s="3">
        <v>-4.8609820196832132E-9</v>
      </c>
      <c r="CJ34" s="3">
        <f t="shared" si="24"/>
        <v>0.27865598193146046</v>
      </c>
      <c r="CK34" s="3">
        <v>8.40969366366906E-9</v>
      </c>
      <c r="CL34" s="6">
        <f t="shared" si="11"/>
        <v>0.27865597932746627</v>
      </c>
      <c r="CM34" s="3">
        <v>1.7743558428096051E-9</v>
      </c>
      <c r="CN34" s="3">
        <f t="shared" si="12"/>
        <v>-8.6251118484173441E-18</v>
      </c>
      <c r="CO34" s="3">
        <f t="shared" si="13"/>
        <v>1.492178908837011E-17</v>
      </c>
      <c r="CP34" s="3">
        <f t="shared" si="14"/>
        <v>5.2079883738898047E-9</v>
      </c>
    </row>
    <row r="35" spans="2:94" x14ac:dyDescent="0.2">
      <c r="B35" s="7" t="s">
        <v>3</v>
      </c>
      <c r="C35" s="18">
        <v>250</v>
      </c>
      <c r="D35" s="7" t="s">
        <v>4</v>
      </c>
      <c r="F35" s="54" t="s">
        <v>105</v>
      </c>
      <c r="G35" s="55"/>
      <c r="H35" s="55"/>
      <c r="J35" s="16" t="s">
        <v>74</v>
      </c>
      <c r="K35" s="7">
        <f>ROUND(SUM(K23:K26),2)</f>
        <v>58.72</v>
      </c>
      <c r="L35" s="7" t="s">
        <v>7</v>
      </c>
      <c r="AM35" s="3">
        <v>31</v>
      </c>
      <c r="AN35" s="3">
        <f t="shared" si="25"/>
        <v>1250.8707474917173</v>
      </c>
      <c r="AO35" s="3">
        <v>-5.1296979108883534E-7</v>
      </c>
      <c r="AP35" s="3">
        <f t="shared" si="26"/>
        <v>1250.8707493543625</v>
      </c>
      <c r="AQ35" s="3">
        <v>3.1588558613293571E-7</v>
      </c>
      <c r="AR35" s="3">
        <f t="shared" si="17"/>
        <v>1250.8707484230399</v>
      </c>
      <c r="AS35" s="3">
        <v>-9.8541818260855507E-8</v>
      </c>
      <c r="AT35" s="3">
        <f t="shared" si="18"/>
        <v>5.0548975926785029E-14</v>
      </c>
      <c r="AU35" s="3">
        <f t="shared" si="19"/>
        <v>-3.112794001993557E-14</v>
      </c>
      <c r="AV35" s="3">
        <f t="shared" si="20"/>
        <v>1.862645149230957E-6</v>
      </c>
      <c r="AX35" s="61" t="s">
        <v>245</v>
      </c>
      <c r="AY35" s="4">
        <v>6.9</v>
      </c>
      <c r="AZ35" s="27" t="s">
        <v>44</v>
      </c>
      <c r="BA35"/>
      <c r="BB35"/>
      <c r="BC35"/>
      <c r="BD35"/>
      <c r="BE35"/>
      <c r="BF35" s="3" t="s">
        <v>192</v>
      </c>
      <c r="BG35" s="38">
        <f>$AY$45*BG34*$AY$33/$AY$46</f>
        <v>675365.55677064054</v>
      </c>
      <c r="BH35" s="27"/>
      <c r="BI35"/>
      <c r="BJ35" s="3" t="s">
        <v>192</v>
      </c>
      <c r="BK35" s="38">
        <f>$AY$45*BK34*$AY$34/$AY$46</f>
        <v>737871.17806591967</v>
      </c>
      <c r="BL35" s="27"/>
      <c r="BM35"/>
      <c r="BN35" s="3" t="s">
        <v>39</v>
      </c>
      <c r="BO35" s="3">
        <f xml:space="preserve"> 4*BO30*SIN(BO23)*SIN(BO23) / (BO27*BO33)</f>
        <v>1.2644286490745851</v>
      </c>
      <c r="BP35" s="3"/>
      <c r="BQ35"/>
      <c r="BR35" s="3" t="s">
        <v>39</v>
      </c>
      <c r="BS35" s="3">
        <f xml:space="preserve"> 4*BS30*SIN(BS23)*SIN(BS23) / (BS27*BS33)</f>
        <v>1.2301569843078171</v>
      </c>
      <c r="BT35" s="3"/>
      <c r="BU35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/>
      <c r="CG35"/>
      <c r="CH35"/>
      <c r="CI35"/>
      <c r="CJ35"/>
      <c r="CK35"/>
      <c r="CL35"/>
      <c r="CM35"/>
      <c r="CN35"/>
      <c r="CO35"/>
      <c r="CP35"/>
    </row>
    <row r="36" spans="2:94" x14ac:dyDescent="0.2">
      <c r="B36" s="7" t="s">
        <v>5</v>
      </c>
      <c r="C36" s="18">
        <v>0.85</v>
      </c>
      <c r="F36" s="2" t="s">
        <v>118</v>
      </c>
      <c r="G36" s="1">
        <f>$C$9</f>
        <v>50</v>
      </c>
      <c r="H36" t="s">
        <v>10</v>
      </c>
      <c r="J36" s="11" t="s">
        <v>63</v>
      </c>
      <c r="K36" s="11">
        <f>SUM(K31:K35)</f>
        <v>1250.8700000000001</v>
      </c>
      <c r="L36" s="7" t="s">
        <v>7</v>
      </c>
      <c r="AM36" s="3">
        <v>32</v>
      </c>
      <c r="AN36" s="3">
        <f t="shared" si="25"/>
        <v>1250.8707484230399</v>
      </c>
      <c r="AO36" s="3">
        <v>-9.8541818260855507E-8</v>
      </c>
      <c r="AP36" s="3">
        <f t="shared" si="26"/>
        <v>1250.8707493543625</v>
      </c>
      <c r="AQ36" s="3">
        <v>3.1588558613293571E-7</v>
      </c>
      <c r="AR36" s="3">
        <f t="shared" si="17"/>
        <v>1250.8707488887012</v>
      </c>
      <c r="AS36" s="3">
        <v>1.0867154287552694E-7</v>
      </c>
      <c r="AT36" s="3">
        <f t="shared" si="18"/>
        <v>-1.0708691428166943E-14</v>
      </c>
      <c r="AU36" s="3">
        <f t="shared" si="19"/>
        <v>3.4327774017206281E-14</v>
      </c>
      <c r="AV36" s="3">
        <f t="shared" si="20"/>
        <v>9.3132257461547852E-7</v>
      </c>
      <c r="AX36" s="61"/>
      <c r="AY36" s="4">
        <v>5.58</v>
      </c>
      <c r="AZ36" s="27" t="s">
        <v>44</v>
      </c>
      <c r="BA36"/>
      <c r="BB36"/>
      <c r="BC36"/>
      <c r="BD36"/>
      <c r="BE36"/>
      <c r="BF36" s="3" t="s">
        <v>196</v>
      </c>
      <c r="BG36" s="34">
        <f xml:space="preserve"> $BO$65 * PI() * $AY$45 * BG34^2 * $BO$71 * $AY$25 * BG31</f>
        <v>705.88071608833286</v>
      </c>
      <c r="BH36" s="27" t="s">
        <v>23</v>
      </c>
      <c r="BI36"/>
      <c r="BJ36" s="3" t="s">
        <v>196</v>
      </c>
      <c r="BK36" s="34">
        <f xml:space="preserve"> $BS$65 * PI() * $AY$45 * BK34^2 * $BS$71 * $AY$26 * BK31</f>
        <v>804.70914008295347</v>
      </c>
      <c r="BL36" s="27" t="s">
        <v>23</v>
      </c>
      <c r="BM36"/>
      <c r="BN36" s="3" t="s">
        <v>216</v>
      </c>
      <c r="BO36" s="3">
        <f xml:space="preserve"> 4*BO30*SIN(BO23)*COS(BO23) / (BO27*BO34)</f>
        <v>20.525385584059077</v>
      </c>
      <c r="BP36" s="3"/>
      <c r="BQ36"/>
      <c r="BR36" s="3" t="s">
        <v>216</v>
      </c>
      <c r="BS36" s="3">
        <f xml:space="preserve"> 4*BS30*SIN(BS23)*COS(BS23) / (BS27*BS34)</f>
        <v>26.282631751690683</v>
      </c>
      <c r="BT36" s="3"/>
      <c r="BU36"/>
      <c r="BV36" s="59" t="s">
        <v>229</v>
      </c>
      <c r="BW36" s="59"/>
      <c r="BX36" s="59"/>
      <c r="BY36" s="59"/>
      <c r="BZ36" s="59"/>
      <c r="CA36" s="59"/>
      <c r="CB36" s="59"/>
      <c r="CC36" s="59"/>
      <c r="CD36" s="59"/>
      <c r="CE36" s="59"/>
      <c r="CF36"/>
      <c r="CG36" s="59" t="s">
        <v>230</v>
      </c>
      <c r="CH36" s="59"/>
      <c r="CI36" s="59"/>
      <c r="CJ36" s="59"/>
      <c r="CK36" s="59"/>
      <c r="CL36" s="59"/>
      <c r="CM36" s="59"/>
      <c r="CN36" s="59"/>
      <c r="CO36" s="59"/>
      <c r="CP36" s="59"/>
    </row>
    <row r="37" spans="2:94" x14ac:dyDescent="0.2">
      <c r="B37" s="7" t="s">
        <v>6</v>
      </c>
      <c r="C37" s="18">
        <v>0.8</v>
      </c>
      <c r="F37" t="s">
        <v>100</v>
      </c>
      <c r="G37" s="1">
        <v>1.524</v>
      </c>
      <c r="H37" t="s">
        <v>10</v>
      </c>
      <c r="AB37" s="17" t="s">
        <v>111</v>
      </c>
      <c r="AM37" s="3">
        <v>33</v>
      </c>
      <c r="AN37" s="3">
        <f t="shared" si="25"/>
        <v>1250.8707484230399</v>
      </c>
      <c r="AO37" s="3">
        <v>-9.8541818260855507E-8</v>
      </c>
      <c r="AP37" s="3">
        <f t="shared" si="26"/>
        <v>1250.8707488887012</v>
      </c>
      <c r="AQ37" s="3">
        <v>1.0867154287552694E-7</v>
      </c>
      <c r="AR37" s="3">
        <f t="shared" si="17"/>
        <v>1250.8707486558706</v>
      </c>
      <c r="AS37" s="3">
        <v>5.0649759941734374E-9</v>
      </c>
      <c r="AT37" s="3">
        <f t="shared" si="18"/>
        <v>-4.9911194391343481E-16</v>
      </c>
      <c r="AU37" s="3">
        <f t="shared" si="19"/>
        <v>5.5041875591433338E-16</v>
      </c>
      <c r="AV37" s="3">
        <f t="shared" si="20"/>
        <v>4.6566128730773926E-7</v>
      </c>
      <c r="AX37" s="61"/>
      <c r="AY37" s="4">
        <v>4.26</v>
      </c>
      <c r="AZ37" s="27" t="s">
        <v>44</v>
      </c>
      <c r="BA37"/>
      <c r="BB37"/>
      <c r="BC37"/>
      <c r="BD37"/>
      <c r="BE37"/>
      <c r="BF37" s="3" t="s">
        <v>200</v>
      </c>
      <c r="BG37" s="34">
        <f xml:space="preserve"> $BO$65 * PI() * $AY$45 * BG34^2 * $BO$72 * $AY$25^2 * BG31</f>
        <v>145.49015537613721</v>
      </c>
      <c r="BH37" s="27" t="s">
        <v>201</v>
      </c>
      <c r="BI37"/>
      <c r="BJ37" s="3" t="s">
        <v>200</v>
      </c>
      <c r="BK37" s="34">
        <f xml:space="preserve"> $BS$65 * PI() * $AY$45 * BK34^2 * $BS$72 * $AY$26^2 * BK31</f>
        <v>183.65785913624472</v>
      </c>
      <c r="BL37" s="27" t="s">
        <v>201</v>
      </c>
      <c r="BM37"/>
      <c r="BN37" s="3" t="s">
        <v>46</v>
      </c>
      <c r="BO37" s="3">
        <f>1/(BO35-1)</f>
        <v>3.7817384897577369</v>
      </c>
      <c r="BP37" s="3"/>
      <c r="BQ37"/>
      <c r="BR37" s="3" t="s">
        <v>46</v>
      </c>
      <c r="BS37" s="3">
        <f>1/(BS35-1)</f>
        <v>4.3448605438042138</v>
      </c>
      <c r="BT37" s="3"/>
      <c r="BU37"/>
      <c r="BV37" s="8" t="s">
        <v>45</v>
      </c>
      <c r="BW37" s="8" t="s">
        <v>46</v>
      </c>
      <c r="BX37" s="8" t="s">
        <v>47</v>
      </c>
      <c r="BY37" s="8" t="s">
        <v>48</v>
      </c>
      <c r="BZ37" s="8" t="s">
        <v>49</v>
      </c>
      <c r="CA37" s="8" t="s">
        <v>50</v>
      </c>
      <c r="CB37" s="8" t="s">
        <v>51</v>
      </c>
      <c r="CC37" s="8" t="s">
        <v>52</v>
      </c>
      <c r="CD37" s="8" t="s">
        <v>53</v>
      </c>
      <c r="CE37" s="8" t="s">
        <v>54</v>
      </c>
      <c r="CF37"/>
      <c r="CG37" s="8" t="s">
        <v>45</v>
      </c>
      <c r="CH37" s="8" t="s">
        <v>46</v>
      </c>
      <c r="CI37" s="8" t="s">
        <v>47</v>
      </c>
      <c r="CJ37" s="8" t="s">
        <v>48</v>
      </c>
      <c r="CK37" s="8" t="s">
        <v>49</v>
      </c>
      <c r="CL37" s="8" t="s">
        <v>50</v>
      </c>
      <c r="CM37" s="8" t="s">
        <v>51</v>
      </c>
      <c r="CN37" s="8" t="s">
        <v>52</v>
      </c>
      <c r="CO37" s="8" t="s">
        <v>53</v>
      </c>
      <c r="CP37" s="8" t="s">
        <v>54</v>
      </c>
    </row>
    <row r="38" spans="2:94" x14ac:dyDescent="0.2">
      <c r="F38" t="s">
        <v>99</v>
      </c>
      <c r="G38" s="1">
        <v>304.8</v>
      </c>
      <c r="H38" t="s">
        <v>8</v>
      </c>
      <c r="J38" s="53" t="s">
        <v>60</v>
      </c>
      <c r="K38" s="53"/>
      <c r="L38" s="53"/>
      <c r="AB38" s="8" t="s">
        <v>45</v>
      </c>
      <c r="AC38" s="8" t="s">
        <v>46</v>
      </c>
      <c r="AD38" s="8" t="s">
        <v>47</v>
      </c>
      <c r="AE38" s="8" t="s">
        <v>48</v>
      </c>
      <c r="AF38" s="8" t="s">
        <v>49</v>
      </c>
      <c r="AG38" s="8" t="s">
        <v>50</v>
      </c>
      <c r="AH38" s="8" t="s">
        <v>51</v>
      </c>
      <c r="AI38" s="8" t="s">
        <v>52</v>
      </c>
      <c r="AJ38" s="8" t="s">
        <v>53</v>
      </c>
      <c r="AK38" s="8" t="s">
        <v>54</v>
      </c>
      <c r="AM38" s="3">
        <v>34</v>
      </c>
      <c r="AN38" s="3">
        <f t="shared" si="25"/>
        <v>1250.8707484230399</v>
      </c>
      <c r="AO38" s="3">
        <v>-9.8541818260855507E-8</v>
      </c>
      <c r="AP38" s="3">
        <f t="shared" si="26"/>
        <v>1250.8707486558706</v>
      </c>
      <c r="AQ38" s="3">
        <v>5.0649759941734374E-9</v>
      </c>
      <c r="AR38" s="3">
        <f t="shared" si="17"/>
        <v>1250.8707485394552</v>
      </c>
      <c r="AS38" s="3">
        <v>-4.6738477976759896E-8</v>
      </c>
      <c r="AT38" s="3">
        <f t="shared" si="18"/>
        <v>4.6056946025748712E-15</v>
      </c>
      <c r="AU38" s="3">
        <f t="shared" si="19"/>
        <v>-2.3672926895649276E-16</v>
      </c>
      <c r="AV38" s="3">
        <f t="shared" si="20"/>
        <v>2.3283064365386963E-7</v>
      </c>
      <c r="AX38" s="61"/>
      <c r="AY38" s="4">
        <v>2.94</v>
      </c>
      <c r="AZ38" s="27" t="s">
        <v>44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 s="3" t="s">
        <v>219</v>
      </c>
      <c r="BO38" s="3">
        <f>1/(BO36+1)</f>
        <v>4.6456775238468383E-2</v>
      </c>
      <c r="BP38" s="3"/>
      <c r="BQ38"/>
      <c r="BR38" s="3" t="s">
        <v>219</v>
      </c>
      <c r="BS38" s="3">
        <f>1/(BS36+1)</f>
        <v>3.6653355479096358E-2</v>
      </c>
      <c r="BT38" s="3"/>
      <c r="BU38"/>
      <c r="BV38" s="31">
        <v>0</v>
      </c>
      <c r="BW38" s="31"/>
      <c r="BX38" s="31">
        <f>$BO$39</f>
        <v>-1.5528180477564213E-9</v>
      </c>
      <c r="BY38" s="31"/>
      <c r="BZ38" s="31">
        <f>$BO$39</f>
        <v>-1.5528180477564213E-9</v>
      </c>
      <c r="CA38" s="31"/>
      <c r="CB38" s="31">
        <f>$BO$39</f>
        <v>-1.5528180477564213E-9</v>
      </c>
      <c r="CC38" s="31"/>
      <c r="CD38" s="31"/>
      <c r="CE38" s="31"/>
      <c r="CF38"/>
      <c r="CG38" s="31">
        <v>0</v>
      </c>
      <c r="CH38" s="31"/>
      <c r="CI38" s="31">
        <f>$BS$39</f>
        <v>4.1155700236661374E-9</v>
      </c>
      <c r="CJ38" s="31"/>
      <c r="CK38" s="31">
        <f>$BS$39</f>
        <v>4.1155700236661374E-9</v>
      </c>
      <c r="CL38" s="31"/>
      <c r="CM38" s="31">
        <f>$BS$39</f>
        <v>4.1155700236661374E-9</v>
      </c>
      <c r="CN38" s="31"/>
      <c r="CO38" s="31"/>
      <c r="CP38" s="31"/>
    </row>
    <row r="39" spans="2:94" x14ac:dyDescent="0.2">
      <c r="B39" s="53" t="s">
        <v>75</v>
      </c>
      <c r="C39" s="58"/>
      <c r="D39" s="58"/>
      <c r="F39" t="s">
        <v>106</v>
      </c>
      <c r="G39" s="7">
        <f>$G$38/$G$37</f>
        <v>200</v>
      </c>
      <c r="H39" t="s">
        <v>14</v>
      </c>
      <c r="J39" s="7" t="s">
        <v>61</v>
      </c>
      <c r="K39" s="7">
        <f>ROUND($C$13/$C$5 * 100, 2)</f>
        <v>31.98</v>
      </c>
      <c r="L39" s="7" t="s">
        <v>62</v>
      </c>
      <c r="AB39" s="3">
        <v>0</v>
      </c>
      <c r="AC39" s="4">
        <v>0</v>
      </c>
      <c r="AD39" s="3">
        <f t="shared" ref="AD39:AD69" si="27" xml:space="preserve"> $C$10 * TAN($O$18/180*PI()) + $O$21 / (2 * SQRT($C$10^2 + AC39^2)) - AC39</f>
        <v>5.1884104237548738E-2</v>
      </c>
      <c r="AE39" s="4">
        <v>1</v>
      </c>
      <c r="AF39" s="3">
        <f t="shared" ref="AF39:AF69" si="28" xml:space="preserve"> $C$10 * TAN($O$18/180*PI()) + $O$21 / (2 * SQRT($C$10^2 + AE39^2)) - AE39</f>
        <v>-0.96347264960344481</v>
      </c>
      <c r="AG39" s="3">
        <f xml:space="preserve"> (AC39 + AE39)/2</f>
        <v>0.5</v>
      </c>
      <c r="AH39" s="3">
        <f t="shared" ref="AH39:AH69" si="29" xml:space="preserve"> $C$10 * TAN($O$18/180*PI()) + $O$21 / (2 * SQRT($C$10^2 + AG39^2)) - AG39</f>
        <v>-0.45857789962331413</v>
      </c>
      <c r="AI39" s="3">
        <f>AD39*AH39</f>
        <v>-2.3792903545092194E-2</v>
      </c>
      <c r="AJ39" s="3">
        <f>AF39*AH39</f>
        <v>0.44182726399965705</v>
      </c>
      <c r="AK39" s="3">
        <f>AE39-AC39</f>
        <v>1</v>
      </c>
      <c r="AM39" s="3">
        <v>35</v>
      </c>
      <c r="AN39" s="3">
        <f t="shared" si="25"/>
        <v>1250.8707485394552</v>
      </c>
      <c r="AO39" s="3">
        <v>-4.6738477976759896E-8</v>
      </c>
      <c r="AP39" s="3">
        <f t="shared" si="26"/>
        <v>1250.8707486558706</v>
      </c>
      <c r="AQ39" s="3">
        <v>5.0649759941734374E-9</v>
      </c>
      <c r="AR39" s="3">
        <f t="shared" si="17"/>
        <v>1250.8707485976629</v>
      </c>
      <c r="AS39" s="3">
        <v>-2.083754679915728E-8</v>
      </c>
      <c r="AT39" s="3">
        <f t="shared" si="18"/>
        <v>9.7391522216211621E-16</v>
      </c>
      <c r="AU39" s="3">
        <f t="shared" si="19"/>
        <v>-1.0554167431519717E-16</v>
      </c>
      <c r="AV39" s="3">
        <f t="shared" si="20"/>
        <v>1.1641532182693481E-7</v>
      </c>
      <c r="AX39" s="61"/>
      <c r="AY39" s="4">
        <v>1.62</v>
      </c>
      <c r="AZ39" s="27" t="s">
        <v>44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 s="8" t="s">
        <v>221</v>
      </c>
      <c r="BO39" s="41">
        <f>SIN(BO23)/(1+BO37) - $AY$3*COS(BO23)/($BC$5*$AY$21*(1-BO38))</f>
        <v>-1.5528180477564213E-9</v>
      </c>
      <c r="BP39" s="41"/>
      <c r="BQ39"/>
      <c r="BR39" s="8" t="s">
        <v>221</v>
      </c>
      <c r="BS39" s="41">
        <f>SIN(BS23)/(1+BS37) - $AY$3*COS(BS23)/($BC$5*$AY$22*(1-BS38))</f>
        <v>4.1155700236661374E-9</v>
      </c>
      <c r="BT39" s="41"/>
      <c r="BU39"/>
      <c r="BV39" s="3">
        <v>1</v>
      </c>
      <c r="BW39" s="4">
        <f>0.01*PI()</f>
        <v>3.1415926535897934E-2</v>
      </c>
      <c r="BX39" s="3">
        <f t="dataTable" ref="BX39:BX68" dt2D="0" dtr="0" r1="BO23" ca="1"/>
        <v>-1.0043535667014249</v>
      </c>
      <c r="BY39" s="4">
        <f>0.9*PI()</f>
        <v>2.8274333882308138</v>
      </c>
      <c r="BZ39" s="3">
        <f t="dataTable" ref="BZ39:BZ68" dt2D="0" dtr="0" r1="BO23" ca="1"/>
        <v>0.36546718132269201</v>
      </c>
      <c r="CA39" s="3">
        <f t="shared" ref="CA39:CA68" si="30">(BW39+BY39)/2</f>
        <v>1.4294246573833558</v>
      </c>
      <c r="CB39" s="3">
        <f t="dataTable" ref="CB39:CB68" dt2D="0" dtr="0" r1="BO23"/>
        <v>1.022109980254706</v>
      </c>
      <c r="CC39" s="3">
        <f t="shared" ref="CC39:CC68" si="31">BX39*CB39</f>
        <v>-1.0265598042299371</v>
      </c>
      <c r="CD39" s="3">
        <f t="shared" ref="CD39:CD68" si="32">BZ39*CB39</f>
        <v>0.3735476534854798</v>
      </c>
      <c r="CE39" s="3">
        <f t="shared" ref="CE39:CE68" si="33">BY39-BW39</f>
        <v>2.7960174616949161</v>
      </c>
      <c r="CF39"/>
      <c r="CG39" s="3">
        <v>1</v>
      </c>
      <c r="CH39" s="4">
        <f>0.01*PI()</f>
        <v>3.1415926535897934E-2</v>
      </c>
      <c r="CI39" s="3">
        <f t="dataTable" ref="CI39:CI68" dt2D="0" dtr="0" r1="BS23" ca="1"/>
        <v>-0.8687167847326891</v>
      </c>
      <c r="CJ39" s="4">
        <f>0.9*PI()</f>
        <v>2.8274333882308138</v>
      </c>
      <c r="CK39" s="3">
        <f t="dataTable" ref="CK39:CK68" dt2D="0" dtr="0" r1="BS23"/>
        <v>0.35115522893193274</v>
      </c>
      <c r="CL39" s="3">
        <f t="shared" ref="CL39:CL68" si="34">(CH39+CJ39)/2</f>
        <v>1.4294246573833558</v>
      </c>
      <c r="CM39" s="3">
        <f t="dataTable" ref="CM39:CM68" dt2D="0" dtr="0" r1="BS23" ca="1"/>
        <v>1.0152504981783721</v>
      </c>
      <c r="CN39" s="3">
        <f t="shared" ref="CN39:CN68" si="35">CI39*CM39</f>
        <v>-0.88196514847577623</v>
      </c>
      <c r="CO39" s="3">
        <f t="shared" ref="CO39:CO68" si="36">CK39*CM39</f>
        <v>0.356510521111085</v>
      </c>
      <c r="CP39" s="3">
        <f t="shared" ref="CP39:CP68" si="37">CJ39-CH39</f>
        <v>2.7960174616949161</v>
      </c>
    </row>
    <row r="40" spans="2:94" x14ac:dyDescent="0.2">
      <c r="B40" s="7" t="s">
        <v>15</v>
      </c>
      <c r="C40" s="18">
        <v>1.2250000000000001</v>
      </c>
      <c r="D40" s="7" t="s">
        <v>16</v>
      </c>
      <c r="F40" t="s">
        <v>151</v>
      </c>
      <c r="G40" s="9">
        <f>W20*$C$7</f>
        <v>166.63428111426546</v>
      </c>
      <c r="H40" s="7" t="s">
        <v>10</v>
      </c>
      <c r="J40" s="12" t="s">
        <v>56</v>
      </c>
      <c r="K40" s="7">
        <f>ROUND(K13/$C$5 * 100, 2)</f>
        <v>33.61</v>
      </c>
      <c r="L40" s="7" t="s">
        <v>62</v>
      </c>
      <c r="AB40" s="3">
        <v>1</v>
      </c>
      <c r="AC40" s="3">
        <f>IF(AI39&gt;0, AG39, AC39)</f>
        <v>0</v>
      </c>
      <c r="AD40" s="3">
        <f t="shared" si="27"/>
        <v>5.1884104237548738E-2</v>
      </c>
      <c r="AE40" s="3">
        <f>IF(AJ39&gt;0, AG39, AE39)</f>
        <v>0.5</v>
      </c>
      <c r="AF40" s="3">
        <f t="shared" si="28"/>
        <v>-0.45857789962331413</v>
      </c>
      <c r="AG40" s="3">
        <f t="shared" ref="AG40:AG69" si="38" xml:space="preserve"> (AC40 + AE40)/2</f>
        <v>0.25</v>
      </c>
      <c r="AH40" s="3">
        <f t="shared" si="29"/>
        <v>-0.20311043472853879</v>
      </c>
      <c r="AI40" s="3">
        <f t="shared" ref="AI40:AI69" si="39">AD40*AH40</f>
        <v>-1.0538202967189346E-2</v>
      </c>
      <c r="AJ40" s="3">
        <f t="shared" ref="AJ40:AJ69" si="40">AF40*AH40</f>
        <v>9.3141956549391558E-2</v>
      </c>
      <c r="AK40" s="3">
        <f t="shared" ref="AK40:AK69" si="41">AE40-AC40</f>
        <v>0.5</v>
      </c>
      <c r="AM40" s="3">
        <v>36</v>
      </c>
      <c r="AN40" s="3">
        <f t="shared" si="25"/>
        <v>1250.8707485976629</v>
      </c>
      <c r="AO40" s="3">
        <v>-2.083754679915728E-8</v>
      </c>
      <c r="AP40" s="3">
        <f t="shared" si="26"/>
        <v>1250.8707486558706</v>
      </c>
      <c r="AQ40" s="3">
        <v>5.0649759941734374E-9</v>
      </c>
      <c r="AR40" s="3">
        <f t="shared" si="17"/>
        <v>1250.8707486267667</v>
      </c>
      <c r="AS40" s="3">
        <v>-7.8855464380467311E-9</v>
      </c>
      <c r="AT40" s="3">
        <f t="shared" si="18"/>
        <v>1.6431544293972675E-16</v>
      </c>
      <c r="AU40" s="3">
        <f t="shared" si="19"/>
        <v>-3.9940103409646549E-17</v>
      </c>
      <c r="AV40" s="3">
        <f t="shared" si="20"/>
        <v>5.8207660913467407E-8</v>
      </c>
      <c r="AX40" s="61"/>
      <c r="AY40" s="4">
        <v>0.3</v>
      </c>
      <c r="AZ40" s="27" t="s">
        <v>44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 s="3">
        <v>2</v>
      </c>
      <c r="BW40" s="3">
        <f t="shared" ref="BW40:BW68" si="42">IF(CC39&gt;0,CA39,BW39)</f>
        <v>3.1415926535897934E-2</v>
      </c>
      <c r="BX40" s="3">
        <v>-1.0043535667014249</v>
      </c>
      <c r="BY40" s="3">
        <f t="shared" ref="BY40:BY68" si="43">IF(CD39&gt;0,CA39,BY39)</f>
        <v>1.4294246573833558</v>
      </c>
      <c r="BZ40" s="3">
        <v>1.022109980254706</v>
      </c>
      <c r="CA40" s="3">
        <f t="shared" si="30"/>
        <v>0.73042029195962688</v>
      </c>
      <c r="CB40" s="3">
        <v>0.65957855502286267</v>
      </c>
      <c r="CC40" s="3">
        <f t="shared" si="31"/>
        <v>-0.66245007425698421</v>
      </c>
      <c r="CD40" s="3">
        <f t="shared" si="32"/>
        <v>0.67416182385084567</v>
      </c>
      <c r="CE40" s="3">
        <f t="shared" si="33"/>
        <v>1.3980087308474578</v>
      </c>
      <c r="CF40"/>
      <c r="CG40" s="3">
        <v>2</v>
      </c>
      <c r="CH40" s="3">
        <f t="shared" ref="CH40:CH68" si="44">IF(CN39&gt;0,CL39,CH39)</f>
        <v>3.1415926535897934E-2</v>
      </c>
      <c r="CI40" s="3">
        <v>-0.8687167847326891</v>
      </c>
      <c r="CJ40" s="3">
        <f t="shared" ref="CJ40:CJ68" si="45">IF(CO39&gt;0,CL39,CJ39)</f>
        <v>1.4294246573833558</v>
      </c>
      <c r="CK40" s="3">
        <v>1.0152504981783721</v>
      </c>
      <c r="CL40" s="3">
        <f t="shared" si="34"/>
        <v>0.73042029195962688</v>
      </c>
      <c r="CM40" s="3">
        <v>0.66107622918143116</v>
      </c>
      <c r="CN40" s="3">
        <f t="shared" si="35"/>
        <v>-0.57428801627770321</v>
      </c>
      <c r="CO40" s="3">
        <f t="shared" si="36"/>
        <v>0.6711579710103277</v>
      </c>
      <c r="CP40" s="3">
        <f t="shared" si="37"/>
        <v>1.3980087308474578</v>
      </c>
    </row>
    <row r="41" spans="2:94" x14ac:dyDescent="0.2">
      <c r="B41" s="7" t="s">
        <v>236</v>
      </c>
      <c r="C41" s="42">
        <v>1.7893802780775801E-5</v>
      </c>
      <c r="D41" s="7" t="s">
        <v>232</v>
      </c>
      <c r="F41" s="7" t="s">
        <v>154</v>
      </c>
      <c r="G41" s="7">
        <f>G40/$C$42</f>
        <v>0.48950190682654593</v>
      </c>
      <c r="H41" s="7" t="s">
        <v>152</v>
      </c>
      <c r="J41" s="20" t="s">
        <v>84</v>
      </c>
      <c r="K41" s="7">
        <f>ROUND(SUM(K14:K17)/$C$5 * 100, 2)</f>
        <v>18.899999999999999</v>
      </c>
      <c r="L41" s="7" t="s">
        <v>62</v>
      </c>
      <c r="AB41" s="3">
        <v>2</v>
      </c>
      <c r="AC41" s="3">
        <f t="shared" ref="AC41:AC69" si="46">IF(AI40&gt;0, AG40, AC40)</f>
        <v>0</v>
      </c>
      <c r="AD41" s="3">
        <f t="shared" si="27"/>
        <v>5.1884104237548738E-2</v>
      </c>
      <c r="AE41" s="3">
        <f t="shared" ref="AE41:AE69" si="47">IF(AJ40&gt;0, AG40, AE40)</f>
        <v>0.25</v>
      </c>
      <c r="AF41" s="3">
        <f t="shared" si="28"/>
        <v>-0.20311043472853879</v>
      </c>
      <c r="AG41" s="3">
        <f t="shared" si="38"/>
        <v>0.125</v>
      </c>
      <c r="AH41" s="3">
        <f t="shared" si="29"/>
        <v>-7.4773491008538862E-2</v>
      </c>
      <c r="AI41" s="3">
        <f t="shared" si="39"/>
        <v>-3.8795556016924435E-3</v>
      </c>
      <c r="AJ41" s="3">
        <f t="shared" si="40"/>
        <v>1.5187276264914815E-2</v>
      </c>
      <c r="AK41" s="3">
        <f t="shared" si="41"/>
        <v>0.25</v>
      </c>
      <c r="AM41" s="3">
        <v>37</v>
      </c>
      <c r="AN41" s="3">
        <f t="shared" si="25"/>
        <v>1250.8707486267667</v>
      </c>
      <c r="AO41" s="3">
        <v>-7.8855464380467311E-9</v>
      </c>
      <c r="AP41" s="3">
        <f t="shared" si="26"/>
        <v>1250.8707486558706</v>
      </c>
      <c r="AQ41" s="3">
        <v>5.0649759941734374E-9</v>
      </c>
      <c r="AR41" s="3">
        <f t="shared" si="17"/>
        <v>1250.8707486413186</v>
      </c>
      <c r="AS41" s="3">
        <v>-1.4106262824498117E-9</v>
      </c>
      <c r="AT41" s="3">
        <f t="shared" si="18"/>
        <v>1.1123559056987215E-17</v>
      </c>
      <c r="AU41" s="3">
        <f t="shared" si="19"/>
        <v>-7.144788257358415E-18</v>
      </c>
      <c r="AV41" s="3">
        <f t="shared" si="20"/>
        <v>2.9103830456733704E-8</v>
      </c>
      <c r="AX41" s="61"/>
      <c r="AY41" s="4">
        <v>-1.02</v>
      </c>
      <c r="AZ41" s="27" t="s">
        <v>44</v>
      </c>
      <c r="BA41"/>
      <c r="BB41" s="24" t="s">
        <v>165</v>
      </c>
      <c r="BC41" s="64" t="s">
        <v>240</v>
      </c>
      <c r="BD41" s="64"/>
      <c r="BE41" s="25"/>
      <c r="BF41" s="25"/>
      <c r="BG41" s="25"/>
      <c r="BH41" s="25"/>
      <c r="BI41" s="25"/>
      <c r="BJ41" s="25"/>
      <c r="BK41" s="25"/>
      <c r="BL41" s="26"/>
      <c r="BM41"/>
      <c r="BN41" s="60" t="s">
        <v>222</v>
      </c>
      <c r="BO41" s="60"/>
      <c r="BP41" s="60"/>
      <c r="BQ41" s="3"/>
      <c r="BR41" s="60" t="s">
        <v>223</v>
      </c>
      <c r="BS41" s="60"/>
      <c r="BT41" s="60"/>
      <c r="BU41"/>
      <c r="BV41" s="3">
        <v>3</v>
      </c>
      <c r="BW41" s="3">
        <f t="shared" si="42"/>
        <v>3.1415926535897934E-2</v>
      </c>
      <c r="BX41" s="3">
        <v>-1.0043535667014249</v>
      </c>
      <c r="BY41" s="3">
        <f t="shared" si="43"/>
        <v>0.73042029195962688</v>
      </c>
      <c r="BZ41" s="3">
        <v>0.65957855502286267</v>
      </c>
      <c r="CA41" s="3">
        <f t="shared" si="30"/>
        <v>0.38091810924776243</v>
      </c>
      <c r="CB41" s="3">
        <v>0.28731385421543154</v>
      </c>
      <c r="CC41" s="3">
        <f t="shared" si="31"/>
        <v>-0.28856469424400188</v>
      </c>
      <c r="CD41" s="3">
        <f t="shared" si="32"/>
        <v>0.18950605680146376</v>
      </c>
      <c r="CE41" s="3">
        <f t="shared" si="33"/>
        <v>0.6990043654237289</v>
      </c>
      <c r="CF41"/>
      <c r="CG41" s="3">
        <v>3</v>
      </c>
      <c r="CH41" s="3">
        <f t="shared" si="44"/>
        <v>3.1415926535897934E-2</v>
      </c>
      <c r="CI41" s="3">
        <v>-0.8687167847326891</v>
      </c>
      <c r="CJ41" s="3">
        <f t="shared" si="45"/>
        <v>0.73042029195962688</v>
      </c>
      <c r="CK41" s="3">
        <v>0.66107622918143116</v>
      </c>
      <c r="CL41" s="3">
        <f t="shared" si="34"/>
        <v>0.38091810924776243</v>
      </c>
      <c r="CM41" s="3">
        <v>0.31716695459629307</v>
      </c>
      <c r="CN41" s="3">
        <f t="shared" si="35"/>
        <v>-0.2755282570203505</v>
      </c>
      <c r="CO41" s="3">
        <f t="shared" si="36"/>
        <v>0.20967153436547561</v>
      </c>
      <c r="CP41" s="3">
        <f t="shared" si="37"/>
        <v>0.6990043654237289</v>
      </c>
    </row>
    <row r="42" spans="2:94" x14ac:dyDescent="0.2">
      <c r="B42" s="7" t="s">
        <v>153</v>
      </c>
      <c r="C42" s="18">
        <v>340.416</v>
      </c>
      <c r="D42" s="7" t="s">
        <v>10</v>
      </c>
      <c r="F42" t="s">
        <v>101</v>
      </c>
      <c r="G42" s="7">
        <f>SQRT($G$36^2-$G$37^2)</f>
        <v>49.976768843133506</v>
      </c>
      <c r="H42" t="s">
        <v>10</v>
      </c>
      <c r="J42" s="21" t="s">
        <v>73</v>
      </c>
      <c r="K42" s="7">
        <f>ROUND(SUM(K18:K22)/$C$5 * 100, 2)</f>
        <v>10.82</v>
      </c>
      <c r="L42" s="7" t="s">
        <v>62</v>
      </c>
      <c r="AB42" s="3">
        <v>3</v>
      </c>
      <c r="AC42" s="3">
        <f t="shared" si="46"/>
        <v>0</v>
      </c>
      <c r="AD42" s="3">
        <f t="shared" si="27"/>
        <v>5.1884104237548738E-2</v>
      </c>
      <c r="AE42" s="3">
        <f t="shared" si="47"/>
        <v>0.125</v>
      </c>
      <c r="AF42" s="3">
        <f t="shared" si="28"/>
        <v>-7.4773491008538862E-2</v>
      </c>
      <c r="AG42" s="3">
        <f t="shared" si="38"/>
        <v>6.25E-2</v>
      </c>
      <c r="AH42" s="3">
        <f t="shared" si="29"/>
        <v>-1.1068841194581389E-2</v>
      </c>
      <c r="AI42" s="3">
        <f t="shared" si="39"/>
        <v>-5.7429691032853431E-4</v>
      </c>
      <c r="AJ42" s="3">
        <f t="shared" si="40"/>
        <v>8.2765589753797596E-4</v>
      </c>
      <c r="AK42" s="3">
        <f t="shared" si="41"/>
        <v>0.125</v>
      </c>
      <c r="AM42" s="3">
        <v>38</v>
      </c>
      <c r="AN42" s="3">
        <f t="shared" si="25"/>
        <v>1250.8707486413186</v>
      </c>
      <c r="AO42" s="3">
        <v>-1.4106262824498117E-9</v>
      </c>
      <c r="AP42" s="3">
        <f t="shared" si="26"/>
        <v>1250.8707486558706</v>
      </c>
      <c r="AQ42" s="3">
        <v>5.0649759941734374E-9</v>
      </c>
      <c r="AR42" s="3">
        <f t="shared" si="17"/>
        <v>1250.8707486485946</v>
      </c>
      <c r="AS42" s="3">
        <v>1.826833795348648E-9</v>
      </c>
      <c r="AT42" s="3">
        <f t="shared" si="18"/>
        <v>-2.5769797653863434E-18</v>
      </c>
      <c r="AU42" s="3">
        <f t="shared" si="19"/>
        <v>9.2528693187856521E-18</v>
      </c>
      <c r="AV42" s="3">
        <f t="shared" si="20"/>
        <v>1.4551915228366852E-8</v>
      </c>
      <c r="AX42" s="61"/>
      <c r="AY42" s="4">
        <v>-2.34</v>
      </c>
      <c r="AZ42" s="27" t="s">
        <v>44</v>
      </c>
      <c r="BA42"/>
      <c r="BB42" s="28"/>
      <c r="BC42" s="62" t="s">
        <v>170</v>
      </c>
      <c r="BD42" s="62"/>
      <c r="BE42" s="62"/>
      <c r="BF42" s="62" t="s">
        <v>171</v>
      </c>
      <c r="BG42" s="62"/>
      <c r="BH42" s="62"/>
      <c r="BI42" s="62"/>
      <c r="BJ42" s="62" t="s">
        <v>172</v>
      </c>
      <c r="BK42" s="62"/>
      <c r="BL42" s="63"/>
      <c r="BM42"/>
      <c r="BN42" s="29" t="s">
        <v>176</v>
      </c>
      <c r="BO42" s="30">
        <f>CA102</f>
        <v>0.1813046933893625</v>
      </c>
      <c r="BP42" s="6" t="s">
        <v>177</v>
      </c>
      <c r="BQ42" s="3"/>
      <c r="BR42" s="29" t="s">
        <v>176</v>
      </c>
      <c r="BS42" s="30">
        <f>CL102</f>
        <v>0.16258369386344507</v>
      </c>
      <c r="BT42" s="6" t="s">
        <v>177</v>
      </c>
      <c r="BU42"/>
      <c r="BV42" s="3">
        <v>4</v>
      </c>
      <c r="BW42" s="3">
        <f t="shared" si="42"/>
        <v>3.1415926535897934E-2</v>
      </c>
      <c r="BX42" s="3">
        <v>-1.0043535667014249</v>
      </c>
      <c r="BY42" s="3">
        <f t="shared" si="43"/>
        <v>0.38091810924776243</v>
      </c>
      <c r="BZ42" s="3">
        <v>0.28731385421543154</v>
      </c>
      <c r="CA42" s="3">
        <f t="shared" si="30"/>
        <v>0.20616701789183017</v>
      </c>
      <c r="CB42" s="3">
        <v>-7.1808489150561816E-2</v>
      </c>
      <c r="CC42" s="3">
        <f t="shared" si="31"/>
        <v>7.2121112197807341E-2</v>
      </c>
      <c r="CD42" s="3">
        <f t="shared" si="32"/>
        <v>-2.0631573783234915E-2</v>
      </c>
      <c r="CE42" s="3">
        <f t="shared" si="33"/>
        <v>0.34950218271186451</v>
      </c>
      <c r="CF42"/>
      <c r="CG42" s="3">
        <v>4</v>
      </c>
      <c r="CH42" s="3">
        <f t="shared" si="44"/>
        <v>3.1415926535897934E-2</v>
      </c>
      <c r="CI42" s="3">
        <v>-0.8687167847326891</v>
      </c>
      <c r="CJ42" s="3">
        <f t="shared" si="45"/>
        <v>0.38091810924776243</v>
      </c>
      <c r="CK42" s="3">
        <v>0.31716695459629307</v>
      </c>
      <c r="CL42" s="3">
        <f t="shared" si="34"/>
        <v>0.20616701789183017</v>
      </c>
      <c r="CM42" s="3">
        <v>3.1818862130270215E-3</v>
      </c>
      <c r="CN42" s="3">
        <f t="shared" si="35"/>
        <v>-2.7641579603661062E-3</v>
      </c>
      <c r="CO42" s="3">
        <f t="shared" si="36"/>
        <v>1.0091891600577123E-3</v>
      </c>
      <c r="CP42" s="3">
        <f t="shared" si="37"/>
        <v>0.34950218271186451</v>
      </c>
    </row>
    <row r="43" spans="2:94" x14ac:dyDescent="0.2">
      <c r="B43" s="7" t="s">
        <v>17</v>
      </c>
      <c r="C43" s="1">
        <v>9.8066499999999994</v>
      </c>
      <c r="D43" s="7" t="s">
        <v>18</v>
      </c>
      <c r="F43" t="s">
        <v>102</v>
      </c>
      <c r="G43" s="7">
        <f>$G$42*($G$38/$G$37)</f>
        <v>9995.3537686267009</v>
      </c>
      <c r="H43" t="s">
        <v>8</v>
      </c>
      <c r="J43" s="16" t="s">
        <v>74</v>
      </c>
      <c r="K43" s="7">
        <f>ROUND(SUM(K23:K26)/$C$5*100, 2)</f>
        <v>4.6900000000000004</v>
      </c>
      <c r="L43" s="7" t="s">
        <v>62</v>
      </c>
      <c r="AB43" s="3">
        <v>4</v>
      </c>
      <c r="AC43" s="3">
        <f t="shared" si="46"/>
        <v>0</v>
      </c>
      <c r="AD43" s="3">
        <f t="shared" si="27"/>
        <v>5.1884104237548738E-2</v>
      </c>
      <c r="AE43" s="3">
        <f t="shared" si="47"/>
        <v>6.25E-2</v>
      </c>
      <c r="AF43" s="3">
        <f t="shared" si="28"/>
        <v>-1.1068841194581389E-2</v>
      </c>
      <c r="AG43" s="3">
        <f t="shared" si="38"/>
        <v>3.125E-2</v>
      </c>
      <c r="AH43" s="3">
        <f t="shared" si="29"/>
        <v>2.0518137739641298E-2</v>
      </c>
      <c r="AI43" s="3">
        <f t="shared" si="39"/>
        <v>1.0645651972439319E-3</v>
      </c>
      <c r="AJ43" s="3">
        <f t="shared" si="40"/>
        <v>-2.2711200824863665E-4</v>
      </c>
      <c r="AK43" s="3">
        <f t="shared" si="41"/>
        <v>6.25E-2</v>
      </c>
      <c r="AM43" s="3">
        <v>39</v>
      </c>
      <c r="AN43" s="3">
        <f t="shared" si="25"/>
        <v>1250.8707486413186</v>
      </c>
      <c r="AO43" s="3">
        <v>-1.4106262824498117E-9</v>
      </c>
      <c r="AP43" s="3">
        <f t="shared" si="26"/>
        <v>1250.8707486485946</v>
      </c>
      <c r="AQ43" s="3">
        <v>1.826833795348648E-9</v>
      </c>
      <c r="AR43" s="3">
        <f t="shared" si="17"/>
        <v>1250.8707486449566</v>
      </c>
      <c r="AS43" s="3">
        <v>2.0816059986827895E-10</v>
      </c>
      <c r="AT43" s="3">
        <f t="shared" si="18"/>
        <v>-2.936368131447131E-19</v>
      </c>
      <c r="AU43" s="3">
        <f t="shared" si="19"/>
        <v>3.8027481869941931E-19</v>
      </c>
      <c r="AV43" s="3">
        <f t="shared" si="20"/>
        <v>7.2759576141834259E-9</v>
      </c>
      <c r="AX43" s="3"/>
      <c r="AY43" s="3"/>
      <c r="AZ43" s="27"/>
      <c r="BA43"/>
      <c r="BB43" s="28"/>
      <c r="BC43" s="5" t="s">
        <v>178</v>
      </c>
      <c r="BD43" s="3">
        <v>-180</v>
      </c>
      <c r="BE43" s="3">
        <v>-9.5</v>
      </c>
      <c r="BF43" s="62" t="s">
        <v>178</v>
      </c>
      <c r="BG43" s="62"/>
      <c r="BH43" s="3">
        <v>-9.5</v>
      </c>
      <c r="BI43" s="3">
        <v>18.5</v>
      </c>
      <c r="BJ43" s="5" t="s">
        <v>178</v>
      </c>
      <c r="BK43" s="3">
        <v>18.5</v>
      </c>
      <c r="BL43" s="32">
        <v>180</v>
      </c>
      <c r="BM43"/>
      <c r="BN43" s="3" t="s">
        <v>181</v>
      </c>
      <c r="BO43" s="3">
        <f>($AY$39+$AY$5)/180*PI()</f>
        <v>0.37734018428117405</v>
      </c>
      <c r="BP43" s="3" t="s">
        <v>177</v>
      </c>
      <c r="BQ43" s="3"/>
      <c r="BR43" s="3" t="s">
        <v>181</v>
      </c>
      <c r="BS43" s="3">
        <f>($AY$40+$AY$5)/180*PI()</f>
        <v>0.35430183815484889</v>
      </c>
      <c r="BT43" s="3" t="s">
        <v>177</v>
      </c>
      <c r="BU43"/>
      <c r="BV43" s="3">
        <v>5</v>
      </c>
      <c r="BW43" s="3">
        <f t="shared" si="42"/>
        <v>0.20616701789183017</v>
      </c>
      <c r="BX43" s="3">
        <v>-7.1808489150561816E-2</v>
      </c>
      <c r="BY43" s="3">
        <f t="shared" si="43"/>
        <v>0.38091810924776243</v>
      </c>
      <c r="BZ43" s="3">
        <v>0.28731385421543154</v>
      </c>
      <c r="CA43" s="3">
        <f t="shared" si="30"/>
        <v>0.2935425635697963</v>
      </c>
      <c r="CB43" s="3">
        <v>0.12678964109911031</v>
      </c>
      <c r="CC43" s="3">
        <f t="shared" si="31"/>
        <v>-9.1045725672690894E-3</v>
      </c>
      <c r="CD43" s="3">
        <f t="shared" si="32"/>
        <v>3.6428420458776666E-2</v>
      </c>
      <c r="CE43" s="3">
        <f t="shared" si="33"/>
        <v>0.17475109135593225</v>
      </c>
      <c r="CF43"/>
      <c r="CG43" s="3">
        <v>5</v>
      </c>
      <c r="CH43" s="3">
        <f t="shared" si="44"/>
        <v>3.1415926535897934E-2</v>
      </c>
      <c r="CI43" s="3">
        <v>-0.8687167847326891</v>
      </c>
      <c r="CJ43" s="3">
        <f t="shared" si="45"/>
        <v>0.20616701789183017</v>
      </c>
      <c r="CK43" s="3">
        <v>3.1818862130270215E-3</v>
      </c>
      <c r="CL43" s="3">
        <f t="shared" si="34"/>
        <v>0.11879147221386405</v>
      </c>
      <c r="CM43" s="3">
        <v>-0.23539283423997243</v>
      </c>
      <c r="CN43" s="3">
        <f t="shared" si="35"/>
        <v>0.2044897061100637</v>
      </c>
      <c r="CO43" s="3">
        <f t="shared" si="36"/>
        <v>-7.4899321391352328E-4</v>
      </c>
      <c r="CP43" s="3">
        <f t="shared" si="37"/>
        <v>0.17475109135593225</v>
      </c>
    </row>
    <row r="44" spans="2:94" x14ac:dyDescent="0.2">
      <c r="B44" s="7" t="s">
        <v>82</v>
      </c>
      <c r="C44" s="18">
        <v>0.8</v>
      </c>
      <c r="F44" t="s">
        <v>116</v>
      </c>
      <c r="G44" s="7">
        <f>ATAN(G37/G42)/PI()*180</f>
        <v>1.7466458786346903</v>
      </c>
      <c r="H44" t="s">
        <v>44</v>
      </c>
      <c r="J44" s="11" t="s">
        <v>63</v>
      </c>
      <c r="K44" s="11">
        <f>SUM(K39:K43)</f>
        <v>100</v>
      </c>
      <c r="L44" s="11" t="s">
        <v>62</v>
      </c>
      <c r="AB44" s="3">
        <v>5</v>
      </c>
      <c r="AC44" s="3">
        <f t="shared" si="46"/>
        <v>3.125E-2</v>
      </c>
      <c r="AD44" s="3">
        <f t="shared" si="27"/>
        <v>2.0518137739641298E-2</v>
      </c>
      <c r="AE44" s="3">
        <f t="shared" si="47"/>
        <v>6.25E-2</v>
      </c>
      <c r="AF44" s="3">
        <f t="shared" si="28"/>
        <v>-1.1068841194581389E-2</v>
      </c>
      <c r="AG44" s="3">
        <f t="shared" si="38"/>
        <v>4.6875E-2</v>
      </c>
      <c r="AH44" s="3">
        <f t="shared" si="29"/>
        <v>4.7507786913111097E-3</v>
      </c>
      <c r="AI44" s="3">
        <f t="shared" si="39"/>
        <v>9.7477131558874175E-5</v>
      </c>
      <c r="AJ44" s="3">
        <f t="shared" si="40"/>
        <v>-5.2585614884723872E-5</v>
      </c>
      <c r="AK44" s="3">
        <f t="shared" si="41"/>
        <v>3.125E-2</v>
      </c>
      <c r="AM44" s="3">
        <v>40</v>
      </c>
      <c r="AN44" s="3">
        <f t="shared" si="25"/>
        <v>1250.8707486413186</v>
      </c>
      <c r="AO44" s="3">
        <v>-1.4106262824498117E-9</v>
      </c>
      <c r="AP44" s="3">
        <f t="shared" si="26"/>
        <v>1250.8707486449566</v>
      </c>
      <c r="AQ44" s="3">
        <v>2.0816059986827895E-10</v>
      </c>
      <c r="AR44" s="6">
        <f>(AN44+AP44)/2</f>
        <v>1250.8707486431376</v>
      </c>
      <c r="AS44" s="3">
        <v>-6.0117599787190557E-10</v>
      </c>
      <c r="AT44" s="3">
        <f t="shared" si="18"/>
        <v>8.4803466297610206E-19</v>
      </c>
      <c r="AU44" s="3">
        <f t="shared" si="19"/>
        <v>-1.2514115634342705E-19</v>
      </c>
      <c r="AV44" s="3">
        <f t="shared" si="20"/>
        <v>3.637978807091713E-9</v>
      </c>
      <c r="AX44" s="59" t="s">
        <v>231</v>
      </c>
      <c r="AY44" s="59"/>
      <c r="AZ44" s="59"/>
      <c r="BA44"/>
      <c r="BB44" s="33" t="s">
        <v>182</v>
      </c>
      <c r="BC44" s="3">
        <v>-4.9719999999999998E-5</v>
      </c>
      <c r="BD44" s="3">
        <v>-9.4228200000000002E-3</v>
      </c>
      <c r="BE44" s="3">
        <v>-0.58952914000000001</v>
      </c>
      <c r="BF44" s="3">
        <v>-2.3201E-4</v>
      </c>
      <c r="BG44" s="3">
        <v>1.5145600000000001E-3</v>
      </c>
      <c r="BH44" s="3">
        <v>0.11609899</v>
      </c>
      <c r="BI44" s="3">
        <v>0.17357117999999999</v>
      </c>
      <c r="BJ44" s="3">
        <v>6.9132000000000004E-4</v>
      </c>
      <c r="BK44" s="3">
        <v>-0.13722607000000001</v>
      </c>
      <c r="BL44" s="32">
        <v>3.6431797299999999</v>
      </c>
      <c r="BM44"/>
      <c r="BN44" s="3" t="s">
        <v>29</v>
      </c>
      <c r="BO44" s="3">
        <f>BO43-BO42</f>
        <v>0.19603549089181155</v>
      </c>
      <c r="BP44" s="3" t="s">
        <v>177</v>
      </c>
      <c r="BQ44" s="3"/>
      <c r="BR44" s="3" t="s">
        <v>29</v>
      </c>
      <c r="BS44" s="3">
        <f>BS43-BS42</f>
        <v>0.19171814429140382</v>
      </c>
      <c r="BT44" s="3" t="s">
        <v>177</v>
      </c>
      <c r="BU44"/>
      <c r="BV44" s="3">
        <v>6</v>
      </c>
      <c r="BW44" s="3">
        <f t="shared" si="42"/>
        <v>0.20616701789183017</v>
      </c>
      <c r="BX44" s="3">
        <v>-7.1808489150561816E-2</v>
      </c>
      <c r="BY44" s="3">
        <f t="shared" si="43"/>
        <v>0.2935425635697963</v>
      </c>
      <c r="BZ44" s="3">
        <v>0.12678964109911031</v>
      </c>
      <c r="CA44" s="3">
        <f t="shared" si="30"/>
        <v>0.24985479073081324</v>
      </c>
      <c r="CB44" s="3">
        <v>3.3064702452661944E-2</v>
      </c>
      <c r="CC44" s="3">
        <f t="shared" si="31"/>
        <v>-2.3743263273385299E-3</v>
      </c>
      <c r="CD44" s="3">
        <f t="shared" si="32"/>
        <v>4.1922617570218802E-3</v>
      </c>
      <c r="CE44" s="3">
        <f t="shared" si="33"/>
        <v>8.7375545677966127E-2</v>
      </c>
      <c r="CF44"/>
      <c r="CG44" s="3">
        <v>6</v>
      </c>
      <c r="CH44" s="3">
        <f t="shared" si="44"/>
        <v>0.11879147221386405</v>
      </c>
      <c r="CI44" s="3">
        <v>-0.23539283423997243</v>
      </c>
      <c r="CJ44" s="3">
        <f t="shared" si="45"/>
        <v>0.20616701789183017</v>
      </c>
      <c r="CK44" s="3">
        <v>3.1818862130270215E-3</v>
      </c>
      <c r="CL44" s="3">
        <f t="shared" si="34"/>
        <v>0.16247924505284711</v>
      </c>
      <c r="CM44" s="3">
        <v>-0.10349361478177793</v>
      </c>
      <c r="CN44" s="3">
        <f t="shared" si="35"/>
        <v>2.4361655309222612E-2</v>
      </c>
      <c r="CO44" s="3">
        <f t="shared" si="36"/>
        <v>-3.2930490601046873E-4</v>
      </c>
      <c r="CP44" s="3">
        <f t="shared" si="37"/>
        <v>8.7375545677966127E-2</v>
      </c>
    </row>
    <row r="45" spans="2:94" x14ac:dyDescent="0.2">
      <c r="F45" t="s">
        <v>119</v>
      </c>
      <c r="G45" s="7">
        <f xml:space="preserve"> 1/1000 * (W23 + W19 * (W28 * W25 + $G$36 * SIN(W18/180*PI())))</f>
        <v>24.302607356869469</v>
      </c>
      <c r="H45" t="s">
        <v>124</v>
      </c>
      <c r="AB45" s="3">
        <v>6</v>
      </c>
      <c r="AC45" s="3">
        <f t="shared" si="46"/>
        <v>4.6875E-2</v>
      </c>
      <c r="AD45" s="3">
        <f t="shared" si="27"/>
        <v>4.7507786913111097E-3</v>
      </c>
      <c r="AE45" s="3">
        <f t="shared" si="47"/>
        <v>6.25E-2</v>
      </c>
      <c r="AF45" s="3">
        <f t="shared" si="28"/>
        <v>-1.1068841194581389E-2</v>
      </c>
      <c r="AG45" s="3">
        <f t="shared" si="38"/>
        <v>5.46875E-2</v>
      </c>
      <c r="AH45" s="3">
        <f t="shared" si="29"/>
        <v>-3.1527476888456446E-3</v>
      </c>
      <c r="AI45" s="3">
        <f t="shared" si="39"/>
        <v>-1.4978006539248238E-5</v>
      </c>
      <c r="AJ45" s="3">
        <f t="shared" si="40"/>
        <v>3.4897263494415938E-5</v>
      </c>
      <c r="AK45" s="3">
        <f t="shared" si="41"/>
        <v>1.5625E-2</v>
      </c>
      <c r="AX45" s="3" t="s">
        <v>20</v>
      </c>
      <c r="AY45" s="3">
        <f>$C$40</f>
        <v>1.2250000000000001</v>
      </c>
      <c r="AZ45" s="27" t="s">
        <v>16</v>
      </c>
      <c r="BA45"/>
      <c r="BB45" s="35" t="s">
        <v>186</v>
      </c>
      <c r="BC45" s="36">
        <v>-1.4875000000000001E-4</v>
      </c>
      <c r="BD45" s="36">
        <v>-2.818766E-2</v>
      </c>
      <c r="BE45" s="36">
        <v>-0.15965826999999999</v>
      </c>
      <c r="BF45" s="36">
        <v>-4.4100000000000001E-6</v>
      </c>
      <c r="BG45" s="36">
        <v>3.8060999999999998E-4</v>
      </c>
      <c r="BH45" s="36">
        <v>-2.2518899999999999E-3</v>
      </c>
      <c r="BI45" s="36">
        <v>6.2865899999999999E-3</v>
      </c>
      <c r="BJ45" s="36">
        <v>-2.0911000000000001E-4</v>
      </c>
      <c r="BK45" s="36">
        <v>4.150877E-2</v>
      </c>
      <c r="BL45" s="37">
        <v>-0.59881362999999999</v>
      </c>
      <c r="BM45"/>
      <c r="BN45" s="3" t="s">
        <v>190</v>
      </c>
      <c r="BO45" s="3">
        <f>BO44/PI()*180</f>
        <v>11.232006262876093</v>
      </c>
      <c r="BP45" s="3" t="s">
        <v>44</v>
      </c>
      <c r="BQ45" s="3"/>
      <c r="BR45" s="3" t="s">
        <v>190</v>
      </c>
      <c r="BS45" s="3">
        <f>BS44/PI()*180</f>
        <v>10.984640523977577</v>
      </c>
      <c r="BT45" s="3" t="s">
        <v>44</v>
      </c>
      <c r="BU45"/>
      <c r="BV45" s="3">
        <v>7</v>
      </c>
      <c r="BW45" s="3">
        <f t="shared" si="42"/>
        <v>0.20616701789183017</v>
      </c>
      <c r="BX45" s="3">
        <v>-7.1808489150561816E-2</v>
      </c>
      <c r="BY45" s="3">
        <f t="shared" si="43"/>
        <v>0.24985479073081324</v>
      </c>
      <c r="BZ45" s="3">
        <v>3.3064702452661944E-2</v>
      </c>
      <c r="CA45" s="3">
        <f t="shared" si="30"/>
        <v>0.2280109043113217</v>
      </c>
      <c r="CB45" s="3">
        <v>-1.780907758222099E-2</v>
      </c>
      <c r="CC45" s="3">
        <f t="shared" si="31"/>
        <v>1.2788429543444295E-3</v>
      </c>
      <c r="CD45" s="3">
        <f t="shared" si="32"/>
        <v>-5.8885185121250916E-4</v>
      </c>
      <c r="CE45" s="3">
        <f t="shared" si="33"/>
        <v>4.3687772838983063E-2</v>
      </c>
      <c r="CF45"/>
      <c r="CG45" s="3">
        <v>7</v>
      </c>
      <c r="CH45" s="3">
        <f t="shared" si="44"/>
        <v>0.16247924505284711</v>
      </c>
      <c r="CI45" s="3">
        <v>-0.10349361478177793</v>
      </c>
      <c r="CJ45" s="3">
        <f t="shared" si="45"/>
        <v>0.20616701789183017</v>
      </c>
      <c r="CK45" s="3">
        <v>3.1818862130270215E-3</v>
      </c>
      <c r="CL45" s="3">
        <f t="shared" si="34"/>
        <v>0.18432313147233864</v>
      </c>
      <c r="CM45" s="3">
        <v>-4.7909642752013794E-2</v>
      </c>
      <c r="CN45" s="3">
        <f t="shared" si="35"/>
        <v>4.9583421113095147E-3</v>
      </c>
      <c r="CO45" s="3">
        <f t="shared" si="36"/>
        <v>-1.5244303174368265E-4</v>
      </c>
      <c r="CP45" s="3">
        <f t="shared" si="37"/>
        <v>4.3687772838983063E-2</v>
      </c>
    </row>
    <row r="46" spans="2:94" x14ac:dyDescent="0.2">
      <c r="B46" s="53" t="s">
        <v>19</v>
      </c>
      <c r="C46" s="53"/>
      <c r="D46" s="53"/>
      <c r="F46" s="43" t="s">
        <v>107</v>
      </c>
      <c r="G46" s="44">
        <f>$C$17*G45</f>
        <v>97.210429427477877</v>
      </c>
      <c r="H46" s="43" t="s">
        <v>124</v>
      </c>
      <c r="AB46" s="3">
        <v>7</v>
      </c>
      <c r="AC46" s="3">
        <f t="shared" si="46"/>
        <v>4.6875E-2</v>
      </c>
      <c r="AD46" s="3">
        <f t="shared" si="27"/>
        <v>4.7507786913111097E-3</v>
      </c>
      <c r="AE46" s="3">
        <f t="shared" si="47"/>
        <v>5.46875E-2</v>
      </c>
      <c r="AF46" s="3">
        <f t="shared" si="28"/>
        <v>-3.1527476888456446E-3</v>
      </c>
      <c r="AG46" s="3">
        <f t="shared" si="38"/>
        <v>5.078125E-2</v>
      </c>
      <c r="AH46" s="3">
        <f t="shared" si="29"/>
        <v>8.0061995009204912E-4</v>
      </c>
      <c r="AI46" s="3">
        <f t="shared" si="39"/>
        <v>3.8035681987358712E-6</v>
      </c>
      <c r="AJ46" s="3">
        <f t="shared" si="40"/>
        <v>-2.5241526972964231E-6</v>
      </c>
      <c r="AK46" s="3">
        <f t="shared" si="41"/>
        <v>7.8125E-3</v>
      </c>
      <c r="AX46" s="3" t="s">
        <v>32</v>
      </c>
      <c r="AY46" s="38">
        <f>$C$41</f>
        <v>1.7893802780775801E-5</v>
      </c>
      <c r="AZ46" s="27" t="s">
        <v>232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 s="3" t="s">
        <v>193</v>
      </c>
      <c r="BO46" s="3">
        <f xml:space="preserve"> $AY$8*$AY$31 / (2*PI()*$AY$23)</f>
        <v>8.187421970845267E-2</v>
      </c>
      <c r="BP46" s="3"/>
      <c r="BQ46" s="3"/>
      <c r="BR46" s="3" t="s">
        <v>193</v>
      </c>
      <c r="BS46" s="3">
        <f xml:space="preserve"> $AY$8*$AY$32 / (2*PI()*$AY$24)</f>
        <v>6.7201802695181334E-2</v>
      </c>
      <c r="BT46" s="3"/>
      <c r="BU46"/>
      <c r="BV46" s="3">
        <v>8</v>
      </c>
      <c r="BW46" s="3">
        <f t="shared" si="42"/>
        <v>0.2280109043113217</v>
      </c>
      <c r="BX46" s="3">
        <v>-1.780907758222099E-2</v>
      </c>
      <c r="BY46" s="3">
        <f t="shared" si="43"/>
        <v>0.24985479073081324</v>
      </c>
      <c r="BZ46" s="3">
        <v>3.3064702452661944E-2</v>
      </c>
      <c r="CA46" s="3">
        <f t="shared" si="30"/>
        <v>0.23893284752106747</v>
      </c>
      <c r="CB46" s="3">
        <v>7.9925061353475074E-3</v>
      </c>
      <c r="CC46" s="3">
        <f t="shared" si="31"/>
        <v>-1.4233916184078102E-4</v>
      </c>
      <c r="CD46" s="3">
        <f t="shared" si="32"/>
        <v>2.6426983721634039E-4</v>
      </c>
      <c r="CE46" s="3">
        <f t="shared" si="33"/>
        <v>2.1843886419491532E-2</v>
      </c>
      <c r="CF46"/>
      <c r="CG46" s="3">
        <v>8</v>
      </c>
      <c r="CH46" s="3">
        <f t="shared" si="44"/>
        <v>0.18432313147233864</v>
      </c>
      <c r="CI46" s="3">
        <v>-4.7909642752013794E-2</v>
      </c>
      <c r="CJ46" s="3">
        <f t="shared" si="45"/>
        <v>0.20616701789183017</v>
      </c>
      <c r="CK46" s="3">
        <v>3.1818862130270215E-3</v>
      </c>
      <c r="CL46" s="3">
        <f t="shared" si="34"/>
        <v>0.19524507468208441</v>
      </c>
      <c r="CM46" s="3">
        <v>-2.18708327738854E-2</v>
      </c>
      <c r="CN46" s="3">
        <f t="shared" si="35"/>
        <v>1.0478237848858844E-3</v>
      </c>
      <c r="CO46" s="3">
        <f t="shared" si="36"/>
        <v>-6.9590501270645478E-5</v>
      </c>
      <c r="CP46" s="3">
        <f t="shared" si="37"/>
        <v>2.1843886419491532E-2</v>
      </c>
    </row>
    <row r="47" spans="2:94" x14ac:dyDescent="0.2">
      <c r="B47" s="7" t="s">
        <v>20</v>
      </c>
      <c r="C47" s="18">
        <v>30</v>
      </c>
      <c r="AB47" s="3">
        <v>8</v>
      </c>
      <c r="AC47" s="3">
        <f t="shared" si="46"/>
        <v>5.078125E-2</v>
      </c>
      <c r="AD47" s="3">
        <f t="shared" si="27"/>
        <v>8.0061995009204912E-4</v>
      </c>
      <c r="AE47" s="3">
        <f t="shared" si="47"/>
        <v>5.46875E-2</v>
      </c>
      <c r="AF47" s="3">
        <f t="shared" si="28"/>
        <v>-3.1527476888456446E-3</v>
      </c>
      <c r="AG47" s="3">
        <f t="shared" si="38"/>
        <v>5.2734375E-2</v>
      </c>
      <c r="AH47" s="3">
        <f t="shared" si="29"/>
        <v>-1.175666810487995E-3</v>
      </c>
      <c r="AI47" s="3">
        <f t="shared" si="39"/>
        <v>-9.4126230313777715E-7</v>
      </c>
      <c r="AJ47" s="3">
        <f t="shared" si="40"/>
        <v>3.7065808196185566E-6</v>
      </c>
      <c r="AK47" s="3">
        <f t="shared" si="41"/>
        <v>3.90625E-3</v>
      </c>
      <c r="AM47" s="65" t="s">
        <v>244</v>
      </c>
      <c r="AN47" s="65"/>
      <c r="AO47" s="65"/>
      <c r="AP47" s="65"/>
      <c r="AQ47" s="3"/>
      <c r="AR47" s="3"/>
      <c r="AS47" s="3"/>
      <c r="AT47" s="3"/>
      <c r="AU47" s="3"/>
      <c r="AV47" s="3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 s="3" t="s">
        <v>197</v>
      </c>
      <c r="BO47" s="3">
        <f>IF(-$AY$8*($BC$3-$AY$23)/(2*$AY$23*SIN(BO42))&gt;500, 1, 2*ACOS(MIN(1, EXP(-$AY$8*($BC$3-$AY$23)/(2*$AY$23*SIN(BO42)))))/PI() )</f>
        <v>0.99989175988076828</v>
      </c>
      <c r="BP47" s="3"/>
      <c r="BQ47" s="3"/>
      <c r="BR47" s="3" t="s">
        <v>197</v>
      </c>
      <c r="BS47" s="3">
        <f>IF(-$AY$8*($BC$3-$AY$24)/(2*$AY$24*SIN(BS42))&gt;500, 1, 2*ACOS(MIN(1, EXP(-$AY$8*($BC$3-$AY$24)/(2*$AY$24*SIN(BS42)))))/PI() )</f>
        <v>0.99818177820138787</v>
      </c>
      <c r="BT47" s="3"/>
      <c r="BU47"/>
      <c r="BV47" s="3">
        <v>9</v>
      </c>
      <c r="BW47" s="3">
        <f t="shared" si="42"/>
        <v>0.2280109043113217</v>
      </c>
      <c r="BX47" s="3">
        <v>-1.780907758222099E-2</v>
      </c>
      <c r="BY47" s="3">
        <f t="shared" si="43"/>
        <v>0.23893284752106747</v>
      </c>
      <c r="BZ47" s="3">
        <v>7.9925061353475074E-3</v>
      </c>
      <c r="CA47" s="3">
        <f t="shared" si="30"/>
        <v>0.23347187591619459</v>
      </c>
      <c r="CB47" s="3">
        <v>-4.8142446169570155E-3</v>
      </c>
      <c r="CC47" s="3">
        <f t="shared" si="31"/>
        <v>8.5737255883177259E-5</v>
      </c>
      <c r="CD47" s="3">
        <f t="shared" si="32"/>
        <v>-3.8477879638092656E-5</v>
      </c>
      <c r="CE47" s="3">
        <f t="shared" si="33"/>
        <v>1.0921943209745766E-2</v>
      </c>
      <c r="CF47"/>
      <c r="CG47" s="3">
        <v>9</v>
      </c>
      <c r="CH47" s="3">
        <f t="shared" si="44"/>
        <v>0.19524507468208441</v>
      </c>
      <c r="CI47" s="3">
        <v>-2.18708327738854E-2</v>
      </c>
      <c r="CJ47" s="3">
        <f t="shared" si="45"/>
        <v>0.20616701789183017</v>
      </c>
      <c r="CK47" s="3">
        <v>3.1818862130270215E-3</v>
      </c>
      <c r="CL47" s="3">
        <f t="shared" si="34"/>
        <v>0.20070604628695729</v>
      </c>
      <c r="CM47" s="3">
        <v>-9.2281217151442343E-3</v>
      </c>
      <c r="CN47" s="3">
        <f t="shared" si="35"/>
        <v>2.0182670684898007E-4</v>
      </c>
      <c r="CO47" s="3">
        <f t="shared" si="36"/>
        <v>-2.936283325755271E-5</v>
      </c>
      <c r="CP47" s="3">
        <f t="shared" si="37"/>
        <v>1.0921943209745766E-2</v>
      </c>
    </row>
    <row r="48" spans="2:94" x14ac:dyDescent="0.2">
      <c r="F48" s="51" t="s">
        <v>87</v>
      </c>
      <c r="G48" s="52"/>
      <c r="H48" s="52"/>
      <c r="AB48" s="3">
        <v>9</v>
      </c>
      <c r="AC48" s="3">
        <f t="shared" si="46"/>
        <v>5.078125E-2</v>
      </c>
      <c r="AD48" s="3">
        <f t="shared" si="27"/>
        <v>8.0061995009204912E-4</v>
      </c>
      <c r="AE48" s="3">
        <f t="shared" si="47"/>
        <v>5.2734375E-2</v>
      </c>
      <c r="AF48" s="3">
        <f t="shared" si="28"/>
        <v>-1.175666810487995E-3</v>
      </c>
      <c r="AG48" s="3">
        <f t="shared" si="38"/>
        <v>5.17578125E-2</v>
      </c>
      <c r="AH48" s="3">
        <f t="shared" si="29"/>
        <v>-1.8742364963585806E-4</v>
      </c>
      <c r="AI48" s="3">
        <f t="shared" si="39"/>
        <v>-1.5005511301753037E-7</v>
      </c>
      <c r="AJ48" s="3">
        <f t="shared" si="40"/>
        <v>2.2034776437740871E-7</v>
      </c>
      <c r="AK48" s="3">
        <f t="shared" si="41"/>
        <v>1.953125E-3</v>
      </c>
      <c r="AM48" s="8" t="s">
        <v>45</v>
      </c>
      <c r="AN48" s="8" t="s">
        <v>46</v>
      </c>
      <c r="AO48" s="8" t="s">
        <v>47</v>
      </c>
      <c r="AP48" s="8" t="s">
        <v>48</v>
      </c>
      <c r="AQ48" s="8" t="s">
        <v>49</v>
      </c>
      <c r="AR48" s="8" t="s">
        <v>50</v>
      </c>
      <c r="AS48" s="8" t="s">
        <v>51</v>
      </c>
      <c r="AT48" s="8" t="s">
        <v>52</v>
      </c>
      <c r="AU48" s="8" t="s">
        <v>53</v>
      </c>
      <c r="AV48" s="8" t="s">
        <v>54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 s="3" t="s">
        <v>202</v>
      </c>
      <c r="BO48" s="3">
        <f>IF(-$AY$8*($AY$23-$AY$10)/(2*$AY$23*SIN(BO42))&gt;500, 1, 2*ACOS(MIN(1, EXP(-$AY$8*($AY$23-$AY$10)/(2*$AY$23*SIN(BO42)))))/PI() )</f>
        <v>0.9999909345245791</v>
      </c>
      <c r="BP48" s="3"/>
      <c r="BQ48" s="3"/>
      <c r="BR48" s="3" t="s">
        <v>202</v>
      </c>
      <c r="BS48" s="3">
        <f>IF(-$AY$8*($AY$24-$AY$10)/(2*$AY$24*SIN(BS42))&gt;500, 1, 2*ACOS(MIN(1, EXP(-$AY$8*($AY$24-$AY$10)/(2*$AY$24*SIN(BS42)))))/PI() )</f>
        <v>0.99999839096442611</v>
      </c>
      <c r="BT48" s="3"/>
      <c r="BU48"/>
      <c r="BV48" s="3">
        <v>10</v>
      </c>
      <c r="BW48" s="3">
        <f t="shared" si="42"/>
        <v>0.23347187591619459</v>
      </c>
      <c r="BX48" s="3">
        <v>-4.8142446169570155E-3</v>
      </c>
      <c r="BY48" s="3">
        <f t="shared" si="43"/>
        <v>0.23893284752106747</v>
      </c>
      <c r="BZ48" s="3">
        <v>7.9925061353475074E-3</v>
      </c>
      <c r="CA48" s="3">
        <f t="shared" si="30"/>
        <v>0.23620236171863102</v>
      </c>
      <c r="CB48" s="3">
        <v>1.6122617423977095E-3</v>
      </c>
      <c r="CC48" s="3">
        <f t="shared" si="31"/>
        <v>-7.7618224144639116E-6</v>
      </c>
      <c r="CD48" s="3">
        <f t="shared" si="32"/>
        <v>1.2886011867899756E-5</v>
      </c>
      <c r="CE48" s="3">
        <f t="shared" si="33"/>
        <v>5.4609716048728829E-3</v>
      </c>
      <c r="CF48"/>
      <c r="CG48" s="3">
        <v>10</v>
      </c>
      <c r="CH48" s="3">
        <f t="shared" si="44"/>
        <v>0.20070604628695729</v>
      </c>
      <c r="CI48" s="3">
        <v>-9.2281217151442343E-3</v>
      </c>
      <c r="CJ48" s="3">
        <f t="shared" si="45"/>
        <v>0.20616701789183017</v>
      </c>
      <c r="CK48" s="3">
        <v>3.1818862130270215E-3</v>
      </c>
      <c r="CL48" s="3">
        <f t="shared" si="34"/>
        <v>0.20343653208939372</v>
      </c>
      <c r="CM48" s="3">
        <v>-2.9948111949411743E-3</v>
      </c>
      <c r="CN48" s="3">
        <f t="shared" si="35"/>
        <v>2.7636482220793703E-5</v>
      </c>
      <c r="CO48" s="3">
        <f t="shared" si="36"/>
        <v>-9.5291484518023016E-6</v>
      </c>
      <c r="CP48" s="3">
        <f t="shared" si="37"/>
        <v>5.4609716048728829E-3</v>
      </c>
    </row>
    <row r="49" spans="6:94" x14ac:dyDescent="0.2">
      <c r="F49" t="s">
        <v>91</v>
      </c>
      <c r="G49" s="1">
        <v>1.524</v>
      </c>
      <c r="H49" t="s">
        <v>10</v>
      </c>
      <c r="AB49" s="3">
        <v>10</v>
      </c>
      <c r="AC49" s="3">
        <f t="shared" si="46"/>
        <v>5.078125E-2</v>
      </c>
      <c r="AD49" s="3">
        <f t="shared" si="27"/>
        <v>8.0061995009204912E-4</v>
      </c>
      <c r="AE49" s="3">
        <f t="shared" si="47"/>
        <v>5.17578125E-2</v>
      </c>
      <c r="AF49" s="3">
        <f t="shared" si="28"/>
        <v>-1.8742364963585806E-4</v>
      </c>
      <c r="AG49" s="3">
        <f t="shared" si="38"/>
        <v>5.126953125E-2</v>
      </c>
      <c r="AH49" s="3">
        <f t="shared" si="29"/>
        <v>3.0662315905762016E-4</v>
      </c>
      <c r="AI49" s="3">
        <f t="shared" si="39"/>
        <v>2.4548861830177828E-7</v>
      </c>
      <c r="AJ49" s="3">
        <f t="shared" si="40"/>
        <v>-5.7468431533455379E-8</v>
      </c>
      <c r="AK49" s="3">
        <f t="shared" si="41"/>
        <v>9.765625E-4</v>
      </c>
      <c r="AM49" s="3">
        <v>0</v>
      </c>
      <c r="AN49" s="3"/>
      <c r="AO49" s="3">
        <f>G11</f>
        <v>5.3499124987865798E-6</v>
      </c>
      <c r="AP49" s="3"/>
      <c r="AQ49" s="3">
        <f>G11</f>
        <v>5.3499124987865798E-6</v>
      </c>
      <c r="AR49" s="3"/>
      <c r="AS49" s="3">
        <f>G11</f>
        <v>5.3499124987865798E-6</v>
      </c>
      <c r="AT49" s="3"/>
      <c r="AU49" s="3"/>
      <c r="AV49" s="3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 s="3" t="s">
        <v>205</v>
      </c>
      <c r="BO49" s="3">
        <f>IF(BO42=0,1,BO47*BO48)</f>
        <v>0.99988269538659558</v>
      </c>
      <c r="BP49" s="3"/>
      <c r="BQ49" s="3"/>
      <c r="BR49" s="3" t="s">
        <v>205</v>
      </c>
      <c r="BS49" s="3">
        <f>IF(BS42=0,1,BS47*BS48)</f>
        <v>0.99818017209139753</v>
      </c>
      <c r="BT49" s="3"/>
      <c r="BU49"/>
      <c r="BV49" s="3">
        <v>11</v>
      </c>
      <c r="BW49" s="3">
        <f t="shared" si="42"/>
        <v>0.23347187591619459</v>
      </c>
      <c r="BX49" s="3">
        <v>-4.8142446169570155E-3</v>
      </c>
      <c r="BY49" s="3">
        <f t="shared" si="43"/>
        <v>0.23620236171863102</v>
      </c>
      <c r="BZ49" s="3">
        <v>1.6122617423977095E-3</v>
      </c>
      <c r="CA49" s="3">
        <f t="shared" si="30"/>
        <v>0.23483711881741282</v>
      </c>
      <c r="CB49" s="3">
        <v>-1.5951626678268882E-3</v>
      </c>
      <c r="CC49" s="3">
        <f t="shared" si="31"/>
        <v>7.6795032867563887E-6</v>
      </c>
      <c r="CD49" s="3">
        <f t="shared" si="32"/>
        <v>-2.5718197422383575E-6</v>
      </c>
      <c r="CE49" s="3">
        <f t="shared" si="33"/>
        <v>2.7304858024364276E-3</v>
      </c>
      <c r="CF49"/>
      <c r="CG49" s="3">
        <v>11</v>
      </c>
      <c r="CH49" s="3">
        <f t="shared" si="44"/>
        <v>0.20343653208939372</v>
      </c>
      <c r="CI49" s="3">
        <v>-2.9948111949411743E-3</v>
      </c>
      <c r="CJ49" s="3">
        <f t="shared" si="45"/>
        <v>0.20616701789183017</v>
      </c>
      <c r="CK49" s="3">
        <v>3.1818862130270215E-3</v>
      </c>
      <c r="CL49" s="3">
        <f t="shared" si="34"/>
        <v>0.20480177499061195</v>
      </c>
      <c r="CM49" s="3">
        <v>1.0052111016922716E-4</v>
      </c>
      <c r="CN49" s="3">
        <f t="shared" si="35"/>
        <v>-3.0104174606271663E-7</v>
      </c>
      <c r="CO49" s="3">
        <f t="shared" si="36"/>
        <v>3.1984673456563421E-7</v>
      </c>
      <c r="CP49" s="3">
        <f t="shared" si="37"/>
        <v>2.7304858024364553E-3</v>
      </c>
    </row>
    <row r="50" spans="6:94" x14ac:dyDescent="0.2">
      <c r="F50" t="s">
        <v>97</v>
      </c>
      <c r="G50" s="1">
        <v>152.4</v>
      </c>
      <c r="H50" t="s">
        <v>8</v>
      </c>
      <c r="AB50" s="3">
        <v>11</v>
      </c>
      <c r="AC50" s="3">
        <f t="shared" si="46"/>
        <v>5.126953125E-2</v>
      </c>
      <c r="AD50" s="3">
        <f t="shared" si="27"/>
        <v>3.0662315905762016E-4</v>
      </c>
      <c r="AE50" s="3">
        <f t="shared" si="47"/>
        <v>5.17578125E-2</v>
      </c>
      <c r="AF50" s="3">
        <f t="shared" si="28"/>
        <v>-1.8742364963585806E-4</v>
      </c>
      <c r="AG50" s="3">
        <f t="shared" si="38"/>
        <v>5.1513671875E-2</v>
      </c>
      <c r="AH50" s="3">
        <f t="shared" si="29"/>
        <v>5.9605998992837139E-5</v>
      </c>
      <c r="AI50" s="3">
        <f t="shared" si="39"/>
        <v>1.8276579709969051E-8</v>
      </c>
      <c r="AJ50" s="3">
        <f t="shared" si="40"/>
        <v>-1.1171573871428817E-8</v>
      </c>
      <c r="AK50" s="3">
        <f t="shared" si="41"/>
        <v>4.8828125E-4</v>
      </c>
      <c r="AM50" s="3">
        <v>1</v>
      </c>
      <c r="AN50" s="4">
        <v>500</v>
      </c>
      <c r="AO50" s="3">
        <f t="dataTable" ref="AO50:AO79" dt2D="0" dtr="0" r1="C6" ca="1"/>
        <v>1958.4667491269201</v>
      </c>
      <c r="AP50" s="4">
        <v>1500</v>
      </c>
      <c r="AQ50" s="3">
        <f t="dataTable" ref="AQ50:AQ79" dt2D="0" dtr="0" r1="C6" ca="1"/>
        <v>-6170.6889890882412</v>
      </c>
      <c r="AR50" s="3">
        <f t="shared" ref="AR50:AR79" si="48">(AN50+AP50)/2</f>
        <v>1000</v>
      </c>
      <c r="AS50" s="3">
        <f t="dataTable" ref="AS50:AS79" dt2D="0" dtr="0" r1="C6" ca="1"/>
        <v>-1089.9666527037648</v>
      </c>
      <c r="AT50" s="3">
        <f t="shared" ref="AT50:AT79" si="49">AO50*AS50</f>
        <v>-2134663.4469774929</v>
      </c>
      <c r="AU50" s="3">
        <f t="shared" ref="AU50:AU79" si="50">AQ50*AS50</f>
        <v>6725845.2223124886</v>
      </c>
      <c r="AV50" s="3">
        <f t="shared" ref="AV50:AV79" si="51">AP50-AN50</f>
        <v>1000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 s="3" t="s">
        <v>209</v>
      </c>
      <c r="BO50" s="3">
        <f>IF(BO45&lt;$BH$43, $BC$44*BO45^2 + $BD$44*BO45 + $BE$44, IF(BO45&gt;$BI$43, $BJ$44*BO45^2 + $BK$44*BO45 + $BL$44, $BF$44*BO45^3 + $BG$44*BO45^2 + $BH$44*BO45 + $BI$44))</f>
        <v>1.3399097642384883</v>
      </c>
      <c r="BP50" s="3"/>
      <c r="BQ50" s="3"/>
      <c r="BR50" s="3" t="s">
        <v>209</v>
      </c>
      <c r="BS50" s="3">
        <f>IF(BS45&lt;$BH$43, $BC$44*BS45^2 + $BD$44*BS45 + $BE$44, IF(BS45&gt;$BI$43, $BJ$44*BS45^2 + $BK$44*BS45 + $BL$44, $BF$44*BS45^3 + $BG$44*BS45^2 + $BH$44*BS45 + $BI$44))</f>
        <v>1.3241136389925807</v>
      </c>
      <c r="BT50" s="3"/>
      <c r="BU50"/>
      <c r="BV50" s="3">
        <v>12</v>
      </c>
      <c r="BW50" s="3">
        <f t="shared" si="42"/>
        <v>0.23483711881741282</v>
      </c>
      <c r="BX50" s="3">
        <v>-1.5951626678268882E-3</v>
      </c>
      <c r="BY50" s="3">
        <f t="shared" si="43"/>
        <v>0.23620236171863102</v>
      </c>
      <c r="BZ50" s="3">
        <v>1.6122617423977095E-3</v>
      </c>
      <c r="CA50" s="3">
        <f t="shared" si="30"/>
        <v>0.23551974026802192</v>
      </c>
      <c r="CB50" s="3">
        <v>1.0000892793751714E-5</v>
      </c>
      <c r="CC50" s="3">
        <f t="shared" si="31"/>
        <v>-1.5953050829531685E-8</v>
      </c>
      <c r="CD50" s="3">
        <f t="shared" si="32"/>
        <v>1.6124056841186836E-8</v>
      </c>
      <c r="CE50" s="3">
        <f t="shared" si="33"/>
        <v>1.3652429012181999E-3</v>
      </c>
      <c r="CF50"/>
      <c r="CG50" s="3">
        <v>12</v>
      </c>
      <c r="CH50" s="3">
        <f t="shared" si="44"/>
        <v>0.20343653208939372</v>
      </c>
      <c r="CI50" s="3">
        <v>-2.9948111949411743E-3</v>
      </c>
      <c r="CJ50" s="3">
        <f t="shared" si="45"/>
        <v>0.20480177499061195</v>
      </c>
      <c r="CK50" s="3">
        <v>1.0052111016922716E-4</v>
      </c>
      <c r="CL50" s="3">
        <f t="shared" si="34"/>
        <v>0.20411915354000282</v>
      </c>
      <c r="CM50" s="3">
        <v>-1.4453877099247919E-3</v>
      </c>
      <c r="CN50" s="3">
        <f t="shared" si="35"/>
        <v>4.3286632947131532E-6</v>
      </c>
      <c r="CO50" s="3">
        <f t="shared" si="36"/>
        <v>-1.4529197722659695E-7</v>
      </c>
      <c r="CP50" s="3">
        <f t="shared" si="37"/>
        <v>1.3652429012182277E-3</v>
      </c>
    </row>
    <row r="51" spans="6:94" x14ac:dyDescent="0.2">
      <c r="F51" t="s">
        <v>96</v>
      </c>
      <c r="G51" s="9">
        <f>$G$50/$G$49</f>
        <v>100</v>
      </c>
      <c r="H51" t="s">
        <v>14</v>
      </c>
      <c r="AB51" s="3">
        <v>12</v>
      </c>
      <c r="AC51" s="3">
        <f t="shared" si="46"/>
        <v>5.1513671875E-2</v>
      </c>
      <c r="AD51" s="3">
        <f t="shared" si="27"/>
        <v>5.9605998992837139E-5</v>
      </c>
      <c r="AE51" s="3">
        <f t="shared" si="47"/>
        <v>5.17578125E-2</v>
      </c>
      <c r="AF51" s="3">
        <f t="shared" si="28"/>
        <v>-1.8742364963585806E-4</v>
      </c>
      <c r="AG51" s="3">
        <f t="shared" si="38"/>
        <v>5.16357421875E-2</v>
      </c>
      <c r="AH51" s="3">
        <f t="shared" si="29"/>
        <v>-6.3907265244841915E-5</v>
      </c>
      <c r="AI51" s="3">
        <f t="shared" si="39"/>
        <v>-3.8092563878190229E-9</v>
      </c>
      <c r="AJ51" s="3">
        <f t="shared" si="40"/>
        <v>1.1977732890435099E-8</v>
      </c>
      <c r="AK51" s="3">
        <f t="shared" si="41"/>
        <v>2.44140625E-4</v>
      </c>
      <c r="AM51" s="3">
        <v>2</v>
      </c>
      <c r="AN51" s="3">
        <f t="shared" ref="AN51:AN79" si="52">IF(AT50&gt;0, AR50, AN50)</f>
        <v>500</v>
      </c>
      <c r="AO51" s="3">
        <v>1958.4667491269201</v>
      </c>
      <c r="AP51" s="3">
        <f t="shared" ref="AP51:AP79" si="53">IF(AU50&gt;0, AR50, AP50)</f>
        <v>1000</v>
      </c>
      <c r="AQ51" s="3">
        <v>-1089.9666527037648</v>
      </c>
      <c r="AR51" s="3">
        <f t="shared" si="48"/>
        <v>750</v>
      </c>
      <c r="AS51" s="3">
        <v>688.28616503080093</v>
      </c>
      <c r="AT51" s="3">
        <f t="shared" si="49"/>
        <v>1347985.5680969076</v>
      </c>
      <c r="AU51" s="3">
        <f t="shared" si="50"/>
        <v>-750208.96740093315</v>
      </c>
      <c r="AV51" s="3">
        <f t="shared" si="51"/>
        <v>500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 s="3" t="s">
        <v>210</v>
      </c>
      <c r="BO51" s="3">
        <f>IF(BO45&lt;$BH$43, $BC$45*BO45^2 + $BD$45*BO45 + $BE$45, IF(BO45&gt;$BI$43, $BJ$45*BO45^2 + $BK$45*BO45 + $BL$45, $BF$45*BO45^3 + $BG$45*BO45^2 + $BH$45*BO45 + $BI$45))</f>
        <v>2.276132926877892E-2</v>
      </c>
      <c r="BP51" s="3"/>
      <c r="BQ51" s="3"/>
      <c r="BR51" s="3" t="s">
        <v>210</v>
      </c>
      <c r="BS51" s="3">
        <f>IF(BS45&lt;$BH$43, $BC$45*BS45^2 + $BD$45*BS45 + $BE$45, IF(BS45&gt;$BI$43, $BJ$45*BS45^2 + $BK$45*BS45 + $BL$45, $BF$45*BS45^3 + $BG$45*BS45^2 + $BH$45*BS45 + $BI$45))</f>
        <v>2.163051989127155E-2</v>
      </c>
      <c r="BT51" s="3"/>
      <c r="BU51"/>
      <c r="BV51" s="3">
        <v>13</v>
      </c>
      <c r="BW51" s="3">
        <f t="shared" si="42"/>
        <v>0.23483711881741282</v>
      </c>
      <c r="BX51" s="3">
        <v>-1.5951626678268882E-3</v>
      </c>
      <c r="BY51" s="3">
        <f t="shared" si="43"/>
        <v>0.23551974026802192</v>
      </c>
      <c r="BZ51" s="3">
        <v>1.0000892793751714E-5</v>
      </c>
      <c r="CA51" s="3">
        <f t="shared" si="30"/>
        <v>0.23517842954271737</v>
      </c>
      <c r="CB51" s="3">
        <v>-7.9221732436269426E-4</v>
      </c>
      <c r="CC51" s="3">
        <f t="shared" si="31"/>
        <v>1.2637155006290746E-6</v>
      </c>
      <c r="CD51" s="3">
        <f t="shared" si="32"/>
        <v>-7.9228805303041331E-9</v>
      </c>
      <c r="CE51" s="3">
        <f t="shared" si="33"/>
        <v>6.8262145060909996E-4</v>
      </c>
      <c r="CF51"/>
      <c r="CG51" s="3">
        <v>13</v>
      </c>
      <c r="CH51" s="3">
        <f t="shared" si="44"/>
        <v>0.20411915354000282</v>
      </c>
      <c r="CI51" s="3">
        <v>-1.4453877099247919E-3</v>
      </c>
      <c r="CJ51" s="3">
        <f t="shared" si="45"/>
        <v>0.20480177499061195</v>
      </c>
      <c r="CK51" s="3">
        <v>1.0052111016922716E-4</v>
      </c>
      <c r="CL51" s="3">
        <f t="shared" si="34"/>
        <v>0.2044604642653074</v>
      </c>
      <c r="CM51" s="3">
        <v>-6.7199540790267159E-4</v>
      </c>
      <c r="CN51" s="3">
        <f t="shared" si="35"/>
        <v>9.712939037084189E-7</v>
      </c>
      <c r="CO51" s="3">
        <f t="shared" si="36"/>
        <v>-6.7549724430999187E-8</v>
      </c>
      <c r="CP51" s="3">
        <f t="shared" si="37"/>
        <v>6.8262145060912771E-4</v>
      </c>
    </row>
    <row r="52" spans="6:94" x14ac:dyDescent="0.2">
      <c r="F52" t="s">
        <v>22</v>
      </c>
      <c r="G52" s="7">
        <f xml:space="preserve"> $C$5 * $C$43 / $C$17</f>
        <v>3066.712906795306</v>
      </c>
      <c r="H52" t="s">
        <v>23</v>
      </c>
      <c r="AB52" s="3">
        <v>13</v>
      </c>
      <c r="AC52" s="3">
        <f t="shared" si="46"/>
        <v>5.1513671875E-2</v>
      </c>
      <c r="AD52" s="3">
        <f t="shared" si="27"/>
        <v>5.9605998992837139E-5</v>
      </c>
      <c r="AE52" s="3">
        <f t="shared" si="47"/>
        <v>5.16357421875E-2</v>
      </c>
      <c r="AF52" s="3">
        <f t="shared" si="28"/>
        <v>-6.3907265244841915E-5</v>
      </c>
      <c r="AG52" s="3">
        <f t="shared" si="38"/>
        <v>5.157470703125E-2</v>
      </c>
      <c r="AH52" s="3">
        <f t="shared" si="29"/>
        <v>-2.1502429824737934E-6</v>
      </c>
      <c r="AI52" s="3">
        <f t="shared" si="39"/>
        <v>-1.2816738104768806E-10</v>
      </c>
      <c r="AJ52" s="3">
        <f t="shared" si="40"/>
        <v>1.3741614862181268E-10</v>
      </c>
      <c r="AK52" s="3">
        <f t="shared" si="41"/>
        <v>1.220703125E-4</v>
      </c>
      <c r="AM52" s="3">
        <v>3</v>
      </c>
      <c r="AN52" s="3">
        <f t="shared" si="52"/>
        <v>750</v>
      </c>
      <c r="AO52" s="3">
        <v>688.28616503080093</v>
      </c>
      <c r="AP52" s="3">
        <f t="shared" si="53"/>
        <v>1000</v>
      </c>
      <c r="AQ52" s="3">
        <v>-1089.9666527037648</v>
      </c>
      <c r="AR52" s="3">
        <f t="shared" si="48"/>
        <v>875</v>
      </c>
      <c r="AS52" s="3">
        <v>-137.33121463167436</v>
      </c>
      <c r="AT52" s="3">
        <f t="shared" si="49"/>
        <v>-94523.175057856963</v>
      </c>
      <c r="AU52" s="3">
        <f t="shared" si="50"/>
        <v>149686.44432382839</v>
      </c>
      <c r="AV52" s="3">
        <f t="shared" si="51"/>
        <v>250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 s="3" t="s">
        <v>212</v>
      </c>
      <c r="BO52" s="3">
        <f xml:space="preserve"> BO50*COS(BO42) - BO51*SIN(BO42)</f>
        <v>1.3138435098069059</v>
      </c>
      <c r="BP52" s="3"/>
      <c r="BQ52" s="3"/>
      <c r="BR52" s="3" t="s">
        <v>212</v>
      </c>
      <c r="BS52" s="3">
        <f xml:space="preserve"> BS50*COS(BS42) - BS51*SIN(BS42)</f>
        <v>1.3031504071286835</v>
      </c>
      <c r="BT52" s="3"/>
      <c r="BU52"/>
      <c r="BV52" s="3">
        <v>14</v>
      </c>
      <c r="BW52" s="3">
        <f t="shared" si="42"/>
        <v>0.23517842954271737</v>
      </c>
      <c r="BX52" s="3">
        <v>-7.9221732436269426E-4</v>
      </c>
      <c r="BY52" s="3">
        <f t="shared" si="43"/>
        <v>0.23551974026802192</v>
      </c>
      <c r="BZ52" s="3">
        <v>1.0000892793751714E-5</v>
      </c>
      <c r="CA52" s="3">
        <f t="shared" si="30"/>
        <v>0.23534908490536965</v>
      </c>
      <c r="CB52" s="3">
        <v>-3.9101741586092253E-4</v>
      </c>
      <c r="CC52" s="3">
        <f t="shared" si="31"/>
        <v>3.0977077097255496E-7</v>
      </c>
      <c r="CD52" s="3">
        <f t="shared" si="32"/>
        <v>-3.9105232565149172E-9</v>
      </c>
      <c r="CE52" s="3">
        <f t="shared" si="33"/>
        <v>3.4131072530454998E-4</v>
      </c>
      <c r="CF52"/>
      <c r="CG52" s="3">
        <v>14</v>
      </c>
      <c r="CH52" s="3">
        <f t="shared" si="44"/>
        <v>0.2044604642653074</v>
      </c>
      <c r="CI52" s="3">
        <v>-6.7199540790267159E-4</v>
      </c>
      <c r="CJ52" s="3">
        <f t="shared" si="45"/>
        <v>0.20480177499061195</v>
      </c>
      <c r="CK52" s="3">
        <v>1.0052111016922716E-4</v>
      </c>
      <c r="CL52" s="3">
        <f t="shared" si="34"/>
        <v>0.20463111962795966</v>
      </c>
      <c r="CM52" s="3">
        <v>-2.8562785494712362E-4</v>
      </c>
      <c r="CN52" s="3">
        <f t="shared" si="35"/>
        <v>1.9194060689355746E-7</v>
      </c>
      <c r="CO52" s="3">
        <f t="shared" si="36"/>
        <v>-2.8711629074539846E-8</v>
      </c>
      <c r="CP52" s="3">
        <f t="shared" si="37"/>
        <v>3.4131072530454998E-4</v>
      </c>
    </row>
    <row r="53" spans="6:94" x14ac:dyDescent="0.2">
      <c r="F53" s="43" t="s">
        <v>89</v>
      </c>
      <c r="G53" s="44">
        <f xml:space="preserve"> 1/1000 * IF($G$49&gt;= 2*SQRT(($C$5*$C$43)/(2*$C$40*$C$17*PI()*$C$7*$C$7)), ($C$5*$C$43)/$C$20 * ( ($G$49/2) - SQRT( ($G$49/2)^2 - ($C$5*$C$43)/(2*$C$40*$C$17*PI()*$C$7*$C$7 ) ) ), 1/$C$20 * SQRT(($C$5*$C$43)^3/(2*$C$40*$C$17*PI()*$C$7*$C$7)) )</f>
        <v>217.65025075847254</v>
      </c>
      <c r="H53" s="43" t="s">
        <v>124</v>
      </c>
      <c r="AB53" s="3">
        <v>14</v>
      </c>
      <c r="AC53" s="3">
        <f t="shared" si="46"/>
        <v>5.1513671875E-2</v>
      </c>
      <c r="AD53" s="3">
        <f t="shared" si="27"/>
        <v>5.9605998992837139E-5</v>
      </c>
      <c r="AE53" s="3">
        <f t="shared" si="47"/>
        <v>5.157470703125E-2</v>
      </c>
      <c r="AF53" s="3">
        <f t="shared" si="28"/>
        <v>-2.1502429824737934E-6</v>
      </c>
      <c r="AG53" s="3">
        <f t="shared" si="38"/>
        <v>5.1544189453125E-2</v>
      </c>
      <c r="AH53" s="3">
        <f t="shared" si="29"/>
        <v>2.8727975556600005E-5</v>
      </c>
      <c r="AI53" s="3">
        <f t="shared" si="39"/>
        <v>1.7123596820929499E-9</v>
      </c>
      <c r="AJ53" s="3">
        <f t="shared" si="40"/>
        <v>-6.1772127841257834E-11</v>
      </c>
      <c r="AK53" s="3">
        <f t="shared" si="41"/>
        <v>6.103515625E-5</v>
      </c>
      <c r="AM53" s="3">
        <v>4</v>
      </c>
      <c r="AN53" s="3">
        <f t="shared" si="52"/>
        <v>750</v>
      </c>
      <c r="AO53" s="3">
        <v>688.28616503080093</v>
      </c>
      <c r="AP53" s="3">
        <f t="shared" si="53"/>
        <v>875</v>
      </c>
      <c r="AQ53" s="3">
        <v>-137.33121463167436</v>
      </c>
      <c r="AR53" s="3">
        <f t="shared" si="48"/>
        <v>812.5</v>
      </c>
      <c r="AS53" s="3">
        <v>291.35473250076438</v>
      </c>
      <c r="AT53" s="3">
        <f t="shared" si="49"/>
        <v>200535.43149652597</v>
      </c>
      <c r="AU53" s="3">
        <f t="shared" si="50"/>
        <v>-40012.099303016541</v>
      </c>
      <c r="AV53" s="3">
        <f t="shared" si="51"/>
        <v>125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 s="3" t="s">
        <v>214</v>
      </c>
      <c r="BO53" s="3">
        <f xml:space="preserve"> BO50*SIN(BO42) + BO51*COS(BO42)</f>
        <v>0.26399145090323262</v>
      </c>
      <c r="BP53" s="3"/>
      <c r="BQ53" s="3"/>
      <c r="BR53" s="3" t="s">
        <v>214</v>
      </c>
      <c r="BS53" s="3">
        <f xml:space="preserve"> BS50*SIN(BS42) + BS51*COS(BS42)</f>
        <v>0.23567737430073279</v>
      </c>
      <c r="BT53" s="3"/>
      <c r="BU53"/>
      <c r="BV53" s="3">
        <v>15</v>
      </c>
      <c r="BW53" s="3">
        <f t="shared" si="42"/>
        <v>0.23534908490536965</v>
      </c>
      <c r="BX53" s="3">
        <v>-3.9101741586092253E-4</v>
      </c>
      <c r="BY53" s="3">
        <f t="shared" si="43"/>
        <v>0.23551974026802192</v>
      </c>
      <c r="BZ53" s="3">
        <v>1.0000892793751714E-5</v>
      </c>
      <c r="CA53" s="3">
        <f t="shared" si="30"/>
        <v>0.23543441258669578</v>
      </c>
      <c r="CB53" s="3">
        <v>-1.9048557288184331E-4</v>
      </c>
      <c r="CC53" s="3">
        <f t="shared" si="31"/>
        <v>7.4483176467045797E-8</v>
      </c>
      <c r="CD53" s="3">
        <f t="shared" si="32"/>
        <v>-1.9050257931476936E-9</v>
      </c>
      <c r="CE53" s="3">
        <f t="shared" si="33"/>
        <v>1.7065536265226111E-4</v>
      </c>
      <c r="CF53"/>
      <c r="CG53" s="3">
        <v>15</v>
      </c>
      <c r="CH53" s="3">
        <f t="shared" si="44"/>
        <v>0.20463111962795966</v>
      </c>
      <c r="CI53" s="3">
        <v>-2.8562785494712362E-4</v>
      </c>
      <c r="CJ53" s="3">
        <f t="shared" si="45"/>
        <v>0.20480177499061195</v>
      </c>
      <c r="CK53" s="3">
        <v>1.0052111016922716E-4</v>
      </c>
      <c r="CL53" s="3">
        <f t="shared" si="34"/>
        <v>0.20471644730928579</v>
      </c>
      <c r="CM53" s="3">
        <v>-9.2526071227012896E-5</v>
      </c>
      <c r="CN53" s="3">
        <f t="shared" si="35"/>
        <v>2.6428023251256466E-8</v>
      </c>
      <c r="CO53" s="3">
        <f t="shared" si="36"/>
        <v>-9.3008233993363216E-9</v>
      </c>
      <c r="CP53" s="3">
        <f t="shared" si="37"/>
        <v>1.7065536265228887E-4</v>
      </c>
    </row>
    <row r="54" spans="6:94" x14ac:dyDescent="0.2">
      <c r="AB54" s="3">
        <v>15</v>
      </c>
      <c r="AC54" s="3">
        <f t="shared" si="46"/>
        <v>5.1544189453125E-2</v>
      </c>
      <c r="AD54" s="3">
        <f t="shared" si="27"/>
        <v>2.8727975556600005E-5</v>
      </c>
      <c r="AE54" s="3">
        <f t="shared" si="47"/>
        <v>5.157470703125E-2</v>
      </c>
      <c r="AF54" s="3">
        <f t="shared" si="28"/>
        <v>-2.1502429824737934E-6</v>
      </c>
      <c r="AG54" s="3">
        <f t="shared" si="38"/>
        <v>5.15594482421875E-2</v>
      </c>
      <c r="AH54" s="3">
        <f t="shared" si="29"/>
        <v>1.3288890672980003E-5</v>
      </c>
      <c r="AI54" s="3">
        <f t="shared" si="39"/>
        <v>3.817629264276993E-10</v>
      </c>
      <c r="AJ54" s="3">
        <f t="shared" si="40"/>
        <v>-2.8574343914436697E-11</v>
      </c>
      <c r="AK54" s="3">
        <f t="shared" si="41"/>
        <v>3.0517578125E-5</v>
      </c>
      <c r="AM54" s="3">
        <v>5</v>
      </c>
      <c r="AN54" s="3">
        <f t="shared" si="52"/>
        <v>812.5</v>
      </c>
      <c r="AO54" s="3">
        <v>291.35473250076438</v>
      </c>
      <c r="AP54" s="3">
        <f t="shared" si="53"/>
        <v>875</v>
      </c>
      <c r="AQ54" s="3">
        <v>-137.33121463167436</v>
      </c>
      <c r="AR54" s="3">
        <f t="shared" si="48"/>
        <v>843.75</v>
      </c>
      <c r="AS54" s="3">
        <v>80.981073259844834</v>
      </c>
      <c r="AT54" s="3">
        <f t="shared" si="49"/>
        <v>23594.218937246897</v>
      </c>
      <c r="AU54" s="3">
        <f t="shared" si="50"/>
        <v>-11121.229152951097</v>
      </c>
      <c r="AV54" s="3">
        <f t="shared" si="51"/>
        <v>62.5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 s="3" t="s">
        <v>39</v>
      </c>
      <c r="BO54" s="3">
        <f xml:space="preserve"> 4*BO49*SIN(BO42)*SIN(BO42) / (BO46*BO52)</f>
        <v>1.2088501718843503</v>
      </c>
      <c r="BP54" s="3"/>
      <c r="BQ54" s="3"/>
      <c r="BR54" s="3" t="s">
        <v>39</v>
      </c>
      <c r="BS54" s="3">
        <f xml:space="preserve"> 4*BS49*SIN(BS42)*SIN(BS42) / (BS46*BS52)</f>
        <v>1.1945860072741687</v>
      </c>
      <c r="BT54" s="3"/>
      <c r="BU54"/>
      <c r="BV54" s="3">
        <v>16</v>
      </c>
      <c r="BW54" s="3">
        <f t="shared" si="42"/>
        <v>0.23543441258669578</v>
      </c>
      <c r="BX54" s="3">
        <v>-1.9048557288184331E-4</v>
      </c>
      <c r="BY54" s="3">
        <f t="shared" si="43"/>
        <v>0.23551974026802192</v>
      </c>
      <c r="BZ54" s="3">
        <v>1.0000892793751714E-5</v>
      </c>
      <c r="CA54" s="3">
        <f t="shared" si="30"/>
        <v>0.23547707642735885</v>
      </c>
      <c r="CB54" s="3">
        <v>-9.0236669295452876E-5</v>
      </c>
      <c r="CC54" s="3">
        <f t="shared" si="31"/>
        <v>1.7188783645693781E-8</v>
      </c>
      <c r="CD54" s="3">
        <f t="shared" si="32"/>
        <v>-9.0244725568905127E-10</v>
      </c>
      <c r="CE54" s="3">
        <f t="shared" si="33"/>
        <v>8.5327681326130556E-5</v>
      </c>
      <c r="CF54"/>
      <c r="CG54" s="3">
        <v>16</v>
      </c>
      <c r="CH54" s="3">
        <f t="shared" si="44"/>
        <v>0.20471644730928579</v>
      </c>
      <c r="CI54" s="3">
        <v>-9.2526071227012896E-5</v>
      </c>
      <c r="CJ54" s="3">
        <f t="shared" si="45"/>
        <v>0.20480177499061195</v>
      </c>
      <c r="CK54" s="3">
        <v>1.0052111016922716E-4</v>
      </c>
      <c r="CL54" s="3">
        <f t="shared" si="34"/>
        <v>0.20475911114994888</v>
      </c>
      <c r="CM54" s="3">
        <v>4.0043419760327215E-6</v>
      </c>
      <c r="CN54" s="3">
        <f t="shared" si="35"/>
        <v>-3.7050603089172116E-10</v>
      </c>
      <c r="CO54" s="3">
        <f t="shared" si="36"/>
        <v>4.0252090092804598E-10</v>
      </c>
      <c r="CP54" s="3">
        <f t="shared" si="37"/>
        <v>8.5327681326158311E-5</v>
      </c>
    </row>
    <row r="55" spans="6:94" x14ac:dyDescent="0.2">
      <c r="AB55" s="3">
        <v>16</v>
      </c>
      <c r="AC55" s="3">
        <f t="shared" si="46"/>
        <v>5.15594482421875E-2</v>
      </c>
      <c r="AD55" s="3">
        <f t="shared" si="27"/>
        <v>1.3288890672980003E-5</v>
      </c>
      <c r="AE55" s="3">
        <f t="shared" si="47"/>
        <v>5.157470703125E-2</v>
      </c>
      <c r="AF55" s="3">
        <f t="shared" si="28"/>
        <v>-2.1502429824737934E-6</v>
      </c>
      <c r="AG55" s="3">
        <f t="shared" si="38"/>
        <v>5.156707763671875E-2</v>
      </c>
      <c r="AH55" s="3">
        <f t="shared" si="29"/>
        <v>5.5693299414877329E-6</v>
      </c>
      <c r="AI55" s="3">
        <f t="shared" si="39"/>
        <v>7.4010216714184594E-11</v>
      </c>
      <c r="AJ55" s="3">
        <f t="shared" si="40"/>
        <v>-1.197541262376518E-11</v>
      </c>
      <c r="AK55" s="3">
        <f t="shared" si="41"/>
        <v>1.52587890625E-5</v>
      </c>
      <c r="AM55" s="3">
        <v>6</v>
      </c>
      <c r="AN55" s="3">
        <f t="shared" si="52"/>
        <v>843.75</v>
      </c>
      <c r="AO55" s="3">
        <v>80.981073259844834</v>
      </c>
      <c r="AP55" s="3">
        <f t="shared" si="53"/>
        <v>875</v>
      </c>
      <c r="AQ55" s="3">
        <v>-137.33121463167436</v>
      </c>
      <c r="AR55" s="3">
        <f t="shared" si="48"/>
        <v>859.375</v>
      </c>
      <c r="AS55" s="3">
        <v>-27.182742104590034</v>
      </c>
      <c r="AT55" s="3">
        <f t="shared" si="49"/>
        <v>-2201.2876297752741</v>
      </c>
      <c r="AU55" s="3">
        <f t="shared" si="50"/>
        <v>3733.0389902429056</v>
      </c>
      <c r="AV55" s="3">
        <f t="shared" si="51"/>
        <v>31.25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 s="3" t="s">
        <v>216</v>
      </c>
      <c r="BO55" s="3">
        <f xml:space="preserve"> 4*BO49*SIN(BO42)*COS(BO42) / (BO46*BO53)</f>
        <v>32.818728133526463</v>
      </c>
      <c r="BP55" s="3"/>
      <c r="BQ55" s="3"/>
      <c r="BR55" s="3" t="s">
        <v>216</v>
      </c>
      <c r="BS55" s="3">
        <f xml:space="preserve"> 4*BS49*SIN(BS42)*COS(BS42) / (BS46*BS53)</f>
        <v>40.268613473753888</v>
      </c>
      <c r="BT55" s="3"/>
      <c r="BU55"/>
      <c r="BV55" s="3">
        <v>17</v>
      </c>
      <c r="BW55" s="3">
        <f t="shared" si="42"/>
        <v>0.23547707642735885</v>
      </c>
      <c r="BX55" s="3">
        <v>-9.0236669295452876E-5</v>
      </c>
      <c r="BY55" s="3">
        <f t="shared" si="43"/>
        <v>0.23551974026802192</v>
      </c>
      <c r="BZ55" s="3">
        <v>1.0000892793751714E-5</v>
      </c>
      <c r="CA55" s="3">
        <f t="shared" si="30"/>
        <v>0.23549840834769037</v>
      </c>
      <c r="CB55" s="3">
        <v>-4.0116470740307608E-5</v>
      </c>
      <c r="CC55" s="3">
        <f t="shared" si="31"/>
        <v>3.6199767034938491E-9</v>
      </c>
      <c r="CD55" s="3">
        <f t="shared" si="32"/>
        <v>-4.0120052313749385E-10</v>
      </c>
      <c r="CE55" s="3">
        <f t="shared" si="33"/>
        <v>4.2663840663065278E-5</v>
      </c>
      <c r="CF55"/>
      <c r="CG55" s="3">
        <v>17</v>
      </c>
      <c r="CH55" s="3">
        <f t="shared" si="44"/>
        <v>0.20471644730928579</v>
      </c>
      <c r="CI55" s="3">
        <v>-9.2526071227012896E-5</v>
      </c>
      <c r="CJ55" s="3">
        <f t="shared" si="45"/>
        <v>0.20475911114994888</v>
      </c>
      <c r="CK55" s="3">
        <v>4.0043419760327215E-6</v>
      </c>
      <c r="CL55" s="3">
        <f t="shared" si="34"/>
        <v>0.20473777922961733</v>
      </c>
      <c r="CM55" s="3">
        <v>-4.4259158651221986E-5</v>
      </c>
      <c r="CN55" s="3">
        <f t="shared" si="35"/>
        <v>4.0951260658106294E-9</v>
      </c>
      <c r="CO55" s="3">
        <f t="shared" si="36"/>
        <v>-1.7722880681097996E-10</v>
      </c>
      <c r="CP55" s="3">
        <f t="shared" si="37"/>
        <v>4.2663840663093033E-5</v>
      </c>
    </row>
    <row r="56" spans="6:94" x14ac:dyDescent="0.2">
      <c r="AB56" s="3">
        <v>17</v>
      </c>
      <c r="AC56" s="3">
        <f t="shared" si="46"/>
        <v>5.156707763671875E-2</v>
      </c>
      <c r="AD56" s="3">
        <f t="shared" si="27"/>
        <v>5.5693299414877329E-6</v>
      </c>
      <c r="AE56" s="3">
        <f t="shared" si="47"/>
        <v>5.157470703125E-2</v>
      </c>
      <c r="AF56" s="3">
        <f t="shared" si="28"/>
        <v>-2.1502429824737934E-6</v>
      </c>
      <c r="AG56" s="3">
        <f t="shared" si="38"/>
        <v>5.1570892333984375E-2</v>
      </c>
      <c r="AH56" s="3">
        <f t="shared" si="29"/>
        <v>1.7095450035378712E-6</v>
      </c>
      <c r="AI56" s="3">
        <f t="shared" si="39"/>
        <v>9.5210201745242175E-12</v>
      </c>
      <c r="AJ56" s="3">
        <f t="shared" si="40"/>
        <v>-3.6759371470804436E-12</v>
      </c>
      <c r="AK56" s="3">
        <f t="shared" si="41"/>
        <v>7.62939453125E-6</v>
      </c>
      <c r="AM56" s="3">
        <v>7</v>
      </c>
      <c r="AN56" s="3">
        <f t="shared" si="52"/>
        <v>843.75</v>
      </c>
      <c r="AO56" s="3">
        <v>80.981073259844834</v>
      </c>
      <c r="AP56" s="3">
        <f t="shared" si="53"/>
        <v>859.375</v>
      </c>
      <c r="AQ56" s="3">
        <v>-27.182742104590034</v>
      </c>
      <c r="AR56" s="3">
        <f t="shared" si="48"/>
        <v>851.5625</v>
      </c>
      <c r="AS56" s="3">
        <v>27.147247722958127</v>
      </c>
      <c r="AT56" s="3">
        <f t="shared" si="49"/>
        <v>2198.4132566560279</v>
      </c>
      <c r="AU56" s="3">
        <f t="shared" si="50"/>
        <v>-737.9366337025898</v>
      </c>
      <c r="AV56" s="3">
        <f t="shared" si="51"/>
        <v>15.625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 s="3" t="s">
        <v>46</v>
      </c>
      <c r="BO56" s="3">
        <f>1/(BO54-1)</f>
        <v>4.7881215082444122</v>
      </c>
      <c r="BP56" s="3"/>
      <c r="BQ56" s="3"/>
      <c r="BR56" s="3" t="s">
        <v>46</v>
      </c>
      <c r="BS56" s="3">
        <f>1/(BS54-1)</f>
        <v>5.1391156743918129</v>
      </c>
      <c r="BT56" s="3"/>
      <c r="BU56"/>
      <c r="BV56" s="3">
        <v>18</v>
      </c>
      <c r="BW56" s="3">
        <f t="shared" si="42"/>
        <v>0.23549840834769037</v>
      </c>
      <c r="BX56" s="3">
        <v>-4.0116470740307608E-5</v>
      </c>
      <c r="BY56" s="3">
        <f t="shared" si="43"/>
        <v>0.23551974026802192</v>
      </c>
      <c r="BZ56" s="3">
        <v>1.0000892793751714E-5</v>
      </c>
      <c r="CA56" s="3">
        <f t="shared" si="30"/>
        <v>0.23550907430785614</v>
      </c>
      <c r="CB56" s="3">
        <v>-1.5057434617764265E-5</v>
      </c>
      <c r="CC56" s="3">
        <f t="shared" si="31"/>
        <v>6.04051135267635E-10</v>
      </c>
      <c r="CD56" s="3">
        <f t="shared" si="32"/>
        <v>-1.5058778936118625E-10</v>
      </c>
      <c r="CE56" s="3">
        <f t="shared" si="33"/>
        <v>2.1331920331546517E-5</v>
      </c>
      <c r="CF56"/>
      <c r="CG56" s="3">
        <v>18</v>
      </c>
      <c r="CH56" s="3">
        <f t="shared" si="44"/>
        <v>0.20473777922961733</v>
      </c>
      <c r="CI56" s="3">
        <v>-4.4259158651221986E-5</v>
      </c>
      <c r="CJ56" s="3">
        <f t="shared" si="45"/>
        <v>0.20475911114994888</v>
      </c>
      <c r="CK56" s="3">
        <v>4.0043419760327215E-6</v>
      </c>
      <c r="CL56" s="3">
        <f t="shared" si="34"/>
        <v>0.20474844518978311</v>
      </c>
      <c r="CM56" s="3">
        <v>-2.0126981887559625E-5</v>
      </c>
      <c r="CN56" s="3">
        <f t="shared" si="35"/>
        <v>8.9080328453177278E-10</v>
      </c>
      <c r="CO56" s="3">
        <f t="shared" si="36"/>
        <v>-8.0595318423205308E-11</v>
      </c>
      <c r="CP56" s="3">
        <f t="shared" si="37"/>
        <v>2.1331920331546517E-5</v>
      </c>
    </row>
    <row r="57" spans="6:94" x14ac:dyDescent="0.2">
      <c r="AB57" s="3">
        <v>18</v>
      </c>
      <c r="AC57" s="3">
        <f t="shared" si="46"/>
        <v>5.1570892333984375E-2</v>
      </c>
      <c r="AD57" s="3">
        <f t="shared" si="27"/>
        <v>1.7095450035378712E-6</v>
      </c>
      <c r="AE57" s="3">
        <f t="shared" si="47"/>
        <v>5.157470703125E-2</v>
      </c>
      <c r="AF57" s="3">
        <f t="shared" si="28"/>
        <v>-2.1502429824737934E-6</v>
      </c>
      <c r="AG57" s="3">
        <f t="shared" si="38"/>
        <v>5.1572799682617188E-2</v>
      </c>
      <c r="AH57" s="3">
        <f t="shared" si="29"/>
        <v>-2.2034860845676629E-7</v>
      </c>
      <c r="AI57" s="3">
        <f t="shared" si="39"/>
        <v>-3.7669586262378753E-13</v>
      </c>
      <c r="AJ57" s="3">
        <f t="shared" si="40"/>
        <v>4.7380304903202733E-13</v>
      </c>
      <c r="AK57" s="3">
        <f t="shared" si="41"/>
        <v>3.814697265625E-6</v>
      </c>
      <c r="AM57" s="3">
        <v>8</v>
      </c>
      <c r="AN57" s="3">
        <f t="shared" si="52"/>
        <v>851.5625</v>
      </c>
      <c r="AO57" s="3">
        <v>27.147247722958127</v>
      </c>
      <c r="AP57" s="3">
        <f t="shared" si="53"/>
        <v>859.375</v>
      </c>
      <c r="AQ57" s="3">
        <v>-27.182742104590034</v>
      </c>
      <c r="AR57" s="3">
        <f t="shared" si="48"/>
        <v>855.46875</v>
      </c>
      <c r="AS57" s="3">
        <v>4.4273345516103291E-2</v>
      </c>
      <c r="AT57" s="3">
        <f t="shared" si="49"/>
        <v>1.2018994782497734</v>
      </c>
      <c r="AU57" s="3">
        <f t="shared" si="50"/>
        <v>-1.2034709332716433</v>
      </c>
      <c r="AV57" s="3">
        <f t="shared" si="51"/>
        <v>7.8125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 s="3" t="s">
        <v>219</v>
      </c>
      <c r="BO57" s="3">
        <f>1/(BO55+1)</f>
        <v>2.9569414794421028E-2</v>
      </c>
      <c r="BP57" s="3"/>
      <c r="BQ57" s="3"/>
      <c r="BR57" s="3" t="s">
        <v>219</v>
      </c>
      <c r="BS57" s="3">
        <f>1/(BS55+1)</f>
        <v>2.4231490128350991E-2</v>
      </c>
      <c r="BT57" s="3"/>
      <c r="BU57"/>
      <c r="BV57" s="3">
        <v>19</v>
      </c>
      <c r="BW57" s="3">
        <f t="shared" si="42"/>
        <v>0.23550907430785614</v>
      </c>
      <c r="BX57" s="3">
        <v>-1.5057434617764265E-5</v>
      </c>
      <c r="BY57" s="3">
        <f t="shared" si="43"/>
        <v>0.23551974026802192</v>
      </c>
      <c r="BZ57" s="3">
        <v>1.0000892793751714E-5</v>
      </c>
      <c r="CA57" s="3">
        <f t="shared" si="30"/>
        <v>0.23551440728793904</v>
      </c>
      <c r="CB57" s="3">
        <v>-2.5281823258088698E-6</v>
      </c>
      <c r="CC57" s="3">
        <f t="shared" si="31"/>
        <v>3.806794007265425E-11</v>
      </c>
      <c r="CD57" s="3">
        <f t="shared" si="32"/>
        <v>-2.5284080403472374E-11</v>
      </c>
      <c r="CE57" s="3">
        <f t="shared" si="33"/>
        <v>1.0665960165773258E-5</v>
      </c>
      <c r="CF57"/>
      <c r="CG57" s="3">
        <v>19</v>
      </c>
      <c r="CH57" s="3">
        <f t="shared" si="44"/>
        <v>0.20474844518978311</v>
      </c>
      <c r="CI57" s="3">
        <v>-2.0126981887559625E-5</v>
      </c>
      <c r="CJ57" s="3">
        <f t="shared" si="45"/>
        <v>0.20475911114994888</v>
      </c>
      <c r="CK57" s="3">
        <v>4.0043419760327215E-6</v>
      </c>
      <c r="CL57" s="3">
        <f t="shared" si="34"/>
        <v>0.20475377816986601</v>
      </c>
      <c r="CM57" s="3">
        <v>-8.0612133486132609E-6</v>
      </c>
      <c r="CN57" s="3">
        <f t="shared" si="35"/>
        <v>1.6224789505929297E-10</v>
      </c>
      <c r="CO57" s="3">
        <f t="shared" si="36"/>
        <v>-3.2279854989607378E-11</v>
      </c>
      <c r="CP57" s="3">
        <f t="shared" si="37"/>
        <v>1.0665960165773258E-5</v>
      </c>
    </row>
    <row r="58" spans="6:94" x14ac:dyDescent="0.2">
      <c r="AB58" s="3">
        <v>19</v>
      </c>
      <c r="AC58" s="3">
        <f t="shared" si="46"/>
        <v>5.1570892333984375E-2</v>
      </c>
      <c r="AD58" s="3">
        <f t="shared" si="27"/>
        <v>1.7095450035378712E-6</v>
      </c>
      <c r="AE58" s="3">
        <f t="shared" si="47"/>
        <v>5.1572799682617188E-2</v>
      </c>
      <c r="AF58" s="3">
        <f t="shared" si="28"/>
        <v>-2.2034860845676629E-7</v>
      </c>
      <c r="AG58" s="3">
        <f t="shared" si="38"/>
        <v>5.1571846008300781E-2</v>
      </c>
      <c r="AH58" s="3">
        <f t="shared" si="29"/>
        <v>7.4459829278727963E-7</v>
      </c>
      <c r="AI58" s="3">
        <f t="shared" si="39"/>
        <v>1.2729242910773227E-12</v>
      </c>
      <c r="AJ58" s="3">
        <f t="shared" si="40"/>
        <v>-1.6407119767496091E-13</v>
      </c>
      <c r="AK58" s="3">
        <f t="shared" si="41"/>
        <v>1.9073486328125E-6</v>
      </c>
      <c r="AM58" s="3">
        <v>9</v>
      </c>
      <c r="AN58" s="3">
        <f t="shared" si="52"/>
        <v>855.46875</v>
      </c>
      <c r="AO58" s="3">
        <v>4.4273345516103291E-2</v>
      </c>
      <c r="AP58" s="3">
        <f t="shared" si="53"/>
        <v>859.375</v>
      </c>
      <c r="AQ58" s="3">
        <v>-27.182742104590034</v>
      </c>
      <c r="AR58" s="3">
        <f t="shared" si="48"/>
        <v>857.421875</v>
      </c>
      <c r="AS58" s="3">
        <v>-13.553729245453269</v>
      </c>
      <c r="AT58" s="3">
        <f t="shared" si="49"/>
        <v>-0.60006893791566651</v>
      </c>
      <c r="AU58" s="3">
        <f t="shared" si="50"/>
        <v>368.42752663459589</v>
      </c>
      <c r="AV58" s="3">
        <f t="shared" si="51"/>
        <v>3.90625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 s="8" t="s">
        <v>221</v>
      </c>
      <c r="BO58" s="41">
        <f>SIN(BO42)/(1+BO56) - $AY$3*COS(BO42)/($BC$5*$AY$23*(1-BO57))</f>
        <v>7.2491207481206743E-11</v>
      </c>
      <c r="BP58" s="41"/>
      <c r="BQ58" s="3"/>
      <c r="BR58" s="8" t="s">
        <v>221</v>
      </c>
      <c r="BS58" s="41">
        <f>SIN(BS42)/(1+BS56) - $AY$3*COS(BS42)/($BC$5*$AY$24*(1-BS57))</f>
        <v>-4.2439070938038448E-9</v>
      </c>
      <c r="BT58" s="41"/>
      <c r="BU58"/>
      <c r="BV58" s="3">
        <v>20</v>
      </c>
      <c r="BW58" s="3">
        <f t="shared" si="42"/>
        <v>0.23551440728793904</v>
      </c>
      <c r="BX58" s="3">
        <v>-2.5281823258088698E-6</v>
      </c>
      <c r="BY58" s="3">
        <f t="shared" si="43"/>
        <v>0.23551974026802192</v>
      </c>
      <c r="BZ58" s="3">
        <v>1.0000892793751714E-5</v>
      </c>
      <c r="CA58" s="3">
        <f t="shared" si="30"/>
        <v>0.23551707377798048</v>
      </c>
      <c r="CB58" s="3">
        <v>3.736377380145206E-6</v>
      </c>
      <c r="CC58" s="3">
        <f t="shared" si="31"/>
        <v>-9.4462432550351581E-12</v>
      </c>
      <c r="CD58" s="3">
        <f t="shared" si="32"/>
        <v>3.7367109615831101E-11</v>
      </c>
      <c r="CE58" s="3">
        <f t="shared" si="33"/>
        <v>5.3329800828727514E-6</v>
      </c>
      <c r="CF58"/>
      <c r="CG58" s="3">
        <v>20</v>
      </c>
      <c r="CH58" s="3">
        <f t="shared" si="44"/>
        <v>0.20475377816986601</v>
      </c>
      <c r="CI58" s="3">
        <v>-8.0612133486132609E-6</v>
      </c>
      <c r="CJ58" s="3">
        <f t="shared" si="45"/>
        <v>0.20475911114994888</v>
      </c>
      <c r="CK58" s="3">
        <v>4.0043419760327215E-6</v>
      </c>
      <c r="CL58" s="3">
        <f t="shared" si="34"/>
        <v>0.20475644465990744</v>
      </c>
      <c r="CM58" s="3">
        <v>-2.0284090352026829E-6</v>
      </c>
      <c r="CN58" s="3">
        <f t="shared" si="35"/>
        <v>1.6351437991023614E-11</v>
      </c>
      <c r="CO58" s="3">
        <f t="shared" si="36"/>
        <v>-8.1224434442261374E-12</v>
      </c>
      <c r="CP58" s="3">
        <f t="shared" si="37"/>
        <v>5.3329800828727514E-6</v>
      </c>
    </row>
    <row r="59" spans="6:94" x14ac:dyDescent="0.2">
      <c r="AB59" s="3">
        <v>20</v>
      </c>
      <c r="AC59" s="3">
        <f t="shared" si="46"/>
        <v>5.1571846008300781E-2</v>
      </c>
      <c r="AD59" s="3">
        <f t="shared" si="27"/>
        <v>7.4459829278727963E-7</v>
      </c>
      <c r="AE59" s="3">
        <f t="shared" si="47"/>
        <v>5.1572799682617188E-2</v>
      </c>
      <c r="AF59" s="3">
        <f t="shared" si="28"/>
        <v>-2.2034860845676629E-7</v>
      </c>
      <c r="AG59" s="3">
        <f t="shared" si="38"/>
        <v>5.1572322845458984E-2</v>
      </c>
      <c r="AH59" s="3">
        <f t="shared" si="29"/>
        <v>2.6212486597954054E-7</v>
      </c>
      <c r="AI59" s="3">
        <f t="shared" si="39"/>
        <v>1.9517772770546035E-13</v>
      </c>
      <c r="AJ59" s="3">
        <f t="shared" si="40"/>
        <v>-5.7758849460508115E-14</v>
      </c>
      <c r="AK59" s="3">
        <f t="shared" si="41"/>
        <v>9.5367431640625E-7</v>
      </c>
      <c r="AM59" s="3">
        <v>10</v>
      </c>
      <c r="AN59" s="3">
        <f t="shared" si="52"/>
        <v>855.46875</v>
      </c>
      <c r="AO59" s="3">
        <v>4.4273345516103291E-2</v>
      </c>
      <c r="AP59" s="3">
        <f t="shared" si="53"/>
        <v>857.421875</v>
      </c>
      <c r="AQ59" s="3">
        <v>-13.553729245453269</v>
      </c>
      <c r="AR59" s="3">
        <f t="shared" si="48"/>
        <v>856.4453125</v>
      </c>
      <c r="AS59" s="3">
        <v>-6.7508516664470335</v>
      </c>
      <c r="AT59" s="3">
        <f t="shared" si="49"/>
        <v>-0.29888278835657117</v>
      </c>
      <c r="AU59" s="3">
        <f t="shared" si="50"/>
        <v>91.499215663240093</v>
      </c>
      <c r="AV59" s="3">
        <f t="shared" si="51"/>
        <v>1.953125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 s="3"/>
      <c r="BO59" s="3"/>
      <c r="BP59" s="3"/>
      <c r="BQ59" s="3"/>
      <c r="BR59" s="3"/>
      <c r="BS59" s="3"/>
      <c r="BT59" s="3"/>
      <c r="BU59"/>
      <c r="BV59" s="3">
        <v>21</v>
      </c>
      <c r="BW59" s="3">
        <f t="shared" si="42"/>
        <v>0.23551440728793904</v>
      </c>
      <c r="BX59" s="3">
        <v>-2.5281823258088698E-6</v>
      </c>
      <c r="BY59" s="3">
        <f t="shared" si="43"/>
        <v>0.23551707377798048</v>
      </c>
      <c r="BZ59" s="3">
        <v>3.736377380145206E-6</v>
      </c>
      <c r="CA59" s="3">
        <f t="shared" si="30"/>
        <v>0.23551574053295976</v>
      </c>
      <c r="CB59" s="3">
        <v>6.0410306370467515E-7</v>
      </c>
      <c r="CC59" s="3">
        <f t="shared" si="31"/>
        <v>-1.5272826886251495E-12</v>
      </c>
      <c r="CD59" s="3">
        <f t="shared" si="32"/>
        <v>2.2571570225025668E-12</v>
      </c>
      <c r="CE59" s="3">
        <f t="shared" si="33"/>
        <v>2.6664900414363757E-6</v>
      </c>
      <c r="CF59"/>
      <c r="CG59" s="3">
        <v>21</v>
      </c>
      <c r="CH59" s="3">
        <f t="shared" si="44"/>
        <v>0.20475644465990744</v>
      </c>
      <c r="CI59" s="3">
        <v>-2.0284090352026829E-6</v>
      </c>
      <c r="CJ59" s="3">
        <f t="shared" si="45"/>
        <v>0.20475911114994888</v>
      </c>
      <c r="CK59" s="3">
        <v>4.0043419760327215E-6</v>
      </c>
      <c r="CL59" s="3">
        <f t="shared" si="34"/>
        <v>0.20475777790492816</v>
      </c>
      <c r="CM59" s="3">
        <v>9.8797313307502632E-7</v>
      </c>
      <c r="CN59" s="3">
        <f t="shared" si="35"/>
        <v>-2.0040136296668861E-12</v>
      </c>
      <c r="CO59" s="3">
        <f t="shared" si="36"/>
        <v>3.9561822879648896E-12</v>
      </c>
      <c r="CP59" s="3">
        <f t="shared" si="37"/>
        <v>2.6664900414363757E-6</v>
      </c>
    </row>
    <row r="60" spans="6:94" x14ac:dyDescent="0.2">
      <c r="AB60" s="3">
        <v>21</v>
      </c>
      <c r="AC60" s="3">
        <f t="shared" si="46"/>
        <v>5.1572322845458984E-2</v>
      </c>
      <c r="AD60" s="3">
        <f t="shared" si="27"/>
        <v>2.6212486597954054E-7</v>
      </c>
      <c r="AE60" s="3">
        <f t="shared" si="47"/>
        <v>5.1572799682617188E-2</v>
      </c>
      <c r="AF60" s="3">
        <f t="shared" si="28"/>
        <v>-2.2034860845676629E-7</v>
      </c>
      <c r="AG60" s="3">
        <f t="shared" si="38"/>
        <v>5.1572561264038086E-2</v>
      </c>
      <c r="AH60" s="3">
        <f t="shared" si="29"/>
        <v>2.0888134708019201E-8</v>
      </c>
      <c r="AI60" s="3">
        <f t="shared" si="39"/>
        <v>5.4752995109021221E-15</v>
      </c>
      <c r="AJ60" s="3">
        <f t="shared" si="40"/>
        <v>-4.6026714161695132E-15</v>
      </c>
      <c r="AK60" s="3">
        <f t="shared" si="41"/>
        <v>4.76837158203125E-7</v>
      </c>
      <c r="AM60" s="3">
        <v>11</v>
      </c>
      <c r="AN60" s="3">
        <f t="shared" si="52"/>
        <v>855.46875</v>
      </c>
      <c r="AO60" s="3">
        <v>4.4273345516103291E-2</v>
      </c>
      <c r="AP60" s="3">
        <f t="shared" si="53"/>
        <v>856.4453125</v>
      </c>
      <c r="AQ60" s="3">
        <v>-6.7508516664470335</v>
      </c>
      <c r="AR60" s="3">
        <f t="shared" si="48"/>
        <v>855.95703125</v>
      </c>
      <c r="AS60" s="3">
        <v>-3.3523200895856462</v>
      </c>
      <c r="AT60" s="3">
        <f t="shared" si="49"/>
        <v>-0.14841842560679966</v>
      </c>
      <c r="AU60" s="3">
        <f t="shared" si="50"/>
        <v>22.631015663243129</v>
      </c>
      <c r="AV60" s="3">
        <f t="shared" si="51"/>
        <v>0.9765625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 s="60" t="s">
        <v>228</v>
      </c>
      <c r="BO60" s="60"/>
      <c r="BP60" s="60"/>
      <c r="BQ60" s="3"/>
      <c r="BR60" s="60" t="s">
        <v>242</v>
      </c>
      <c r="BS60" s="60"/>
      <c r="BT60" s="60"/>
      <c r="BU60"/>
      <c r="BV60" s="3">
        <v>22</v>
      </c>
      <c r="BW60" s="3">
        <f t="shared" si="42"/>
        <v>0.23551440728793904</v>
      </c>
      <c r="BX60" s="3">
        <v>-2.5281823258088698E-6</v>
      </c>
      <c r="BY60" s="3">
        <f t="shared" si="43"/>
        <v>0.23551574053295976</v>
      </c>
      <c r="BZ60" s="3">
        <v>6.0410306370467515E-7</v>
      </c>
      <c r="CA60" s="3">
        <f t="shared" si="30"/>
        <v>0.2355150739104494</v>
      </c>
      <c r="CB60" s="3">
        <v>-9.6203824687807193E-7</v>
      </c>
      <c r="CC60" s="3">
        <f t="shared" si="31"/>
        <v>2.4322080925092918E-12</v>
      </c>
      <c r="CD60" s="3">
        <f t="shared" si="32"/>
        <v>-5.8117025234011786E-13</v>
      </c>
      <c r="CE60" s="3">
        <f t="shared" si="33"/>
        <v>1.3332450207181878E-6</v>
      </c>
      <c r="CF60"/>
      <c r="CG60" s="3">
        <v>22</v>
      </c>
      <c r="CH60" s="3">
        <f t="shared" si="44"/>
        <v>0.20475644465990744</v>
      </c>
      <c r="CI60" s="3">
        <v>-2.0284090352026829E-6</v>
      </c>
      <c r="CJ60" s="3">
        <f t="shared" si="45"/>
        <v>0.20475777790492816</v>
      </c>
      <c r="CK60" s="3">
        <v>9.8797313307502632E-7</v>
      </c>
      <c r="CL60" s="3">
        <f t="shared" si="34"/>
        <v>0.2047571112824178</v>
      </c>
      <c r="CM60" s="3">
        <v>-5.2021628530601882E-7</v>
      </c>
      <c r="CN60" s="3">
        <f t="shared" si="35"/>
        <v>1.0552114133743052E-12</v>
      </c>
      <c r="CO60" s="3">
        <f t="shared" si="36"/>
        <v>-5.1395971327043917E-13</v>
      </c>
      <c r="CP60" s="3">
        <f t="shared" si="37"/>
        <v>1.3332450207181878E-6</v>
      </c>
    </row>
    <row r="61" spans="6:94" x14ac:dyDescent="0.2">
      <c r="AB61" s="3">
        <v>22</v>
      </c>
      <c r="AC61" s="3">
        <f t="shared" si="46"/>
        <v>5.1572561264038086E-2</v>
      </c>
      <c r="AD61" s="3">
        <f t="shared" si="27"/>
        <v>2.0888134708019201E-8</v>
      </c>
      <c r="AE61" s="3">
        <f t="shared" si="47"/>
        <v>5.1572799682617188E-2</v>
      </c>
      <c r="AF61" s="3">
        <f t="shared" si="28"/>
        <v>-2.2034860845676629E-7</v>
      </c>
      <c r="AG61" s="3">
        <f t="shared" si="38"/>
        <v>5.1572680473327637E-2</v>
      </c>
      <c r="AH61" s="3">
        <f t="shared" si="29"/>
        <v>-9.973023538945025E-8</v>
      </c>
      <c r="AI61" s="3">
        <f t="shared" si="39"/>
        <v>-2.0831785912773006E-15</v>
      </c>
      <c r="AJ61" s="3">
        <f t="shared" si="40"/>
        <v>2.1975418589131112E-14</v>
      </c>
      <c r="AK61" s="3">
        <f t="shared" si="41"/>
        <v>2.384185791015625E-7</v>
      </c>
      <c r="AM61" s="3">
        <v>12</v>
      </c>
      <c r="AN61" s="3">
        <f t="shared" si="52"/>
        <v>855.46875</v>
      </c>
      <c r="AO61" s="3">
        <v>4.4273345516103291E-2</v>
      </c>
      <c r="AP61" s="3">
        <f t="shared" si="53"/>
        <v>855.95703125</v>
      </c>
      <c r="AQ61" s="3">
        <v>-3.3523200895856462</v>
      </c>
      <c r="AR61" s="3">
        <f t="shared" si="48"/>
        <v>855.712890625</v>
      </c>
      <c r="AS61" s="3">
        <v>-1.6537811043140209</v>
      </c>
      <c r="AT61" s="3">
        <f t="shared" si="49"/>
        <v>-7.3218422239297504E-2</v>
      </c>
      <c r="AU61" s="3">
        <f t="shared" si="50"/>
        <v>5.5440036197690272</v>
      </c>
      <c r="AV61" s="3">
        <f t="shared" si="51"/>
        <v>0.48828125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 s="29" t="s">
        <v>176</v>
      </c>
      <c r="BO61" s="30">
        <f>CA136</f>
        <v>0.14799459772834606</v>
      </c>
      <c r="BP61" s="6" t="s">
        <v>177</v>
      </c>
      <c r="BQ61" s="3"/>
      <c r="BR61" s="29" t="s">
        <v>176</v>
      </c>
      <c r="BS61" s="30">
        <f>CL136</f>
        <v>0.14755977757199834</v>
      </c>
      <c r="BT61" s="6" t="s">
        <v>177</v>
      </c>
      <c r="BU61"/>
      <c r="BV61" s="3">
        <v>23</v>
      </c>
      <c r="BW61" s="3">
        <f t="shared" si="42"/>
        <v>0.2355150739104494</v>
      </c>
      <c r="BX61" s="3">
        <v>-9.6203824687807193E-7</v>
      </c>
      <c r="BY61" s="3">
        <f t="shared" si="43"/>
        <v>0.23551574053295976</v>
      </c>
      <c r="BZ61" s="3">
        <v>6.0410306370467515E-7</v>
      </c>
      <c r="CA61" s="3">
        <f t="shared" si="30"/>
        <v>0.23551540722170458</v>
      </c>
      <c r="CB61" s="3">
        <v>-1.7896724557875388E-7</v>
      </c>
      <c r="CC61" s="3">
        <f t="shared" si="31"/>
        <v>1.7217333518518175E-13</v>
      </c>
      <c r="CD61" s="3">
        <f t="shared" si="32"/>
        <v>-1.081146613569122E-13</v>
      </c>
      <c r="CE61" s="3">
        <f t="shared" si="33"/>
        <v>6.6662251035909392E-7</v>
      </c>
      <c r="CF61"/>
      <c r="CG61" s="3">
        <v>23</v>
      </c>
      <c r="CH61" s="3">
        <f t="shared" si="44"/>
        <v>0.2047571112824178</v>
      </c>
      <c r="CI61" s="3">
        <v>-5.2021628530601882E-7</v>
      </c>
      <c r="CJ61" s="3">
        <f t="shared" si="45"/>
        <v>0.20475777790492816</v>
      </c>
      <c r="CK61" s="3">
        <v>9.8797313307502632E-7</v>
      </c>
      <c r="CL61" s="3">
        <f t="shared" si="34"/>
        <v>0.20475744459367298</v>
      </c>
      <c r="CM61" s="3">
        <v>2.3387884030140471E-7</v>
      </c>
      <c r="CN61" s="3">
        <f t="shared" si="35"/>
        <v>-1.2166758151327637E-13</v>
      </c>
      <c r="CO61" s="3">
        <f t="shared" si="36"/>
        <v>2.3106601061253254E-13</v>
      </c>
      <c r="CP61" s="3">
        <f t="shared" si="37"/>
        <v>6.6662251035909392E-7</v>
      </c>
    </row>
    <row r="62" spans="6:94" x14ac:dyDescent="0.2">
      <c r="AB62" s="3">
        <v>23</v>
      </c>
      <c r="AC62" s="3">
        <f t="shared" si="46"/>
        <v>5.1572561264038086E-2</v>
      </c>
      <c r="AD62" s="3">
        <f t="shared" si="27"/>
        <v>2.0888134708019201E-8</v>
      </c>
      <c r="AE62" s="3">
        <f t="shared" si="47"/>
        <v>5.1572680473327637E-2</v>
      </c>
      <c r="AF62" s="3">
        <f t="shared" si="28"/>
        <v>-9.973023538945025E-8</v>
      </c>
      <c r="AG62" s="3">
        <f t="shared" si="38"/>
        <v>5.1572620868682861E-2</v>
      </c>
      <c r="AH62" s="3">
        <f t="shared" si="29"/>
        <v>-3.9421049966015254E-8</v>
      </c>
      <c r="AI62" s="3">
        <f t="shared" si="39"/>
        <v>-8.2343220202168242E-16</v>
      </c>
      <c r="AJ62" s="3">
        <f t="shared" si="40"/>
        <v>3.931470592409981E-15</v>
      </c>
      <c r="AK62" s="3">
        <f t="shared" si="41"/>
        <v>1.1920928955078125E-7</v>
      </c>
      <c r="AM62" s="3">
        <v>13</v>
      </c>
      <c r="AN62" s="3">
        <f t="shared" si="52"/>
        <v>855.46875</v>
      </c>
      <c r="AO62" s="3">
        <v>4.4273345516103291E-2</v>
      </c>
      <c r="AP62" s="3">
        <f t="shared" si="53"/>
        <v>855.712890625</v>
      </c>
      <c r="AQ62" s="3">
        <v>-1.6537811043140209</v>
      </c>
      <c r="AR62" s="3">
        <f t="shared" si="48"/>
        <v>855.5908203125</v>
      </c>
      <c r="AS62" s="3">
        <v>-0.80469331246786169</v>
      </c>
      <c r="AT62" s="3">
        <f t="shared" si="49"/>
        <v>-3.5626465057387306E-2</v>
      </c>
      <c r="AU62" s="3">
        <f t="shared" si="50"/>
        <v>1.3307865949272077</v>
      </c>
      <c r="AV62" s="3">
        <f t="shared" si="51"/>
        <v>0.244140625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 s="3" t="s">
        <v>181</v>
      </c>
      <c r="BO62" s="3">
        <f>($AY$41+$AY$5)/180*PI()</f>
        <v>0.33126349202852379</v>
      </c>
      <c r="BP62" s="3" t="s">
        <v>177</v>
      </c>
      <c r="BQ62" s="3"/>
      <c r="BR62" s="3" t="s">
        <v>181</v>
      </c>
      <c r="BS62" s="3">
        <f>($AY$42+$AY$5)/180*PI()</f>
        <v>0.30822514590219857</v>
      </c>
      <c r="BT62" s="3" t="s">
        <v>177</v>
      </c>
      <c r="BU62"/>
      <c r="BV62" s="3">
        <v>24</v>
      </c>
      <c r="BW62" s="3">
        <f t="shared" si="42"/>
        <v>0.23551540722170458</v>
      </c>
      <c r="BX62" s="3">
        <v>-1.7896724557875388E-7</v>
      </c>
      <c r="BY62" s="3">
        <f t="shared" si="43"/>
        <v>0.23551574053295976</v>
      </c>
      <c r="BZ62" s="3">
        <v>6.0410306370467515E-7</v>
      </c>
      <c r="CA62" s="3">
        <f t="shared" si="30"/>
        <v>0.23551557387733218</v>
      </c>
      <c r="CB62" s="3">
        <v>2.1256799562913153E-7</v>
      </c>
      <c r="CC62" s="3">
        <f t="shared" si="31"/>
        <v>-3.8042708675942263E-14</v>
      </c>
      <c r="CD62" s="3">
        <f t="shared" si="32"/>
        <v>1.2841297740512036E-13</v>
      </c>
      <c r="CE62" s="3">
        <f t="shared" si="33"/>
        <v>3.3331125517954696E-7</v>
      </c>
      <c r="CF62"/>
      <c r="CG62" s="3">
        <v>24</v>
      </c>
      <c r="CH62" s="3">
        <f t="shared" si="44"/>
        <v>0.2047571112824178</v>
      </c>
      <c r="CI62" s="3">
        <v>-5.2021628530601882E-7</v>
      </c>
      <c r="CJ62" s="3">
        <f t="shared" si="45"/>
        <v>0.20475744459367298</v>
      </c>
      <c r="CK62" s="3">
        <v>2.3387884030140471E-7</v>
      </c>
      <c r="CL62" s="3">
        <f t="shared" si="34"/>
        <v>0.20475727793804538</v>
      </c>
      <c r="CM62" s="3">
        <v>-1.4316861850910412E-7</v>
      </c>
      <c r="CN62" s="3">
        <f t="shared" si="35"/>
        <v>7.4478646893200678E-14</v>
      </c>
      <c r="CO62" s="3">
        <f t="shared" si="36"/>
        <v>-3.3484110464463496E-14</v>
      </c>
      <c r="CP62" s="3">
        <f t="shared" si="37"/>
        <v>3.3331125517954696E-7</v>
      </c>
    </row>
    <row r="63" spans="6:94" x14ac:dyDescent="0.2">
      <c r="AB63" s="3">
        <v>24</v>
      </c>
      <c r="AC63" s="3">
        <f t="shared" si="46"/>
        <v>5.1572561264038086E-2</v>
      </c>
      <c r="AD63" s="3">
        <f t="shared" si="27"/>
        <v>2.0888134708019201E-8</v>
      </c>
      <c r="AE63" s="3">
        <f t="shared" si="47"/>
        <v>5.1572620868682861E-2</v>
      </c>
      <c r="AF63" s="3">
        <f t="shared" si="28"/>
        <v>-3.9421049966015254E-8</v>
      </c>
      <c r="AG63" s="3">
        <f t="shared" si="38"/>
        <v>5.1572591066360474E-2</v>
      </c>
      <c r="AH63" s="3">
        <f t="shared" si="29"/>
        <v>-9.2664575318535114E-9</v>
      </c>
      <c r="AI63" s="3">
        <f t="shared" si="39"/>
        <v>-1.9355901319149527E-16</v>
      </c>
      <c r="AJ63" s="3">
        <f t="shared" si="40"/>
        <v>3.6529348537115563E-16</v>
      </c>
      <c r="AK63" s="3">
        <f t="shared" si="41"/>
        <v>5.9604644775390625E-8</v>
      </c>
      <c r="AM63" s="3">
        <v>14</v>
      </c>
      <c r="AN63" s="3">
        <f t="shared" si="52"/>
        <v>855.46875</v>
      </c>
      <c r="AO63" s="3">
        <v>4.4273345516103291E-2</v>
      </c>
      <c r="AP63" s="3">
        <f t="shared" si="53"/>
        <v>855.5908203125</v>
      </c>
      <c r="AQ63" s="3">
        <v>-0.80469331246786169</v>
      </c>
      <c r="AR63" s="3">
        <f t="shared" si="48"/>
        <v>855.52978515625</v>
      </c>
      <c r="AS63" s="3">
        <v>-0.38019484174265017</v>
      </c>
      <c r="AT63" s="3">
        <f t="shared" si="49"/>
        <v>-1.6832497591912562E-2</v>
      </c>
      <c r="AU63" s="3">
        <f t="shared" si="50"/>
        <v>0.30594024658508762</v>
      </c>
      <c r="AV63" s="3">
        <f t="shared" si="51"/>
        <v>0.1220703125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 s="3" t="s">
        <v>29</v>
      </c>
      <c r="BO63" s="3">
        <f>BO62-BO61</f>
        <v>0.18326889430017773</v>
      </c>
      <c r="BP63" s="3" t="s">
        <v>177</v>
      </c>
      <c r="BQ63" s="3"/>
      <c r="BR63" s="3" t="s">
        <v>29</v>
      </c>
      <c r="BS63" s="3">
        <f>BS62-BS61</f>
        <v>0.16066536833020023</v>
      </c>
      <c r="BT63" s="3" t="s">
        <v>177</v>
      </c>
      <c r="BU63"/>
      <c r="BV63" s="3">
        <v>25</v>
      </c>
      <c r="BW63" s="3">
        <f t="shared" si="42"/>
        <v>0.23551540722170458</v>
      </c>
      <c r="BX63" s="3">
        <v>-1.7896724557875388E-7</v>
      </c>
      <c r="BY63" s="3">
        <f t="shared" si="43"/>
        <v>0.23551557387733218</v>
      </c>
      <c r="BZ63" s="3">
        <v>2.1256799562913153E-7</v>
      </c>
      <c r="CA63" s="3">
        <f t="shared" si="30"/>
        <v>0.23551549054951837</v>
      </c>
      <c r="CB63" s="3">
        <v>1.6800396643312787E-8</v>
      </c>
      <c r="CC63" s="3">
        <f t="shared" si="31"/>
        <v>-3.0067207118842317E-15</v>
      </c>
      <c r="CD63" s="3">
        <f t="shared" si="32"/>
        <v>3.5712266402433889E-15</v>
      </c>
      <c r="CE63" s="3">
        <f t="shared" si="33"/>
        <v>1.6665562760365127E-7</v>
      </c>
      <c r="CF63"/>
      <c r="CG63" s="3">
        <v>25</v>
      </c>
      <c r="CH63" s="3">
        <f t="shared" si="44"/>
        <v>0.20475727793804538</v>
      </c>
      <c r="CI63" s="3">
        <v>-1.4316861850910412E-7</v>
      </c>
      <c r="CJ63" s="3">
        <f t="shared" si="45"/>
        <v>0.20475744459367298</v>
      </c>
      <c r="CK63" s="3">
        <v>2.3387884030140471E-7</v>
      </c>
      <c r="CL63" s="3">
        <f t="shared" si="34"/>
        <v>0.20475736126585919</v>
      </c>
      <c r="CM63" s="3">
        <v>4.5355136951696906E-8</v>
      </c>
      <c r="CN63" s="3">
        <f t="shared" si="35"/>
        <v>-6.4934322996656656E-15</v>
      </c>
      <c r="CO63" s="3">
        <f t="shared" si="36"/>
        <v>1.060760683197426E-14</v>
      </c>
      <c r="CP63" s="3">
        <f t="shared" si="37"/>
        <v>1.6665562760365127E-7</v>
      </c>
    </row>
    <row r="64" spans="6:94" x14ac:dyDescent="0.2">
      <c r="AB64" s="3">
        <v>25</v>
      </c>
      <c r="AC64" s="3">
        <f t="shared" si="46"/>
        <v>5.1572561264038086E-2</v>
      </c>
      <c r="AD64" s="3">
        <f t="shared" si="27"/>
        <v>2.0888134708019201E-8</v>
      </c>
      <c r="AE64" s="3">
        <f t="shared" si="47"/>
        <v>5.1572591066360474E-2</v>
      </c>
      <c r="AF64" s="3">
        <f t="shared" si="28"/>
        <v>-9.2664575318535114E-9</v>
      </c>
      <c r="AG64" s="3">
        <f t="shared" si="38"/>
        <v>5.157257616519928E-2</v>
      </c>
      <c r="AH64" s="3">
        <f t="shared" si="29"/>
        <v>5.8108386158384207E-9</v>
      </c>
      <c r="AI64" s="3">
        <f t="shared" si="39"/>
        <v>1.2137757977419276E-16</v>
      </c>
      <c r="AJ64" s="3">
        <f t="shared" si="40"/>
        <v>-5.3845889258121163E-17</v>
      </c>
      <c r="AK64" s="3">
        <f t="shared" si="41"/>
        <v>2.9802322387695312E-8</v>
      </c>
      <c r="AM64" s="3">
        <v>15</v>
      </c>
      <c r="AN64" s="3">
        <f t="shared" si="52"/>
        <v>855.46875</v>
      </c>
      <c r="AO64" s="3">
        <v>4.4273345516103291E-2</v>
      </c>
      <c r="AP64" s="3">
        <f t="shared" si="53"/>
        <v>855.52978515625</v>
      </c>
      <c r="AQ64" s="3">
        <v>-0.38019484174265017</v>
      </c>
      <c r="AR64" s="3">
        <f t="shared" si="48"/>
        <v>855.499267578125</v>
      </c>
      <c r="AS64" s="3">
        <v>-0.16795696268036409</v>
      </c>
      <c r="AT64" s="3">
        <f t="shared" si="49"/>
        <v>-7.4360166405830251E-3</v>
      </c>
      <c r="AU64" s="3">
        <f t="shared" si="50"/>
        <v>6.3856370845837229E-2</v>
      </c>
      <c r="AV64" s="3">
        <f t="shared" si="51"/>
        <v>6.103515625E-2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 s="3" t="s">
        <v>190</v>
      </c>
      <c r="BO64" s="3">
        <f>BO63/PI()*180</f>
        <v>10.500534159429373</v>
      </c>
      <c r="BP64" s="3" t="s">
        <v>44</v>
      </c>
      <c r="BQ64" s="3"/>
      <c r="BR64" s="3" t="s">
        <v>190</v>
      </c>
      <c r="BS64" s="3">
        <f>BS63/PI()*180</f>
        <v>9.205447519235312</v>
      </c>
      <c r="BT64" s="3" t="s">
        <v>44</v>
      </c>
      <c r="BU64"/>
      <c r="BV64" s="3">
        <v>26</v>
      </c>
      <c r="BW64" s="3">
        <f t="shared" si="42"/>
        <v>0.23551540722170458</v>
      </c>
      <c r="BX64" s="3">
        <v>-1.7896724557875388E-7</v>
      </c>
      <c r="BY64" s="3">
        <f t="shared" si="43"/>
        <v>0.23551549054951837</v>
      </c>
      <c r="BZ64" s="3">
        <v>1.6800396643312787E-8</v>
      </c>
      <c r="CA64" s="3">
        <f t="shared" si="30"/>
        <v>0.23551544888561149</v>
      </c>
      <c r="CB64" s="3">
        <v>-8.1083419020688829E-8</v>
      </c>
      <c r="CC64" s="3">
        <f t="shared" si="31"/>
        <v>1.451127616424062E-14</v>
      </c>
      <c r="CD64" s="3">
        <f t="shared" si="32"/>
        <v>-1.3622336007435047E-15</v>
      </c>
      <c r="CE64" s="3">
        <f t="shared" si="33"/>
        <v>8.3327813787947846E-8</v>
      </c>
      <c r="CF64"/>
      <c r="CG64" s="3">
        <v>26</v>
      </c>
      <c r="CH64" s="3">
        <f t="shared" si="44"/>
        <v>0.20475727793804538</v>
      </c>
      <c r="CI64" s="3">
        <v>-1.4316861850910412E-7</v>
      </c>
      <c r="CJ64" s="3">
        <f t="shared" si="45"/>
        <v>0.20475736126585919</v>
      </c>
      <c r="CK64" s="3">
        <v>4.5355136951696906E-8</v>
      </c>
      <c r="CL64" s="3">
        <f t="shared" si="34"/>
        <v>0.20475731960195229</v>
      </c>
      <c r="CM64" s="3">
        <v>-4.8906734238796101E-8</v>
      </c>
      <c r="CN64" s="3">
        <f t="shared" si="35"/>
        <v>7.0019095767603395E-15</v>
      </c>
      <c r="CO64" s="3">
        <f t="shared" si="36"/>
        <v>-2.2181716292608413E-15</v>
      </c>
      <c r="CP64" s="3">
        <f t="shared" si="37"/>
        <v>8.3327813815703422E-8</v>
      </c>
    </row>
    <row r="65" spans="28:94" x14ac:dyDescent="0.2">
      <c r="AB65" s="3">
        <v>26</v>
      </c>
      <c r="AC65" s="3">
        <f t="shared" si="46"/>
        <v>5.157257616519928E-2</v>
      </c>
      <c r="AD65" s="3">
        <f t="shared" si="27"/>
        <v>5.8108386158384207E-9</v>
      </c>
      <c r="AE65" s="3">
        <f t="shared" si="47"/>
        <v>5.1572591066360474E-2</v>
      </c>
      <c r="AF65" s="3">
        <f t="shared" si="28"/>
        <v>-9.2664575318535114E-9</v>
      </c>
      <c r="AG65" s="3">
        <f t="shared" si="38"/>
        <v>5.1572583615779877E-2</v>
      </c>
      <c r="AH65" s="3">
        <f t="shared" si="29"/>
        <v>-1.7278094510686515E-9</v>
      </c>
      <c r="AI65" s="3">
        <f t="shared" si="39"/>
        <v>-1.0040021879080304E-17</v>
      </c>
      <c r="AJ65" s="3">
        <f t="shared" si="40"/>
        <v>1.6010672901462786E-17</v>
      </c>
      <c r="AK65" s="3">
        <f t="shared" si="41"/>
        <v>1.4901161193847656E-8</v>
      </c>
      <c r="AM65" s="3">
        <v>16</v>
      </c>
      <c r="AN65" s="3">
        <f t="shared" si="52"/>
        <v>855.46875</v>
      </c>
      <c r="AO65" s="3">
        <v>4.4273345516103291E-2</v>
      </c>
      <c r="AP65" s="3">
        <f t="shared" si="53"/>
        <v>855.499267578125</v>
      </c>
      <c r="AQ65" s="3">
        <v>-0.16795696268036409</v>
      </c>
      <c r="AR65" s="3">
        <f t="shared" si="48"/>
        <v>855.4840087890625</v>
      </c>
      <c r="AS65" s="3">
        <v>-6.1840862224016746E-2</v>
      </c>
      <c r="AT65" s="3">
        <f t="shared" si="49"/>
        <v>-2.737901860257633E-3</v>
      </c>
      <c r="AU65" s="3">
        <f t="shared" si="50"/>
        <v>1.0386603388680717E-2</v>
      </c>
      <c r="AV65" s="3">
        <f t="shared" si="51"/>
        <v>3.0517578125E-2</v>
      </c>
      <c r="AX65" s="3"/>
      <c r="AY65" s="3"/>
      <c r="AZ65" s="27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 s="3" t="s">
        <v>193</v>
      </c>
      <c r="BO65" s="3">
        <f xml:space="preserve"> $AY$8*$AY$33 / (2*PI()*$AY$25)</f>
        <v>5.6395172200376681E-2</v>
      </c>
      <c r="BP65" s="3"/>
      <c r="BQ65" s="3"/>
      <c r="BR65" s="3" t="s">
        <v>193</v>
      </c>
      <c r="BS65" s="3">
        <f xml:space="preserve"> $AY$8*$AY$34 / (2*PI()*$AY$26)</f>
        <v>4.8104371027113874E-2</v>
      </c>
      <c r="BT65" s="3"/>
      <c r="BU65"/>
      <c r="BV65" s="3">
        <v>27</v>
      </c>
      <c r="BW65" s="3">
        <f t="shared" si="42"/>
        <v>0.23551544888561149</v>
      </c>
      <c r="BX65" s="3">
        <v>-8.1083419020688829E-8</v>
      </c>
      <c r="BY65" s="3">
        <f t="shared" si="43"/>
        <v>0.23551549054951837</v>
      </c>
      <c r="BZ65" s="3">
        <v>1.6800396643312787E-8</v>
      </c>
      <c r="CA65" s="3">
        <f t="shared" si="30"/>
        <v>0.23551546971756493</v>
      </c>
      <c r="CB65" s="3">
        <v>-3.2141509870298179E-8</v>
      </c>
      <c r="CC65" s="3">
        <f t="shared" si="31"/>
        <v>2.606143512770993E-15</v>
      </c>
      <c r="CD65" s="3">
        <f t="shared" si="32"/>
        <v>-5.3999011453596234E-16</v>
      </c>
      <c r="CE65" s="3">
        <f t="shared" si="33"/>
        <v>4.1663906880096135E-8</v>
      </c>
      <c r="CF65"/>
      <c r="CG65" s="3">
        <v>27</v>
      </c>
      <c r="CH65" s="3">
        <f t="shared" si="44"/>
        <v>0.20475731960195229</v>
      </c>
      <c r="CI65" s="3">
        <v>-4.8906734238796101E-8</v>
      </c>
      <c r="CJ65" s="3">
        <f t="shared" si="45"/>
        <v>0.20475736126585919</v>
      </c>
      <c r="CK65" s="3">
        <v>4.5355136951696906E-8</v>
      </c>
      <c r="CL65" s="3">
        <f t="shared" si="34"/>
        <v>0.20475734043390575</v>
      </c>
      <c r="CM65" s="3">
        <v>-1.7757970094400832E-9</v>
      </c>
      <c r="CN65" s="3">
        <f t="shared" si="35"/>
        <v>8.6848432402735048E-17</v>
      </c>
      <c r="CO65" s="3">
        <f t="shared" si="36"/>
        <v>-8.0541516561568783E-17</v>
      </c>
      <c r="CP65" s="3">
        <f t="shared" si="37"/>
        <v>4.1663906907851711E-8</v>
      </c>
    </row>
    <row r="66" spans="28:94" x14ac:dyDescent="0.2">
      <c r="AB66" s="3">
        <v>27</v>
      </c>
      <c r="AC66" s="3">
        <f t="shared" si="46"/>
        <v>5.157257616519928E-2</v>
      </c>
      <c r="AD66" s="3">
        <f t="shared" si="27"/>
        <v>5.8108386158384207E-9</v>
      </c>
      <c r="AE66" s="3">
        <f t="shared" si="47"/>
        <v>5.1572583615779877E-2</v>
      </c>
      <c r="AF66" s="3">
        <f t="shared" si="28"/>
        <v>-1.7278094510686515E-9</v>
      </c>
      <c r="AG66" s="3">
        <f t="shared" si="38"/>
        <v>5.1572579890489578E-2</v>
      </c>
      <c r="AH66" s="3">
        <f t="shared" si="29"/>
        <v>2.0415145823848846E-9</v>
      </c>
      <c r="AI66" s="3">
        <f t="shared" si="39"/>
        <v>1.1862911770119334E-17</v>
      </c>
      <c r="AJ66" s="3">
        <f t="shared" si="40"/>
        <v>-3.5273481899390747E-18</v>
      </c>
      <c r="AK66" s="3">
        <f t="shared" si="41"/>
        <v>7.4505805969238281E-9</v>
      </c>
      <c r="AM66" s="3">
        <v>17</v>
      </c>
      <c r="AN66" s="3">
        <f t="shared" si="52"/>
        <v>855.46875</v>
      </c>
      <c r="AO66" s="3">
        <v>4.4273345516103291E-2</v>
      </c>
      <c r="AP66" s="3">
        <f t="shared" si="53"/>
        <v>855.4840087890625</v>
      </c>
      <c r="AQ66" s="3">
        <v>-6.1840862224016746E-2</v>
      </c>
      <c r="AR66" s="3">
        <f t="shared" si="48"/>
        <v>855.47637939453125</v>
      </c>
      <c r="AS66" s="3">
        <v>-8.7835217623251083E-3</v>
      </c>
      <c r="AT66" s="3">
        <f t="shared" si="49"/>
        <v>-3.8887589383163203E-4</v>
      </c>
      <c r="AU66" s="3">
        <f t="shared" si="50"/>
        <v>5.4318055914559982E-4</v>
      </c>
      <c r="AV66" s="3">
        <f t="shared" si="51"/>
        <v>1.52587890625E-2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 s="3" t="s">
        <v>197</v>
      </c>
      <c r="BO66" s="3">
        <f>IF(-$AY$8*($BC$3-$AY$25)/(2*$AY$25*SIN(BO61))&gt;500, 1, 2*ACOS(MIN(1, EXP(-$AY$8*($BC$3-$AY$25)/(2*$AY$25*SIN(BO61)))))/PI() )</f>
        <v>0.97766576465351729</v>
      </c>
      <c r="BP66" s="3"/>
      <c r="BQ66" s="3"/>
      <c r="BR66" s="3" t="s">
        <v>197</v>
      </c>
      <c r="BS66" s="3">
        <f>IF(-$AY$8*($BC$3-$AY$26)/(2*$AY$26*SIN(BS61))&gt;500, 1, 2*ACOS(MIN(1, EXP(-$AY$8*($BC$3-$AY$26)/(2*$AY$26*SIN(BS61)))))/PI() )</f>
        <v>0.75754447807778813</v>
      </c>
      <c r="BT66" s="3"/>
      <c r="BU66"/>
      <c r="BV66" s="3">
        <v>28</v>
      </c>
      <c r="BW66" s="3">
        <f t="shared" si="42"/>
        <v>0.23551546971756493</v>
      </c>
      <c r="BX66" s="3">
        <v>-3.2141509870298179E-8</v>
      </c>
      <c r="BY66" s="3">
        <f t="shared" si="43"/>
        <v>0.23551549054951837</v>
      </c>
      <c r="BZ66" s="3">
        <v>1.6800396643312787E-8</v>
      </c>
      <c r="CA66" s="3">
        <f t="shared" si="30"/>
        <v>0.23551548013354165</v>
      </c>
      <c r="CB66" s="3">
        <v>-7.6705562734868948E-9</v>
      </c>
      <c r="CC66" s="3">
        <f t="shared" si="31"/>
        <v>2.4654326017495664E-16</v>
      </c>
      <c r="CD66" s="3">
        <f t="shared" si="32"/>
        <v>-1.2886838786943106E-16</v>
      </c>
      <c r="CE66" s="3">
        <f t="shared" si="33"/>
        <v>2.0831953440048068E-8</v>
      </c>
      <c r="CF66"/>
      <c r="CG66" s="3">
        <v>28</v>
      </c>
      <c r="CH66" s="3">
        <f t="shared" si="44"/>
        <v>0.20475734043390575</v>
      </c>
      <c r="CI66" s="3">
        <v>-1.7757970094400832E-9</v>
      </c>
      <c r="CJ66" s="3">
        <f t="shared" si="45"/>
        <v>0.20475736126585919</v>
      </c>
      <c r="CK66" s="3">
        <v>4.5355136951696906E-8</v>
      </c>
      <c r="CL66" s="3">
        <f t="shared" si="34"/>
        <v>0.20475735084988247</v>
      </c>
      <c r="CM66" s="3">
        <v>2.1789670408278727E-8</v>
      </c>
      <c r="CN66" s="3">
        <f t="shared" si="35"/>
        <v>-3.8694031547706443E-17</v>
      </c>
      <c r="CO66" s="3">
        <f t="shared" si="36"/>
        <v>9.8827348549981906E-16</v>
      </c>
      <c r="CP66" s="3">
        <f t="shared" si="37"/>
        <v>2.0831953440048068E-8</v>
      </c>
    </row>
    <row r="67" spans="28:94" x14ac:dyDescent="0.2">
      <c r="AB67" s="3">
        <v>28</v>
      </c>
      <c r="AC67" s="3">
        <f t="shared" si="46"/>
        <v>5.1572579890489578E-2</v>
      </c>
      <c r="AD67" s="3">
        <f t="shared" si="27"/>
        <v>2.0415145823848846E-9</v>
      </c>
      <c r="AE67" s="3">
        <f t="shared" si="47"/>
        <v>5.1572583615779877E-2</v>
      </c>
      <c r="AF67" s="3">
        <f t="shared" si="28"/>
        <v>-1.7278094510686515E-9</v>
      </c>
      <c r="AG67" s="3">
        <f t="shared" si="38"/>
        <v>5.1572581753134727E-2</v>
      </c>
      <c r="AH67" s="3">
        <f t="shared" si="29"/>
        <v>1.5685256565811656E-10</v>
      </c>
      <c r="AI67" s="3">
        <f t="shared" si="39"/>
        <v>3.2021680007552752E-19</v>
      </c>
      <c r="AJ67" s="3">
        <f t="shared" si="40"/>
        <v>-2.7101134536845999E-19</v>
      </c>
      <c r="AK67" s="3">
        <f t="shared" si="41"/>
        <v>3.7252902984619141E-9</v>
      </c>
      <c r="AM67" s="3">
        <v>18</v>
      </c>
      <c r="AN67" s="3">
        <f t="shared" si="52"/>
        <v>855.46875</v>
      </c>
      <c r="AO67" s="3">
        <v>4.4273345516103291E-2</v>
      </c>
      <c r="AP67" s="3">
        <f t="shared" si="53"/>
        <v>855.47637939453125</v>
      </c>
      <c r="AQ67" s="3">
        <v>-8.7835217623251083E-3</v>
      </c>
      <c r="AR67" s="3">
        <f t="shared" si="48"/>
        <v>855.47256469726562</v>
      </c>
      <c r="AS67" s="3">
        <v>1.7744971023603284E-2</v>
      </c>
      <c r="AT67" s="3">
        <f t="shared" si="49"/>
        <v>7.8562923330122928E-4</v>
      </c>
      <c r="AU67" s="3">
        <f t="shared" si="50"/>
        <v>-1.5586333915764791E-4</v>
      </c>
      <c r="AV67" s="3">
        <f t="shared" si="51"/>
        <v>7.62939453125E-3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 s="3" t="s">
        <v>202</v>
      </c>
      <c r="BO67" s="3">
        <f>IF(-$AY$8*($AY$25-$AY$10)/(2*$AY$25*SIN(BO61))&gt;500, 1, 2*ACOS(MIN(1, EXP(-$AY$8*($AY$25-$AY$10)/(2*$AY$25*SIN(BO61)))))/PI() )</f>
        <v>0.99999968458071309</v>
      </c>
      <c r="BP67" s="3"/>
      <c r="BQ67" s="3"/>
      <c r="BR67" s="3" t="s">
        <v>202</v>
      </c>
      <c r="BS67" s="3">
        <f>IF(-$AY$8*($AY$26-$AY$10)/(2*$AY$26*SIN(BS61))&gt;500, 1, 2*ACOS(MIN(1, EXP(-$AY$8*($AY$26-$AY$10)/(2*$AY$26*SIN(BS61)))))/PI() )</f>
        <v>0.99999977253741934</v>
      </c>
      <c r="BT67" s="3"/>
      <c r="BU67"/>
      <c r="BV67" s="3">
        <v>29</v>
      </c>
      <c r="BW67" s="3">
        <f t="shared" si="42"/>
        <v>0.23551548013354165</v>
      </c>
      <c r="BX67" s="3">
        <v>-7.6705562734868948E-9</v>
      </c>
      <c r="BY67" s="3">
        <f t="shared" si="43"/>
        <v>0.23551549054951837</v>
      </c>
      <c r="BZ67" s="3">
        <v>1.6800396643312787E-8</v>
      </c>
      <c r="CA67" s="3">
        <f t="shared" si="30"/>
        <v>0.23551548534153</v>
      </c>
      <c r="CB67" s="3">
        <v>4.5649202057296279E-9</v>
      </c>
      <c r="CC67" s="3">
        <f t="shared" si="31"/>
        <v>-3.5015477322026485E-17</v>
      </c>
      <c r="CD67" s="3">
        <f t="shared" si="32"/>
        <v>7.6692470101330755E-17</v>
      </c>
      <c r="CE67" s="3">
        <f t="shared" si="33"/>
        <v>1.0415976720024034E-8</v>
      </c>
      <c r="CF67"/>
      <c r="CG67" s="3">
        <v>29</v>
      </c>
      <c r="CH67" s="3">
        <f t="shared" si="44"/>
        <v>0.20475734043390575</v>
      </c>
      <c r="CI67" s="3">
        <v>-1.7757970094400832E-9</v>
      </c>
      <c r="CJ67" s="3">
        <f t="shared" si="45"/>
        <v>0.20475735084988247</v>
      </c>
      <c r="CK67" s="3">
        <v>2.1789670408278727E-8</v>
      </c>
      <c r="CL67" s="3">
        <f t="shared" si="34"/>
        <v>0.20475734564189413</v>
      </c>
      <c r="CM67" s="3">
        <v>1.0006936855544435E-8</v>
      </c>
      <c r="CN67" s="3">
        <f t="shared" si="35"/>
        <v>-1.7770288541731557E-17</v>
      </c>
      <c r="CO67" s="3">
        <f t="shared" si="36"/>
        <v>2.1804785587877035E-16</v>
      </c>
      <c r="CP67" s="3">
        <f t="shared" si="37"/>
        <v>1.0415976720024034E-8</v>
      </c>
    </row>
    <row r="68" spans="28:94" x14ac:dyDescent="0.2">
      <c r="AB68" s="3">
        <v>29</v>
      </c>
      <c r="AC68" s="3">
        <f t="shared" si="46"/>
        <v>5.1572581753134727E-2</v>
      </c>
      <c r="AD68" s="3">
        <f t="shared" si="27"/>
        <v>1.5685256565811656E-10</v>
      </c>
      <c r="AE68" s="3">
        <f t="shared" si="47"/>
        <v>5.1572583615779877E-2</v>
      </c>
      <c r="AF68" s="3">
        <f t="shared" si="28"/>
        <v>-1.7278094510686515E-9</v>
      </c>
      <c r="AG68" s="3">
        <f t="shared" si="38"/>
        <v>5.1572582684457302E-2</v>
      </c>
      <c r="AH68" s="3">
        <f t="shared" si="29"/>
        <v>-7.8547844617471441E-10</v>
      </c>
      <c r="AI68" s="3">
        <f t="shared" si="39"/>
        <v>-1.2320430955165477E-19</v>
      </c>
      <c r="AJ68" s="3">
        <f t="shared" si="40"/>
        <v>1.3571570829113906E-18</v>
      </c>
      <c r="AK68" s="3">
        <f t="shared" si="41"/>
        <v>1.862645149230957E-9</v>
      </c>
      <c r="AM68" s="3">
        <v>19</v>
      </c>
      <c r="AN68" s="3">
        <f t="shared" si="52"/>
        <v>855.47256469726562</v>
      </c>
      <c r="AO68" s="3">
        <v>1.7744971023603284E-2</v>
      </c>
      <c r="AP68" s="3">
        <f t="shared" si="53"/>
        <v>855.47637939453125</v>
      </c>
      <c r="AQ68" s="3">
        <v>-8.7835217623251083E-3</v>
      </c>
      <c r="AR68" s="3">
        <f t="shared" si="48"/>
        <v>855.47447204589844</v>
      </c>
      <c r="AS68" s="3">
        <v>4.4807394169765757E-3</v>
      </c>
      <c r="AT68" s="3">
        <f t="shared" si="49"/>
        <v>7.9510591118566411E-5</v>
      </c>
      <c r="AU68" s="3">
        <f t="shared" si="50"/>
        <v>-3.9356672180321672E-5</v>
      </c>
      <c r="AV68" s="3">
        <f t="shared" si="51"/>
        <v>3.814697265625E-3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 s="3" t="s">
        <v>205</v>
      </c>
      <c r="BO68" s="3">
        <f>IF(BO61=0,1,BO66*BO67)</f>
        <v>0.97766545627887902</v>
      </c>
      <c r="BP68" s="3"/>
      <c r="BQ68" s="3"/>
      <c r="BR68" s="3" t="s">
        <v>205</v>
      </c>
      <c r="BS68" s="3">
        <f>IF(BS61=0,1,BS66*BS67)</f>
        <v>0.75754430576476617</v>
      </c>
      <c r="BT68" s="3"/>
      <c r="BU68"/>
      <c r="BV68" s="3">
        <v>30</v>
      </c>
      <c r="BW68" s="3">
        <f t="shared" si="42"/>
        <v>0.23551548013354165</v>
      </c>
      <c r="BX68" s="3">
        <v>-7.6705562734868948E-9</v>
      </c>
      <c r="BY68" s="3">
        <f t="shared" si="43"/>
        <v>0.23551548534153</v>
      </c>
      <c r="BZ68" s="3">
        <v>4.5649202057296279E-9</v>
      </c>
      <c r="CA68" s="6">
        <f t="shared" si="30"/>
        <v>0.23551548273753581</v>
      </c>
      <c r="CB68" s="3">
        <v>-1.5528180477564213E-9</v>
      </c>
      <c r="CC68" s="3">
        <f t="shared" si="31"/>
        <v>1.1910978217801689E-17</v>
      </c>
      <c r="CD68" s="3">
        <f t="shared" si="32"/>
        <v>-7.0884904820249211E-18</v>
      </c>
      <c r="CE68" s="3">
        <f t="shared" si="33"/>
        <v>5.2079883461342291E-9</v>
      </c>
      <c r="CF68"/>
      <c r="CG68" s="3">
        <v>30</v>
      </c>
      <c r="CH68" s="3">
        <f t="shared" si="44"/>
        <v>0.20475734043390575</v>
      </c>
      <c r="CI68" s="3">
        <v>-1.7757970094400832E-9</v>
      </c>
      <c r="CJ68" s="3">
        <f t="shared" si="45"/>
        <v>0.20475734564189413</v>
      </c>
      <c r="CK68" s="3">
        <v>1.0006936855544435E-8</v>
      </c>
      <c r="CL68" s="6">
        <f t="shared" si="34"/>
        <v>0.20475734303789994</v>
      </c>
      <c r="CM68" s="3">
        <v>4.1155700236661374E-9</v>
      </c>
      <c r="CN68" s="3">
        <f t="shared" si="35"/>
        <v>-7.3084169401675794E-18</v>
      </c>
      <c r="CO68" s="3">
        <f t="shared" si="36"/>
        <v>4.1184249351398555E-17</v>
      </c>
      <c r="CP68" s="3">
        <f t="shared" si="37"/>
        <v>5.2079883738898047E-9</v>
      </c>
    </row>
    <row r="69" spans="28:94" x14ac:dyDescent="0.2">
      <c r="AB69" s="3">
        <v>30</v>
      </c>
      <c r="AC69" s="3">
        <f t="shared" si="46"/>
        <v>5.1572581753134727E-2</v>
      </c>
      <c r="AD69" s="3">
        <f t="shared" si="27"/>
        <v>1.5685256565811656E-10</v>
      </c>
      <c r="AE69" s="3">
        <f t="shared" si="47"/>
        <v>5.1572582684457302E-2</v>
      </c>
      <c r="AF69" s="3">
        <f t="shared" si="28"/>
        <v>-7.8547844617471441E-10</v>
      </c>
      <c r="AG69" s="3">
        <f t="shared" si="38"/>
        <v>5.1572582218796015E-2</v>
      </c>
      <c r="AH69" s="3">
        <f t="shared" si="29"/>
        <v>-3.1431294372774587E-10</v>
      </c>
      <c r="AI69" s="3">
        <f t="shared" si="39"/>
        <v>-4.9300791643252156E-20</v>
      </c>
      <c r="AJ69" s="3">
        <f t="shared" si="40"/>
        <v>2.4688604265187028E-19</v>
      </c>
      <c r="AK69" s="3">
        <f t="shared" si="41"/>
        <v>9.3132257461547852E-10</v>
      </c>
      <c r="AM69" s="3">
        <v>20</v>
      </c>
      <c r="AN69" s="3">
        <f t="shared" si="52"/>
        <v>855.47447204589844</v>
      </c>
      <c r="AO69" s="3">
        <v>4.4807394169765757E-3</v>
      </c>
      <c r="AP69" s="3">
        <f t="shared" si="53"/>
        <v>855.47637939453125</v>
      </c>
      <c r="AQ69" s="3">
        <v>-8.7835217623251083E-3</v>
      </c>
      <c r="AR69" s="3">
        <f t="shared" si="48"/>
        <v>855.47542572021484</v>
      </c>
      <c r="AS69" s="3">
        <v>-2.1513874762604246E-3</v>
      </c>
      <c r="AT69" s="3">
        <f t="shared" si="49"/>
        <v>-9.6398066660698419E-6</v>
      </c>
      <c r="AU69" s="3">
        <f t="shared" si="50"/>
        <v>1.8896758716927132E-5</v>
      </c>
      <c r="AV69" s="3">
        <f t="shared" si="51"/>
        <v>1.9073486328125E-3</v>
      </c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 s="3" t="s">
        <v>209</v>
      </c>
      <c r="BO69" s="3">
        <f>IF(BO64&lt;$BH$43, $BC$44*BO64^2 + $BD$44*BO64 + $BE$44, IF(BO64&gt;$BI$43, $BJ$44*BO64^2 + $BK$44*BO64 + $BL$44, $BF$44*BO64^3 + $BG$44*BO64^2 + $BH$44*BO64 + $BI$44))</f>
        <v>1.2910482518573296</v>
      </c>
      <c r="BP69" s="3"/>
      <c r="BQ69" s="3"/>
      <c r="BR69" s="3" t="s">
        <v>209</v>
      </c>
      <c r="BS69" s="3">
        <f>IF(BS64&lt;$BH$43, $BC$44*BS64^2 + $BD$44*BS64 + $BE$44, IF(BS64&gt;$BI$43, $BJ$44*BS64^2 + $BK$44*BS64 + $BL$44, $BF$44*BS64^3 + $BG$44*BS64^2 + $BH$44*BS64 + $BI$44))</f>
        <v>1.189674036686065</v>
      </c>
      <c r="BT69" s="3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</row>
    <row r="70" spans="28:94" x14ac:dyDescent="0.2">
      <c r="AM70" s="3">
        <v>21</v>
      </c>
      <c r="AN70" s="3">
        <f t="shared" si="52"/>
        <v>855.47447204589844</v>
      </c>
      <c r="AO70" s="3">
        <v>4.4807394169765757E-3</v>
      </c>
      <c r="AP70" s="3">
        <f t="shared" si="53"/>
        <v>855.47542572021484</v>
      </c>
      <c r="AQ70" s="3">
        <v>-2.1513874762604246E-3</v>
      </c>
      <c r="AR70" s="3">
        <f t="shared" si="48"/>
        <v>855.47494888305664</v>
      </c>
      <c r="AS70" s="3">
        <v>1.1646768953141873E-3</v>
      </c>
      <c r="AT70" s="3">
        <f t="shared" si="49"/>
        <v>5.2186136728761801E-6</v>
      </c>
      <c r="AU70" s="3">
        <f t="shared" si="50"/>
        <v>-2.505671286468816E-6</v>
      </c>
      <c r="AV70" s="3">
        <f t="shared" si="51"/>
        <v>9.5367431640625E-4</v>
      </c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 s="3" t="s">
        <v>210</v>
      </c>
      <c r="BO70" s="3">
        <f>IF(BO64&lt;$BH$43, $BC$45*BO64^2 + $BD$45*BO64 + $BE$45, IF(BO64&gt;$BI$43, $BJ$45*BO64^2 + $BK$45*BO64 + $BL$45, $BF$45*BO64^3 + $BG$45*BO64^2 + $BH$45*BO64 + $BI$45))</f>
        <v>1.9501158756562657E-2</v>
      </c>
      <c r="BP70" s="3"/>
      <c r="BQ70" s="3"/>
      <c r="BR70" s="3" t="s">
        <v>210</v>
      </c>
      <c r="BS70" s="3">
        <f>IF(BS64&lt;$BH$43, $BC$45*BS64^2 + $BD$45*BS64 + $BE$45, IF(BS64&gt;$BI$43, $BJ$45*BS64^2 + $BK$45*BS64 + $BL$45, $BF$45*BS64^3 + $BG$45*BS64^2 + $BH$45*BS64 + $BI$45))</f>
        <v>1.4369808923134072E-2</v>
      </c>
      <c r="BT70" s="3"/>
      <c r="BU70"/>
      <c r="BV70" s="59" t="s">
        <v>233</v>
      </c>
      <c r="BW70" s="59"/>
      <c r="BX70" s="59"/>
      <c r="BY70" s="59"/>
      <c r="BZ70" s="59"/>
      <c r="CA70" s="59"/>
      <c r="CB70" s="59"/>
      <c r="CC70" s="59"/>
      <c r="CD70" s="59"/>
      <c r="CE70" s="59"/>
      <c r="CF70"/>
      <c r="CG70" s="59" t="s">
        <v>234</v>
      </c>
      <c r="CH70" s="59"/>
      <c r="CI70" s="59"/>
      <c r="CJ70" s="59"/>
      <c r="CK70" s="59"/>
      <c r="CL70" s="59"/>
      <c r="CM70" s="59"/>
      <c r="CN70" s="59"/>
      <c r="CO70" s="59"/>
      <c r="CP70" s="59"/>
    </row>
    <row r="71" spans="28:94" x14ac:dyDescent="0.2">
      <c r="AM71" s="3">
        <v>22</v>
      </c>
      <c r="AN71" s="3">
        <f t="shared" si="52"/>
        <v>855.47494888305664</v>
      </c>
      <c r="AO71" s="3">
        <v>1.1646768953141873E-3</v>
      </c>
      <c r="AP71" s="3">
        <f t="shared" si="53"/>
        <v>855.47542572021484</v>
      </c>
      <c r="AQ71" s="3">
        <v>-2.1513874762604246E-3</v>
      </c>
      <c r="AR71" s="3">
        <f t="shared" si="48"/>
        <v>855.47518730163574</v>
      </c>
      <c r="AS71" s="3">
        <v>-4.9335506037095911E-4</v>
      </c>
      <c r="AT71" s="3">
        <f t="shared" si="49"/>
        <v>-5.7459924000039204E-7</v>
      </c>
      <c r="AU71" s="3">
        <f t="shared" si="50"/>
        <v>1.0613978982317871E-6</v>
      </c>
      <c r="AV71" s="3">
        <f t="shared" si="51"/>
        <v>4.76837158203125E-4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s="3" t="s">
        <v>212</v>
      </c>
      <c r="BO71" s="3">
        <f xml:space="preserve"> BO69*COS(BO61) - BO70*SIN(BO61)</f>
        <v>1.2740599680535134</v>
      </c>
      <c r="BP71" s="3"/>
      <c r="BQ71" s="3"/>
      <c r="BR71" s="3" t="s">
        <v>212</v>
      </c>
      <c r="BS71" s="3">
        <f xml:space="preserve"> BS69*COS(BS61) - BS70*SIN(BS61)</f>
        <v>1.1746328869051883</v>
      </c>
      <c r="BT71" s="3"/>
      <c r="BU71"/>
      <c r="BV71" s="8" t="s">
        <v>45</v>
      </c>
      <c r="BW71" s="8" t="s">
        <v>46</v>
      </c>
      <c r="BX71" s="8" t="s">
        <v>47</v>
      </c>
      <c r="BY71" s="8" t="s">
        <v>48</v>
      </c>
      <c r="BZ71" s="8" t="s">
        <v>49</v>
      </c>
      <c r="CA71" s="8" t="s">
        <v>50</v>
      </c>
      <c r="CB71" s="8" t="s">
        <v>51</v>
      </c>
      <c r="CC71" s="8" t="s">
        <v>52</v>
      </c>
      <c r="CD71" s="8" t="s">
        <v>53</v>
      </c>
      <c r="CE71" s="8" t="s">
        <v>54</v>
      </c>
      <c r="CF71"/>
      <c r="CG71" s="8" t="s">
        <v>45</v>
      </c>
      <c r="CH71" s="8" t="s">
        <v>46</v>
      </c>
      <c r="CI71" s="8" t="s">
        <v>47</v>
      </c>
      <c r="CJ71" s="8" t="s">
        <v>48</v>
      </c>
      <c r="CK71" s="8" t="s">
        <v>49</v>
      </c>
      <c r="CL71" s="8" t="s">
        <v>50</v>
      </c>
      <c r="CM71" s="8" t="s">
        <v>51</v>
      </c>
      <c r="CN71" s="8" t="s">
        <v>52</v>
      </c>
      <c r="CO71" s="8" t="s">
        <v>53</v>
      </c>
      <c r="CP71" s="8" t="s">
        <v>54</v>
      </c>
    </row>
    <row r="72" spans="28:94" x14ac:dyDescent="0.2">
      <c r="AB72" s="17" t="s">
        <v>115</v>
      </c>
      <c r="AM72" s="3">
        <v>23</v>
      </c>
      <c r="AN72" s="3">
        <f t="shared" si="52"/>
        <v>855.47494888305664</v>
      </c>
      <c r="AO72" s="3">
        <v>1.1646768953141873E-3</v>
      </c>
      <c r="AP72" s="3">
        <f t="shared" si="53"/>
        <v>855.47518730163574</v>
      </c>
      <c r="AQ72" s="3">
        <v>-4.9335506037095911E-4</v>
      </c>
      <c r="AR72" s="3">
        <f t="shared" si="48"/>
        <v>855.47506809234619</v>
      </c>
      <c r="AS72" s="3">
        <v>3.3566097590664867E-4</v>
      </c>
      <c r="AT72" s="3">
        <f t="shared" si="49"/>
        <v>3.9093658329708582E-7</v>
      </c>
      <c r="AU72" s="3">
        <f t="shared" si="50"/>
        <v>-1.6560004103259969E-7</v>
      </c>
      <c r="AV72" s="3">
        <f t="shared" si="51"/>
        <v>2.384185791015625E-4</v>
      </c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 s="3" t="s">
        <v>214</v>
      </c>
      <c r="BO72" s="3">
        <f xml:space="preserve"> BO69*SIN(BO61) + BO70*COS(BO61)</f>
        <v>0.20965944200106057</v>
      </c>
      <c r="BP72" s="3"/>
      <c r="BQ72" s="3"/>
      <c r="BR72" s="3" t="s">
        <v>214</v>
      </c>
      <c r="BS72" s="3">
        <f xml:space="preserve"> BS69*SIN(BS61) + BS70*COS(BS61)</f>
        <v>0.18912531817339356</v>
      </c>
      <c r="BT72" s="3"/>
      <c r="BU72"/>
      <c r="BV72" s="31">
        <v>0</v>
      </c>
      <c r="BW72" s="31"/>
      <c r="BX72" s="31">
        <f>$BO$58</f>
        <v>7.2491207481206743E-11</v>
      </c>
      <c r="BY72" s="31"/>
      <c r="BZ72" s="31">
        <f>$BO$58</f>
        <v>7.2491207481206743E-11</v>
      </c>
      <c r="CA72" s="31"/>
      <c r="CB72" s="31">
        <f>$BO$58</f>
        <v>7.2491207481206743E-11</v>
      </c>
      <c r="CC72" s="31"/>
      <c r="CD72" s="31"/>
      <c r="CE72" s="31"/>
      <c r="CF72"/>
      <c r="CG72" s="31">
        <v>0</v>
      </c>
      <c r="CH72" s="31"/>
      <c r="CI72" s="31">
        <f>$BS$58</f>
        <v>-4.2439070938038448E-9</v>
      </c>
      <c r="CJ72" s="31"/>
      <c r="CK72" s="31">
        <f>$BS$58</f>
        <v>-4.2439070938038448E-9</v>
      </c>
      <c r="CL72" s="31"/>
      <c r="CM72" s="31">
        <f>$BS$58</f>
        <v>-4.2439070938038448E-9</v>
      </c>
      <c r="CN72" s="31"/>
      <c r="CO72" s="31"/>
      <c r="CP72" s="31"/>
    </row>
    <row r="73" spans="28:94" x14ac:dyDescent="0.2">
      <c r="AB73" s="8" t="s">
        <v>45</v>
      </c>
      <c r="AC73" s="8" t="s">
        <v>46</v>
      </c>
      <c r="AD73" s="8" t="s">
        <v>47</v>
      </c>
      <c r="AE73" s="8" t="s">
        <v>48</v>
      </c>
      <c r="AF73" s="8" t="s">
        <v>49</v>
      </c>
      <c r="AG73" s="8" t="s">
        <v>50</v>
      </c>
      <c r="AH73" s="8" t="s">
        <v>51</v>
      </c>
      <c r="AI73" s="8" t="s">
        <v>52</v>
      </c>
      <c r="AJ73" s="8" t="s">
        <v>53</v>
      </c>
      <c r="AK73" s="8" t="s">
        <v>54</v>
      </c>
      <c r="AM73" s="3">
        <v>24</v>
      </c>
      <c r="AN73" s="3">
        <f t="shared" si="52"/>
        <v>855.47506809234619</v>
      </c>
      <c r="AO73" s="3">
        <v>3.3566097590664867E-4</v>
      </c>
      <c r="AP73" s="3">
        <f t="shared" si="53"/>
        <v>855.47518730163574</v>
      </c>
      <c r="AQ73" s="3">
        <v>-4.9335506037095911E-4</v>
      </c>
      <c r="AR73" s="3">
        <f t="shared" si="48"/>
        <v>855.47512769699097</v>
      </c>
      <c r="AS73" s="3">
        <v>-7.8847028362361016E-5</v>
      </c>
      <c r="AT73" s="3">
        <f t="shared" si="49"/>
        <v>-2.6465870487449305E-8</v>
      </c>
      <c r="AU73" s="3">
        <f t="shared" si="50"/>
        <v>3.8899580437783343E-8</v>
      </c>
      <c r="AV73" s="3">
        <f t="shared" si="51"/>
        <v>1.1920928955078125E-4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 s="3" t="s">
        <v>39</v>
      </c>
      <c r="BO73" s="3">
        <f xml:space="preserve"> 4*BO68*SIN(BO61)*SIN(BO61) / (BO65*BO71)</f>
        <v>1.1834152854793889</v>
      </c>
      <c r="BP73" s="3"/>
      <c r="BQ73" s="3"/>
      <c r="BR73" s="3" t="s">
        <v>39</v>
      </c>
      <c r="BS73" s="3">
        <f xml:space="preserve"> 4*BS68*SIN(BS61)*SIN(BS61) / (BS65*BS71)</f>
        <v>1.159212172119674</v>
      </c>
      <c r="BT73" s="3"/>
      <c r="BU73"/>
      <c r="BV73" s="3">
        <v>1</v>
      </c>
      <c r="BW73" s="4">
        <f>0.01*PI()</f>
        <v>3.1415926535897934E-2</v>
      </c>
      <c r="BX73" s="3">
        <f t="dataTable" ref="BX73:BX102" dt2D="0" dtr="0" r1="BO42"/>
        <v>-0.77827987209696026</v>
      </c>
      <c r="BY73" s="4">
        <f>0.9*PI()</f>
        <v>2.8274333882308138</v>
      </c>
      <c r="BZ73" s="3">
        <f t="dataTable" ref="BZ73:BZ102" dt2D="0" dtr="0" r1="BO42" ca="1"/>
        <v>0.34229232986714575</v>
      </c>
      <c r="CA73" s="3">
        <f t="shared" ref="CA73:CA102" si="54">(BW73+BY73)/2</f>
        <v>1.4294246573833558</v>
      </c>
      <c r="CB73" s="3">
        <f t="dataTable" ref="CB73:CB102" dt2D="0" dtr="0" r1="BO42" ca="1"/>
        <v>1.0121876060325092</v>
      </c>
      <c r="CC73" s="3">
        <f t="shared" ref="CC73:CC102" si="55">BX73*CB73</f>
        <v>-0.78776524056110964</v>
      </c>
      <c r="CD73" s="3">
        <f t="shared" ref="CD73:CD102" si="56">BZ73*CB73</f>
        <v>0.34646405393151619</v>
      </c>
      <c r="CE73" s="3">
        <f t="shared" ref="CE73:CE102" si="57">BY73-BW73</f>
        <v>2.7960174616949161</v>
      </c>
      <c r="CF73"/>
      <c r="CG73" s="3">
        <v>1</v>
      </c>
      <c r="CH73" s="4">
        <f>0.01*PI()</f>
        <v>3.1415926535897934E-2</v>
      </c>
      <c r="CI73" s="3">
        <f t="dataTable" ref="CI73:CI102" dt2D="0" dtr="0" r1="BS42"/>
        <v>-0.72786385391732877</v>
      </c>
      <c r="CJ73" s="4">
        <f>0.9*PI()</f>
        <v>2.8274333882308138</v>
      </c>
      <c r="CK73" s="3">
        <f t="dataTable" ref="CK73:CK102" dt2D="0" dtr="0" r1="BS42" ca="1"/>
        <v>0.33632264863996986</v>
      </c>
      <c r="CL73" s="3">
        <f t="shared" ref="CL73:CL102" si="58">(CH73+CJ73)/2</f>
        <v>1.4294246573833558</v>
      </c>
      <c r="CM73" s="3">
        <f t="dataTable" ref="CM73:CM102" dt2D="0" dtr="0" r1="BS42" ca="1"/>
        <v>1.0116743833333686</v>
      </c>
      <c r="CN73" s="3">
        <f t="shared" ref="CN73:CN102" si="59">CI73*CM73</f>
        <v>-0.7363612155624627</v>
      </c>
      <c r="CO73" s="3">
        <f t="shared" ref="CO73:CO102" si="60">CK73*CM73</f>
        <v>0.3402490081638867</v>
      </c>
      <c r="CP73" s="3">
        <f t="shared" ref="CP73:CP102" si="61">CJ73-CH73</f>
        <v>2.7960174616949161</v>
      </c>
    </row>
    <row r="74" spans="28:94" x14ac:dyDescent="0.2">
      <c r="AB74" s="3">
        <v>0</v>
      </c>
      <c r="AC74" s="4">
        <v>0</v>
      </c>
      <c r="AD74" s="3">
        <f t="shared" ref="AD74:AD104" si="62" xml:space="preserve"> $C$10 * TAN($W$18/180*PI()) + $W$21 / (2 * SQRT($C$10^2 + AC74^2)) - AC74</f>
        <v>2.7167311047486802E-2</v>
      </c>
      <c r="AE74" s="4">
        <v>1</v>
      </c>
      <c r="AF74" s="3">
        <f t="shared" ref="AF74:AF104" si="63" xml:space="preserve"> $C$10 * TAN($W$18/180*PI()) + $W$21 / (2 * SQRT($C$10^2 + AE74^2)) - AE74</f>
        <v>-0.98797823138118179</v>
      </c>
      <c r="AG74" s="3">
        <f xml:space="preserve"> (AC74 + AE74)/2</f>
        <v>0.5</v>
      </c>
      <c r="AH74" s="3">
        <f t="shared" ref="AH74:AH104" si="64" xml:space="preserve"> $C$10 * TAN($W$18/180*PI()) + $W$21 / (2 * SQRT($C$10^2 + AG74^2)) - AG74</f>
        <v>-0.48315080207747702</v>
      </c>
      <c r="AI74" s="3">
        <f>AD74*AH74</f>
        <v>-1.3125908122881551E-2</v>
      </c>
      <c r="AJ74" s="3">
        <f>AF74*AH74</f>
        <v>0.47734247492690518</v>
      </c>
      <c r="AK74" s="3">
        <f>AE74-AC74</f>
        <v>1</v>
      </c>
      <c r="AM74" s="3">
        <v>25</v>
      </c>
      <c r="AN74" s="3">
        <f t="shared" si="52"/>
        <v>855.47506809234619</v>
      </c>
      <c r="AO74" s="3">
        <v>3.3566097590664867E-4</v>
      </c>
      <c r="AP74" s="3">
        <f t="shared" si="53"/>
        <v>855.47512769699097</v>
      </c>
      <c r="AQ74" s="3">
        <v>-7.8847028362361016E-5</v>
      </c>
      <c r="AR74" s="3">
        <f t="shared" si="48"/>
        <v>855.47509789466858</v>
      </c>
      <c r="AS74" s="3">
        <v>1.2840697718274896E-4</v>
      </c>
      <c r="AT74" s="3">
        <f t="shared" si="49"/>
        <v>4.3101211274384287E-8</v>
      </c>
      <c r="AU74" s="3">
        <f t="shared" si="50"/>
        <v>-1.0124508571853251E-8</v>
      </c>
      <c r="AV74" s="3">
        <f t="shared" si="51"/>
        <v>5.9604644775390625E-5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 s="3" t="s">
        <v>216</v>
      </c>
      <c r="BO74" s="3">
        <f xml:space="preserve"> 4*BO68*SIN(BO61)*COS(BO61) / (BO65*BO72)</f>
        <v>48.236940540418644</v>
      </c>
      <c r="BP74" s="3"/>
      <c r="BQ74" s="3"/>
      <c r="BR74" s="3" t="s">
        <v>216</v>
      </c>
      <c r="BS74" s="3">
        <f xml:space="preserve"> 4*BS68*SIN(BS61)*COS(BS61) / (BS65*BS72)</f>
        <v>48.437221049976387</v>
      </c>
      <c r="BT74" s="3"/>
      <c r="BU74"/>
      <c r="BV74" s="3">
        <v>2</v>
      </c>
      <c r="BW74" s="3">
        <f t="shared" ref="BW74:BW102" si="65">IF(CC73&gt;0,CA73,BW73)</f>
        <v>3.1415926535897934E-2</v>
      </c>
      <c r="BX74" s="3">
        <v>-0.77827987209696026</v>
      </c>
      <c r="BY74" s="3">
        <f t="shared" ref="BY74:BY102" si="66">IF(CD73&gt;0,CA73,BY73)</f>
        <v>1.4294246573833558</v>
      </c>
      <c r="BZ74" s="3">
        <v>1.0121876060325092</v>
      </c>
      <c r="CA74" s="3">
        <f t="shared" si="54"/>
        <v>0.73042029195962688</v>
      </c>
      <c r="CB74" s="3">
        <v>0.66271034837378962</v>
      </c>
      <c r="CC74" s="3">
        <f t="shared" si="55"/>
        <v>-0.5157741251696849</v>
      </c>
      <c r="CD74" s="3">
        <f t="shared" si="56"/>
        <v>0.67078720101343636</v>
      </c>
      <c r="CE74" s="3">
        <f t="shared" si="57"/>
        <v>1.3980087308474578</v>
      </c>
      <c r="CF74"/>
      <c r="CG74" s="3">
        <v>2</v>
      </c>
      <c r="CH74" s="3">
        <f t="shared" ref="CH74:CH102" si="67">IF(CN73&gt;0,CL73,CH73)</f>
        <v>3.1415926535897934E-2</v>
      </c>
      <c r="CI74" s="3">
        <v>-0.72786385391732877</v>
      </c>
      <c r="CJ74" s="3">
        <f t="shared" ref="CJ74:CJ102" si="68">IF(CO73&gt;0,CL73,CJ73)</f>
        <v>1.4294246573833558</v>
      </c>
      <c r="CK74" s="3">
        <v>1.0116743833333686</v>
      </c>
      <c r="CL74" s="3">
        <f t="shared" si="58"/>
        <v>0.73042029195962688</v>
      </c>
      <c r="CM74" s="3">
        <v>0.66485772362522055</v>
      </c>
      <c r="CN74" s="3">
        <f t="shared" si="59"/>
        <v>-0.48392590502455529</v>
      </c>
      <c r="CO74" s="3">
        <f t="shared" si="60"/>
        <v>0.67261952755297216</v>
      </c>
      <c r="CP74" s="3">
        <f t="shared" si="61"/>
        <v>1.3980087308474578</v>
      </c>
    </row>
    <row r="75" spans="28:94" x14ac:dyDescent="0.2">
      <c r="AB75" s="3">
        <v>1</v>
      </c>
      <c r="AC75" s="3">
        <f>IF(AI74&gt;0, AG74, AC74)</f>
        <v>0</v>
      </c>
      <c r="AD75" s="3">
        <f t="shared" si="62"/>
        <v>2.7167311047486802E-2</v>
      </c>
      <c r="AE75" s="3">
        <f>IF(AJ74&gt;0, AG74, AE74)</f>
        <v>0.5</v>
      </c>
      <c r="AF75" s="3">
        <f t="shared" si="63"/>
        <v>-0.48315080207747702</v>
      </c>
      <c r="AG75" s="3">
        <f t="shared" ref="AG75:AG104" si="69" xml:space="preserve"> (AC75 + AE75)/2</f>
        <v>0.25</v>
      </c>
      <c r="AH75" s="3">
        <f t="shared" si="64"/>
        <v>-0.2277585347794216</v>
      </c>
      <c r="AI75" s="3">
        <f t="shared" ref="AI75:AI104" si="70">AD75*AH75</f>
        <v>-6.1875869580723872E-3</v>
      </c>
      <c r="AJ75" s="3">
        <f t="shared" ref="AJ75:AJ104" si="71">AF75*AH75</f>
        <v>0.11004171875866849</v>
      </c>
      <c r="AK75" s="3">
        <f t="shared" ref="AK75:AK104" si="72">AE75-AC75</f>
        <v>0.5</v>
      </c>
      <c r="AM75" s="3">
        <v>26</v>
      </c>
      <c r="AN75" s="3">
        <f t="shared" si="52"/>
        <v>855.47509789466858</v>
      </c>
      <c r="AO75" s="3">
        <v>1.2840697718274896E-4</v>
      </c>
      <c r="AP75" s="3">
        <f t="shared" si="53"/>
        <v>855.47512769699097</v>
      </c>
      <c r="AQ75" s="3">
        <v>-7.8847028362361016E-5</v>
      </c>
      <c r="AR75" s="3">
        <f t="shared" si="48"/>
        <v>855.47511279582977</v>
      </c>
      <c r="AS75" s="3">
        <v>2.4779975319688674E-5</v>
      </c>
      <c r="AT75" s="3">
        <f t="shared" si="49"/>
        <v>3.1819217254643459E-9</v>
      </c>
      <c r="AU75" s="3">
        <f t="shared" si="50"/>
        <v>-1.9538274168500989E-9</v>
      </c>
      <c r="AV75" s="3">
        <f t="shared" si="51"/>
        <v>2.9802322387695312E-5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 s="3" t="s">
        <v>46</v>
      </c>
      <c r="BO75" s="3">
        <f>1/(BO73-1)</f>
        <v>5.4521082983150491</v>
      </c>
      <c r="BP75" s="3"/>
      <c r="BQ75" s="3"/>
      <c r="BR75" s="3" t="s">
        <v>46</v>
      </c>
      <c r="BS75" s="3">
        <f>1/(BS73-1)</f>
        <v>6.2809268078343692</v>
      </c>
      <c r="BT75" s="3"/>
      <c r="BU75"/>
      <c r="BV75" s="3">
        <v>3</v>
      </c>
      <c r="BW75" s="3">
        <f t="shared" si="65"/>
        <v>3.1415926535897934E-2</v>
      </c>
      <c r="BX75" s="3">
        <v>-0.77827987209696026</v>
      </c>
      <c r="BY75" s="3">
        <f t="shared" si="66"/>
        <v>0.73042029195962688</v>
      </c>
      <c r="BZ75" s="3">
        <v>0.66271034837378962</v>
      </c>
      <c r="CA75" s="3">
        <f t="shared" si="54"/>
        <v>0.38091810924776243</v>
      </c>
      <c r="CB75" s="3">
        <v>0.33552169154661399</v>
      </c>
      <c r="CC75" s="3">
        <f t="shared" si="55"/>
        <v>-0.26112977918265451</v>
      </c>
      <c r="CD75" s="3">
        <f t="shared" si="56"/>
        <v>0.22235369709181974</v>
      </c>
      <c r="CE75" s="3">
        <f t="shared" si="57"/>
        <v>0.6990043654237289</v>
      </c>
      <c r="CF75"/>
      <c r="CG75" s="3">
        <v>3</v>
      </c>
      <c r="CH75" s="3">
        <f t="shared" si="67"/>
        <v>3.1415926535897934E-2</v>
      </c>
      <c r="CI75" s="3">
        <v>-0.72786385391732877</v>
      </c>
      <c r="CJ75" s="3">
        <f t="shared" si="68"/>
        <v>0.73042029195962688</v>
      </c>
      <c r="CK75" s="3">
        <v>0.66485772362522055</v>
      </c>
      <c r="CL75" s="3">
        <f t="shared" si="58"/>
        <v>0.38091810924776243</v>
      </c>
      <c r="CM75" s="3">
        <v>0.34770727870310814</v>
      </c>
      <c r="CN75" s="3">
        <f t="shared" si="59"/>
        <v>-0.25308355991195103</v>
      </c>
      <c r="CO75" s="3">
        <f t="shared" si="60"/>
        <v>0.23117586980646859</v>
      </c>
      <c r="CP75" s="3">
        <f t="shared" si="61"/>
        <v>0.6990043654237289</v>
      </c>
    </row>
    <row r="76" spans="28:94" x14ac:dyDescent="0.2">
      <c r="AB76" s="3">
        <v>2</v>
      </c>
      <c r="AC76" s="3">
        <f t="shared" ref="AC76:AC104" si="73">IF(AI75&gt;0, AG75, AC75)</f>
        <v>0</v>
      </c>
      <c r="AD76" s="3">
        <f t="shared" si="62"/>
        <v>2.7167311047486802E-2</v>
      </c>
      <c r="AE76" s="3">
        <f t="shared" ref="AE76:AE104" si="74">IF(AJ75&gt;0, AG75, AE75)</f>
        <v>0.25</v>
      </c>
      <c r="AF76" s="3">
        <f t="shared" si="63"/>
        <v>-0.2277585347794216</v>
      </c>
      <c r="AG76" s="3">
        <f t="shared" si="69"/>
        <v>0.125</v>
      </c>
      <c r="AH76" s="3">
        <f t="shared" si="64"/>
        <v>-9.9467486214299281E-2</v>
      </c>
      <c r="AI76" s="3">
        <f t="shared" si="70"/>
        <v>-2.7022641370954741E-3</v>
      </c>
      <c r="AJ76" s="3">
        <f t="shared" si="71"/>
        <v>2.265456891836112E-2</v>
      </c>
      <c r="AK76" s="3">
        <f t="shared" si="72"/>
        <v>0.25</v>
      </c>
      <c r="AM76" s="3">
        <v>27</v>
      </c>
      <c r="AN76" s="3">
        <f t="shared" si="52"/>
        <v>855.47511279582977</v>
      </c>
      <c r="AO76" s="3">
        <v>2.4779975319688674E-5</v>
      </c>
      <c r="AP76" s="3">
        <f t="shared" si="53"/>
        <v>855.47512769699097</v>
      </c>
      <c r="AQ76" s="3">
        <v>-7.8847028362361016E-5</v>
      </c>
      <c r="AR76" s="3">
        <f t="shared" si="48"/>
        <v>855.47512024641037</v>
      </c>
      <c r="AS76" s="3">
        <v>-2.7033525839215145E-5</v>
      </c>
      <c r="AT76" s="3">
        <f t="shared" si="49"/>
        <v>-6.6989010309991733E-10</v>
      </c>
      <c r="AU76" s="3">
        <f t="shared" si="50"/>
        <v>2.1315131785792159E-9</v>
      </c>
      <c r="AV76" s="3">
        <f t="shared" si="51"/>
        <v>1.4901161193847656E-5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 s="3" t="s">
        <v>219</v>
      </c>
      <c r="BO76" s="3">
        <f>1/(BO74+1)</f>
        <v>2.0309954051249371E-2</v>
      </c>
      <c r="BP76" s="3"/>
      <c r="BQ76"/>
      <c r="BR76" s="3" t="s">
        <v>219</v>
      </c>
      <c r="BS76" s="3">
        <f>1/(BS74+1)</f>
        <v>2.0227674184782635E-2</v>
      </c>
      <c r="BT76" s="3"/>
      <c r="BU76"/>
      <c r="BV76" s="3">
        <v>4</v>
      </c>
      <c r="BW76" s="3">
        <f t="shared" si="65"/>
        <v>3.1415926535897934E-2</v>
      </c>
      <c r="BX76" s="3">
        <v>-0.77827987209696026</v>
      </c>
      <c r="BY76" s="3">
        <f t="shared" si="66"/>
        <v>0.38091810924776243</v>
      </c>
      <c r="BZ76" s="3">
        <v>0.33552169154661399</v>
      </c>
      <c r="CA76" s="3">
        <f t="shared" si="54"/>
        <v>0.20616701789183017</v>
      </c>
      <c r="CB76" s="3">
        <v>5.2831239214369455E-2</v>
      </c>
      <c r="CC76" s="3">
        <f t="shared" si="55"/>
        <v>-4.1117490098483374E-2</v>
      </c>
      <c r="CD76" s="3">
        <f t="shared" si="56"/>
        <v>1.7726026747709046E-2</v>
      </c>
      <c r="CE76" s="3">
        <f t="shared" si="57"/>
        <v>0.34950218271186451</v>
      </c>
      <c r="CF76"/>
      <c r="CG76" s="3">
        <v>4</v>
      </c>
      <c r="CH76" s="3">
        <f t="shared" si="67"/>
        <v>3.1415926535897934E-2</v>
      </c>
      <c r="CI76" s="3">
        <v>-0.72786385391732877</v>
      </c>
      <c r="CJ76" s="3">
        <f t="shared" si="68"/>
        <v>0.38091810924776243</v>
      </c>
      <c r="CK76" s="3">
        <v>0.34770727870310814</v>
      </c>
      <c r="CL76" s="3">
        <f t="shared" si="58"/>
        <v>0.20616701789183017</v>
      </c>
      <c r="CM76" s="3">
        <v>8.7833088179478241E-2</v>
      </c>
      <c r="CN76" s="3">
        <f t="shared" si="59"/>
        <v>-6.3930530063775609E-2</v>
      </c>
      <c r="CO76" s="3">
        <f t="shared" si="60"/>
        <v>3.0540204070976514E-2</v>
      </c>
      <c r="CP76" s="3">
        <f t="shared" si="61"/>
        <v>0.34950218271186451</v>
      </c>
    </row>
    <row r="77" spans="28:94" x14ac:dyDescent="0.2">
      <c r="AB77" s="3">
        <v>3</v>
      </c>
      <c r="AC77" s="3">
        <f t="shared" si="73"/>
        <v>0</v>
      </c>
      <c r="AD77" s="3">
        <f t="shared" si="62"/>
        <v>2.7167311047486802E-2</v>
      </c>
      <c r="AE77" s="3">
        <f t="shared" si="74"/>
        <v>0.125</v>
      </c>
      <c r="AF77" s="3">
        <f t="shared" si="63"/>
        <v>-9.9467486214299281E-2</v>
      </c>
      <c r="AG77" s="3">
        <f t="shared" si="69"/>
        <v>6.25E-2</v>
      </c>
      <c r="AH77" s="3">
        <f t="shared" si="64"/>
        <v>-3.577940473185233E-2</v>
      </c>
      <c r="AI77" s="3">
        <f t="shared" si="70"/>
        <v>-9.7203021744415332E-4</v>
      </c>
      <c r="AJ77" s="3">
        <f t="shared" si="71"/>
        <v>3.558887446921356E-3</v>
      </c>
      <c r="AK77" s="3">
        <f t="shared" si="72"/>
        <v>0.125</v>
      </c>
      <c r="AM77" s="3">
        <v>28</v>
      </c>
      <c r="AN77" s="3">
        <f t="shared" si="52"/>
        <v>855.47511279582977</v>
      </c>
      <c r="AO77" s="3">
        <v>2.4779975319688674E-5</v>
      </c>
      <c r="AP77" s="3">
        <f t="shared" si="53"/>
        <v>855.47512024641037</v>
      </c>
      <c r="AQ77" s="3">
        <v>-2.7033525839215145E-5</v>
      </c>
      <c r="AR77" s="3">
        <f t="shared" si="48"/>
        <v>855.47511652112007</v>
      </c>
      <c r="AS77" s="3">
        <v>-1.1267757145105861E-6</v>
      </c>
      <c r="AT77" s="3">
        <f t="shared" si="49"/>
        <v>-2.7921474396396895E-11</v>
      </c>
      <c r="AU77" s="3">
        <f t="shared" si="50"/>
        <v>3.0460720393222037E-11</v>
      </c>
      <c r="AV77" s="3">
        <f t="shared" si="51"/>
        <v>7.4505805969238281E-6</v>
      </c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s="8" t="s">
        <v>221</v>
      </c>
      <c r="BO77" s="41">
        <f>SIN(BO61)/(1+BO75) - $AY$3*COS(BO61)/($BC$5*$AY$25*(1-BO76))</f>
        <v>-3.7650529603749927E-9</v>
      </c>
      <c r="BP77" s="41"/>
      <c r="BQ77"/>
      <c r="BR77" s="8" t="s">
        <v>221</v>
      </c>
      <c r="BS77" s="41">
        <f>SIN(BS61)/(1+BS75) - $AY$3*COS(BS61)/($BC$5*$AY$26*(1-BS76))</f>
        <v>2.3881309325901601E-9</v>
      </c>
      <c r="BT77" s="41"/>
      <c r="BU77"/>
      <c r="BV77" s="3">
        <v>5</v>
      </c>
      <c r="BW77" s="3">
        <f t="shared" si="65"/>
        <v>3.1415926535897934E-2</v>
      </c>
      <c r="BX77" s="3">
        <v>-0.77827987209696026</v>
      </c>
      <c r="BY77" s="3">
        <f t="shared" si="66"/>
        <v>0.20616701789183017</v>
      </c>
      <c r="BZ77" s="3">
        <v>5.2831239214369455E-2</v>
      </c>
      <c r="CA77" s="3">
        <f t="shared" si="54"/>
        <v>0.11879147221386405</v>
      </c>
      <c r="CB77" s="3">
        <v>-0.16465975811618405</v>
      </c>
      <c r="CC77" s="3">
        <f t="shared" si="55"/>
        <v>0.12815137548618014</v>
      </c>
      <c r="CD77" s="3">
        <f t="shared" si="56"/>
        <v>-8.6991790700163326E-3</v>
      </c>
      <c r="CE77" s="3">
        <f t="shared" si="57"/>
        <v>0.17475109135593225</v>
      </c>
      <c r="CF77"/>
      <c r="CG77" s="3">
        <v>5</v>
      </c>
      <c r="CH77" s="3">
        <f t="shared" si="67"/>
        <v>3.1415926535897934E-2</v>
      </c>
      <c r="CI77" s="3">
        <v>-0.72786385391732877</v>
      </c>
      <c r="CJ77" s="3">
        <f t="shared" si="68"/>
        <v>0.20616701789183017</v>
      </c>
      <c r="CK77" s="3">
        <v>8.7833088179478241E-2</v>
      </c>
      <c r="CL77" s="3">
        <f t="shared" si="58"/>
        <v>0.11879147221386405</v>
      </c>
      <c r="CM77" s="3">
        <v>-0.1111314602229478</v>
      </c>
      <c r="CN77" s="3">
        <f t="shared" si="59"/>
        <v>8.0888572929335115E-2</v>
      </c>
      <c r="CO77" s="3">
        <f t="shared" si="60"/>
        <v>-9.7610193452763536E-3</v>
      </c>
      <c r="CP77" s="3">
        <f t="shared" si="61"/>
        <v>0.17475109135593225</v>
      </c>
    </row>
    <row r="78" spans="28:94" x14ac:dyDescent="0.2">
      <c r="AB78" s="3">
        <v>4</v>
      </c>
      <c r="AC78" s="3">
        <f t="shared" si="73"/>
        <v>0</v>
      </c>
      <c r="AD78" s="3">
        <f t="shared" si="62"/>
        <v>2.7167311047486802E-2</v>
      </c>
      <c r="AE78" s="3">
        <f t="shared" si="74"/>
        <v>6.25E-2</v>
      </c>
      <c r="AF78" s="3">
        <f t="shared" si="63"/>
        <v>-3.577940473185233E-2</v>
      </c>
      <c r="AG78" s="3">
        <f t="shared" si="69"/>
        <v>3.125E-2</v>
      </c>
      <c r="AH78" s="3">
        <f t="shared" si="64"/>
        <v>-4.1970604878355106E-3</v>
      </c>
      <c r="AI78" s="3">
        <f t="shared" si="70"/>
        <v>-1.1402284775814401E-4</v>
      </c>
      <c r="AJ78" s="3">
        <f t="shared" si="71"/>
        <v>1.5016832587833232E-4</v>
      </c>
      <c r="AK78" s="3">
        <f t="shared" si="72"/>
        <v>6.25E-2</v>
      </c>
      <c r="AM78" s="3">
        <v>29</v>
      </c>
      <c r="AN78" s="3">
        <f t="shared" si="52"/>
        <v>855.47511279582977</v>
      </c>
      <c r="AO78" s="3">
        <v>2.4779975319688674E-5</v>
      </c>
      <c r="AP78" s="3">
        <f t="shared" si="53"/>
        <v>855.47511652112007</v>
      </c>
      <c r="AQ78" s="3">
        <v>-1.1267757145105861E-6</v>
      </c>
      <c r="AR78" s="3">
        <f t="shared" si="48"/>
        <v>855.47511465847492</v>
      </c>
      <c r="AS78" s="3">
        <v>1.1826599802589044E-5</v>
      </c>
      <c r="AT78" s="3">
        <f t="shared" si="49"/>
        <v>2.9306285122399145E-10</v>
      </c>
      <c r="AU78" s="3">
        <f t="shared" si="50"/>
        <v>-1.3325925442793027E-11</v>
      </c>
      <c r="AV78" s="3">
        <f t="shared" si="51"/>
        <v>3.7252902984619141E-6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 s="3">
        <v>6</v>
      </c>
      <c r="BW78" s="3">
        <f t="shared" si="65"/>
        <v>0.11879147221386405</v>
      </c>
      <c r="BX78" s="3">
        <v>-0.16465975811618405</v>
      </c>
      <c r="BY78" s="3">
        <f t="shared" si="66"/>
        <v>0.20616701789183017</v>
      </c>
      <c r="BZ78" s="3">
        <v>5.2831239214369455E-2</v>
      </c>
      <c r="CA78" s="3">
        <f t="shared" si="54"/>
        <v>0.16247924505284711</v>
      </c>
      <c r="CB78" s="3">
        <v>-4.3736070449760356E-2</v>
      </c>
      <c r="CC78" s="3">
        <f t="shared" si="55"/>
        <v>7.2015707812099249E-3</v>
      </c>
      <c r="CD78" s="3">
        <f t="shared" si="56"/>
        <v>-2.3106308002278043E-3</v>
      </c>
      <c r="CE78" s="3">
        <f t="shared" si="57"/>
        <v>8.7375545677966127E-2</v>
      </c>
      <c r="CF78"/>
      <c r="CG78" s="3">
        <v>6</v>
      </c>
      <c r="CH78" s="3">
        <f t="shared" si="67"/>
        <v>0.11879147221386405</v>
      </c>
      <c r="CI78" s="3">
        <v>-0.1111314602229478</v>
      </c>
      <c r="CJ78" s="3">
        <f t="shared" si="68"/>
        <v>0.20616701789183017</v>
      </c>
      <c r="CK78" s="3">
        <v>8.7833088179478241E-2</v>
      </c>
      <c r="CL78" s="3">
        <f t="shared" si="58"/>
        <v>0.16247924505284711</v>
      </c>
      <c r="CM78" s="3">
        <v>-2.3147187312716477E-4</v>
      </c>
      <c r="CN78" s="3">
        <f t="shared" si="59"/>
        <v>2.5723807261162733E-5</v>
      </c>
      <c r="CO78" s="3">
        <f t="shared" si="60"/>
        <v>-2.0330889443447263E-5</v>
      </c>
      <c r="CP78" s="3">
        <f t="shared" si="61"/>
        <v>8.7375545677966127E-2</v>
      </c>
    </row>
    <row r="79" spans="28:94" x14ac:dyDescent="0.2">
      <c r="AB79" s="3">
        <v>5</v>
      </c>
      <c r="AC79" s="3">
        <f t="shared" si="73"/>
        <v>0</v>
      </c>
      <c r="AD79" s="3">
        <f t="shared" si="62"/>
        <v>2.7167311047486802E-2</v>
      </c>
      <c r="AE79" s="3">
        <f t="shared" si="74"/>
        <v>3.125E-2</v>
      </c>
      <c r="AF79" s="3">
        <f t="shared" si="63"/>
        <v>-4.1970604878355106E-3</v>
      </c>
      <c r="AG79" s="3">
        <f t="shared" si="69"/>
        <v>1.5625E-2</v>
      </c>
      <c r="AH79" s="3">
        <f t="shared" si="64"/>
        <v>1.1513544196537405E-2</v>
      </c>
      <c r="AI79" s="3">
        <f t="shared" si="70"/>
        <v>3.1279203644631818E-4</v>
      </c>
      <c r="AJ79" s="3">
        <f t="shared" si="71"/>
        <v>-4.8323041422234991E-5</v>
      </c>
      <c r="AK79" s="3">
        <f t="shared" si="72"/>
        <v>3.125E-2</v>
      </c>
      <c r="AM79" s="3">
        <v>30</v>
      </c>
      <c r="AN79" s="3">
        <f t="shared" si="52"/>
        <v>855.47511465847492</v>
      </c>
      <c r="AO79" s="3">
        <v>1.1826599802589044E-5</v>
      </c>
      <c r="AP79" s="3">
        <f t="shared" si="53"/>
        <v>855.47511652112007</v>
      </c>
      <c r="AQ79" s="3">
        <v>-1.1267757145105861E-6</v>
      </c>
      <c r="AR79" s="6">
        <f t="shared" si="48"/>
        <v>855.4751155897975</v>
      </c>
      <c r="AS79" s="3">
        <v>5.3499124987865798E-6</v>
      </c>
      <c r="AT79" s="3">
        <f t="shared" si="49"/>
        <v>6.3271274102018024E-11</v>
      </c>
      <c r="AU79" s="3">
        <f t="shared" si="50"/>
        <v>-6.0281514783893636E-12</v>
      </c>
      <c r="AV79" s="3">
        <f t="shared" si="51"/>
        <v>1.862645149230957E-6</v>
      </c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 s="3">
        <v>7</v>
      </c>
      <c r="BW79" s="3">
        <f t="shared" si="65"/>
        <v>0.16247924505284711</v>
      </c>
      <c r="BX79" s="3">
        <v>-4.3736070449760356E-2</v>
      </c>
      <c r="BY79" s="3">
        <f t="shared" si="66"/>
        <v>0.20616701789183017</v>
      </c>
      <c r="BZ79" s="3">
        <v>5.2831239214369455E-2</v>
      </c>
      <c r="CA79" s="3">
        <f t="shared" si="54"/>
        <v>0.18432313147233864</v>
      </c>
      <c r="CB79" s="3">
        <v>6.6860600783326812E-3</v>
      </c>
      <c r="CC79" s="3">
        <f t="shared" si="55"/>
        <v>-2.9242199461728839E-4</v>
      </c>
      <c r="CD79" s="3">
        <f t="shared" si="56"/>
        <v>3.5323283940003964E-4</v>
      </c>
      <c r="CE79" s="3">
        <f t="shared" si="57"/>
        <v>4.3687772838983063E-2</v>
      </c>
      <c r="CF79"/>
      <c r="CG79" s="3">
        <v>7</v>
      </c>
      <c r="CH79" s="3">
        <f t="shared" si="67"/>
        <v>0.16247924505284711</v>
      </c>
      <c r="CI79" s="3">
        <v>-2.3147187312716477E-4</v>
      </c>
      <c r="CJ79" s="3">
        <f t="shared" si="68"/>
        <v>0.20616701789183017</v>
      </c>
      <c r="CK79" s="3">
        <v>8.7833088179478241E-2</v>
      </c>
      <c r="CL79" s="3">
        <f t="shared" si="58"/>
        <v>0.18432313147233864</v>
      </c>
      <c r="CM79" s="3">
        <v>4.5780797470539425E-2</v>
      </c>
      <c r="CN79" s="3">
        <f t="shared" si="59"/>
        <v>-1.0596966943761127E-5</v>
      </c>
      <c r="CO79" s="3">
        <f t="shared" si="60"/>
        <v>4.0210688211567234E-3</v>
      </c>
      <c r="CP79" s="3">
        <f t="shared" si="61"/>
        <v>4.3687772838983063E-2</v>
      </c>
    </row>
    <row r="80" spans="28:94" x14ac:dyDescent="0.2">
      <c r="AB80" s="3">
        <v>6</v>
      </c>
      <c r="AC80" s="3">
        <f t="shared" si="73"/>
        <v>1.5625E-2</v>
      </c>
      <c r="AD80" s="3">
        <f t="shared" si="62"/>
        <v>1.1513544196537405E-2</v>
      </c>
      <c r="AE80" s="3">
        <f t="shared" si="74"/>
        <v>3.125E-2</v>
      </c>
      <c r="AF80" s="3">
        <f t="shared" si="63"/>
        <v>-4.1970604878355106E-3</v>
      </c>
      <c r="AG80" s="3">
        <f t="shared" si="69"/>
        <v>2.34375E-2</v>
      </c>
      <c r="AH80" s="3">
        <f t="shared" si="64"/>
        <v>3.6652493684354547E-3</v>
      </c>
      <c r="AI80" s="3">
        <f t="shared" si="70"/>
        <v>4.2200010594812417E-5</v>
      </c>
      <c r="AJ80" s="3">
        <f t="shared" si="71"/>
        <v>-1.5383273302324506E-5</v>
      </c>
      <c r="AK80" s="3">
        <f t="shared" si="72"/>
        <v>1.5625E-2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 s="3">
        <v>8</v>
      </c>
      <c r="BW80" s="3">
        <f t="shared" si="65"/>
        <v>0.16247924505284711</v>
      </c>
      <c r="BX80" s="3">
        <v>-4.3736070449760356E-2</v>
      </c>
      <c r="BY80" s="3">
        <f t="shared" si="66"/>
        <v>0.18432313147233864</v>
      </c>
      <c r="BZ80" s="3">
        <v>6.6860600783326812E-3</v>
      </c>
      <c r="CA80" s="3">
        <f t="shared" si="54"/>
        <v>0.17340118826259288</v>
      </c>
      <c r="CB80" s="3">
        <v>-1.7913068857088897E-2</v>
      </c>
      <c r="CC80" s="3">
        <f t="shared" si="55"/>
        <v>7.8344724150504821E-4</v>
      </c>
      <c r="CD80" s="3">
        <f t="shared" si="56"/>
        <v>-1.197678545658065E-4</v>
      </c>
      <c r="CE80" s="3">
        <f t="shared" si="57"/>
        <v>2.1843886419491532E-2</v>
      </c>
      <c r="CF80"/>
      <c r="CG80" s="3">
        <v>8</v>
      </c>
      <c r="CH80" s="3">
        <f t="shared" si="67"/>
        <v>0.16247924505284711</v>
      </c>
      <c r="CI80" s="3">
        <v>-2.3147187312716477E-4</v>
      </c>
      <c r="CJ80" s="3">
        <f t="shared" si="68"/>
        <v>0.18432313147233864</v>
      </c>
      <c r="CK80" s="3">
        <v>4.5780797470539425E-2</v>
      </c>
      <c r="CL80" s="3">
        <f t="shared" si="58"/>
        <v>0.17340118826259288</v>
      </c>
      <c r="CM80" s="3">
        <v>2.3345032082061352E-2</v>
      </c>
      <c r="CN80" s="3">
        <f t="shared" si="59"/>
        <v>-5.4037183042484965E-6</v>
      </c>
      <c r="CO80" s="3">
        <f t="shared" si="60"/>
        <v>1.0687541856920961E-3</v>
      </c>
      <c r="CP80" s="3">
        <f t="shared" si="61"/>
        <v>2.1843886419491532E-2</v>
      </c>
    </row>
    <row r="81" spans="28:94" x14ac:dyDescent="0.2">
      <c r="AB81" s="3">
        <v>7</v>
      </c>
      <c r="AC81" s="3">
        <f t="shared" si="73"/>
        <v>2.34375E-2</v>
      </c>
      <c r="AD81" s="3">
        <f t="shared" si="62"/>
        <v>3.6652493684354547E-3</v>
      </c>
      <c r="AE81" s="3">
        <f t="shared" si="74"/>
        <v>3.125E-2</v>
      </c>
      <c r="AF81" s="3">
        <f t="shared" si="63"/>
        <v>-4.1970604878355106E-3</v>
      </c>
      <c r="AG81" s="3">
        <f t="shared" si="69"/>
        <v>2.734375E-2</v>
      </c>
      <c r="AH81" s="3">
        <f t="shared" si="64"/>
        <v>-2.6417038099251985E-4</v>
      </c>
      <c r="AI81" s="3">
        <f t="shared" si="70"/>
        <v>-9.6825032209218673E-7</v>
      </c>
      <c r="AJ81" s="3">
        <f t="shared" si="71"/>
        <v>1.1087390681201581E-6</v>
      </c>
      <c r="AK81" s="3">
        <f t="shared" si="72"/>
        <v>7.8125E-3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 s="3">
        <v>9</v>
      </c>
      <c r="BW81" s="3">
        <f t="shared" si="65"/>
        <v>0.17340118826259288</v>
      </c>
      <c r="BX81" s="3">
        <v>-1.7913068857088897E-2</v>
      </c>
      <c r="BY81" s="3">
        <f t="shared" si="66"/>
        <v>0.18432313147233864</v>
      </c>
      <c r="BZ81" s="3">
        <v>6.6860600783326812E-3</v>
      </c>
      <c r="CA81" s="3">
        <f t="shared" si="54"/>
        <v>0.17886215986746576</v>
      </c>
      <c r="CB81" s="3">
        <v>-5.4716723480018187E-3</v>
      </c>
      <c r="CC81" s="3">
        <f t="shared" si="55"/>
        <v>9.801444353318586E-5</v>
      </c>
      <c r="CD81" s="3">
        <f t="shared" si="56"/>
        <v>-3.6583930047691806E-5</v>
      </c>
      <c r="CE81" s="3">
        <f t="shared" si="57"/>
        <v>1.0921943209745766E-2</v>
      </c>
      <c r="CF81"/>
      <c r="CG81" s="3">
        <v>9</v>
      </c>
      <c r="CH81" s="3">
        <f t="shared" si="67"/>
        <v>0.16247924505284711</v>
      </c>
      <c r="CI81" s="3">
        <v>-2.3147187312716477E-4</v>
      </c>
      <c r="CJ81" s="3">
        <f t="shared" si="68"/>
        <v>0.17340118826259288</v>
      </c>
      <c r="CK81" s="3">
        <v>2.3345032082061352E-2</v>
      </c>
      <c r="CL81" s="3">
        <f t="shared" si="58"/>
        <v>0.16794021665771999</v>
      </c>
      <c r="CM81" s="3">
        <v>1.1710898669435386E-2</v>
      </c>
      <c r="CN81" s="3">
        <f t="shared" si="59"/>
        <v>-2.7107436510166304E-6</v>
      </c>
      <c r="CO81" s="3">
        <f t="shared" si="60"/>
        <v>2.7339130514773873E-4</v>
      </c>
      <c r="CP81" s="3">
        <f t="shared" si="61"/>
        <v>1.0921943209745766E-2</v>
      </c>
    </row>
    <row r="82" spans="28:94" x14ac:dyDescent="0.2">
      <c r="AB82" s="3">
        <v>8</v>
      </c>
      <c r="AC82" s="3">
        <f t="shared" si="73"/>
        <v>2.34375E-2</v>
      </c>
      <c r="AD82" s="3">
        <f t="shared" si="62"/>
        <v>3.6652493684354547E-3</v>
      </c>
      <c r="AE82" s="3">
        <f t="shared" si="74"/>
        <v>2.734375E-2</v>
      </c>
      <c r="AF82" s="3">
        <f t="shared" si="63"/>
        <v>-2.6417038099251985E-4</v>
      </c>
      <c r="AG82" s="3">
        <f t="shared" si="69"/>
        <v>2.5390625E-2</v>
      </c>
      <c r="AH82" s="3">
        <f t="shared" si="64"/>
        <v>1.7009755729505242E-3</v>
      </c>
      <c r="AI82" s="3">
        <f t="shared" si="70"/>
        <v>6.2344996444810446E-6</v>
      </c>
      <c r="AJ82" s="3">
        <f t="shared" si="71"/>
        <v>-4.4934736516530971E-7</v>
      </c>
      <c r="AK82" s="3">
        <f t="shared" si="72"/>
        <v>3.90625E-3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 s="3">
        <v>10</v>
      </c>
      <c r="BW82" s="3">
        <f t="shared" si="65"/>
        <v>0.17886215986746576</v>
      </c>
      <c r="BX82" s="3">
        <v>-5.4716723480018187E-3</v>
      </c>
      <c r="BY82" s="3">
        <f t="shared" si="66"/>
        <v>0.18432313147233864</v>
      </c>
      <c r="BZ82" s="3">
        <v>6.6860600783326812E-3</v>
      </c>
      <c r="CA82" s="3">
        <f t="shared" si="54"/>
        <v>0.18159264566990219</v>
      </c>
      <c r="CB82" s="3">
        <v>6.4140579741314707E-4</v>
      </c>
      <c r="CC82" s="3">
        <f t="shared" si="55"/>
        <v>-3.5095623655535733E-6</v>
      </c>
      <c r="CD82" s="3">
        <f t="shared" si="56"/>
        <v>4.288477696095182E-6</v>
      </c>
      <c r="CE82" s="3">
        <f t="shared" si="57"/>
        <v>5.4609716048728829E-3</v>
      </c>
      <c r="CF82"/>
      <c r="CG82" s="3">
        <v>10</v>
      </c>
      <c r="CH82" s="3">
        <f t="shared" si="67"/>
        <v>0.16247924505284711</v>
      </c>
      <c r="CI82" s="3">
        <v>-2.3147187312716477E-4</v>
      </c>
      <c r="CJ82" s="3">
        <f t="shared" si="68"/>
        <v>0.16794021665771999</v>
      </c>
      <c r="CK82" s="3">
        <v>1.1710898669435386E-2</v>
      </c>
      <c r="CL82" s="3">
        <f t="shared" si="58"/>
        <v>0.16520973085528357</v>
      </c>
      <c r="CM82" s="3">
        <v>5.7798475798891517E-3</v>
      </c>
      <c r="CN82" s="3">
        <f t="shared" si="59"/>
        <v>-1.3378721457064522E-6</v>
      </c>
      <c r="CO82" s="3">
        <f t="shared" si="60"/>
        <v>6.7687209332863209E-5</v>
      </c>
      <c r="CP82" s="3">
        <f t="shared" si="61"/>
        <v>5.4609716048728829E-3</v>
      </c>
    </row>
    <row r="83" spans="28:94" x14ac:dyDescent="0.2">
      <c r="AB83" s="3">
        <v>9</v>
      </c>
      <c r="AC83" s="3">
        <f t="shared" si="73"/>
        <v>2.5390625E-2</v>
      </c>
      <c r="AD83" s="3">
        <f t="shared" si="62"/>
        <v>1.7009755729505242E-3</v>
      </c>
      <c r="AE83" s="3">
        <f t="shared" si="74"/>
        <v>2.734375E-2</v>
      </c>
      <c r="AF83" s="3">
        <f t="shared" si="63"/>
        <v>-2.6417038099251985E-4</v>
      </c>
      <c r="AG83" s="3">
        <f t="shared" si="69"/>
        <v>2.63671875E-2</v>
      </c>
      <c r="AH83" s="3">
        <f t="shared" si="64"/>
        <v>7.1851134234605235E-4</v>
      </c>
      <c r="AI83" s="3">
        <f t="shared" si="70"/>
        <v>1.2221702422185266E-6</v>
      </c>
      <c r="AJ83" s="3">
        <f t="shared" si="71"/>
        <v>-1.8980941505500351E-7</v>
      </c>
      <c r="AK83" s="3">
        <f t="shared" si="72"/>
        <v>1.953125E-3</v>
      </c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 s="3">
        <v>11</v>
      </c>
      <c r="BW83" s="3">
        <f t="shared" si="65"/>
        <v>0.17886215986746576</v>
      </c>
      <c r="BX83" s="3">
        <v>-5.4716723480018187E-3</v>
      </c>
      <c r="BY83" s="3">
        <f t="shared" si="66"/>
        <v>0.18159264566990219</v>
      </c>
      <c r="BZ83" s="3">
        <v>6.4140579741314707E-4</v>
      </c>
      <c r="CA83" s="3">
        <f t="shared" si="54"/>
        <v>0.18022740276868399</v>
      </c>
      <c r="CB83" s="3">
        <v>-2.4064304804685792E-3</v>
      </c>
      <c r="CC83" s="3">
        <f t="shared" si="55"/>
        <v>1.3167199117368655E-5</v>
      </c>
      <c r="CD83" s="3">
        <f t="shared" si="56"/>
        <v>-1.5434984612442516E-6</v>
      </c>
      <c r="CE83" s="3">
        <f t="shared" si="57"/>
        <v>2.7304858024364276E-3</v>
      </c>
      <c r="CF83"/>
      <c r="CG83" s="3">
        <v>11</v>
      </c>
      <c r="CH83" s="3">
        <f t="shared" si="67"/>
        <v>0.16247924505284711</v>
      </c>
      <c r="CI83" s="3">
        <v>-2.3147187312716477E-4</v>
      </c>
      <c r="CJ83" s="3">
        <f t="shared" si="68"/>
        <v>0.16520973085528357</v>
      </c>
      <c r="CK83" s="3">
        <v>5.7798475798891517E-3</v>
      </c>
      <c r="CL83" s="3">
        <f t="shared" si="58"/>
        <v>0.16384448795406534</v>
      </c>
      <c r="CM83" s="3">
        <v>2.7844334712779847E-3</v>
      </c>
      <c r="CN83" s="3">
        <f t="shared" si="59"/>
        <v>-6.4451803119468873E-7</v>
      </c>
      <c r="CO83" s="3">
        <f t="shared" si="60"/>
        <v>1.6093601060328411E-5</v>
      </c>
      <c r="CP83" s="3">
        <f t="shared" si="61"/>
        <v>2.7304858024364553E-3</v>
      </c>
    </row>
    <row r="84" spans="28:94" x14ac:dyDescent="0.2">
      <c r="AB84" s="3">
        <v>10</v>
      </c>
      <c r="AC84" s="3">
        <f t="shared" si="73"/>
        <v>2.63671875E-2</v>
      </c>
      <c r="AD84" s="3">
        <f t="shared" si="62"/>
        <v>7.1851134234605235E-4</v>
      </c>
      <c r="AE84" s="3">
        <f t="shared" si="74"/>
        <v>2.734375E-2</v>
      </c>
      <c r="AF84" s="3">
        <f t="shared" si="63"/>
        <v>-2.6417038099251985E-4</v>
      </c>
      <c r="AG84" s="3">
        <f t="shared" si="69"/>
        <v>2.685546875E-2</v>
      </c>
      <c r="AH84" s="3">
        <f t="shared" si="64"/>
        <v>2.2719763202004237E-4</v>
      </c>
      <c r="AI84" s="3">
        <f t="shared" si="70"/>
        <v>1.6324407556056509E-7</v>
      </c>
      <c r="AJ84" s="3">
        <f t="shared" si="71"/>
        <v>-6.0018885011332926E-8</v>
      </c>
      <c r="AK84" s="3">
        <f t="shared" si="72"/>
        <v>9.765625E-4</v>
      </c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 s="3">
        <v>12</v>
      </c>
      <c r="BW84" s="3">
        <f t="shared" si="65"/>
        <v>0.18022740276868399</v>
      </c>
      <c r="BX84" s="3">
        <v>-2.4064304804685792E-3</v>
      </c>
      <c r="BY84" s="3">
        <f t="shared" si="66"/>
        <v>0.18159264566990219</v>
      </c>
      <c r="BZ84" s="3">
        <v>6.4140579741314707E-4</v>
      </c>
      <c r="CA84" s="3">
        <f t="shared" si="54"/>
        <v>0.18091002421929309</v>
      </c>
      <c r="CB84" s="3">
        <v>-8.8035572546466337E-4</v>
      </c>
      <c r="CC84" s="3">
        <f t="shared" si="55"/>
        <v>2.1185148514131944E-6</v>
      </c>
      <c r="CD84" s="3">
        <f t="shared" si="56"/>
        <v>-5.6466526609889202E-7</v>
      </c>
      <c r="CE84" s="3">
        <f t="shared" si="57"/>
        <v>1.3652429012181999E-3</v>
      </c>
      <c r="CF84"/>
      <c r="CG84" s="3">
        <v>12</v>
      </c>
      <c r="CH84" s="3">
        <f t="shared" si="67"/>
        <v>0.16247924505284711</v>
      </c>
      <c r="CI84" s="3">
        <v>-2.3147187312716477E-4</v>
      </c>
      <c r="CJ84" s="3">
        <f t="shared" si="68"/>
        <v>0.16384448795406534</v>
      </c>
      <c r="CK84" s="3">
        <v>2.7844334712779847E-3</v>
      </c>
      <c r="CL84" s="3">
        <f t="shared" si="58"/>
        <v>0.16316186650345621</v>
      </c>
      <c r="CM84" s="3">
        <v>1.2790694765642575E-3</v>
      </c>
      <c r="CN84" s="3">
        <f t="shared" si="59"/>
        <v>-2.9606860760011088E-7</v>
      </c>
      <c r="CO84" s="3">
        <f t="shared" si="60"/>
        <v>3.5614838626355308E-6</v>
      </c>
      <c r="CP84" s="3">
        <f t="shared" si="61"/>
        <v>1.3652429012182277E-3</v>
      </c>
    </row>
    <row r="85" spans="28:94" x14ac:dyDescent="0.2">
      <c r="AB85" s="3">
        <v>11</v>
      </c>
      <c r="AC85" s="3">
        <f t="shared" si="73"/>
        <v>2.685546875E-2</v>
      </c>
      <c r="AD85" s="3">
        <f t="shared" si="62"/>
        <v>2.2719763202004237E-4</v>
      </c>
      <c r="AE85" s="3">
        <f t="shared" si="74"/>
        <v>2.734375E-2</v>
      </c>
      <c r="AF85" s="3">
        <f t="shared" si="63"/>
        <v>-2.6417038099251985E-4</v>
      </c>
      <c r="AG85" s="3">
        <f t="shared" si="69"/>
        <v>2.7099609375E-2</v>
      </c>
      <c r="AH85" s="3">
        <f t="shared" si="64"/>
        <v>-1.8479591122895489E-5</v>
      </c>
      <c r="AI85" s="3">
        <f t="shared" si="70"/>
        <v>-4.1985193438204512E-9</v>
      </c>
      <c r="AJ85" s="3">
        <f t="shared" si="71"/>
        <v>4.8817606275212892E-9</v>
      </c>
      <c r="AK85" s="3">
        <f t="shared" si="72"/>
        <v>4.8828125E-4</v>
      </c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 s="3">
        <v>13</v>
      </c>
      <c r="BW85" s="3">
        <f t="shared" si="65"/>
        <v>0.18091002421929309</v>
      </c>
      <c r="BX85" s="3">
        <v>-8.8035572546466337E-4</v>
      </c>
      <c r="BY85" s="3">
        <f t="shared" si="66"/>
        <v>0.18159264566990219</v>
      </c>
      <c r="BZ85" s="3">
        <v>6.4140579741314707E-4</v>
      </c>
      <c r="CA85" s="3">
        <f t="shared" si="54"/>
        <v>0.18125133494459764</v>
      </c>
      <c r="CB85" s="3">
        <v>-1.1893816364184906E-4</v>
      </c>
      <c r="CC85" s="3">
        <f t="shared" si="55"/>
        <v>1.0470789333835488E-7</v>
      </c>
      <c r="CD85" s="3">
        <f t="shared" si="56"/>
        <v>-7.6287627693555578E-8</v>
      </c>
      <c r="CE85" s="3">
        <f t="shared" si="57"/>
        <v>6.8262145060909996E-4</v>
      </c>
      <c r="CF85"/>
      <c r="CG85" s="3">
        <v>13</v>
      </c>
      <c r="CH85" s="3">
        <f t="shared" si="67"/>
        <v>0.16247924505284711</v>
      </c>
      <c r="CI85" s="3">
        <v>-2.3147187312716477E-4</v>
      </c>
      <c r="CJ85" s="3">
        <f t="shared" si="68"/>
        <v>0.16316186650345621</v>
      </c>
      <c r="CK85" s="3">
        <v>1.2790694765642575E-3</v>
      </c>
      <c r="CL85" s="3">
        <f t="shared" si="58"/>
        <v>0.16282055577815166</v>
      </c>
      <c r="CM85" s="3">
        <v>5.2444942946042183E-4</v>
      </c>
      <c r="CN85" s="3">
        <f t="shared" si="59"/>
        <v>-1.2139529179767671E-7</v>
      </c>
      <c r="CO85" s="3">
        <f t="shared" si="60"/>
        <v>6.7080725722436522E-7</v>
      </c>
      <c r="CP85" s="3">
        <f t="shared" si="61"/>
        <v>6.8262145060909996E-4</v>
      </c>
    </row>
    <row r="86" spans="28:94" x14ac:dyDescent="0.2">
      <c r="AB86" s="3">
        <v>12</v>
      </c>
      <c r="AC86" s="3">
        <f t="shared" si="73"/>
        <v>2.685546875E-2</v>
      </c>
      <c r="AD86" s="3">
        <f t="shared" si="62"/>
        <v>2.2719763202004237E-4</v>
      </c>
      <c r="AE86" s="3">
        <f t="shared" si="74"/>
        <v>2.7099609375E-2</v>
      </c>
      <c r="AF86" s="3">
        <f t="shared" si="63"/>
        <v>-1.8479591122895489E-5</v>
      </c>
      <c r="AG86" s="3">
        <f t="shared" si="69"/>
        <v>2.69775390625E-2</v>
      </c>
      <c r="AH86" s="3">
        <f t="shared" si="64"/>
        <v>1.0436071685142323E-4</v>
      </c>
      <c r="AI86" s="3">
        <f t="shared" si="70"/>
        <v>2.371050774455749E-8</v>
      </c>
      <c r="AJ86" s="3">
        <f t="shared" si="71"/>
        <v>-1.9285433767065703E-9</v>
      </c>
      <c r="AK86" s="3">
        <f t="shared" si="72"/>
        <v>2.44140625E-4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 s="3">
        <v>14</v>
      </c>
      <c r="BW86" s="3">
        <f t="shared" si="65"/>
        <v>0.18125133494459764</v>
      </c>
      <c r="BX86" s="3">
        <v>-1.1893816364184906E-4</v>
      </c>
      <c r="BY86" s="3">
        <f t="shared" si="66"/>
        <v>0.18159264566990219</v>
      </c>
      <c r="BZ86" s="3">
        <v>6.4140579741314707E-4</v>
      </c>
      <c r="CA86" s="3">
        <f t="shared" si="54"/>
        <v>0.18142199030724993</v>
      </c>
      <c r="CB86" s="3">
        <v>2.6136772473052752E-4</v>
      </c>
      <c r="CC86" s="3">
        <f t="shared" si="55"/>
        <v>-3.1086597214697242E-8</v>
      </c>
      <c r="CD86" s="3">
        <f t="shared" si="56"/>
        <v>1.6764277389884393E-7</v>
      </c>
      <c r="CE86" s="3">
        <f t="shared" si="57"/>
        <v>3.4131072530454998E-4</v>
      </c>
      <c r="CF86"/>
      <c r="CG86" s="3">
        <v>14</v>
      </c>
      <c r="CH86" s="3">
        <f t="shared" si="67"/>
        <v>0.16247924505284711</v>
      </c>
      <c r="CI86" s="3">
        <v>-2.3147187312716477E-4</v>
      </c>
      <c r="CJ86" s="3">
        <f t="shared" si="68"/>
        <v>0.16282055577815166</v>
      </c>
      <c r="CK86" s="3">
        <v>5.2444942946042183E-4</v>
      </c>
      <c r="CL86" s="3">
        <f t="shared" si="58"/>
        <v>0.16264990041549937</v>
      </c>
      <c r="CM86" s="3">
        <v>1.4665187052429612E-4</v>
      </c>
      <c r="CN86" s="3">
        <f t="shared" si="59"/>
        <v>-3.3945783167861269E-8</v>
      </c>
      <c r="CO86" s="3">
        <f t="shared" si="60"/>
        <v>7.6911489825770759E-8</v>
      </c>
      <c r="CP86" s="3">
        <f t="shared" si="61"/>
        <v>3.4131072530454998E-4</v>
      </c>
    </row>
    <row r="87" spans="28:94" x14ac:dyDescent="0.2">
      <c r="AB87" s="3">
        <v>13</v>
      </c>
      <c r="AC87" s="3">
        <f t="shared" si="73"/>
        <v>2.69775390625E-2</v>
      </c>
      <c r="AD87" s="3">
        <f t="shared" si="62"/>
        <v>1.0436071685142323E-4</v>
      </c>
      <c r="AE87" s="3">
        <f t="shared" si="74"/>
        <v>2.7099609375E-2</v>
      </c>
      <c r="AF87" s="3">
        <f t="shared" si="63"/>
        <v>-1.8479591122895489E-5</v>
      </c>
      <c r="AG87" s="3">
        <f t="shared" si="69"/>
        <v>2.703857421875E-2</v>
      </c>
      <c r="AH87" s="3">
        <f t="shared" si="64"/>
        <v>4.2940986894907801E-5</v>
      </c>
      <c r="AI87" s="3">
        <f t="shared" si="70"/>
        <v>4.4813521746601486E-9</v>
      </c>
      <c r="AJ87" s="3">
        <f t="shared" si="71"/>
        <v>-7.9353188023150971E-10</v>
      </c>
      <c r="AK87" s="3">
        <f t="shared" si="72"/>
        <v>1.220703125E-4</v>
      </c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 s="3">
        <v>15</v>
      </c>
      <c r="BW87" s="3">
        <f t="shared" si="65"/>
        <v>0.18125133494459764</v>
      </c>
      <c r="BX87" s="3">
        <v>-1.1893816364184906E-4</v>
      </c>
      <c r="BY87" s="3">
        <f t="shared" si="66"/>
        <v>0.18142199030724993</v>
      </c>
      <c r="BZ87" s="3">
        <v>2.6136772473052752E-4</v>
      </c>
      <c r="CA87" s="3">
        <f t="shared" si="54"/>
        <v>0.18133666262592379</v>
      </c>
      <c r="CB87" s="3">
        <v>7.1248293950332275E-5</v>
      </c>
      <c r="CC87" s="3">
        <f t="shared" si="55"/>
        <v>-8.4741412450671844E-9</v>
      </c>
      <c r="CD87" s="3">
        <f t="shared" si="56"/>
        <v>1.8622004480730155E-8</v>
      </c>
      <c r="CE87" s="3">
        <f t="shared" si="57"/>
        <v>1.7065536265228887E-4</v>
      </c>
      <c r="CF87"/>
      <c r="CG87" s="3">
        <v>15</v>
      </c>
      <c r="CH87" s="3">
        <f t="shared" si="67"/>
        <v>0.16247924505284711</v>
      </c>
      <c r="CI87" s="3">
        <v>-2.3147187312716477E-4</v>
      </c>
      <c r="CJ87" s="3">
        <f t="shared" si="68"/>
        <v>0.16264990041549937</v>
      </c>
      <c r="CK87" s="3">
        <v>1.4665187052429612E-4</v>
      </c>
      <c r="CL87" s="3">
        <f t="shared" si="58"/>
        <v>0.16256457273417324</v>
      </c>
      <c r="CM87" s="3">
        <v>-4.2369173587325504E-5</v>
      </c>
      <c r="CN87" s="3">
        <f t="shared" si="59"/>
        <v>9.8072719731082297E-9</v>
      </c>
      <c r="CO87" s="3">
        <f t="shared" si="60"/>
        <v>-6.2135185591498871E-9</v>
      </c>
      <c r="CP87" s="3">
        <f t="shared" si="61"/>
        <v>1.7065536265226111E-4</v>
      </c>
    </row>
    <row r="88" spans="28:94" x14ac:dyDescent="0.2">
      <c r="AB88" s="3">
        <v>14</v>
      </c>
      <c r="AC88" s="3">
        <f t="shared" si="73"/>
        <v>2.703857421875E-2</v>
      </c>
      <c r="AD88" s="3">
        <f t="shared" si="62"/>
        <v>4.2940986894907801E-5</v>
      </c>
      <c r="AE88" s="3">
        <f t="shared" si="74"/>
        <v>2.7099609375E-2</v>
      </c>
      <c r="AF88" s="3">
        <f t="shared" si="63"/>
        <v>-1.8479591122895489E-5</v>
      </c>
      <c r="AG88" s="3">
        <f t="shared" si="69"/>
        <v>2.7069091796875E-2</v>
      </c>
      <c r="AH88" s="3">
        <f t="shared" si="64"/>
        <v>1.2230803884894642E-5</v>
      </c>
      <c r="AI88" s="3">
        <f t="shared" si="70"/>
        <v>5.2520278933544829E-10</v>
      </c>
      <c r="AJ88" s="3">
        <f t="shared" si="71"/>
        <v>-2.2602025489717469E-10</v>
      </c>
      <c r="AK88" s="3">
        <f t="shared" si="72"/>
        <v>6.103515625E-5</v>
      </c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 s="3">
        <v>16</v>
      </c>
      <c r="BW88" s="3">
        <f t="shared" si="65"/>
        <v>0.18125133494459764</v>
      </c>
      <c r="BX88" s="3">
        <v>-1.1893816364184906E-4</v>
      </c>
      <c r="BY88" s="3">
        <f t="shared" si="66"/>
        <v>0.18133666262592379</v>
      </c>
      <c r="BZ88" s="3">
        <v>7.1248293950332275E-5</v>
      </c>
      <c r="CA88" s="3">
        <f t="shared" si="54"/>
        <v>0.1812939987852607</v>
      </c>
      <c r="CB88" s="3">
        <v>-2.3836551931121636E-5</v>
      </c>
      <c r="CC88" s="3">
        <f t="shared" si="55"/>
        <v>2.8350757142411781E-9</v>
      </c>
      <c r="CD88" s="3">
        <f t="shared" si="56"/>
        <v>-1.6983136587509147E-9</v>
      </c>
      <c r="CE88" s="3">
        <f t="shared" si="57"/>
        <v>8.5327681326158311E-5</v>
      </c>
      <c r="CF88"/>
      <c r="CG88" s="3">
        <v>16</v>
      </c>
      <c r="CH88" s="3">
        <f t="shared" si="67"/>
        <v>0.16256457273417324</v>
      </c>
      <c r="CI88" s="3">
        <v>-4.2369173587325504E-5</v>
      </c>
      <c r="CJ88" s="3">
        <f t="shared" si="68"/>
        <v>0.16264990041549937</v>
      </c>
      <c r="CK88" s="3">
        <v>1.4665187052429612E-4</v>
      </c>
      <c r="CL88" s="3">
        <f t="shared" si="58"/>
        <v>0.16260723657483631</v>
      </c>
      <c r="CM88" s="3">
        <v>5.2151548560079586E-5</v>
      </c>
      <c r="CN88" s="3">
        <f t="shared" si="59"/>
        <v>-2.2096180137898476E-9</v>
      </c>
      <c r="CO88" s="3">
        <f t="shared" si="60"/>
        <v>7.6481221470743334E-9</v>
      </c>
      <c r="CP88" s="3">
        <f t="shared" si="61"/>
        <v>8.5327681326130556E-5</v>
      </c>
    </row>
    <row r="89" spans="28:94" x14ac:dyDescent="0.2">
      <c r="AB89" s="3">
        <v>15</v>
      </c>
      <c r="AC89" s="3">
        <f t="shared" si="73"/>
        <v>2.7069091796875E-2</v>
      </c>
      <c r="AD89" s="3">
        <f t="shared" si="62"/>
        <v>1.2230803884894642E-5</v>
      </c>
      <c r="AE89" s="3">
        <f t="shared" si="74"/>
        <v>2.7099609375E-2</v>
      </c>
      <c r="AF89" s="3">
        <f t="shared" si="63"/>
        <v>-1.8479591122895489E-5</v>
      </c>
      <c r="AG89" s="3">
        <f t="shared" si="69"/>
        <v>2.70843505859375E-2</v>
      </c>
      <c r="AH89" s="3">
        <f t="shared" si="64"/>
        <v>-3.1243671203759482E-6</v>
      </c>
      <c r="AI89" s="3">
        <f t="shared" si="70"/>
        <v>-3.8213521513731234E-11</v>
      </c>
      <c r="AJ89" s="3">
        <f t="shared" si="71"/>
        <v>5.7737026902365916E-11</v>
      </c>
      <c r="AK89" s="3">
        <f t="shared" si="72"/>
        <v>3.0517578125E-5</v>
      </c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 s="3">
        <v>17</v>
      </c>
      <c r="BW89" s="3">
        <f t="shared" si="65"/>
        <v>0.1812939987852607</v>
      </c>
      <c r="BX89" s="3">
        <v>-2.3836551931121636E-5</v>
      </c>
      <c r="BY89" s="3">
        <f t="shared" si="66"/>
        <v>0.18133666262592379</v>
      </c>
      <c r="BZ89" s="3">
        <v>7.1248293950332275E-5</v>
      </c>
      <c r="CA89" s="3">
        <f t="shared" si="54"/>
        <v>0.18131533070559225</v>
      </c>
      <c r="CB89" s="3">
        <v>2.3707966167484107E-5</v>
      </c>
      <c r="CC89" s="3">
        <f t="shared" si="55"/>
        <v>-5.6511616673250972E-10</v>
      </c>
      <c r="CD89" s="3">
        <f t="shared" si="56"/>
        <v>1.6891521424654401E-9</v>
      </c>
      <c r="CE89" s="3">
        <f t="shared" si="57"/>
        <v>4.2663840663093033E-5</v>
      </c>
      <c r="CF89"/>
      <c r="CG89" s="3">
        <v>17</v>
      </c>
      <c r="CH89" s="3">
        <f t="shared" si="67"/>
        <v>0.16256457273417324</v>
      </c>
      <c r="CI89" s="3">
        <v>-4.2369173587325504E-5</v>
      </c>
      <c r="CJ89" s="3">
        <f t="shared" si="68"/>
        <v>0.16260723657483631</v>
      </c>
      <c r="CK89" s="3">
        <v>5.2151548560079586E-5</v>
      </c>
      <c r="CL89" s="3">
        <f t="shared" si="58"/>
        <v>0.16258590465450479</v>
      </c>
      <c r="CM89" s="3">
        <v>4.8937383633866627E-6</v>
      </c>
      <c r="CN89" s="3">
        <f t="shared" si="59"/>
        <v>-2.0734365020928373E-10</v>
      </c>
      <c r="CO89" s="3">
        <f t="shared" si="60"/>
        <v>2.5521603389848395E-10</v>
      </c>
      <c r="CP89" s="3">
        <f t="shared" si="61"/>
        <v>4.2663840663065278E-5</v>
      </c>
    </row>
    <row r="90" spans="28:94" x14ac:dyDescent="0.2">
      <c r="AB90" s="3">
        <v>16</v>
      </c>
      <c r="AC90" s="3">
        <f t="shared" si="73"/>
        <v>2.7069091796875E-2</v>
      </c>
      <c r="AD90" s="3">
        <f t="shared" si="62"/>
        <v>1.2230803884894642E-5</v>
      </c>
      <c r="AE90" s="3">
        <f t="shared" si="74"/>
        <v>2.70843505859375E-2</v>
      </c>
      <c r="AF90" s="3">
        <f t="shared" si="63"/>
        <v>-3.1243671203759482E-6</v>
      </c>
      <c r="AG90" s="3">
        <f t="shared" si="69"/>
        <v>2.707672119140625E-2</v>
      </c>
      <c r="AH90" s="3">
        <f t="shared" si="64"/>
        <v>4.5532250070520752E-6</v>
      </c>
      <c r="AI90" s="3">
        <f t="shared" si="70"/>
        <v>5.5689602105051957E-11</v>
      </c>
      <c r="AJ90" s="3">
        <f t="shared" si="71"/>
        <v>-1.4225946503707049E-11</v>
      </c>
      <c r="AK90" s="3">
        <f t="shared" si="72"/>
        <v>1.52587890625E-5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 s="3">
        <v>18</v>
      </c>
      <c r="BW90" s="3">
        <f t="shared" si="65"/>
        <v>0.1812939987852607</v>
      </c>
      <c r="BX90" s="3">
        <v>-2.3836551931121636E-5</v>
      </c>
      <c r="BY90" s="3">
        <f t="shared" si="66"/>
        <v>0.18131533070559225</v>
      </c>
      <c r="BZ90" s="3">
        <v>2.3707966167484107E-5</v>
      </c>
      <c r="CA90" s="3">
        <f t="shared" si="54"/>
        <v>0.18130466474542647</v>
      </c>
      <c r="CB90" s="3">
        <v>-6.3769020994253189E-8</v>
      </c>
      <c r="CC90" s="3">
        <f t="shared" si="55"/>
        <v>1.520033580526302E-12</v>
      </c>
      <c r="CD90" s="3">
        <f t="shared" si="56"/>
        <v>-1.5118337922653384E-12</v>
      </c>
      <c r="CE90" s="3">
        <f t="shared" si="57"/>
        <v>2.1331920331546517E-5</v>
      </c>
      <c r="CF90"/>
      <c r="CG90" s="3">
        <v>18</v>
      </c>
      <c r="CH90" s="3">
        <f t="shared" si="67"/>
        <v>0.16256457273417324</v>
      </c>
      <c r="CI90" s="3">
        <v>-4.2369173587325504E-5</v>
      </c>
      <c r="CJ90" s="3">
        <f t="shared" si="68"/>
        <v>0.16258590465450479</v>
      </c>
      <c r="CK90" s="3">
        <v>4.8937383633866627E-6</v>
      </c>
      <c r="CL90" s="3">
        <f t="shared" si="58"/>
        <v>0.16257523869433901</v>
      </c>
      <c r="CM90" s="3">
        <v>-1.8737079785974275E-5</v>
      </c>
      <c r="CN90" s="3">
        <f t="shared" si="59"/>
        <v>7.9387458597151187E-10</v>
      </c>
      <c r="CO90" s="3">
        <f t="shared" si="60"/>
        <v>-9.1694366166459069E-11</v>
      </c>
      <c r="CP90" s="3">
        <f t="shared" si="61"/>
        <v>2.1331920331546517E-5</v>
      </c>
    </row>
    <row r="91" spans="28:94" x14ac:dyDescent="0.2">
      <c r="AB91" s="3">
        <v>17</v>
      </c>
      <c r="AC91" s="3">
        <f t="shared" si="73"/>
        <v>2.707672119140625E-2</v>
      </c>
      <c r="AD91" s="3">
        <f t="shared" si="62"/>
        <v>4.5532250070520752E-6</v>
      </c>
      <c r="AE91" s="3">
        <f t="shared" si="74"/>
        <v>2.70843505859375E-2</v>
      </c>
      <c r="AF91" s="3">
        <f t="shared" si="63"/>
        <v>-3.1243671203759482E-6</v>
      </c>
      <c r="AG91" s="3">
        <f t="shared" si="69"/>
        <v>2.7080535888671875E-2</v>
      </c>
      <c r="AH91" s="3">
        <f t="shared" si="64"/>
        <v>7.1443059951672994E-7</v>
      </c>
      <c r="AI91" s="3">
        <f t="shared" si="70"/>
        <v>3.2529632715227809E-12</v>
      </c>
      <c r="AJ91" s="3">
        <f t="shared" si="71"/>
        <v>-2.2321434749205477E-12</v>
      </c>
      <c r="AK91" s="3">
        <f t="shared" si="72"/>
        <v>7.62939453125E-6</v>
      </c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 s="3">
        <v>19</v>
      </c>
      <c r="BW91" s="3">
        <f t="shared" si="65"/>
        <v>0.18130466474542647</v>
      </c>
      <c r="BX91" s="3">
        <v>-6.3769020994253189E-8</v>
      </c>
      <c r="BY91" s="3">
        <f t="shared" si="66"/>
        <v>0.18131533070559225</v>
      </c>
      <c r="BZ91" s="3">
        <v>2.3707966167484107E-5</v>
      </c>
      <c r="CA91" s="3">
        <f t="shared" si="54"/>
        <v>0.18130999772550938</v>
      </c>
      <c r="CB91" s="3">
        <v>1.1822229529591388E-5</v>
      </c>
      <c r="CC91" s="3">
        <f t="shared" si="55"/>
        <v>-7.5389200307139328E-13</v>
      </c>
      <c r="CD91" s="3">
        <f t="shared" si="56"/>
        <v>2.8028101771178416E-10</v>
      </c>
      <c r="CE91" s="3">
        <f t="shared" si="57"/>
        <v>1.0665960165773258E-5</v>
      </c>
      <c r="CF91"/>
      <c r="CG91" s="3">
        <v>19</v>
      </c>
      <c r="CH91" s="3">
        <f t="shared" si="67"/>
        <v>0.16257523869433901</v>
      </c>
      <c r="CI91" s="3">
        <v>-1.8737079785974275E-5</v>
      </c>
      <c r="CJ91" s="3">
        <f t="shared" si="68"/>
        <v>0.16258590465450479</v>
      </c>
      <c r="CK91" s="3">
        <v>4.8937383633866627E-6</v>
      </c>
      <c r="CL91" s="3">
        <f t="shared" si="58"/>
        <v>0.16258057167442191</v>
      </c>
      <c r="CM91" s="3">
        <v>-6.9215112680418023E-6</v>
      </c>
      <c r="CN91" s="3">
        <f t="shared" si="59"/>
        <v>1.2968890886881924E-10</v>
      </c>
      <c r="CO91" s="3">
        <f t="shared" si="60"/>
        <v>-3.3872065225029236E-11</v>
      </c>
      <c r="CP91" s="3">
        <f t="shared" si="61"/>
        <v>1.0665960165773258E-5</v>
      </c>
    </row>
    <row r="92" spans="28:94" x14ac:dyDescent="0.2">
      <c r="AB92" s="3">
        <v>18</v>
      </c>
      <c r="AC92" s="3">
        <f t="shared" si="73"/>
        <v>2.7080535888671875E-2</v>
      </c>
      <c r="AD92" s="3">
        <f t="shared" si="62"/>
        <v>7.1443059951672994E-7</v>
      </c>
      <c r="AE92" s="3">
        <f t="shared" si="74"/>
        <v>2.70843505859375E-2</v>
      </c>
      <c r="AF92" s="3">
        <f t="shared" si="63"/>
        <v>-3.1243671203759482E-6</v>
      </c>
      <c r="AG92" s="3">
        <f t="shared" si="69"/>
        <v>2.7082443237304688E-2</v>
      </c>
      <c r="AH92" s="3">
        <f t="shared" si="64"/>
        <v>-1.2049678463875446E-6</v>
      </c>
      <c r="AI92" s="3">
        <f t="shared" si="70"/>
        <v>-8.6086590089303649E-13</v>
      </c>
      <c r="AJ92" s="3">
        <f t="shared" si="71"/>
        <v>3.7647619203634605E-12</v>
      </c>
      <c r="AK92" s="3">
        <f t="shared" si="72"/>
        <v>3.814697265625E-6</v>
      </c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 s="3">
        <v>20</v>
      </c>
      <c r="BW92" s="3">
        <f t="shared" si="65"/>
        <v>0.18130466474542647</v>
      </c>
      <c r="BX92" s="3">
        <v>-6.3769020994253189E-8</v>
      </c>
      <c r="BY92" s="3">
        <f t="shared" si="66"/>
        <v>0.18130999772550938</v>
      </c>
      <c r="BZ92" s="3">
        <v>1.1822229529591388E-5</v>
      </c>
      <c r="CA92" s="3">
        <f t="shared" si="54"/>
        <v>0.18130733123546794</v>
      </c>
      <c r="CB92" s="3">
        <v>5.8792629945084163E-6</v>
      </c>
      <c r="CC92" s="3">
        <f t="shared" si="55"/>
        <v>-3.7491484532754307E-13</v>
      </c>
      <c r="CD92" s="3">
        <f t="shared" si="56"/>
        <v>6.9505996585911289E-11</v>
      </c>
      <c r="CE92" s="3">
        <f t="shared" si="57"/>
        <v>5.332980082900507E-6</v>
      </c>
      <c r="CF92"/>
      <c r="CG92" s="3">
        <v>20</v>
      </c>
      <c r="CH92" s="3">
        <f t="shared" si="67"/>
        <v>0.16258057167442191</v>
      </c>
      <c r="CI92" s="3">
        <v>-6.9215112680418023E-6</v>
      </c>
      <c r="CJ92" s="3">
        <f t="shared" si="68"/>
        <v>0.16258590465450479</v>
      </c>
      <c r="CK92" s="3">
        <v>4.8937383633866627E-6</v>
      </c>
      <c r="CL92" s="3">
        <f t="shared" si="58"/>
        <v>0.16258323816446335</v>
      </c>
      <c r="CM92" s="3">
        <v>-1.0138465931924801E-6</v>
      </c>
      <c r="CN92" s="3">
        <f t="shared" si="59"/>
        <v>7.0173506188475438E-12</v>
      </c>
      <c r="CO92" s="3">
        <f t="shared" si="60"/>
        <v>-4.9614999676949109E-12</v>
      </c>
      <c r="CP92" s="3">
        <f t="shared" si="61"/>
        <v>5.3329800828727514E-6</v>
      </c>
    </row>
    <row r="93" spans="28:94" x14ac:dyDescent="0.2">
      <c r="AB93" s="3">
        <v>19</v>
      </c>
      <c r="AC93" s="3">
        <f t="shared" si="73"/>
        <v>2.7080535888671875E-2</v>
      </c>
      <c r="AD93" s="3">
        <f t="shared" si="62"/>
        <v>7.1443059951672994E-7</v>
      </c>
      <c r="AE93" s="3">
        <f t="shared" si="74"/>
        <v>2.7082443237304688E-2</v>
      </c>
      <c r="AF93" s="3">
        <f t="shared" si="63"/>
        <v>-1.2049678463875446E-6</v>
      </c>
      <c r="AG93" s="3">
        <f t="shared" si="69"/>
        <v>2.7081489562988281E-2</v>
      </c>
      <c r="AH93" s="3">
        <f t="shared" si="64"/>
        <v>-2.4526851992445753E-7</v>
      </c>
      <c r="AI93" s="3">
        <f t="shared" si="70"/>
        <v>-1.7522733573221121E-13</v>
      </c>
      <c r="AJ93" s="3">
        <f t="shared" si="71"/>
        <v>2.9554068024003414E-13</v>
      </c>
      <c r="AK93" s="3">
        <f t="shared" si="72"/>
        <v>1.9073486328125E-6</v>
      </c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 s="3">
        <v>21</v>
      </c>
      <c r="BW93" s="3">
        <f t="shared" si="65"/>
        <v>0.18130466474542647</v>
      </c>
      <c r="BX93" s="3">
        <v>-6.3769020994253189E-8</v>
      </c>
      <c r="BY93" s="3">
        <f t="shared" si="66"/>
        <v>0.18130733123546794</v>
      </c>
      <c r="BZ93" s="3">
        <v>5.8792629945084163E-6</v>
      </c>
      <c r="CA93" s="3">
        <f t="shared" si="54"/>
        <v>0.18130599799044722</v>
      </c>
      <c r="CB93" s="3">
        <v>2.9077551719075556E-6</v>
      </c>
      <c r="CC93" s="3">
        <f t="shared" si="55"/>
        <v>-1.854247006035212E-13</v>
      </c>
      <c r="CD93" s="3">
        <f t="shared" si="56"/>
        <v>1.709545737928655E-11</v>
      </c>
      <c r="CE93" s="3">
        <f t="shared" si="57"/>
        <v>2.6664900414641313E-6</v>
      </c>
      <c r="CF93"/>
      <c r="CG93" s="3">
        <v>21</v>
      </c>
      <c r="CH93" s="3">
        <f t="shared" si="67"/>
        <v>0.16258323816446335</v>
      </c>
      <c r="CI93" s="3">
        <v>-1.0138465931924801E-6</v>
      </c>
      <c r="CJ93" s="3">
        <f t="shared" si="68"/>
        <v>0.16258590465450479</v>
      </c>
      <c r="CK93" s="3">
        <v>4.8937383633866627E-6</v>
      </c>
      <c r="CL93" s="3">
        <f t="shared" si="58"/>
        <v>0.16258457140948407</v>
      </c>
      <c r="CM93" s="3">
        <v>1.9399558496314973E-6</v>
      </c>
      <c r="CN93" s="3">
        <f t="shared" si="59"/>
        <v>-1.9668176290927165E-12</v>
      </c>
      <c r="CO93" s="3">
        <f t="shared" si="60"/>
        <v>9.4936363646180261E-12</v>
      </c>
      <c r="CP93" s="3">
        <f t="shared" si="61"/>
        <v>2.6664900414363757E-6</v>
      </c>
    </row>
    <row r="94" spans="28:94" x14ac:dyDescent="0.2">
      <c r="AB94" s="3">
        <v>20</v>
      </c>
      <c r="AC94" s="3">
        <f t="shared" si="73"/>
        <v>2.7080535888671875E-2</v>
      </c>
      <c r="AD94" s="3">
        <f t="shared" si="62"/>
        <v>7.1443059951672994E-7</v>
      </c>
      <c r="AE94" s="3">
        <f t="shared" si="74"/>
        <v>2.7081489562988281E-2</v>
      </c>
      <c r="AF94" s="3">
        <f t="shared" si="63"/>
        <v>-2.4526851992445753E-7</v>
      </c>
      <c r="AG94" s="3">
        <f t="shared" si="69"/>
        <v>2.7081012725830078E-2</v>
      </c>
      <c r="AH94" s="3">
        <f t="shared" si="64"/>
        <v>2.3458106567647574E-7</v>
      </c>
      <c r="AI94" s="3">
        <f t="shared" si="70"/>
        <v>1.6759189138651795E-13</v>
      </c>
      <c r="AJ94" s="3">
        <f t="shared" si="71"/>
        <v>-5.7535350780771173E-14</v>
      </c>
      <c r="AK94" s="3">
        <f t="shared" si="72"/>
        <v>9.5367431640625E-7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 s="3">
        <v>22</v>
      </c>
      <c r="BW94" s="3">
        <f t="shared" si="65"/>
        <v>0.18130466474542647</v>
      </c>
      <c r="BX94" s="3">
        <v>-6.3769020994253189E-8</v>
      </c>
      <c r="BY94" s="3">
        <f t="shared" si="66"/>
        <v>0.18130599799044722</v>
      </c>
      <c r="BZ94" s="3">
        <v>2.9077551719075556E-6</v>
      </c>
      <c r="CA94" s="3">
        <f t="shared" si="54"/>
        <v>0.18130533136793686</v>
      </c>
      <c r="CB94" s="3">
        <v>1.4219951218544247E-6</v>
      </c>
      <c r="CC94" s="3">
        <f t="shared" si="55"/>
        <v>-9.0679236779260427E-14</v>
      </c>
      <c r="CD94" s="3">
        <f t="shared" si="56"/>
        <v>4.1348136699995182E-12</v>
      </c>
      <c r="CE94" s="3">
        <f t="shared" si="57"/>
        <v>1.3332450207459434E-6</v>
      </c>
      <c r="CF94"/>
      <c r="CG94" s="3">
        <v>22</v>
      </c>
      <c r="CH94" s="3">
        <f t="shared" si="67"/>
        <v>0.16258323816446335</v>
      </c>
      <c r="CI94" s="3">
        <v>-1.0138465931924801E-6</v>
      </c>
      <c r="CJ94" s="3">
        <f t="shared" si="68"/>
        <v>0.16258457140948407</v>
      </c>
      <c r="CK94" s="3">
        <v>1.9399558496314973E-6</v>
      </c>
      <c r="CL94" s="3">
        <f t="shared" si="58"/>
        <v>0.16258390478697371</v>
      </c>
      <c r="CM94" s="3">
        <v>4.6305711938129934E-7</v>
      </c>
      <c r="CN94" s="3">
        <f t="shared" si="59"/>
        <v>-4.694688829382539E-13</v>
      </c>
      <c r="CO94" s="3">
        <f t="shared" si="60"/>
        <v>8.9831036745726225E-13</v>
      </c>
      <c r="CP94" s="3">
        <f t="shared" si="61"/>
        <v>1.3332450207181878E-6</v>
      </c>
    </row>
    <row r="95" spans="28:94" x14ac:dyDescent="0.2">
      <c r="AB95" s="3">
        <v>21</v>
      </c>
      <c r="AC95" s="3">
        <f t="shared" si="73"/>
        <v>2.7081012725830078E-2</v>
      </c>
      <c r="AD95" s="3">
        <f t="shared" si="62"/>
        <v>2.3458106567647574E-7</v>
      </c>
      <c r="AE95" s="3">
        <f t="shared" si="74"/>
        <v>2.7081489562988281E-2</v>
      </c>
      <c r="AF95" s="3">
        <f t="shared" si="63"/>
        <v>-2.4526851992445753E-7</v>
      </c>
      <c r="AG95" s="3">
        <f t="shared" si="69"/>
        <v>2.708125114440918E-2</v>
      </c>
      <c r="AH95" s="3">
        <f t="shared" si="64"/>
        <v>-5.343720656941775E-9</v>
      </c>
      <c r="AI95" s="3">
        <f t="shared" si="70"/>
        <v>-1.2535356863827987E-15</v>
      </c>
      <c r="AJ95" s="3">
        <f t="shared" si="71"/>
        <v>1.3106464564178591E-15</v>
      </c>
      <c r="AK95" s="3">
        <f t="shared" si="72"/>
        <v>4.76837158203125E-7</v>
      </c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 s="3">
        <v>23</v>
      </c>
      <c r="BW95" s="3">
        <f t="shared" si="65"/>
        <v>0.18130466474542647</v>
      </c>
      <c r="BX95" s="3">
        <v>-6.3769020994253189E-8</v>
      </c>
      <c r="BY95" s="3">
        <f t="shared" si="66"/>
        <v>0.18130533136793686</v>
      </c>
      <c r="BZ95" s="3">
        <v>1.4219951218544247E-6</v>
      </c>
      <c r="CA95" s="3">
        <f t="shared" si="54"/>
        <v>0.18130499805668165</v>
      </c>
      <c r="CB95" s="3">
        <v>6.7911356190983319E-7</v>
      </c>
      <c r="CC95" s="3">
        <f t="shared" si="55"/>
        <v>-4.3306406986910214E-14</v>
      </c>
      <c r="CD95" s="3">
        <f t="shared" si="56"/>
        <v>9.6569617222096559E-13</v>
      </c>
      <c r="CE95" s="3">
        <f t="shared" si="57"/>
        <v>6.666225103868495E-7</v>
      </c>
      <c r="CF95"/>
      <c r="CG95" s="3">
        <v>23</v>
      </c>
      <c r="CH95" s="3">
        <f t="shared" si="67"/>
        <v>0.16258323816446335</v>
      </c>
      <c r="CI95" s="3">
        <v>-1.0138465931924801E-6</v>
      </c>
      <c r="CJ95" s="3">
        <f t="shared" si="68"/>
        <v>0.16258390478697371</v>
      </c>
      <c r="CK95" s="3">
        <v>4.6305711938129934E-7</v>
      </c>
      <c r="CL95" s="3">
        <f t="shared" si="58"/>
        <v>0.16258357147571853</v>
      </c>
      <c r="CM95" s="3">
        <v>-2.7539411417629167E-7</v>
      </c>
      <c r="CN95" s="3">
        <f t="shared" si="59"/>
        <v>2.7920738444289417E-13</v>
      </c>
      <c r="CO95" s="3">
        <f t="shared" si="60"/>
        <v>-1.2752320520503827E-13</v>
      </c>
      <c r="CP95" s="3">
        <f t="shared" si="61"/>
        <v>6.6662251035909392E-7</v>
      </c>
    </row>
    <row r="96" spans="28:94" x14ac:dyDescent="0.2">
      <c r="AB96" s="3">
        <v>22</v>
      </c>
      <c r="AC96" s="3">
        <f t="shared" si="73"/>
        <v>2.7081012725830078E-2</v>
      </c>
      <c r="AD96" s="3">
        <f t="shared" si="62"/>
        <v>2.3458106567647574E-7</v>
      </c>
      <c r="AE96" s="3">
        <f t="shared" si="74"/>
        <v>2.708125114440918E-2</v>
      </c>
      <c r="AF96" s="3">
        <f t="shared" si="63"/>
        <v>-5.343720656941775E-9</v>
      </c>
      <c r="AG96" s="3">
        <f t="shared" si="69"/>
        <v>2.7081131935119629E-2</v>
      </c>
      <c r="AH96" s="3">
        <f t="shared" si="64"/>
        <v>1.1461867412479454E-7</v>
      </c>
      <c r="AI96" s="3">
        <f t="shared" si="70"/>
        <v>2.6887370722618999E-14</v>
      </c>
      <c r="AJ96" s="3">
        <f t="shared" si="71"/>
        <v>-6.124901765919423E-16</v>
      </c>
      <c r="AK96" s="3">
        <f t="shared" si="72"/>
        <v>2.384185791015625E-7</v>
      </c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 s="3">
        <v>24</v>
      </c>
      <c r="BW96" s="3">
        <f t="shared" si="65"/>
        <v>0.18130466474542647</v>
      </c>
      <c r="BX96" s="3">
        <v>-6.3769020994253189E-8</v>
      </c>
      <c r="BY96" s="3">
        <f t="shared" si="66"/>
        <v>0.18130499805668165</v>
      </c>
      <c r="BZ96" s="3">
        <v>6.7911356190983319E-7</v>
      </c>
      <c r="CA96" s="3">
        <f t="shared" si="54"/>
        <v>0.18130483140105408</v>
      </c>
      <c r="CB96" s="3">
        <v>3.0767239839885052E-7</v>
      </c>
      <c r="CC96" s="3">
        <f t="shared" si="55"/>
        <v>-1.961996763284853E-14</v>
      </c>
      <c r="CD96" s="3">
        <f t="shared" si="56"/>
        <v>2.0894449837798464E-13</v>
      </c>
      <c r="CE96" s="3">
        <f t="shared" si="57"/>
        <v>3.3331125517954696E-7</v>
      </c>
      <c r="CF96"/>
      <c r="CG96" s="3">
        <v>24</v>
      </c>
      <c r="CH96" s="3">
        <f t="shared" si="67"/>
        <v>0.16258357147571853</v>
      </c>
      <c r="CI96" s="3">
        <v>-2.7539411417629167E-7</v>
      </c>
      <c r="CJ96" s="3">
        <f t="shared" si="68"/>
        <v>0.16258390478697371</v>
      </c>
      <c r="CK96" s="3">
        <v>4.6305711938129934E-7</v>
      </c>
      <c r="CL96" s="3">
        <f t="shared" si="58"/>
        <v>0.16258373813134613</v>
      </c>
      <c r="CM96" s="3">
        <v>9.3831658332099721E-8</v>
      </c>
      <c r="CN96" s="3">
        <f t="shared" si="59"/>
        <v>-2.584068642806106E-14</v>
      </c>
      <c r="CO96" s="3">
        <f t="shared" si="60"/>
        <v>4.3449417414032395E-14</v>
      </c>
      <c r="CP96" s="3">
        <f t="shared" si="61"/>
        <v>3.3331125517954696E-7</v>
      </c>
    </row>
    <row r="97" spans="28:94" x14ac:dyDescent="0.2">
      <c r="AB97" s="3">
        <v>23</v>
      </c>
      <c r="AC97" s="3">
        <f t="shared" si="73"/>
        <v>2.7081131935119629E-2</v>
      </c>
      <c r="AD97" s="3">
        <f t="shared" si="62"/>
        <v>1.1461867412479454E-7</v>
      </c>
      <c r="AE97" s="3">
        <f t="shared" si="74"/>
        <v>2.708125114440918E-2</v>
      </c>
      <c r="AF97" s="3">
        <f t="shared" si="63"/>
        <v>-5.343720656941775E-9</v>
      </c>
      <c r="AG97" s="3">
        <f t="shared" si="69"/>
        <v>2.7081191539764404E-2</v>
      </c>
      <c r="AH97" s="3">
        <f t="shared" si="64"/>
        <v>5.4637477139851676E-8</v>
      </c>
      <c r="AI97" s="3">
        <f t="shared" si="70"/>
        <v>6.2624751872935705E-15</v>
      </c>
      <c r="AJ97" s="3">
        <f t="shared" si="71"/>
        <v>-2.9196741523540942E-16</v>
      </c>
      <c r="AK97" s="3">
        <f t="shared" si="72"/>
        <v>1.1920928955078125E-7</v>
      </c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 s="3">
        <v>25</v>
      </c>
      <c r="BW97" s="3">
        <f t="shared" si="65"/>
        <v>0.18130466474542647</v>
      </c>
      <c r="BX97" s="3">
        <v>-6.3769020994253189E-8</v>
      </c>
      <c r="BY97" s="3">
        <f t="shared" si="66"/>
        <v>0.18130483140105408</v>
      </c>
      <c r="BZ97" s="3">
        <v>3.0767239839885052E-7</v>
      </c>
      <c r="CA97" s="3">
        <f t="shared" si="54"/>
        <v>0.18130474807324026</v>
      </c>
      <c r="CB97" s="3">
        <v>1.2195172062121062E-7</v>
      </c>
      <c r="CC97" s="3">
        <f t="shared" si="55"/>
        <v>-7.7767418325792792E-15</v>
      </c>
      <c r="CD97" s="3">
        <f t="shared" si="56"/>
        <v>3.7521178372394428E-14</v>
      </c>
      <c r="CE97" s="3">
        <f t="shared" si="57"/>
        <v>1.6665562760365127E-7</v>
      </c>
      <c r="CF97"/>
      <c r="CG97" s="3">
        <v>25</v>
      </c>
      <c r="CH97" s="3">
        <f t="shared" si="67"/>
        <v>0.16258357147571853</v>
      </c>
      <c r="CI97" s="3">
        <v>-2.7539411417629167E-7</v>
      </c>
      <c r="CJ97" s="3">
        <f t="shared" si="68"/>
        <v>0.16258373813134613</v>
      </c>
      <c r="CK97" s="3">
        <v>9.3831658332099721E-8</v>
      </c>
      <c r="CL97" s="3">
        <f t="shared" si="58"/>
        <v>0.16258365480353232</v>
      </c>
      <c r="CM97" s="3">
        <v>-9.0781189024391473E-8</v>
      </c>
      <c r="CN97" s="3">
        <f t="shared" si="59"/>
        <v>2.5000605135242783E-14</v>
      </c>
      <c r="CO97" s="3">
        <f t="shared" si="60"/>
        <v>-8.5181495115184624E-15</v>
      </c>
      <c r="CP97" s="3">
        <f t="shared" si="61"/>
        <v>1.6665562760365127E-7</v>
      </c>
    </row>
    <row r="98" spans="28:94" x14ac:dyDescent="0.2">
      <c r="AB98" s="3">
        <v>24</v>
      </c>
      <c r="AC98" s="3">
        <f t="shared" si="73"/>
        <v>2.7081191539764404E-2</v>
      </c>
      <c r="AD98" s="3">
        <f t="shared" si="62"/>
        <v>5.4637477139851676E-8</v>
      </c>
      <c r="AE98" s="3">
        <f t="shared" si="74"/>
        <v>2.708125114440918E-2</v>
      </c>
      <c r="AF98" s="3">
        <f t="shared" si="63"/>
        <v>-5.343720656941775E-9</v>
      </c>
      <c r="AG98" s="3">
        <f t="shared" si="69"/>
        <v>2.7081221342086792E-2</v>
      </c>
      <c r="AH98" s="3">
        <f t="shared" si="64"/>
        <v>2.4646878343803635E-8</v>
      </c>
      <c r="AI98" s="3">
        <f t="shared" si="70"/>
        <v>1.3466432520782765E-15</v>
      </c>
      <c r="AJ98" s="3">
        <f t="shared" si="71"/>
        <v>-1.3170603293491437E-16</v>
      </c>
      <c r="AK98" s="3">
        <f t="shared" si="72"/>
        <v>5.9604644775390625E-8</v>
      </c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 s="3">
        <v>26</v>
      </c>
      <c r="BW98" s="3">
        <f t="shared" si="65"/>
        <v>0.18130466474542647</v>
      </c>
      <c r="BX98" s="3">
        <v>-6.3769020994253189E-8</v>
      </c>
      <c r="BY98" s="3">
        <f t="shared" si="66"/>
        <v>0.18130474807324026</v>
      </c>
      <c r="BZ98" s="3">
        <v>1.2195172062121062E-7</v>
      </c>
      <c r="CA98" s="3">
        <f t="shared" si="54"/>
        <v>0.18130470640933338</v>
      </c>
      <c r="CB98" s="3">
        <v>2.9091357843513688E-8</v>
      </c>
      <c r="CC98" s="3">
        <f t="shared" si="55"/>
        <v>-1.8551274090743564E-15</v>
      </c>
      <c r="CD98" s="3">
        <f t="shared" si="56"/>
        <v>3.5477411442238458E-15</v>
      </c>
      <c r="CE98" s="3">
        <f t="shared" si="57"/>
        <v>8.3327813787947846E-8</v>
      </c>
      <c r="CF98"/>
      <c r="CG98" s="3">
        <v>26</v>
      </c>
      <c r="CH98" s="3">
        <f t="shared" si="67"/>
        <v>0.16258365480353232</v>
      </c>
      <c r="CI98" s="3">
        <v>-9.0781189024391473E-8</v>
      </c>
      <c r="CJ98" s="3">
        <f t="shared" si="68"/>
        <v>0.16258373813134613</v>
      </c>
      <c r="CK98" s="3">
        <v>9.3831658332099721E-8</v>
      </c>
      <c r="CL98" s="3">
        <f t="shared" si="58"/>
        <v>0.16258369646743923</v>
      </c>
      <c r="CM98" s="3">
        <v>1.5252444134083998E-9</v>
      </c>
      <c r="CN98" s="3">
        <f t="shared" si="59"/>
        <v>-1.3846350140202503E-16</v>
      </c>
      <c r="CO98" s="3">
        <f t="shared" si="60"/>
        <v>1.4311621267188082E-16</v>
      </c>
      <c r="CP98" s="3">
        <f t="shared" si="61"/>
        <v>8.3327813815703422E-8</v>
      </c>
    </row>
    <row r="99" spans="28:94" x14ac:dyDescent="0.2">
      <c r="AB99" s="3">
        <v>25</v>
      </c>
      <c r="AC99" s="3">
        <f t="shared" si="73"/>
        <v>2.7081221342086792E-2</v>
      </c>
      <c r="AD99" s="3">
        <f t="shared" si="62"/>
        <v>2.4646878343803635E-8</v>
      </c>
      <c r="AE99" s="3">
        <f t="shared" si="74"/>
        <v>2.708125114440918E-2</v>
      </c>
      <c r="AF99" s="3">
        <f t="shared" si="63"/>
        <v>-5.343720656941775E-9</v>
      </c>
      <c r="AG99" s="3">
        <f t="shared" si="69"/>
        <v>2.7081236243247986E-2</v>
      </c>
      <c r="AH99" s="3">
        <f t="shared" si="64"/>
        <v>9.6515788694517823E-9</v>
      </c>
      <c r="AI99" s="3">
        <f t="shared" si="70"/>
        <v>2.3788129022100392E-16</v>
      </c>
      <c r="AJ99" s="3">
        <f t="shared" si="71"/>
        <v>-5.1575341376792232E-17</v>
      </c>
      <c r="AK99" s="3">
        <f t="shared" si="72"/>
        <v>2.9802322387695312E-8</v>
      </c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 s="3">
        <v>27</v>
      </c>
      <c r="BW99" s="3">
        <f t="shared" si="65"/>
        <v>0.18130466474542647</v>
      </c>
      <c r="BX99" s="3">
        <v>-6.3769020994253189E-8</v>
      </c>
      <c r="BY99" s="3">
        <f t="shared" si="66"/>
        <v>0.18130470640933338</v>
      </c>
      <c r="BZ99" s="3">
        <v>2.9091357843513688E-8</v>
      </c>
      <c r="CA99" s="3">
        <f t="shared" si="54"/>
        <v>0.18130468557737994</v>
      </c>
      <c r="CB99" s="3">
        <v>-1.7338829545743284E-8</v>
      </c>
      <c r="CC99" s="3">
        <f t="shared" si="55"/>
        <v>1.1056801853182809E-15</v>
      </c>
      <c r="CD99" s="3">
        <f t="shared" si="56"/>
        <v>-5.0441009490290575E-16</v>
      </c>
      <c r="CE99" s="3">
        <f t="shared" si="57"/>
        <v>4.1663906907851711E-8</v>
      </c>
      <c r="CF99"/>
      <c r="CG99" s="3">
        <v>27</v>
      </c>
      <c r="CH99" s="3">
        <f t="shared" si="67"/>
        <v>0.16258365480353232</v>
      </c>
      <c r="CI99" s="3">
        <v>-9.0781189024391473E-8</v>
      </c>
      <c r="CJ99" s="3">
        <f t="shared" si="68"/>
        <v>0.16258369646743923</v>
      </c>
      <c r="CK99" s="3">
        <v>1.5252444134083998E-9</v>
      </c>
      <c r="CL99" s="3">
        <f t="shared" si="58"/>
        <v>0.16258367563548576</v>
      </c>
      <c r="CM99" s="3">
        <v>-4.4627969909838416E-8</v>
      </c>
      <c r="CN99" s="3">
        <f t="shared" si="59"/>
        <v>4.0513801721598964E-15</v>
      </c>
      <c r="CO99" s="3">
        <f t="shared" si="60"/>
        <v>-6.8068561786739212E-17</v>
      </c>
      <c r="CP99" s="3">
        <f t="shared" si="61"/>
        <v>4.1663906907851711E-8</v>
      </c>
    </row>
    <row r="100" spans="28:94" x14ac:dyDescent="0.2">
      <c r="AB100" s="3">
        <v>26</v>
      </c>
      <c r="AC100" s="3">
        <f t="shared" si="73"/>
        <v>2.7081236243247986E-2</v>
      </c>
      <c r="AD100" s="3">
        <f t="shared" si="62"/>
        <v>9.6515788694517823E-9</v>
      </c>
      <c r="AE100" s="3">
        <f t="shared" si="74"/>
        <v>2.708125114440918E-2</v>
      </c>
      <c r="AF100" s="3">
        <f t="shared" si="63"/>
        <v>-5.343720656941775E-9</v>
      </c>
      <c r="AG100" s="3">
        <f t="shared" si="69"/>
        <v>2.7081243693828583E-2</v>
      </c>
      <c r="AH100" s="3">
        <f t="shared" si="64"/>
        <v>2.153929114928621E-9</v>
      </c>
      <c r="AI100" s="3">
        <f t="shared" si="70"/>
        <v>2.0788816731942058E-17</v>
      </c>
      <c r="AJ100" s="3">
        <f t="shared" si="71"/>
        <v>-1.1509995505032387E-17</v>
      </c>
      <c r="AK100" s="3">
        <f t="shared" si="72"/>
        <v>1.4901161193847656E-8</v>
      </c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 s="3">
        <v>28</v>
      </c>
      <c r="BW100" s="3">
        <f t="shared" si="65"/>
        <v>0.18130468557737994</v>
      </c>
      <c r="BX100" s="3">
        <v>-1.7338829545743284E-8</v>
      </c>
      <c r="BY100" s="3">
        <f t="shared" si="66"/>
        <v>0.18130470640933338</v>
      </c>
      <c r="BZ100" s="3">
        <v>2.9091357843513688E-8</v>
      </c>
      <c r="CA100" s="3">
        <f t="shared" si="54"/>
        <v>0.18130469599335666</v>
      </c>
      <c r="CB100" s="3">
        <v>5.8762646623633508E-9</v>
      </c>
      <c r="CC100" s="3">
        <f t="shared" si="55"/>
        <v>-1.0188755134639285E-16</v>
      </c>
      <c r="CD100" s="3">
        <f t="shared" si="56"/>
        <v>1.7094851807600638E-16</v>
      </c>
      <c r="CE100" s="3">
        <f t="shared" si="57"/>
        <v>2.0831953440048068E-8</v>
      </c>
      <c r="CF100"/>
      <c r="CG100" s="3">
        <v>28</v>
      </c>
      <c r="CH100" s="3">
        <f t="shared" si="67"/>
        <v>0.16258367563548576</v>
      </c>
      <c r="CI100" s="3">
        <v>-4.4627969909838416E-8</v>
      </c>
      <c r="CJ100" s="3">
        <f t="shared" si="68"/>
        <v>0.16258369646743923</v>
      </c>
      <c r="CK100" s="3">
        <v>1.5252444134083998E-9</v>
      </c>
      <c r="CL100" s="3">
        <f t="shared" si="58"/>
        <v>0.16258368605146251</v>
      </c>
      <c r="CM100" s="3">
        <v>-2.1551362128918727E-8</v>
      </c>
      <c r="CN100" s="3">
        <f t="shared" si="59"/>
        <v>9.6179354060541618E-16</v>
      </c>
      <c r="CO100" s="3">
        <f t="shared" si="60"/>
        <v>-3.2871094688474649E-17</v>
      </c>
      <c r="CP100" s="3">
        <f t="shared" si="61"/>
        <v>2.0831953467803643E-8</v>
      </c>
    </row>
    <row r="101" spans="28:94" x14ac:dyDescent="0.2">
      <c r="AB101" s="3">
        <v>27</v>
      </c>
      <c r="AC101" s="3">
        <f t="shared" si="73"/>
        <v>2.7081243693828583E-2</v>
      </c>
      <c r="AD101" s="3">
        <f t="shared" si="62"/>
        <v>2.153929114928621E-9</v>
      </c>
      <c r="AE101" s="3">
        <f t="shared" si="74"/>
        <v>2.708125114440918E-2</v>
      </c>
      <c r="AF101" s="3">
        <f t="shared" si="63"/>
        <v>-5.343720656941775E-9</v>
      </c>
      <c r="AG101" s="3">
        <f t="shared" si="69"/>
        <v>2.7081247419118881E-2</v>
      </c>
      <c r="AH101" s="3">
        <f t="shared" si="64"/>
        <v>-1.594895771006577E-9</v>
      </c>
      <c r="AI101" s="3">
        <f t="shared" si="70"/>
        <v>-3.435292436447597E-18</v>
      </c>
      <c r="AJ101" s="3">
        <f t="shared" si="71"/>
        <v>8.5226774771969243E-18</v>
      </c>
      <c r="AK101" s="3">
        <f t="shared" si="72"/>
        <v>7.4505805969238281E-9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 s="3">
        <v>29</v>
      </c>
      <c r="BW101" s="3">
        <f t="shared" si="65"/>
        <v>0.18130468557737994</v>
      </c>
      <c r="BX101" s="3">
        <v>-1.7338829545743284E-8</v>
      </c>
      <c r="BY101" s="3">
        <f t="shared" si="66"/>
        <v>0.18130469599335666</v>
      </c>
      <c r="BZ101" s="3">
        <v>5.8762646623633508E-9</v>
      </c>
      <c r="CA101" s="3">
        <f t="shared" si="54"/>
        <v>0.18130469078536832</v>
      </c>
      <c r="CB101" s="3">
        <v>-5.7312823167898763E-9</v>
      </c>
      <c r="CC101" s="3">
        <f t="shared" si="55"/>
        <v>9.9373727169352324E-17</v>
      </c>
      <c r="CD101" s="3">
        <f t="shared" si="56"/>
        <v>-3.3678531748180304E-17</v>
      </c>
      <c r="CE101" s="3">
        <f t="shared" si="57"/>
        <v>1.0415976720024034E-8</v>
      </c>
      <c r="CF101"/>
      <c r="CG101" s="3">
        <v>29</v>
      </c>
      <c r="CH101" s="3">
        <f t="shared" si="67"/>
        <v>0.16258368605146251</v>
      </c>
      <c r="CI101" s="3">
        <v>-2.1551362128918727E-8</v>
      </c>
      <c r="CJ101" s="3">
        <f t="shared" si="68"/>
        <v>0.16258369646743923</v>
      </c>
      <c r="CK101" s="3">
        <v>1.5252444134083998E-9</v>
      </c>
      <c r="CL101" s="3">
        <f t="shared" si="58"/>
        <v>0.16258369125945088</v>
      </c>
      <c r="CM101" s="3">
        <v>-1.0013058625302218E-8</v>
      </c>
      <c r="CN101" s="3">
        <f t="shared" si="59"/>
        <v>2.1579505245198123E-16</v>
      </c>
      <c r="CO101" s="3">
        <f t="shared" si="60"/>
        <v>-1.5272361729373001E-17</v>
      </c>
      <c r="CP101" s="3">
        <f t="shared" si="61"/>
        <v>1.0415976720024034E-8</v>
      </c>
    </row>
    <row r="102" spans="28:94" x14ac:dyDescent="0.2">
      <c r="AB102" s="3">
        <v>28</v>
      </c>
      <c r="AC102" s="3">
        <f t="shared" si="73"/>
        <v>2.7081243693828583E-2</v>
      </c>
      <c r="AD102" s="3">
        <f t="shared" si="62"/>
        <v>2.153929114928621E-9</v>
      </c>
      <c r="AE102" s="3">
        <f t="shared" si="74"/>
        <v>2.7081247419118881E-2</v>
      </c>
      <c r="AF102" s="3">
        <f t="shared" si="63"/>
        <v>-1.594895771006577E-9</v>
      </c>
      <c r="AG102" s="3">
        <f t="shared" si="69"/>
        <v>2.7081245556473732E-2</v>
      </c>
      <c r="AH102" s="3">
        <f t="shared" si="64"/>
        <v>2.7951667369574551E-10</v>
      </c>
      <c r="AI102" s="3">
        <f t="shared" si="70"/>
        <v>6.0205910158126925E-19</v>
      </c>
      <c r="AJ102" s="3">
        <f t="shared" si="71"/>
        <v>-4.4579996080316983E-19</v>
      </c>
      <c r="AK102" s="3">
        <f t="shared" si="72"/>
        <v>3.7252902984619141E-9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 s="3">
        <v>30</v>
      </c>
      <c r="BW102" s="3">
        <f t="shared" si="65"/>
        <v>0.18130469078536832</v>
      </c>
      <c r="BX102" s="3">
        <v>-5.7312823167898763E-9</v>
      </c>
      <c r="BY102" s="3">
        <f t="shared" si="66"/>
        <v>0.18130469599335666</v>
      </c>
      <c r="BZ102" s="3">
        <v>5.8762646623633508E-9</v>
      </c>
      <c r="CA102" s="6">
        <f t="shared" si="54"/>
        <v>0.1813046933893625</v>
      </c>
      <c r="CB102" s="3">
        <v>7.2491207481206743E-11</v>
      </c>
      <c r="CC102" s="3">
        <f t="shared" si="55"/>
        <v>-4.154675755597862E-19</v>
      </c>
      <c r="CD102" s="3">
        <f t="shared" si="56"/>
        <v>4.2597752085386495E-19</v>
      </c>
      <c r="CE102" s="3">
        <f t="shared" si="57"/>
        <v>5.2079883461342291E-9</v>
      </c>
      <c r="CF102"/>
      <c r="CG102" s="3">
        <v>30</v>
      </c>
      <c r="CH102" s="3">
        <f t="shared" si="67"/>
        <v>0.16258369125945088</v>
      </c>
      <c r="CI102" s="3">
        <v>-1.0013058625302218E-8</v>
      </c>
      <c r="CJ102" s="3">
        <f t="shared" si="68"/>
        <v>0.16258369646743923</v>
      </c>
      <c r="CK102" s="3">
        <v>1.5252444134083998E-9</v>
      </c>
      <c r="CL102" s="6">
        <f t="shared" si="58"/>
        <v>0.16258369386344507</v>
      </c>
      <c r="CM102" s="3">
        <v>-4.2439070938038448E-9</v>
      </c>
      <c r="CN102" s="3">
        <f t="shared" si="59"/>
        <v>4.249449053059386E-17</v>
      </c>
      <c r="CO102" s="3">
        <f t="shared" si="60"/>
        <v>-6.4729955858485915E-18</v>
      </c>
      <c r="CP102" s="3">
        <f t="shared" si="61"/>
        <v>5.2079883461342291E-9</v>
      </c>
    </row>
    <row r="103" spans="28:94" x14ac:dyDescent="0.2">
      <c r="AB103" s="3">
        <v>29</v>
      </c>
      <c r="AC103" s="3">
        <f t="shared" si="73"/>
        <v>2.7081245556473732E-2</v>
      </c>
      <c r="AD103" s="3">
        <f t="shared" si="62"/>
        <v>2.7951667369574551E-10</v>
      </c>
      <c r="AE103" s="3">
        <f t="shared" si="74"/>
        <v>2.7081247419118881E-2</v>
      </c>
      <c r="AF103" s="3">
        <f t="shared" si="63"/>
        <v>-1.594895771006577E-9</v>
      </c>
      <c r="AG103" s="3">
        <f t="shared" si="69"/>
        <v>2.7081246487796307E-2</v>
      </c>
      <c r="AH103" s="3">
        <f t="shared" si="64"/>
        <v>-6.5768954865541573E-10</v>
      </c>
      <c r="AI103" s="3">
        <f t="shared" si="70"/>
        <v>-1.8383519496461798E-19</v>
      </c>
      <c r="AJ103" s="3">
        <f t="shared" si="71"/>
        <v>1.0489462797857469E-18</v>
      </c>
      <c r="AK103" s="3">
        <f t="shared" si="72"/>
        <v>1.862645149230957E-9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</row>
    <row r="104" spans="28:94" x14ac:dyDescent="0.2">
      <c r="AB104" s="3">
        <v>30</v>
      </c>
      <c r="AC104" s="3">
        <f t="shared" si="73"/>
        <v>2.7081245556473732E-2</v>
      </c>
      <c r="AD104" s="3">
        <f t="shared" si="62"/>
        <v>2.7951667369574551E-10</v>
      </c>
      <c r="AE104" s="3">
        <f t="shared" si="74"/>
        <v>2.7081246487796307E-2</v>
      </c>
      <c r="AF104" s="3">
        <f t="shared" si="63"/>
        <v>-6.5768954865541573E-10</v>
      </c>
      <c r="AG104" s="3">
        <f t="shared" si="69"/>
        <v>2.7081246022135019E-2</v>
      </c>
      <c r="AH104" s="3">
        <f t="shared" si="64"/>
        <v>-1.8908643747983511E-10</v>
      </c>
      <c r="AI104" s="3">
        <f t="shared" si="70"/>
        <v>-5.2852812045342055E-20</v>
      </c>
      <c r="AJ104" s="3">
        <f t="shared" si="71"/>
        <v>1.2436017372297324E-19</v>
      </c>
      <c r="AK104" s="3">
        <f t="shared" si="72"/>
        <v>9.3132257461547852E-10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 s="59" t="s">
        <v>235</v>
      </c>
      <c r="BW104" s="59"/>
      <c r="BX104" s="59"/>
      <c r="BY104" s="59"/>
      <c r="BZ104" s="59"/>
      <c r="CA104" s="59"/>
      <c r="CB104" s="59"/>
      <c r="CC104" s="59"/>
      <c r="CD104" s="59"/>
      <c r="CE104" s="59"/>
      <c r="CF104"/>
      <c r="CG104" s="59" t="s">
        <v>243</v>
      </c>
      <c r="CH104" s="59"/>
      <c r="CI104" s="59"/>
      <c r="CJ104" s="59"/>
      <c r="CK104" s="59"/>
      <c r="CL104" s="59"/>
      <c r="CM104" s="59"/>
      <c r="CN104" s="59"/>
      <c r="CO104" s="59"/>
      <c r="CP104" s="59"/>
    </row>
    <row r="105" spans="28:94" x14ac:dyDescent="0.2"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 s="8" t="s">
        <v>45</v>
      </c>
      <c r="BW105" s="8" t="s">
        <v>46</v>
      </c>
      <c r="BX105" s="8" t="s">
        <v>47</v>
      </c>
      <c r="BY105" s="8" t="s">
        <v>48</v>
      </c>
      <c r="BZ105" s="8" t="s">
        <v>49</v>
      </c>
      <c r="CA105" s="8" t="s">
        <v>50</v>
      </c>
      <c r="CB105" s="8" t="s">
        <v>51</v>
      </c>
      <c r="CC105" s="8" t="s">
        <v>52</v>
      </c>
      <c r="CD105" s="8" t="s">
        <v>53</v>
      </c>
      <c r="CE105" s="8" t="s">
        <v>54</v>
      </c>
      <c r="CF105"/>
      <c r="CG105" s="8" t="s">
        <v>45</v>
      </c>
      <c r="CH105" s="8" t="s">
        <v>46</v>
      </c>
      <c r="CI105" s="8" t="s">
        <v>47</v>
      </c>
      <c r="CJ105" s="8" t="s">
        <v>48</v>
      </c>
      <c r="CK105" s="8" t="s">
        <v>49</v>
      </c>
      <c r="CL105" s="8" t="s">
        <v>50</v>
      </c>
      <c r="CM105" s="8" t="s">
        <v>51</v>
      </c>
      <c r="CN105" s="8" t="s">
        <v>52</v>
      </c>
      <c r="CO105" s="8" t="s">
        <v>53</v>
      </c>
      <c r="CP105" s="8" t="s">
        <v>54</v>
      </c>
    </row>
    <row r="106" spans="28:94" x14ac:dyDescent="0.2"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s="31">
        <v>0</v>
      </c>
      <c r="BW106" s="31"/>
      <c r="BX106" s="31">
        <f>$BO$77</f>
        <v>-3.7650529603749927E-9</v>
      </c>
      <c r="BY106" s="31"/>
      <c r="BZ106" s="31">
        <f>$BO$77</f>
        <v>-3.7650529603749927E-9</v>
      </c>
      <c r="CA106" s="31"/>
      <c r="CB106" s="31">
        <f>$BO$77</f>
        <v>-3.7650529603749927E-9</v>
      </c>
      <c r="CC106" s="31"/>
      <c r="CD106" s="31"/>
      <c r="CE106" s="31"/>
      <c r="CF106"/>
      <c r="CG106" s="31">
        <v>0</v>
      </c>
      <c r="CH106" s="31"/>
      <c r="CI106" s="31">
        <f>$BS$77</f>
        <v>2.3881309325901601E-9</v>
      </c>
      <c r="CJ106" s="31"/>
      <c r="CK106" s="31">
        <f>$BS$77</f>
        <v>2.3881309325901601E-9</v>
      </c>
      <c r="CL106" s="31"/>
      <c r="CM106" s="31">
        <f>$BS$77</f>
        <v>2.3881309325901601E-9</v>
      </c>
      <c r="CN106" s="31"/>
      <c r="CO106" s="31"/>
      <c r="CP106" s="31"/>
    </row>
    <row r="107" spans="28:94" x14ac:dyDescent="0.2"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 s="3">
        <v>1</v>
      </c>
      <c r="BW107" s="4">
        <f>0.01*PI()</f>
        <v>3.1415926535897934E-2</v>
      </c>
      <c r="BX107" s="3">
        <f t="dataTable" ref="BX107:BX136" dt2D="0" dtr="0" r1="BO61" ca="1"/>
        <v>-0.63690177233460432</v>
      </c>
      <c r="BY107" s="4">
        <f>0.9*PI()</f>
        <v>2.8274333882308138</v>
      </c>
      <c r="BZ107" s="3">
        <f t="dataTable" ref="BZ107:BZ136" dt2D="0" dtr="0" r1="BO61" ca="1"/>
        <v>0.33210137185439453</v>
      </c>
      <c r="CA107" s="3">
        <f t="shared" ref="CA107:CA136" si="75">(BW107+BY107)/2</f>
        <v>1.4294246573833558</v>
      </c>
      <c r="CB107" s="3">
        <f t="dataTable" ref="CB107:CB136" dt2D="0" dtr="0" r1="BO61"/>
        <v>1.0142563521184309</v>
      </c>
      <c r="CC107" s="3">
        <f t="shared" ref="CC107:CC136" si="76">BX107*CB107</f>
        <v>-0.64598166826585912</v>
      </c>
      <c r="CD107" s="3">
        <f t="shared" ref="CD107:CD136" si="77">BZ107*CB107</f>
        <v>0.33683592595056472</v>
      </c>
      <c r="CE107" s="3">
        <f t="shared" ref="CE107:CE136" si="78">BY107-BW107</f>
        <v>2.7960174616949161</v>
      </c>
      <c r="CF107"/>
      <c r="CG107" s="3">
        <v>1</v>
      </c>
      <c r="CH107" s="4">
        <f>0.01*PI()</f>
        <v>3.1415926535897934E-2</v>
      </c>
      <c r="CI107" s="3">
        <f t="dataTable" ref="CI107:CI136" dt2D="0" dtr="0" r1="BS61" ca="1"/>
        <v>-0.55487565139450512</v>
      </c>
      <c r="CJ107" s="4">
        <f>0.9*PI()</f>
        <v>2.8274333882308138</v>
      </c>
      <c r="CK107" s="3">
        <f t="dataTable" ref="CK107:CK136" dt2D="0" dtr="0" r1="BS61" ca="1"/>
        <v>0.32906312204672461</v>
      </c>
      <c r="CL107" s="3">
        <f t="shared" ref="CL107:CL136" si="79">(CH107+CJ107)/2</f>
        <v>1.4294246573833558</v>
      </c>
      <c r="CM107" s="3">
        <f t="dataTable" ref="CM107:CM136" dt2D="0" dtr="0" r1="BS61"/>
        <v>1.0281181417523149</v>
      </c>
      <c r="CN107" s="3">
        <f t="shared" ref="CN107:CN136" si="80">CI107*CM107</f>
        <v>-0.5704777236153239</v>
      </c>
      <c r="CO107" s="3">
        <f t="shared" ref="CO107:CO136" si="81">CK107*CM107</f>
        <v>0.33831576555789372</v>
      </c>
      <c r="CP107" s="3">
        <f t="shared" ref="CP107:CP136" si="82">CJ107-CH107</f>
        <v>2.7960174616949161</v>
      </c>
    </row>
    <row r="108" spans="28:94" x14ac:dyDescent="0.2"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 s="3">
        <v>2</v>
      </c>
      <c r="BW108" s="3">
        <f t="shared" ref="BW108:BW136" si="83">IF(CC107&gt;0,CA107,BW107)</f>
        <v>3.1415926535897934E-2</v>
      </c>
      <c r="BX108" s="3">
        <v>-0.63690177233460432</v>
      </c>
      <c r="BY108" s="3">
        <f t="shared" ref="BY108:BY136" si="84">IF(CD107&gt;0,CA107,BY107)</f>
        <v>1.4294246573833558</v>
      </c>
      <c r="BZ108" s="3">
        <v>1.0142563521184309</v>
      </c>
      <c r="CA108" s="3">
        <f t="shared" si="75"/>
        <v>0.73042029195962688</v>
      </c>
      <c r="CB108" s="3">
        <v>0.66837116632489468</v>
      </c>
      <c r="CC108" s="3">
        <f t="shared" si="76"/>
        <v>-0.42568678040967201</v>
      </c>
      <c r="CD108" s="3">
        <f t="shared" si="77"/>
        <v>0.6778997010178287</v>
      </c>
      <c r="CE108" s="3">
        <f t="shared" si="78"/>
        <v>1.3980087308474578</v>
      </c>
      <c r="CF108"/>
      <c r="CG108" s="3">
        <v>2</v>
      </c>
      <c r="CH108" s="3">
        <f t="shared" ref="CH108:CH136" si="85">IF(CN107&gt;0,CL107,CH107)</f>
        <v>3.1415926535897934E-2</v>
      </c>
      <c r="CI108" s="3">
        <v>-0.55487565139450512</v>
      </c>
      <c r="CJ108" s="3">
        <f t="shared" ref="CJ108:CJ136" si="86">IF(CO107&gt;0,CL107,CJ107)</f>
        <v>1.4294246573833558</v>
      </c>
      <c r="CK108" s="3">
        <v>1.0281181417523149</v>
      </c>
      <c r="CL108" s="3">
        <f t="shared" si="79"/>
        <v>0.73042029195962688</v>
      </c>
      <c r="CM108" s="3">
        <v>0.67871795187095607</v>
      </c>
      <c r="CN108" s="3">
        <f t="shared" si="80"/>
        <v>-0.37660406565754112</v>
      </c>
      <c r="CO108" s="3">
        <f t="shared" si="81"/>
        <v>0.69780223945150444</v>
      </c>
      <c r="CP108" s="3">
        <f t="shared" si="82"/>
        <v>1.3980087308474578</v>
      </c>
    </row>
    <row r="109" spans="28:94" x14ac:dyDescent="0.2"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 s="3">
        <v>3</v>
      </c>
      <c r="BW109" s="3">
        <f t="shared" si="83"/>
        <v>3.1415926535897934E-2</v>
      </c>
      <c r="BX109" s="3">
        <v>-0.63690177233460432</v>
      </c>
      <c r="BY109" s="3">
        <f t="shared" si="84"/>
        <v>0.73042029195962688</v>
      </c>
      <c r="BZ109" s="3">
        <v>0.66837116632489468</v>
      </c>
      <c r="CA109" s="3">
        <f t="shared" si="75"/>
        <v>0.38091810924776243</v>
      </c>
      <c r="CB109" s="3">
        <v>0.35698463955845872</v>
      </c>
      <c r="CC109" s="3">
        <f t="shared" si="76"/>
        <v>-0.22736414963101226</v>
      </c>
      <c r="CD109" s="3">
        <f t="shared" si="77"/>
        <v>0.23859823990175918</v>
      </c>
      <c r="CE109" s="3">
        <f t="shared" si="78"/>
        <v>0.6990043654237289</v>
      </c>
      <c r="CF109"/>
      <c r="CG109" s="3">
        <v>3</v>
      </c>
      <c r="CH109" s="3">
        <f t="shared" si="85"/>
        <v>3.1415926535897934E-2</v>
      </c>
      <c r="CI109" s="3">
        <v>-0.55487565139450512</v>
      </c>
      <c r="CJ109" s="3">
        <f t="shared" si="86"/>
        <v>0.73042029195962688</v>
      </c>
      <c r="CK109" s="3">
        <v>0.67871795187095607</v>
      </c>
      <c r="CL109" s="3">
        <f t="shared" si="79"/>
        <v>0.38091810924776243</v>
      </c>
      <c r="CM109" s="3">
        <v>0.36904606159815584</v>
      </c>
      <c r="CN109" s="3">
        <f t="shared" si="80"/>
        <v>-0.20477467382385339</v>
      </c>
      <c r="CO109" s="3">
        <f t="shared" si="81"/>
        <v>0.25047818707394304</v>
      </c>
      <c r="CP109" s="3">
        <f t="shared" si="82"/>
        <v>0.6990043654237289</v>
      </c>
    </row>
    <row r="110" spans="28:94" x14ac:dyDescent="0.2"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 s="3">
        <v>4</v>
      </c>
      <c r="BW110" s="3">
        <f t="shared" si="83"/>
        <v>3.1415926535897934E-2</v>
      </c>
      <c r="BX110" s="3">
        <v>-0.63690177233460432</v>
      </c>
      <c r="BY110" s="3">
        <f t="shared" si="84"/>
        <v>0.38091810924776243</v>
      </c>
      <c r="BZ110" s="3">
        <v>0.35698463955845872</v>
      </c>
      <c r="CA110" s="3">
        <f t="shared" si="75"/>
        <v>0.20616701789183017</v>
      </c>
      <c r="CB110" s="3">
        <v>0.11096335164521015</v>
      </c>
      <c r="CC110" s="3">
        <f t="shared" si="76"/>
        <v>-7.0672755327022274E-2</v>
      </c>
      <c r="CD110" s="3">
        <f t="shared" si="77"/>
        <v>3.9612212091263851E-2</v>
      </c>
      <c r="CE110" s="3">
        <f t="shared" si="78"/>
        <v>0.34950218271186451</v>
      </c>
      <c r="CF110"/>
      <c r="CG110" s="3">
        <v>4</v>
      </c>
      <c r="CH110" s="3">
        <f t="shared" si="85"/>
        <v>3.1415926535897934E-2</v>
      </c>
      <c r="CI110" s="3">
        <v>-0.55487565139450512</v>
      </c>
      <c r="CJ110" s="3">
        <f t="shared" si="86"/>
        <v>0.38091810924776243</v>
      </c>
      <c r="CK110" s="3">
        <v>0.36904606159815584</v>
      </c>
      <c r="CL110" s="3">
        <f t="shared" si="79"/>
        <v>0.20616701789183017</v>
      </c>
      <c r="CM110" s="3">
        <v>0.11161821300934904</v>
      </c>
      <c r="CN110" s="3">
        <f t="shared" si="80"/>
        <v>-6.1934228651053178E-2</v>
      </c>
      <c r="CO110" s="3">
        <f t="shared" si="81"/>
        <v>4.1192261913724305E-2</v>
      </c>
      <c r="CP110" s="3">
        <f t="shared" si="82"/>
        <v>0.34950218271186451</v>
      </c>
    </row>
    <row r="111" spans="28:94" x14ac:dyDescent="0.2"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 s="3">
        <v>5</v>
      </c>
      <c r="BW111" s="3">
        <f t="shared" si="83"/>
        <v>3.1415926535897934E-2</v>
      </c>
      <c r="BX111" s="3">
        <v>-0.63690177233460432</v>
      </c>
      <c r="BY111" s="3">
        <f t="shared" si="84"/>
        <v>0.20616701789183017</v>
      </c>
      <c r="BZ111" s="3">
        <v>0.11096335164521015</v>
      </c>
      <c r="CA111" s="3">
        <f t="shared" si="75"/>
        <v>0.11879147221386405</v>
      </c>
      <c r="CB111" s="3">
        <v>-7.0263571927152602E-2</v>
      </c>
      <c r="CC111" s="3">
        <f t="shared" si="76"/>
        <v>4.4750993490963439E-2</v>
      </c>
      <c r="CD111" s="3">
        <f t="shared" si="77"/>
        <v>-7.7966814396011504E-3</v>
      </c>
      <c r="CE111" s="3">
        <f t="shared" si="78"/>
        <v>0.17475109135593225</v>
      </c>
      <c r="CF111"/>
      <c r="CG111" s="3">
        <v>5</v>
      </c>
      <c r="CH111" s="3">
        <f t="shared" si="85"/>
        <v>3.1415926535897934E-2</v>
      </c>
      <c r="CI111" s="3">
        <v>-0.55487565139450512</v>
      </c>
      <c r="CJ111" s="3">
        <f t="shared" si="86"/>
        <v>0.20616701789183017</v>
      </c>
      <c r="CK111" s="3">
        <v>0.11161821300934904</v>
      </c>
      <c r="CL111" s="3">
        <f t="shared" si="79"/>
        <v>0.11879147221386405</v>
      </c>
      <c r="CM111" s="3">
        <v>-6.4969228866535347E-2</v>
      </c>
      <c r="CN111" s="3">
        <f t="shared" si="80"/>
        <v>3.6049843187917485E-2</v>
      </c>
      <c r="CO111" s="3">
        <f t="shared" si="81"/>
        <v>-7.2517492266780913E-3</v>
      </c>
      <c r="CP111" s="3">
        <f t="shared" si="82"/>
        <v>0.17475109135593225</v>
      </c>
    </row>
    <row r="112" spans="28:94" x14ac:dyDescent="0.2"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 s="3">
        <v>6</v>
      </c>
      <c r="BW112" s="3">
        <f t="shared" si="83"/>
        <v>0.11879147221386405</v>
      </c>
      <c r="BX112" s="3">
        <v>-7.0263571927152602E-2</v>
      </c>
      <c r="BY112" s="3">
        <f t="shared" si="84"/>
        <v>0.20616701789183017</v>
      </c>
      <c r="BZ112" s="3">
        <v>0.11096335164521015</v>
      </c>
      <c r="CA112" s="3">
        <f t="shared" si="75"/>
        <v>0.16247924505284711</v>
      </c>
      <c r="CB112" s="3">
        <v>3.0323049233370033E-2</v>
      </c>
      <c r="CC112" s="3">
        <f t="shared" si="76"/>
        <v>-2.1306057508594847E-3</v>
      </c>
      <c r="CD112" s="3">
        <f t="shared" si="77"/>
        <v>3.3647471750374589E-3</v>
      </c>
      <c r="CE112" s="3">
        <f t="shared" si="78"/>
        <v>8.7375545677966127E-2</v>
      </c>
      <c r="CF112"/>
      <c r="CG112" s="3">
        <v>6</v>
      </c>
      <c r="CH112" s="3">
        <f t="shared" si="85"/>
        <v>0.11879147221386405</v>
      </c>
      <c r="CI112" s="3">
        <v>-6.4969228866535347E-2</v>
      </c>
      <c r="CJ112" s="3">
        <f t="shared" si="86"/>
        <v>0.20616701789183017</v>
      </c>
      <c r="CK112" s="3">
        <v>0.11161821300934904</v>
      </c>
      <c r="CL112" s="3">
        <f t="shared" si="79"/>
        <v>0.16247924505284711</v>
      </c>
      <c r="CM112" s="3">
        <v>3.0416628258617191E-2</v>
      </c>
      <c r="CN112" s="3">
        <f t="shared" si="80"/>
        <v>-1.9761448826824267E-3</v>
      </c>
      <c r="CO112" s="3">
        <f t="shared" si="81"/>
        <v>3.3950496919965189E-3</v>
      </c>
      <c r="CP112" s="3">
        <f t="shared" si="82"/>
        <v>8.7375545677966127E-2</v>
      </c>
    </row>
    <row r="113" spans="50:94" x14ac:dyDescent="0.2"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 s="3">
        <v>7</v>
      </c>
      <c r="BW113" s="3">
        <f t="shared" si="83"/>
        <v>0.11879147221386405</v>
      </c>
      <c r="BX113" s="3">
        <v>-7.0263571927152602E-2</v>
      </c>
      <c r="BY113" s="3">
        <f t="shared" si="84"/>
        <v>0.16247924505284711</v>
      </c>
      <c r="BZ113" s="3">
        <v>3.0323049233370033E-2</v>
      </c>
      <c r="CA113" s="3">
        <f t="shared" si="75"/>
        <v>0.14063535863335558</v>
      </c>
      <c r="CB113" s="3">
        <v>-1.6384931775601387E-2</v>
      </c>
      <c r="CC113" s="3">
        <f t="shared" si="76"/>
        <v>1.1512638323364563E-3</v>
      </c>
      <c r="CD113" s="3">
        <f t="shared" si="77"/>
        <v>-4.9684109291696994E-4</v>
      </c>
      <c r="CE113" s="3">
        <f t="shared" si="78"/>
        <v>4.3687772838983063E-2</v>
      </c>
      <c r="CF113"/>
      <c r="CG113" s="3">
        <v>7</v>
      </c>
      <c r="CH113" s="3">
        <f t="shared" si="85"/>
        <v>0.11879147221386405</v>
      </c>
      <c r="CI113" s="3">
        <v>-6.4969228866535347E-2</v>
      </c>
      <c r="CJ113" s="3">
        <f t="shared" si="86"/>
        <v>0.16247924505284711</v>
      </c>
      <c r="CK113" s="3">
        <v>3.0416628258617191E-2</v>
      </c>
      <c r="CL113" s="3">
        <f t="shared" si="79"/>
        <v>0.14063535863335558</v>
      </c>
      <c r="CM113" s="3">
        <v>-1.4763971663420415E-2</v>
      </c>
      <c r="CN113" s="3">
        <f t="shared" si="80"/>
        <v>9.5920385397980348E-4</v>
      </c>
      <c r="CO113" s="3">
        <f t="shared" si="81"/>
        <v>-4.4907023770701687E-4</v>
      </c>
      <c r="CP113" s="3">
        <f t="shared" si="82"/>
        <v>4.3687772838983063E-2</v>
      </c>
    </row>
    <row r="114" spans="50:94" x14ac:dyDescent="0.2"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 s="3">
        <v>8</v>
      </c>
      <c r="BW114" s="3">
        <f t="shared" si="83"/>
        <v>0.14063535863335558</v>
      </c>
      <c r="BX114" s="3">
        <v>-1.6384931775601387E-2</v>
      </c>
      <c r="BY114" s="3">
        <f t="shared" si="84"/>
        <v>0.16247924505284711</v>
      </c>
      <c r="BZ114" s="3">
        <v>3.0323049233370033E-2</v>
      </c>
      <c r="CA114" s="3">
        <f t="shared" si="75"/>
        <v>0.15155730184310134</v>
      </c>
      <c r="CB114" s="3">
        <v>7.6790051336119679E-3</v>
      </c>
      <c r="CC114" s="3">
        <f t="shared" si="76"/>
        <v>-1.2581997521872492E-4</v>
      </c>
      <c r="CD114" s="3">
        <f t="shared" si="77"/>
        <v>2.3285085072981694E-4</v>
      </c>
      <c r="CE114" s="3">
        <f t="shared" si="78"/>
        <v>2.1843886419491532E-2</v>
      </c>
      <c r="CF114"/>
      <c r="CG114" s="3">
        <v>8</v>
      </c>
      <c r="CH114" s="3">
        <f t="shared" si="85"/>
        <v>0.14063535863335558</v>
      </c>
      <c r="CI114" s="3">
        <v>-1.4763971663420415E-2</v>
      </c>
      <c r="CJ114" s="3">
        <f t="shared" si="86"/>
        <v>0.16247924505284711</v>
      </c>
      <c r="CK114" s="3">
        <v>3.0416628258617191E-2</v>
      </c>
      <c r="CL114" s="3">
        <f t="shared" si="79"/>
        <v>0.15155730184310134</v>
      </c>
      <c r="CM114" s="3">
        <v>8.3241677019312184E-3</v>
      </c>
      <c r="CN114" s="3">
        <f t="shared" si="80"/>
        <v>-1.2289777607287194E-4</v>
      </c>
      <c r="CO114" s="3">
        <f t="shared" si="81"/>
        <v>2.5319311455202962E-4</v>
      </c>
      <c r="CP114" s="3">
        <f t="shared" si="82"/>
        <v>2.1843886419491532E-2</v>
      </c>
    </row>
    <row r="115" spans="50:94" x14ac:dyDescent="0.2"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 s="3">
        <v>9</v>
      </c>
      <c r="BW115" s="3">
        <f t="shared" si="83"/>
        <v>0.14063535863335558</v>
      </c>
      <c r="BX115" s="3">
        <v>-1.6384931775601387E-2</v>
      </c>
      <c r="BY115" s="3">
        <f t="shared" si="84"/>
        <v>0.15155730184310134</v>
      </c>
      <c r="BZ115" s="3">
        <v>7.6790051336119679E-3</v>
      </c>
      <c r="CA115" s="3">
        <f t="shared" si="75"/>
        <v>0.14609633023822846</v>
      </c>
      <c r="CB115" s="3">
        <v>-4.1565361007750018E-3</v>
      </c>
      <c r="CC115" s="3">
        <f t="shared" si="76"/>
        <v>6.8104560434022619E-5</v>
      </c>
      <c r="CD115" s="3">
        <f t="shared" si="77"/>
        <v>-3.1918062055894713E-5</v>
      </c>
      <c r="CE115" s="3">
        <f t="shared" si="78"/>
        <v>1.0921943209745766E-2</v>
      </c>
      <c r="CF115"/>
      <c r="CG115" s="3">
        <v>9</v>
      </c>
      <c r="CH115" s="3">
        <f t="shared" si="85"/>
        <v>0.14063535863335558</v>
      </c>
      <c r="CI115" s="3">
        <v>-1.4763971663420415E-2</v>
      </c>
      <c r="CJ115" s="3">
        <f t="shared" si="86"/>
        <v>0.15155730184310134</v>
      </c>
      <c r="CK115" s="3">
        <v>8.3241677019312184E-3</v>
      </c>
      <c r="CL115" s="3">
        <f t="shared" si="79"/>
        <v>0.14609633023822846</v>
      </c>
      <c r="CM115" s="3">
        <v>-3.0825577607621231E-3</v>
      </c>
      <c r="CN115" s="3">
        <f t="shared" si="80"/>
        <v>4.5510795430748669E-5</v>
      </c>
      <c r="CO115" s="3">
        <f t="shared" si="81"/>
        <v>-2.5659727751473483E-5</v>
      </c>
      <c r="CP115" s="3">
        <f t="shared" si="82"/>
        <v>1.0921943209745766E-2</v>
      </c>
    </row>
    <row r="116" spans="50:94" x14ac:dyDescent="0.2"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 s="3">
        <v>10</v>
      </c>
      <c r="BW116" s="3">
        <f t="shared" si="83"/>
        <v>0.14609633023822846</v>
      </c>
      <c r="BX116" s="3">
        <v>-4.1565361007750018E-3</v>
      </c>
      <c r="BY116" s="3">
        <f t="shared" si="84"/>
        <v>0.15155730184310134</v>
      </c>
      <c r="BZ116" s="3">
        <v>7.6790051336119679E-3</v>
      </c>
      <c r="CA116" s="3">
        <f t="shared" si="75"/>
        <v>0.14882681604066489</v>
      </c>
      <c r="CB116" s="3">
        <v>1.8077545843809238E-3</v>
      </c>
      <c r="CC116" s="3">
        <f t="shared" si="76"/>
        <v>-7.5139971913208189E-6</v>
      </c>
      <c r="CD116" s="3">
        <f t="shared" si="77"/>
        <v>1.3881756733771684E-5</v>
      </c>
      <c r="CE116" s="3">
        <f t="shared" si="78"/>
        <v>5.4609716048728829E-3</v>
      </c>
      <c r="CF116"/>
      <c r="CG116" s="3">
        <v>10</v>
      </c>
      <c r="CH116" s="3">
        <f t="shared" si="85"/>
        <v>0.14609633023822846</v>
      </c>
      <c r="CI116" s="3">
        <v>-3.0825577607621231E-3</v>
      </c>
      <c r="CJ116" s="3">
        <f t="shared" si="86"/>
        <v>0.15155730184310134</v>
      </c>
      <c r="CK116" s="3">
        <v>8.3241677019312184E-3</v>
      </c>
      <c r="CL116" s="3">
        <f t="shared" si="79"/>
        <v>0.14882681604066489</v>
      </c>
      <c r="CM116" s="3">
        <v>2.6533634437660054E-3</v>
      </c>
      <c r="CN116" s="3">
        <f t="shared" si="80"/>
        <v>-8.179146075703414E-6</v>
      </c>
      <c r="CO116" s="3">
        <f t="shared" si="81"/>
        <v>2.2087042280081973E-5</v>
      </c>
      <c r="CP116" s="3">
        <f t="shared" si="82"/>
        <v>5.4609716048728829E-3</v>
      </c>
    </row>
    <row r="117" spans="50:94" x14ac:dyDescent="0.2"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 s="3">
        <v>11</v>
      </c>
      <c r="BW117" s="3">
        <f t="shared" si="83"/>
        <v>0.14609633023822846</v>
      </c>
      <c r="BX117" s="3">
        <v>-4.1565361007750018E-3</v>
      </c>
      <c r="BY117" s="3">
        <f t="shared" si="84"/>
        <v>0.14882681604066489</v>
      </c>
      <c r="BZ117" s="3">
        <v>1.8077545843809238E-3</v>
      </c>
      <c r="CA117" s="3">
        <f t="shared" si="75"/>
        <v>0.14746157313944669</v>
      </c>
      <c r="CB117" s="3">
        <v>-1.1624524450406133E-3</v>
      </c>
      <c r="CC117" s="3">
        <f t="shared" si="76"/>
        <v>4.8317755532454776E-6</v>
      </c>
      <c r="CD117" s="3">
        <f t="shared" si="77"/>
        <v>-2.1014287366469828E-6</v>
      </c>
      <c r="CE117" s="3">
        <f t="shared" si="78"/>
        <v>2.7304858024364276E-3</v>
      </c>
      <c r="CF117"/>
      <c r="CG117" s="3">
        <v>11</v>
      </c>
      <c r="CH117" s="3">
        <f t="shared" si="85"/>
        <v>0.14609633023822846</v>
      </c>
      <c r="CI117" s="3">
        <v>-3.0825577607621231E-3</v>
      </c>
      <c r="CJ117" s="3">
        <f t="shared" si="86"/>
        <v>0.14882681604066489</v>
      </c>
      <c r="CK117" s="3">
        <v>2.6533634437660054E-3</v>
      </c>
      <c r="CL117" s="3">
        <f t="shared" si="79"/>
        <v>0.14746157313944669</v>
      </c>
      <c r="CM117" s="3">
        <v>-2.0624690857874023E-4</v>
      </c>
      <c r="CN117" s="3">
        <f t="shared" si="80"/>
        <v>6.3576800867259181E-7</v>
      </c>
      <c r="CO117" s="3">
        <f t="shared" si="81"/>
        <v>-5.4724800761257868E-7</v>
      </c>
      <c r="CP117" s="3">
        <f t="shared" si="82"/>
        <v>2.7304858024364276E-3</v>
      </c>
    </row>
    <row r="118" spans="50:94" x14ac:dyDescent="0.2"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 s="3">
        <v>12</v>
      </c>
      <c r="BW118" s="3">
        <f t="shared" si="83"/>
        <v>0.14746157313944669</v>
      </c>
      <c r="BX118" s="3">
        <v>-1.1624524450406133E-3</v>
      </c>
      <c r="BY118" s="3">
        <f t="shared" si="84"/>
        <v>0.14882681604066489</v>
      </c>
      <c r="BZ118" s="3">
        <v>1.8077545843809238E-3</v>
      </c>
      <c r="CA118" s="3">
        <f t="shared" si="75"/>
        <v>0.14814419459005579</v>
      </c>
      <c r="CB118" s="3">
        <v>3.2559621665027502E-4</v>
      </c>
      <c r="CC118" s="3">
        <f t="shared" si="76"/>
        <v>-3.7849011814108546E-7</v>
      </c>
      <c r="CD118" s="3">
        <f t="shared" si="77"/>
        <v>5.8859805330661915E-7</v>
      </c>
      <c r="CE118" s="3">
        <f t="shared" si="78"/>
        <v>1.3652429012181999E-3</v>
      </c>
      <c r="CF118"/>
      <c r="CG118" s="3">
        <v>12</v>
      </c>
      <c r="CH118" s="3">
        <f t="shared" si="85"/>
        <v>0.14746157313944669</v>
      </c>
      <c r="CI118" s="3">
        <v>-2.0624690857874023E-4</v>
      </c>
      <c r="CJ118" s="3">
        <f t="shared" si="86"/>
        <v>0.14882681604066489</v>
      </c>
      <c r="CK118" s="3">
        <v>2.6533634437660054E-3</v>
      </c>
      <c r="CL118" s="3">
        <f t="shared" si="79"/>
        <v>0.14814419459005579</v>
      </c>
      <c r="CM118" s="3">
        <v>1.2256188169968187E-3</v>
      </c>
      <c r="CN118" s="3">
        <f t="shared" si="80"/>
        <v>-2.5278009210152662E-7</v>
      </c>
      <c r="CO118" s="3">
        <f t="shared" si="81"/>
        <v>3.2520121650110965E-6</v>
      </c>
      <c r="CP118" s="3">
        <f t="shared" si="82"/>
        <v>1.3652429012181999E-3</v>
      </c>
    </row>
    <row r="119" spans="50:94" x14ac:dyDescent="0.2"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 s="3">
        <v>13</v>
      </c>
      <c r="BW119" s="3">
        <f t="shared" si="83"/>
        <v>0.14746157313944669</v>
      </c>
      <c r="BX119" s="3">
        <v>-1.1624524450406133E-3</v>
      </c>
      <c r="BY119" s="3">
        <f t="shared" si="84"/>
        <v>0.14814419459005579</v>
      </c>
      <c r="BZ119" s="3">
        <v>3.2559621665027502E-4</v>
      </c>
      <c r="CA119" s="3">
        <f t="shared" si="75"/>
        <v>0.14780288386475124</v>
      </c>
      <c r="CB119" s="3">
        <v>-4.1768695580201784E-4</v>
      </c>
      <c r="CC119" s="3">
        <f t="shared" si="76"/>
        <v>4.8554122303362624E-7</v>
      </c>
      <c r="CD119" s="3">
        <f t="shared" si="77"/>
        <v>-1.3599729255330765E-7</v>
      </c>
      <c r="CE119" s="3">
        <f t="shared" si="78"/>
        <v>6.8262145060909996E-4</v>
      </c>
      <c r="CF119"/>
      <c r="CG119" s="3">
        <v>13</v>
      </c>
      <c r="CH119" s="3">
        <f t="shared" si="85"/>
        <v>0.14746157313944669</v>
      </c>
      <c r="CI119" s="3">
        <v>-2.0624690857874023E-4</v>
      </c>
      <c r="CJ119" s="3">
        <f t="shared" si="86"/>
        <v>0.14814419459005579</v>
      </c>
      <c r="CK119" s="3">
        <v>1.2256188169968187E-3</v>
      </c>
      <c r="CL119" s="3">
        <f t="shared" si="79"/>
        <v>0.14780288386475124</v>
      </c>
      <c r="CM119" s="3">
        <v>5.1020442428686627E-4</v>
      </c>
      <c r="CN119" s="3">
        <f t="shared" si="80"/>
        <v>-1.052280852523621E-7</v>
      </c>
      <c r="CO119" s="3">
        <f t="shared" si="81"/>
        <v>6.2531614292101193E-7</v>
      </c>
      <c r="CP119" s="3">
        <f t="shared" si="82"/>
        <v>6.8262145060909996E-4</v>
      </c>
    </row>
    <row r="120" spans="50:94" x14ac:dyDescent="0.2"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 s="3">
        <v>14</v>
      </c>
      <c r="BW120" s="3">
        <f t="shared" si="83"/>
        <v>0.14780288386475124</v>
      </c>
      <c r="BX120" s="3">
        <v>-4.1768695580201784E-4</v>
      </c>
      <c r="BY120" s="3">
        <f t="shared" si="84"/>
        <v>0.14814419459005579</v>
      </c>
      <c r="BZ120" s="3">
        <v>3.2559621665027502E-4</v>
      </c>
      <c r="CA120" s="3">
        <f t="shared" si="75"/>
        <v>0.14797353922740353</v>
      </c>
      <c r="CB120" s="3">
        <v>-4.5860692468778497E-5</v>
      </c>
      <c r="CC120" s="3">
        <f t="shared" si="76"/>
        <v>1.9155413028256617E-8</v>
      </c>
      <c r="CD120" s="3">
        <f t="shared" si="77"/>
        <v>-1.4932067960796039E-8</v>
      </c>
      <c r="CE120" s="3">
        <f t="shared" si="78"/>
        <v>3.4131072530454998E-4</v>
      </c>
      <c r="CF120"/>
      <c r="CG120" s="3">
        <v>14</v>
      </c>
      <c r="CH120" s="3">
        <f t="shared" si="85"/>
        <v>0.14746157313944669</v>
      </c>
      <c r="CI120" s="3">
        <v>-2.0624690857874023E-4</v>
      </c>
      <c r="CJ120" s="3">
        <f t="shared" si="86"/>
        <v>0.14780288386475124</v>
      </c>
      <c r="CK120" s="3">
        <v>5.1020442428686627E-4</v>
      </c>
      <c r="CL120" s="3">
        <f t="shared" si="79"/>
        <v>0.14763222850209895</v>
      </c>
      <c r="CM120" s="3">
        <v>1.5210879576397704E-4</v>
      </c>
      <c r="CN120" s="3">
        <f t="shared" si="80"/>
        <v>-3.1371968893955238E-8</v>
      </c>
      <c r="CO120" s="3">
        <f t="shared" si="81"/>
        <v>7.7606580571728432E-8</v>
      </c>
      <c r="CP120" s="3">
        <f t="shared" si="82"/>
        <v>3.4131072530454998E-4</v>
      </c>
    </row>
    <row r="121" spans="50:94" x14ac:dyDescent="0.2"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 s="3">
        <v>15</v>
      </c>
      <c r="BW121" s="3">
        <f t="shared" si="83"/>
        <v>0.14797353922740353</v>
      </c>
      <c r="BX121" s="3">
        <v>-4.5860692468778497E-5</v>
      </c>
      <c r="BY121" s="3">
        <f t="shared" si="84"/>
        <v>0.14814419459005579</v>
      </c>
      <c r="BZ121" s="3">
        <v>3.2559621665027502E-4</v>
      </c>
      <c r="CA121" s="3">
        <f t="shared" si="75"/>
        <v>0.14805886690872966</v>
      </c>
      <c r="CB121" s="3">
        <v>1.3991385511698262E-4</v>
      </c>
      <c r="CC121" s="3">
        <f t="shared" si="76"/>
        <v>-6.4165462816411703E-9</v>
      </c>
      <c r="CD121" s="3">
        <f t="shared" si="77"/>
        <v>4.5555421883044267E-8</v>
      </c>
      <c r="CE121" s="3">
        <f t="shared" si="78"/>
        <v>1.7065536265226111E-4</v>
      </c>
      <c r="CF121"/>
      <c r="CG121" s="3">
        <v>15</v>
      </c>
      <c r="CH121" s="3">
        <f t="shared" si="85"/>
        <v>0.14746157313944669</v>
      </c>
      <c r="CI121" s="3">
        <v>-2.0624690857874023E-4</v>
      </c>
      <c r="CJ121" s="3">
        <f t="shared" si="86"/>
        <v>0.14763222850209895</v>
      </c>
      <c r="CK121" s="3">
        <v>1.5210879576397704E-4</v>
      </c>
      <c r="CL121" s="3">
        <f t="shared" si="79"/>
        <v>0.14754690082077282</v>
      </c>
      <c r="CM121" s="3">
        <v>-2.703649414141987E-5</v>
      </c>
      <c r="CN121" s="3">
        <f t="shared" si="80"/>
        <v>5.5761933354750701E-9</v>
      </c>
      <c r="CO121" s="3">
        <f t="shared" si="81"/>
        <v>-4.112488565531197E-9</v>
      </c>
      <c r="CP121" s="3">
        <f t="shared" si="82"/>
        <v>1.7065536265226111E-4</v>
      </c>
    </row>
    <row r="122" spans="50:94" x14ac:dyDescent="0.2"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 s="3">
        <v>16</v>
      </c>
      <c r="BW122" s="3">
        <f t="shared" si="83"/>
        <v>0.14797353922740353</v>
      </c>
      <c r="BX122" s="3">
        <v>-4.5860692468778497E-5</v>
      </c>
      <c r="BY122" s="3">
        <f t="shared" si="84"/>
        <v>0.14805886690872966</v>
      </c>
      <c r="BZ122" s="3">
        <v>1.3991385511698262E-4</v>
      </c>
      <c r="CA122" s="3">
        <f t="shared" si="75"/>
        <v>0.14801620306806659</v>
      </c>
      <c r="CB122" s="3">
        <v>4.7038114098129497E-5</v>
      </c>
      <c r="CC122" s="3">
        <f t="shared" si="76"/>
        <v>-2.157200484965631E-9</v>
      </c>
      <c r="CD122" s="3">
        <f t="shared" si="77"/>
        <v>6.5812838809017883E-9</v>
      </c>
      <c r="CE122" s="3">
        <f t="shared" si="78"/>
        <v>8.5327681326130556E-5</v>
      </c>
      <c r="CF122"/>
      <c r="CG122" s="3">
        <v>16</v>
      </c>
      <c r="CH122" s="3">
        <f t="shared" si="85"/>
        <v>0.14754690082077282</v>
      </c>
      <c r="CI122" s="3">
        <v>-2.703649414141987E-5</v>
      </c>
      <c r="CJ122" s="3">
        <f t="shared" si="86"/>
        <v>0.14763222850209895</v>
      </c>
      <c r="CK122" s="3">
        <v>1.5210879576397704E-4</v>
      </c>
      <c r="CL122" s="3">
        <f t="shared" si="79"/>
        <v>0.14758956466143588</v>
      </c>
      <c r="CM122" s="3">
        <v>6.2544284768453057E-5</v>
      </c>
      <c r="CN122" s="3">
        <f t="shared" si="80"/>
        <v>-1.6909781887215772E-9</v>
      </c>
      <c r="CO122" s="3">
        <f t="shared" si="81"/>
        <v>9.5135358380486465E-9</v>
      </c>
      <c r="CP122" s="3">
        <f t="shared" si="82"/>
        <v>8.5327681326130556E-5</v>
      </c>
    </row>
    <row r="123" spans="50:94" x14ac:dyDescent="0.2"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 s="3">
        <v>17</v>
      </c>
      <c r="BW123" s="3">
        <f t="shared" si="83"/>
        <v>0.14797353922740353</v>
      </c>
      <c r="BX123" s="3">
        <v>-4.5860692468778497E-5</v>
      </c>
      <c r="BY123" s="3">
        <f t="shared" si="84"/>
        <v>0.14801620306806659</v>
      </c>
      <c r="BZ123" s="3">
        <v>4.7038114098129497E-5</v>
      </c>
      <c r="CA123" s="3">
        <f t="shared" si="75"/>
        <v>0.14799487114773507</v>
      </c>
      <c r="CB123" s="3">
        <v>5.9159519912033165E-7</v>
      </c>
      <c r="CC123" s="3">
        <f t="shared" si="76"/>
        <v>-2.7130965492863308E-11</v>
      </c>
      <c r="CD123" s="3">
        <f t="shared" si="77"/>
        <v>2.7827522476127797E-11</v>
      </c>
      <c r="CE123" s="3">
        <f t="shared" si="78"/>
        <v>4.2663840663065278E-5</v>
      </c>
      <c r="CF123"/>
      <c r="CG123" s="3">
        <v>17</v>
      </c>
      <c r="CH123" s="3">
        <f t="shared" si="85"/>
        <v>0.14754690082077282</v>
      </c>
      <c r="CI123" s="3">
        <v>-2.703649414141987E-5</v>
      </c>
      <c r="CJ123" s="3">
        <f t="shared" si="86"/>
        <v>0.14758956466143588</v>
      </c>
      <c r="CK123" s="3">
        <v>6.2544284768453057E-5</v>
      </c>
      <c r="CL123" s="3">
        <f t="shared" si="79"/>
        <v>0.14756823274110437</v>
      </c>
      <c r="CM123" s="3">
        <v>1.7755929628278377E-5</v>
      </c>
      <c r="CN123" s="3">
        <f t="shared" si="80"/>
        <v>-4.8005808737041182E-10</v>
      </c>
      <c r="CO123" s="3">
        <f t="shared" si="81"/>
        <v>1.1105319189996557E-9</v>
      </c>
      <c r="CP123" s="3">
        <f t="shared" si="82"/>
        <v>4.2663840663065278E-5</v>
      </c>
    </row>
    <row r="124" spans="50:94" x14ac:dyDescent="0.2"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 s="3">
        <v>18</v>
      </c>
      <c r="BW124" s="3">
        <f t="shared" si="83"/>
        <v>0.14797353922740353</v>
      </c>
      <c r="BX124" s="3">
        <v>-4.5860692468778497E-5</v>
      </c>
      <c r="BY124" s="3">
        <f t="shared" si="84"/>
        <v>0.14799487114773507</v>
      </c>
      <c r="BZ124" s="3">
        <v>5.9159519912033165E-7</v>
      </c>
      <c r="CA124" s="3">
        <f t="shared" si="75"/>
        <v>0.1479842051875693</v>
      </c>
      <c r="CB124" s="3">
        <v>-2.2633827389748062E-5</v>
      </c>
      <c r="CC124" s="3">
        <f t="shared" si="76"/>
        <v>1.0380029973126513E-9</v>
      </c>
      <c r="CD124" s="3">
        <f t="shared" si="77"/>
        <v>-1.3390063621493222E-11</v>
      </c>
      <c r="CE124" s="3">
        <f t="shared" si="78"/>
        <v>2.1331920331546517E-5</v>
      </c>
      <c r="CF124"/>
      <c r="CG124" s="3">
        <v>18</v>
      </c>
      <c r="CH124" s="3">
        <f t="shared" si="85"/>
        <v>0.14754690082077282</v>
      </c>
      <c r="CI124" s="3">
        <v>-2.703649414141987E-5</v>
      </c>
      <c r="CJ124" s="3">
        <f t="shared" si="86"/>
        <v>0.14756823274110437</v>
      </c>
      <c r="CK124" s="3">
        <v>1.7755929628278377E-5</v>
      </c>
      <c r="CL124" s="3">
        <f t="shared" si="79"/>
        <v>0.14755756678093859</v>
      </c>
      <c r="CM124" s="3">
        <v>-4.6397735745697111E-6</v>
      </c>
      <c r="CN124" s="3">
        <f t="shared" si="80"/>
        <v>1.2544321106636871E-10</v>
      </c>
      <c r="CO124" s="3">
        <f t="shared" si="81"/>
        <v>-8.2383493081205404E-11</v>
      </c>
      <c r="CP124" s="3">
        <f t="shared" si="82"/>
        <v>2.1331920331546517E-5</v>
      </c>
    </row>
    <row r="125" spans="50:94" x14ac:dyDescent="0.2"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 s="3">
        <v>19</v>
      </c>
      <c r="BW125" s="3">
        <f t="shared" si="83"/>
        <v>0.1479842051875693</v>
      </c>
      <c r="BX125" s="3">
        <v>-2.2633827389748062E-5</v>
      </c>
      <c r="BY125" s="3">
        <f t="shared" si="84"/>
        <v>0.14799487114773507</v>
      </c>
      <c r="BZ125" s="3">
        <v>5.9159519912033165E-7</v>
      </c>
      <c r="CA125" s="3">
        <f t="shared" si="75"/>
        <v>0.1479895381676522</v>
      </c>
      <c r="CB125" s="3">
        <v>-1.1020935802644183E-5</v>
      </c>
      <c r="CC125" s="3">
        <f t="shared" si="76"/>
        <v>2.4944595863054294E-10</v>
      </c>
      <c r="CD125" s="3">
        <f t="shared" si="77"/>
        <v>-6.5199327106576773E-12</v>
      </c>
      <c r="CE125" s="3">
        <f t="shared" si="78"/>
        <v>1.0665960165773258E-5</v>
      </c>
      <c r="CF125"/>
      <c r="CG125" s="3">
        <v>19</v>
      </c>
      <c r="CH125" s="3">
        <f t="shared" si="85"/>
        <v>0.14755756678093859</v>
      </c>
      <c r="CI125" s="3">
        <v>-4.6397735745697111E-6</v>
      </c>
      <c r="CJ125" s="3">
        <f t="shared" si="86"/>
        <v>0.14756823274110437</v>
      </c>
      <c r="CK125" s="3">
        <v>1.7755929628278377E-5</v>
      </c>
      <c r="CL125" s="3">
        <f t="shared" si="79"/>
        <v>0.14756289976102149</v>
      </c>
      <c r="CM125" s="3">
        <v>6.5582051844946532E-6</v>
      </c>
      <c r="CN125" s="3">
        <f t="shared" si="80"/>
        <v>-3.042858711162437E-11</v>
      </c>
      <c r="CO125" s="3">
        <f t="shared" si="81"/>
        <v>1.1644702974369747E-10</v>
      </c>
      <c r="CP125" s="3">
        <f t="shared" si="82"/>
        <v>1.0665960165773258E-5</v>
      </c>
    </row>
    <row r="126" spans="50:94" x14ac:dyDescent="0.2"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 s="3">
        <v>20</v>
      </c>
      <c r="BW126" s="3">
        <f t="shared" si="83"/>
        <v>0.1479895381676522</v>
      </c>
      <c r="BX126" s="3">
        <v>-1.1020935802644183E-5</v>
      </c>
      <c r="BY126" s="3">
        <f t="shared" si="84"/>
        <v>0.14799487114773507</v>
      </c>
      <c r="BZ126" s="3">
        <v>5.9159519912033165E-7</v>
      </c>
      <c r="CA126" s="3">
        <f t="shared" si="75"/>
        <v>0.14799220465769364</v>
      </c>
      <c r="CB126" s="3">
        <v>-5.2146252309745456E-6</v>
      </c>
      <c r="CC126" s="3">
        <f t="shared" si="76"/>
        <v>5.7470049905419063E-11</v>
      </c>
      <c r="CD126" s="3">
        <f t="shared" si="77"/>
        <v>-3.0849472518562916E-12</v>
      </c>
      <c r="CE126" s="3">
        <f t="shared" si="78"/>
        <v>5.3329800828727514E-6</v>
      </c>
      <c r="CF126"/>
      <c r="CG126" s="3">
        <v>20</v>
      </c>
      <c r="CH126" s="3">
        <f t="shared" si="85"/>
        <v>0.14755756678093859</v>
      </c>
      <c r="CI126" s="3">
        <v>-4.6397735745697111E-6</v>
      </c>
      <c r="CJ126" s="3">
        <f t="shared" si="86"/>
        <v>0.14756289976102149</v>
      </c>
      <c r="CK126" s="3">
        <v>6.5582051844946532E-6</v>
      </c>
      <c r="CL126" s="3">
        <f t="shared" si="79"/>
        <v>0.14756023327098006</v>
      </c>
      <c r="CM126" s="3">
        <v>9.5924759592122544E-7</v>
      </c>
      <c r="CN126" s="3">
        <f t="shared" si="80"/>
        <v>-4.450691647024826E-12</v>
      </c>
      <c r="CO126" s="3">
        <f t="shared" si="81"/>
        <v>6.2909425567846126E-12</v>
      </c>
      <c r="CP126" s="3">
        <f t="shared" si="82"/>
        <v>5.332980082900507E-6</v>
      </c>
    </row>
    <row r="127" spans="50:94" x14ac:dyDescent="0.2"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 s="3">
        <v>21</v>
      </c>
      <c r="BW127" s="3">
        <f t="shared" si="83"/>
        <v>0.14799220465769364</v>
      </c>
      <c r="BX127" s="3">
        <v>-5.2146252309745456E-6</v>
      </c>
      <c r="BY127" s="3">
        <f t="shared" si="84"/>
        <v>0.14799487114773507</v>
      </c>
      <c r="BZ127" s="3">
        <v>5.9159519912033165E-7</v>
      </c>
      <c r="CA127" s="3">
        <f t="shared" si="75"/>
        <v>0.14799353790271436</v>
      </c>
      <c r="CB127" s="3">
        <v>-2.3115037484887357E-6</v>
      </c>
      <c r="CC127" s="3">
        <f t="shared" si="76"/>
        <v>1.2053625768361601E-11</v>
      </c>
      <c r="CD127" s="3">
        <f t="shared" si="77"/>
        <v>-1.3674745203545866E-12</v>
      </c>
      <c r="CE127" s="3">
        <f t="shared" si="78"/>
        <v>2.6664900414363757E-6</v>
      </c>
      <c r="CF127"/>
      <c r="CG127" s="3">
        <v>21</v>
      </c>
      <c r="CH127" s="3">
        <f t="shared" si="85"/>
        <v>0.14755756678093859</v>
      </c>
      <c r="CI127" s="3">
        <v>-4.6397735745697111E-6</v>
      </c>
      <c r="CJ127" s="3">
        <f t="shared" si="86"/>
        <v>0.14756023327098006</v>
      </c>
      <c r="CK127" s="3">
        <v>9.5924759592122544E-7</v>
      </c>
      <c r="CL127" s="3">
        <f t="shared" si="79"/>
        <v>0.14755890002595934</v>
      </c>
      <c r="CM127" s="3">
        <v>-1.8402550413590402E-6</v>
      </c>
      <c r="CN127" s="3">
        <f t="shared" si="80"/>
        <v>8.5383667113663658E-12</v>
      </c>
      <c r="CO127" s="3">
        <f t="shared" si="81"/>
        <v>-1.7652602243055746E-12</v>
      </c>
      <c r="CP127" s="3">
        <f t="shared" si="82"/>
        <v>2.6664900414641313E-6</v>
      </c>
    </row>
    <row r="128" spans="50:94" x14ac:dyDescent="0.2"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 s="3">
        <v>22</v>
      </c>
      <c r="BW128" s="3">
        <f t="shared" si="83"/>
        <v>0.14799353790271436</v>
      </c>
      <c r="BX128" s="3">
        <v>-2.3115037484887357E-6</v>
      </c>
      <c r="BY128" s="3">
        <f t="shared" si="84"/>
        <v>0.14799487114773507</v>
      </c>
      <c r="BZ128" s="3">
        <v>5.9159519912033165E-7</v>
      </c>
      <c r="CA128" s="3">
        <f t="shared" si="75"/>
        <v>0.14799420452522472</v>
      </c>
      <c r="CB128" s="3">
        <v>-8.5995145779338422E-7</v>
      </c>
      <c r="CC128" s="3">
        <f t="shared" si="76"/>
        <v>1.9877810182077603E-12</v>
      </c>
      <c r="CD128" s="3">
        <f t="shared" si="77"/>
        <v>-5.0874315390709666E-13</v>
      </c>
      <c r="CE128" s="3">
        <f t="shared" si="78"/>
        <v>1.3332450207181878E-6</v>
      </c>
      <c r="CF128"/>
      <c r="CG128" s="3">
        <v>22</v>
      </c>
      <c r="CH128" s="3">
        <f t="shared" si="85"/>
        <v>0.14755890002595934</v>
      </c>
      <c r="CI128" s="3">
        <v>-1.8402550413590402E-6</v>
      </c>
      <c r="CJ128" s="3">
        <f t="shared" si="86"/>
        <v>0.14756023327098006</v>
      </c>
      <c r="CK128" s="3">
        <v>9.5924759592122544E-7</v>
      </c>
      <c r="CL128" s="3">
        <f t="shared" si="79"/>
        <v>0.1475595666484697</v>
      </c>
      <c r="CM128" s="3">
        <v>-4.4050173570939211E-7</v>
      </c>
      <c r="CN128" s="3">
        <f t="shared" si="80"/>
        <v>8.1063553986661636E-13</v>
      </c>
      <c r="CO128" s="3">
        <f t="shared" si="81"/>
        <v>-4.2255023097836142E-13</v>
      </c>
      <c r="CP128" s="3">
        <f t="shared" si="82"/>
        <v>1.3332450207181878E-6</v>
      </c>
    </row>
    <row r="129" spans="50:94" x14ac:dyDescent="0.2"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 s="3">
        <v>23</v>
      </c>
      <c r="BW129" s="3">
        <f t="shared" si="83"/>
        <v>0.14799420452522472</v>
      </c>
      <c r="BX129" s="3">
        <v>-8.5995145779338422E-7</v>
      </c>
      <c r="BY129" s="3">
        <f t="shared" si="84"/>
        <v>0.14799487114773507</v>
      </c>
      <c r="BZ129" s="3">
        <v>5.9159519912033165E-7</v>
      </c>
      <c r="CA129" s="3">
        <f t="shared" si="75"/>
        <v>0.14799453783647989</v>
      </c>
      <c r="CB129" s="3">
        <v>-1.3417742512900066E-7</v>
      </c>
      <c r="CC129" s="3">
        <f t="shared" si="76"/>
        <v>1.1538607234264677E-13</v>
      </c>
      <c r="CD129" s="3">
        <f t="shared" si="77"/>
        <v>-7.9378720536644531E-14</v>
      </c>
      <c r="CE129" s="3">
        <f t="shared" si="78"/>
        <v>6.6662251035909392E-7</v>
      </c>
      <c r="CF129"/>
      <c r="CG129" s="3">
        <v>23</v>
      </c>
      <c r="CH129" s="3">
        <f t="shared" si="85"/>
        <v>0.1475595666484697</v>
      </c>
      <c r="CI129" s="3">
        <v>-4.4050173570939211E-7</v>
      </c>
      <c r="CJ129" s="3">
        <f t="shared" si="86"/>
        <v>0.14756023327098006</v>
      </c>
      <c r="CK129" s="3">
        <v>9.5924759592122544E-7</v>
      </c>
      <c r="CL129" s="3">
        <f t="shared" si="79"/>
        <v>0.14755989995972488</v>
      </c>
      <c r="CM129" s="3">
        <v>2.5937342680928954E-7</v>
      </c>
      <c r="CN129" s="3">
        <f t="shared" si="80"/>
        <v>-1.1425444470638503E-13</v>
      </c>
      <c r="CO129" s="3">
        <f t="shared" si="81"/>
        <v>2.4880333611266091E-13</v>
      </c>
      <c r="CP129" s="3">
        <f t="shared" si="82"/>
        <v>6.6662251035909392E-7</v>
      </c>
    </row>
    <row r="130" spans="50:94" x14ac:dyDescent="0.2"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 s="3">
        <v>24</v>
      </c>
      <c r="BW130" s="3">
        <f t="shared" si="83"/>
        <v>0.14799453783647989</v>
      </c>
      <c r="BX130" s="3">
        <v>-1.3417742512900066E-7</v>
      </c>
      <c r="BY130" s="3">
        <f t="shared" si="84"/>
        <v>0.14799487114773507</v>
      </c>
      <c r="BZ130" s="3">
        <v>5.9159519912033165E-7</v>
      </c>
      <c r="CA130" s="3">
        <f t="shared" si="75"/>
        <v>0.1479947044921075</v>
      </c>
      <c r="CB130" s="3">
        <v>2.2870906309091499E-7</v>
      </c>
      <c r="CC130" s="3">
        <f t="shared" si="76"/>
        <v>-3.0687593189205137E-14</v>
      </c>
      <c r="CD130" s="3">
        <f t="shared" si="77"/>
        <v>1.3530318371989435E-13</v>
      </c>
      <c r="CE130" s="3">
        <f t="shared" si="78"/>
        <v>3.3331125517954696E-7</v>
      </c>
      <c r="CF130"/>
      <c r="CG130" s="3">
        <v>24</v>
      </c>
      <c r="CH130" s="3">
        <f t="shared" si="85"/>
        <v>0.1475595666484697</v>
      </c>
      <c r="CI130" s="3">
        <v>-4.4050173570939211E-7</v>
      </c>
      <c r="CJ130" s="3">
        <f t="shared" si="86"/>
        <v>0.14755989995972488</v>
      </c>
      <c r="CK130" s="3">
        <v>2.5937342680928954E-7</v>
      </c>
      <c r="CL130" s="3">
        <f t="shared" si="79"/>
        <v>0.14755973330409727</v>
      </c>
      <c r="CM130" s="3">
        <v>-9.0564030285483765E-8</v>
      </c>
      <c r="CN130" s="3">
        <f t="shared" si="80"/>
        <v>3.9893612533593551E-14</v>
      </c>
      <c r="CO130" s="3">
        <f t="shared" si="81"/>
        <v>-2.3489902880806204E-14</v>
      </c>
      <c r="CP130" s="3">
        <f t="shared" si="82"/>
        <v>3.3331125517954696E-7</v>
      </c>
    </row>
    <row r="131" spans="50:94" x14ac:dyDescent="0.2"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 s="3">
        <v>25</v>
      </c>
      <c r="BW131" s="3">
        <f t="shared" si="83"/>
        <v>0.14799453783647989</v>
      </c>
      <c r="BX131" s="3">
        <v>-1.3417742512900066E-7</v>
      </c>
      <c r="BY131" s="3">
        <f t="shared" si="84"/>
        <v>0.1479947044921075</v>
      </c>
      <c r="BZ131" s="3">
        <v>2.2870906309091499E-7</v>
      </c>
      <c r="CA131" s="3">
        <f t="shared" si="75"/>
        <v>0.14799462116429368</v>
      </c>
      <c r="CB131" s="3">
        <v>4.726586295619728E-8</v>
      </c>
      <c r="CC131" s="3">
        <f t="shared" si="76"/>
        <v>-6.3420117879627663E-15</v>
      </c>
      <c r="CD131" s="3">
        <f t="shared" si="77"/>
        <v>1.0810131232895465E-14</v>
      </c>
      <c r="CE131" s="3">
        <f t="shared" si="78"/>
        <v>1.6665562760365127E-7</v>
      </c>
      <c r="CF131"/>
      <c r="CG131" s="3">
        <v>25</v>
      </c>
      <c r="CH131" s="3">
        <f t="shared" si="85"/>
        <v>0.14755973330409727</v>
      </c>
      <c r="CI131" s="3">
        <v>-9.0564030285483765E-8</v>
      </c>
      <c r="CJ131" s="3">
        <f t="shared" si="86"/>
        <v>0.14755989995972488</v>
      </c>
      <c r="CK131" s="3">
        <v>2.5937342680928954E-7</v>
      </c>
      <c r="CL131" s="3">
        <f t="shared" si="79"/>
        <v>0.14755981663191109</v>
      </c>
      <c r="CM131" s="3">
        <v>8.4404729379372601E-8</v>
      </c>
      <c r="CN131" s="3">
        <f t="shared" si="80"/>
        <v>-7.6440324677515611E-15</v>
      </c>
      <c r="CO131" s="3">
        <f t="shared" si="81"/>
        <v>2.1892343898038588E-14</v>
      </c>
      <c r="CP131" s="3">
        <f t="shared" si="82"/>
        <v>1.6665562760365127E-7</v>
      </c>
    </row>
    <row r="132" spans="50:94" x14ac:dyDescent="0.2">
      <c r="AX132"/>
      <c r="AY132"/>
      <c r="AZ132"/>
      <c r="BA132"/>
      <c r="BM132"/>
      <c r="BN132"/>
      <c r="BO132"/>
      <c r="BP132"/>
      <c r="BQ132"/>
      <c r="BR132"/>
      <c r="BS132"/>
      <c r="BT132"/>
      <c r="BU132"/>
      <c r="BV132" s="3">
        <v>26</v>
      </c>
      <c r="BW132" s="3">
        <f t="shared" si="83"/>
        <v>0.14799453783647989</v>
      </c>
      <c r="BX132" s="3">
        <v>-1.3417742512900066E-7</v>
      </c>
      <c r="BY132" s="3">
        <f t="shared" si="84"/>
        <v>0.14799462116429368</v>
      </c>
      <c r="BZ132" s="3">
        <v>4.726586295619728E-8</v>
      </c>
      <c r="CA132" s="3">
        <f t="shared" si="75"/>
        <v>0.1479945795003868</v>
      </c>
      <c r="CB132" s="3">
        <v>-4.3455770048356213E-8</v>
      </c>
      <c r="CC132" s="3">
        <f t="shared" si="76"/>
        <v>5.8307833320863855E-15</v>
      </c>
      <c r="CD132" s="3">
        <f t="shared" si="77"/>
        <v>-2.0539744717616271E-15</v>
      </c>
      <c r="CE132" s="3">
        <f t="shared" si="78"/>
        <v>8.3327813787947846E-8</v>
      </c>
      <c r="CF132"/>
      <c r="CG132" s="3">
        <v>26</v>
      </c>
      <c r="CH132" s="3">
        <f t="shared" si="85"/>
        <v>0.14755973330409727</v>
      </c>
      <c r="CI132" s="3">
        <v>-9.0564030285483765E-8</v>
      </c>
      <c r="CJ132" s="3">
        <f t="shared" si="86"/>
        <v>0.14755981663191109</v>
      </c>
      <c r="CK132" s="3">
        <v>8.4404729379372601E-8</v>
      </c>
      <c r="CL132" s="3">
        <f t="shared" si="79"/>
        <v>0.14755977496800418</v>
      </c>
      <c r="CM132" s="3">
        <v>-3.0796427283319439E-9</v>
      </c>
      <c r="CN132" s="3">
        <f t="shared" si="80"/>
        <v>2.7890485731712402E-16</v>
      </c>
      <c r="CO132" s="3">
        <f t="shared" si="81"/>
        <v>-2.5993641107001043E-16</v>
      </c>
      <c r="CP132" s="3">
        <f t="shared" si="82"/>
        <v>8.3327813815703422E-8</v>
      </c>
    </row>
    <row r="133" spans="50:94" x14ac:dyDescent="0.2">
      <c r="AX133"/>
      <c r="AY133"/>
      <c r="AZ133"/>
      <c r="BA133"/>
      <c r="BM133"/>
      <c r="BN133"/>
      <c r="BO133"/>
      <c r="BP133"/>
      <c r="BQ133"/>
      <c r="BR133"/>
      <c r="BS133"/>
      <c r="BT133"/>
      <c r="BU133"/>
      <c r="BV133" s="3">
        <v>27</v>
      </c>
      <c r="BW133" s="3">
        <f t="shared" si="83"/>
        <v>0.1479945795003868</v>
      </c>
      <c r="BX133" s="3">
        <v>-4.3455770048356213E-8</v>
      </c>
      <c r="BY133" s="3">
        <f t="shared" si="84"/>
        <v>0.14799462116429368</v>
      </c>
      <c r="BZ133" s="3">
        <v>4.726586295619728E-8</v>
      </c>
      <c r="CA133" s="3">
        <f t="shared" si="75"/>
        <v>0.14799460033234024</v>
      </c>
      <c r="CB133" s="3">
        <v>1.9050491635586031E-9</v>
      </c>
      <c r="CC133" s="3">
        <f t="shared" si="76"/>
        <v>-8.2785378382416004E-17</v>
      </c>
      <c r="CD133" s="3">
        <f t="shared" si="77"/>
        <v>9.0043792689579188E-17</v>
      </c>
      <c r="CE133" s="3">
        <f t="shared" si="78"/>
        <v>4.1663906880096135E-8</v>
      </c>
      <c r="CF133"/>
      <c r="CG133" s="3">
        <v>27</v>
      </c>
      <c r="CH133" s="3">
        <f t="shared" si="85"/>
        <v>0.14755977496800418</v>
      </c>
      <c r="CI133" s="3">
        <v>-3.0796427283319439E-9</v>
      </c>
      <c r="CJ133" s="3">
        <f t="shared" si="86"/>
        <v>0.14755981663191109</v>
      </c>
      <c r="CK133" s="3">
        <v>8.4404729379372601E-8</v>
      </c>
      <c r="CL133" s="3">
        <f t="shared" si="79"/>
        <v>0.14755979579995765</v>
      </c>
      <c r="CM133" s="3">
        <v>4.0662545303105091E-8</v>
      </c>
      <c r="CN133" s="3">
        <f t="shared" si="80"/>
        <v>-1.2522611195817584E-16</v>
      </c>
      <c r="CO133" s="3">
        <f t="shared" si="81"/>
        <v>3.4321111321850637E-15</v>
      </c>
      <c r="CP133" s="3">
        <f t="shared" si="82"/>
        <v>4.1663906907851711E-8</v>
      </c>
    </row>
    <row r="134" spans="50:94" x14ac:dyDescent="0.2">
      <c r="AX134"/>
      <c r="AY134"/>
      <c r="AZ134"/>
      <c r="BA134"/>
      <c r="BM134"/>
      <c r="BN134"/>
      <c r="BO134"/>
      <c r="BP134"/>
      <c r="BQ134"/>
      <c r="BR134"/>
      <c r="BS134"/>
      <c r="BT134"/>
      <c r="BU134"/>
      <c r="BV134" s="3">
        <v>28</v>
      </c>
      <c r="BW134" s="3">
        <f t="shared" si="83"/>
        <v>0.1479945795003868</v>
      </c>
      <c r="BX134" s="3">
        <v>-4.3455770048356213E-8</v>
      </c>
      <c r="BY134" s="3">
        <f t="shared" si="84"/>
        <v>0.14799460033234024</v>
      </c>
      <c r="BZ134" s="3">
        <v>1.9050491635586031E-9</v>
      </c>
      <c r="CA134" s="3">
        <f t="shared" si="75"/>
        <v>0.14799458991636352</v>
      </c>
      <c r="CB134" s="3">
        <v>-2.0775359793612225E-8</v>
      </c>
      <c r="CC134" s="3">
        <f t="shared" si="76"/>
        <v>9.0280925786307807E-16</v>
      </c>
      <c r="CD134" s="3">
        <f t="shared" si="77"/>
        <v>-3.957808179745E-17</v>
      </c>
      <c r="CE134" s="3">
        <f t="shared" si="78"/>
        <v>2.0831953440048068E-8</v>
      </c>
      <c r="CF134"/>
      <c r="CG134" s="3">
        <v>28</v>
      </c>
      <c r="CH134" s="3">
        <f t="shared" si="85"/>
        <v>0.14755977496800418</v>
      </c>
      <c r="CI134" s="3">
        <v>-3.0796427283319439E-9</v>
      </c>
      <c r="CJ134" s="3">
        <f t="shared" si="86"/>
        <v>0.14755979579995765</v>
      </c>
      <c r="CK134" s="3">
        <v>4.0662545303105091E-8</v>
      </c>
      <c r="CL134" s="3">
        <f t="shared" si="79"/>
        <v>0.1475597853839809</v>
      </c>
      <c r="CM134" s="3">
        <v>1.8791451745353571E-8</v>
      </c>
      <c r="CN134" s="3">
        <f t="shared" si="80"/>
        <v>-5.7870957722378735E-17</v>
      </c>
      <c r="CO134" s="3">
        <f t="shared" si="81"/>
        <v>7.641082579065528E-16</v>
      </c>
      <c r="CP134" s="3">
        <f t="shared" si="82"/>
        <v>2.0831953467803643E-8</v>
      </c>
    </row>
    <row r="135" spans="50:94" x14ac:dyDescent="0.2">
      <c r="AX135"/>
      <c r="AY135"/>
      <c r="AZ135"/>
      <c r="BA135"/>
      <c r="BM135"/>
      <c r="BN135"/>
      <c r="BO135"/>
      <c r="BP135"/>
      <c r="BQ135"/>
      <c r="BR135"/>
      <c r="BS135"/>
      <c r="BT135"/>
      <c r="BU135"/>
      <c r="BV135" s="3">
        <v>29</v>
      </c>
      <c r="BW135" s="3">
        <f t="shared" si="83"/>
        <v>0.14799458991636352</v>
      </c>
      <c r="BX135" s="3">
        <v>-2.0775359793612225E-8</v>
      </c>
      <c r="BY135" s="3">
        <f t="shared" si="84"/>
        <v>0.14799460033234024</v>
      </c>
      <c r="BZ135" s="3">
        <v>1.9050491635586031E-9</v>
      </c>
      <c r="CA135" s="3">
        <f t="shared" si="75"/>
        <v>0.14799459512435187</v>
      </c>
      <c r="CB135" s="3">
        <v>-9.4351551467586336E-9</v>
      </c>
      <c r="CC135" s="3">
        <f t="shared" si="76"/>
        <v>1.9601874288246277E-16</v>
      </c>
      <c r="CD135" s="3">
        <f t="shared" si="77"/>
        <v>-1.7974434420378184E-17</v>
      </c>
      <c r="CE135" s="3">
        <f t="shared" si="78"/>
        <v>1.0415976720024034E-8</v>
      </c>
      <c r="CF135"/>
      <c r="CG135" s="3">
        <v>29</v>
      </c>
      <c r="CH135" s="3">
        <f t="shared" si="85"/>
        <v>0.14755977496800418</v>
      </c>
      <c r="CI135" s="3">
        <v>-3.0796427283319439E-9</v>
      </c>
      <c r="CJ135" s="3">
        <f t="shared" si="86"/>
        <v>0.1475597853839809</v>
      </c>
      <c r="CK135" s="3">
        <v>1.8791451745353571E-8</v>
      </c>
      <c r="CL135" s="3">
        <f t="shared" si="79"/>
        <v>0.14755978017599253</v>
      </c>
      <c r="CM135" s="3">
        <v>7.8559046733095439E-9</v>
      </c>
      <c r="CN135" s="3">
        <f t="shared" si="80"/>
        <v>-2.4193379701626672E-17</v>
      </c>
      <c r="CO135" s="3">
        <f t="shared" si="81"/>
        <v>1.4762385358459391E-16</v>
      </c>
      <c r="CP135" s="3">
        <f t="shared" si="82"/>
        <v>1.0415976720024034E-8</v>
      </c>
    </row>
    <row r="136" spans="50:94" x14ac:dyDescent="0.2">
      <c r="AX136"/>
      <c r="AY136"/>
      <c r="AZ136"/>
      <c r="BA136"/>
      <c r="BM136"/>
      <c r="BN136"/>
      <c r="BO136"/>
      <c r="BP136"/>
      <c r="BQ136"/>
      <c r="BR136"/>
      <c r="BS136"/>
      <c r="BT136"/>
      <c r="BU136"/>
      <c r="BV136" s="3">
        <v>30</v>
      </c>
      <c r="BW136" s="3">
        <f t="shared" si="83"/>
        <v>0.14799459512435187</v>
      </c>
      <c r="BX136" s="3">
        <v>-9.4351551467586336E-9</v>
      </c>
      <c r="BY136" s="3">
        <f t="shared" si="84"/>
        <v>0.14799460033234024</v>
      </c>
      <c r="BZ136" s="3">
        <v>1.9050491635586031E-9</v>
      </c>
      <c r="CA136" s="6">
        <f t="shared" si="75"/>
        <v>0.14799459772834606</v>
      </c>
      <c r="CB136" s="3">
        <v>-3.7650529603749927E-9</v>
      </c>
      <c r="CC136" s="3">
        <f t="shared" si="76"/>
        <v>3.5523858816900943E-17</v>
      </c>
      <c r="CD136" s="3">
        <f t="shared" si="77"/>
        <v>-7.1726109929162223E-18</v>
      </c>
      <c r="CE136" s="3">
        <f t="shared" si="78"/>
        <v>5.2079883738898047E-9</v>
      </c>
      <c r="CF136"/>
      <c r="CG136" s="3">
        <v>30</v>
      </c>
      <c r="CH136" s="3">
        <f t="shared" si="85"/>
        <v>0.14755977496800418</v>
      </c>
      <c r="CI136" s="3">
        <v>-3.0796427283319439E-9</v>
      </c>
      <c r="CJ136" s="3">
        <f t="shared" si="86"/>
        <v>0.14755978017599253</v>
      </c>
      <c r="CK136" s="3">
        <v>7.8559046733095439E-9</v>
      </c>
      <c r="CL136" s="6">
        <f t="shared" si="79"/>
        <v>0.14755977757199834</v>
      </c>
      <c r="CM136" s="3">
        <v>2.3881309325901601E-9</v>
      </c>
      <c r="CN136" s="3">
        <f t="shared" si="80"/>
        <v>-7.3545900608558699E-18</v>
      </c>
      <c r="CO136" s="3">
        <f t="shared" si="81"/>
        <v>1.8760928953810117E-17</v>
      </c>
      <c r="CP136" s="3">
        <f t="shared" si="82"/>
        <v>5.2079883461342291E-9</v>
      </c>
    </row>
  </sheetData>
  <mergeCells count="80">
    <mergeCell ref="AX27:AX34"/>
    <mergeCell ref="AX35:AX42"/>
    <mergeCell ref="BC42:BE42"/>
    <mergeCell ref="BC29:BD29"/>
    <mergeCell ref="BB14:BD14"/>
    <mergeCell ref="BR60:BT60"/>
    <mergeCell ref="CG104:CP104"/>
    <mergeCell ref="AM47:AP47"/>
    <mergeCell ref="BV104:CE104"/>
    <mergeCell ref="BN60:BP60"/>
    <mergeCell ref="BV70:CE70"/>
    <mergeCell ref="CG70:CP70"/>
    <mergeCell ref="BR41:BT41"/>
    <mergeCell ref="AX44:AZ44"/>
    <mergeCell ref="BN41:BP41"/>
    <mergeCell ref="BV36:CE36"/>
    <mergeCell ref="BF42:BI42"/>
    <mergeCell ref="BJ42:BL42"/>
    <mergeCell ref="BF43:BG43"/>
    <mergeCell ref="BC41:BD41"/>
    <mergeCell ref="BR22:BT22"/>
    <mergeCell ref="BB23:BB29"/>
    <mergeCell ref="BC23:BD23"/>
    <mergeCell ref="BC24:BD24"/>
    <mergeCell ref="CG36:CP36"/>
    <mergeCell ref="BB22:BD22"/>
    <mergeCell ref="BN22:BP22"/>
    <mergeCell ref="BC30:BD30"/>
    <mergeCell ref="BF30:BH30"/>
    <mergeCell ref="BC25:BD25"/>
    <mergeCell ref="BC26:BD26"/>
    <mergeCell ref="BC27:BD27"/>
    <mergeCell ref="BC28:BD28"/>
    <mergeCell ref="BJ30:BL30"/>
    <mergeCell ref="AX7:AZ7"/>
    <mergeCell ref="BB9:BD9"/>
    <mergeCell ref="BF12:BH12"/>
    <mergeCell ref="BJ12:BL12"/>
    <mergeCell ref="BF21:BH21"/>
    <mergeCell ref="BJ21:BL21"/>
    <mergeCell ref="AX11:AX18"/>
    <mergeCell ref="AX19:AX26"/>
    <mergeCell ref="CG2:CP2"/>
    <mergeCell ref="BF3:BH3"/>
    <mergeCell ref="BJ3:BL3"/>
    <mergeCell ref="BN3:BP3"/>
    <mergeCell ref="AX2:AZ2"/>
    <mergeCell ref="BB2:BD2"/>
    <mergeCell ref="BF2:BL2"/>
    <mergeCell ref="BN2:BT2"/>
    <mergeCell ref="BV2:CE2"/>
    <mergeCell ref="BR3:BT3"/>
    <mergeCell ref="F28:H28"/>
    <mergeCell ref="F48:H48"/>
    <mergeCell ref="B46:D46"/>
    <mergeCell ref="J30:L30"/>
    <mergeCell ref="B28:D28"/>
    <mergeCell ref="F35:H35"/>
    <mergeCell ref="B34:D34"/>
    <mergeCell ref="J38:L38"/>
    <mergeCell ref="B39:D39"/>
    <mergeCell ref="F15:H15"/>
    <mergeCell ref="B23:D23"/>
    <mergeCell ref="V3:X3"/>
    <mergeCell ref="J7:L7"/>
    <mergeCell ref="J11:L11"/>
    <mergeCell ref="B12:D12"/>
    <mergeCell ref="B16:D16"/>
    <mergeCell ref="N13:P13"/>
    <mergeCell ref="R13:T13"/>
    <mergeCell ref="V13:X13"/>
    <mergeCell ref="R3:T3"/>
    <mergeCell ref="N17:P17"/>
    <mergeCell ref="R17:T17"/>
    <mergeCell ref="V17:X17"/>
    <mergeCell ref="B1:D1"/>
    <mergeCell ref="B3:D3"/>
    <mergeCell ref="F3:H3"/>
    <mergeCell ref="J3:L3"/>
    <mergeCell ref="N3:P3"/>
  </mergeCells>
  <conditionalFormatting sqref="G12">
    <cfRule type="containsText" dxfId="23" priority="1" operator="containsText" text="FALSE">
      <formula>NOT(ISERROR(SEARCH("FALSE",G12)))</formula>
    </cfRule>
    <cfRule type="containsText" dxfId="22" priority="2" operator="containsText" text="TRUE">
      <formula>NOT(ISERROR(SEARCH("TRUE",G12)))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NOT(ISERROR(SEARCH("YES",G12)))</formula>
    </cfRule>
    <cfRule type="cellIs" dxfId="18" priority="6" operator="equal">
      <formula>"""YES"""</formula>
    </cfRule>
  </conditionalFormatting>
  <conditionalFormatting sqref="K28">
    <cfRule type="containsText" dxfId="17" priority="13" operator="containsText" text="FALSE">
      <formula>NOT(ISERROR(SEARCH("FALSE",K28)))</formula>
    </cfRule>
    <cfRule type="containsText" dxfId="16" priority="14" operator="containsText" text="TRUE">
      <formula>NOT(ISERROR(SEARCH("TRUE",K28)))</formula>
    </cfRule>
    <cfRule type="cellIs" dxfId="15" priority="15" operator="equal">
      <formula>1</formula>
    </cfRule>
    <cfRule type="cellIs" dxfId="14" priority="16" operator="equal">
      <formula>TRUE</formula>
    </cfRule>
    <cfRule type="containsText" dxfId="13" priority="17" operator="containsText" text="YES">
      <formula>NOT(ISERROR(SEARCH("YES",K28)))</formula>
    </cfRule>
    <cfRule type="cellIs" dxfId="12" priority="18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P136"/>
  <sheetViews>
    <sheetView tabSelected="1" workbookViewId="0">
      <selection activeCell="E12" sqref="E12"/>
    </sheetView>
  </sheetViews>
  <sheetFormatPr baseColWidth="10" defaultRowHeight="16" x14ac:dyDescent="0.2"/>
  <cols>
    <col min="1" max="1" width="4.1640625" style="7" customWidth="1"/>
    <col min="2" max="2" width="20.5" style="7" customWidth="1"/>
    <col min="3" max="3" width="12.1640625" style="7" bestFit="1" customWidth="1"/>
    <col min="4" max="4" width="7.1640625" style="7" customWidth="1"/>
    <col min="5" max="5" width="5.6640625" style="7" customWidth="1"/>
    <col min="6" max="6" width="20.33203125" style="7" customWidth="1"/>
    <col min="7" max="7" width="13.1640625" style="7" customWidth="1"/>
    <col min="8" max="8" width="4.1640625" style="7" customWidth="1"/>
    <col min="9" max="9" width="6" style="7" customWidth="1"/>
    <col min="10" max="10" width="18.1640625" style="7" customWidth="1"/>
    <col min="11" max="11" width="14.33203125" style="7" customWidth="1"/>
    <col min="12" max="12" width="5" style="7" customWidth="1"/>
    <col min="13" max="13" width="6" style="7" customWidth="1"/>
    <col min="14" max="14" width="13.83203125" style="7" customWidth="1"/>
    <col min="15" max="15" width="11" style="7" customWidth="1"/>
    <col min="16" max="16" width="6.6640625" style="7" customWidth="1"/>
    <col min="17" max="17" width="6" style="7" customWidth="1"/>
    <col min="18" max="18" width="14" style="7" customWidth="1"/>
    <col min="19" max="19" width="11" style="7" bestFit="1" customWidth="1"/>
    <col min="20" max="20" width="6.33203125" style="7" customWidth="1"/>
    <col min="21" max="21" width="8.1640625" style="7" customWidth="1"/>
    <col min="22" max="22" width="14" style="7" customWidth="1"/>
    <col min="23" max="23" width="11.5" style="7" customWidth="1"/>
    <col min="24" max="24" width="6.33203125" style="7" customWidth="1"/>
    <col min="25" max="25" width="4" style="7" customWidth="1"/>
    <col min="26" max="27" width="3.83203125" style="7" customWidth="1"/>
    <col min="28" max="28" width="5.5" style="7" customWidth="1"/>
    <col min="29" max="30" width="6.1640625" style="7" customWidth="1"/>
    <col min="31" max="31" width="6.6640625" style="7" customWidth="1"/>
    <col min="32" max="32" width="7" style="7" customWidth="1"/>
    <col min="33" max="33" width="14.6640625" style="7" customWidth="1"/>
    <col min="34" max="34" width="7.83203125" style="7" customWidth="1"/>
    <col min="35" max="35" width="10" style="7" customWidth="1"/>
    <col min="36" max="36" width="9.5" style="7" customWidth="1"/>
    <col min="37" max="37" width="13.6640625" style="7" customWidth="1"/>
    <col min="38" max="49" width="10.83203125" style="7"/>
    <col min="50" max="50" width="12" style="7" customWidth="1"/>
    <col min="51" max="51" width="11.33203125" style="7" customWidth="1"/>
    <col min="52" max="52" width="6.6640625" style="7" customWidth="1"/>
    <col min="53" max="53" width="11" style="7" bestFit="1" customWidth="1"/>
    <col min="54" max="54" width="13.1640625" style="7" bestFit="1" customWidth="1"/>
    <col min="55" max="55" width="18.33203125" style="7" customWidth="1"/>
    <col min="56" max="59" width="11" style="7" bestFit="1" customWidth="1"/>
    <col min="60" max="16384" width="10.83203125" style="7"/>
  </cols>
  <sheetData>
    <row r="1" spans="2:94" x14ac:dyDescent="0.2">
      <c r="B1" s="50" t="s">
        <v>0</v>
      </c>
      <c r="C1" s="50"/>
      <c r="D1" s="50"/>
    </row>
    <row r="2" spans="2:94" x14ac:dyDescent="0.2">
      <c r="AB2" s="17" t="s">
        <v>110</v>
      </c>
      <c r="AM2" s="17" t="s">
        <v>248</v>
      </c>
      <c r="AX2" s="59" t="s">
        <v>159</v>
      </c>
      <c r="AY2" s="59"/>
      <c r="AZ2" s="59"/>
      <c r="BB2" s="59" t="s">
        <v>160</v>
      </c>
      <c r="BC2" s="59"/>
      <c r="BD2" s="59"/>
      <c r="BF2" s="59" t="s">
        <v>161</v>
      </c>
      <c r="BG2" s="59"/>
      <c r="BH2" s="59"/>
      <c r="BI2" s="59"/>
      <c r="BJ2" s="59"/>
      <c r="BK2" s="59"/>
      <c r="BL2" s="59"/>
      <c r="BN2" s="59" t="s">
        <v>162</v>
      </c>
      <c r="BO2" s="59"/>
      <c r="BP2" s="59"/>
      <c r="BQ2" s="59"/>
      <c r="BR2" s="59"/>
      <c r="BS2" s="59"/>
      <c r="BT2" s="59"/>
      <c r="BV2" s="59" t="s">
        <v>163</v>
      </c>
      <c r="BW2" s="59"/>
      <c r="BX2" s="59"/>
      <c r="BY2" s="59"/>
      <c r="BZ2" s="59"/>
      <c r="CA2" s="59"/>
      <c r="CB2" s="59"/>
      <c r="CC2" s="59"/>
      <c r="CD2" s="59"/>
      <c r="CE2" s="59"/>
      <c r="CG2" s="59" t="s">
        <v>164</v>
      </c>
      <c r="CH2" s="59"/>
      <c r="CI2" s="59"/>
      <c r="CJ2" s="59"/>
      <c r="CK2" s="59"/>
      <c r="CL2" s="59"/>
      <c r="CM2" s="59"/>
      <c r="CN2" s="59"/>
      <c r="CO2" s="59"/>
      <c r="CP2" s="59"/>
    </row>
    <row r="3" spans="2:94" x14ac:dyDescent="0.2">
      <c r="B3" s="53" t="s">
        <v>148</v>
      </c>
      <c r="C3" s="58"/>
      <c r="D3" s="58"/>
      <c r="F3" s="51" t="s">
        <v>86</v>
      </c>
      <c r="G3" s="52"/>
      <c r="H3" s="52"/>
      <c r="J3" s="53" t="s">
        <v>121</v>
      </c>
      <c r="K3" s="53"/>
      <c r="L3" s="53"/>
      <c r="N3" s="53" t="s">
        <v>109</v>
      </c>
      <c r="O3" s="53"/>
      <c r="P3" s="53"/>
      <c r="R3" s="53" t="s">
        <v>108</v>
      </c>
      <c r="S3" s="53"/>
      <c r="T3" s="53"/>
      <c r="V3" s="53" t="s">
        <v>114</v>
      </c>
      <c r="W3" s="53"/>
      <c r="X3" s="53"/>
      <c r="AB3" s="8" t="s">
        <v>45</v>
      </c>
      <c r="AC3" s="8" t="s">
        <v>46</v>
      </c>
      <c r="AD3" s="8" t="s">
        <v>47</v>
      </c>
      <c r="AE3" s="8" t="s">
        <v>48</v>
      </c>
      <c r="AF3" s="8" t="s">
        <v>49</v>
      </c>
      <c r="AG3" s="8" t="s">
        <v>50</v>
      </c>
      <c r="AH3" s="8" t="s">
        <v>51</v>
      </c>
      <c r="AI3" s="8" t="s">
        <v>52</v>
      </c>
      <c r="AJ3" s="8" t="s">
        <v>53</v>
      </c>
      <c r="AK3" s="8" t="s">
        <v>54</v>
      </c>
      <c r="AM3" s="8" t="s">
        <v>45</v>
      </c>
      <c r="AN3" s="8" t="s">
        <v>46</v>
      </c>
      <c r="AO3" s="8" t="s">
        <v>47</v>
      </c>
      <c r="AP3" s="8" t="s">
        <v>48</v>
      </c>
      <c r="AQ3" s="8" t="s">
        <v>49</v>
      </c>
      <c r="AR3" s="8" t="s">
        <v>50</v>
      </c>
      <c r="AS3" s="8" t="s">
        <v>51</v>
      </c>
      <c r="AT3" s="8" t="s">
        <v>52</v>
      </c>
      <c r="AU3" s="8" t="s">
        <v>53</v>
      </c>
      <c r="AV3" s="8" t="s">
        <v>54</v>
      </c>
      <c r="AX3" s="3" t="s">
        <v>166</v>
      </c>
      <c r="AY3" s="3">
        <f>$G$4</f>
        <v>2.54</v>
      </c>
      <c r="AZ3" s="27" t="s">
        <v>10</v>
      </c>
      <c r="BB3" s="3" t="s">
        <v>167</v>
      </c>
      <c r="BC3" s="3">
        <f>0.5*AY9</f>
        <v>1</v>
      </c>
      <c r="BD3" s="27" t="s">
        <v>8</v>
      </c>
      <c r="BF3" s="60" t="s">
        <v>168</v>
      </c>
      <c r="BG3" s="60"/>
      <c r="BH3" s="60"/>
      <c r="BJ3" s="60" t="s">
        <v>169</v>
      </c>
      <c r="BK3" s="60"/>
      <c r="BL3" s="60"/>
      <c r="BN3" s="60" t="s">
        <v>168</v>
      </c>
      <c r="BO3" s="60"/>
      <c r="BP3" s="60"/>
      <c r="BQ3" s="3"/>
      <c r="BR3" s="60" t="s">
        <v>169</v>
      </c>
      <c r="BS3" s="60"/>
      <c r="BT3" s="60"/>
      <c r="BV3" s="8" t="s">
        <v>45</v>
      </c>
      <c r="BW3" s="8" t="s">
        <v>46</v>
      </c>
      <c r="BX3" s="8" t="s">
        <v>47</v>
      </c>
      <c r="BY3" s="8" t="s">
        <v>48</v>
      </c>
      <c r="BZ3" s="8" t="s">
        <v>49</v>
      </c>
      <c r="CA3" s="8" t="s">
        <v>50</v>
      </c>
      <c r="CB3" s="8" t="s">
        <v>51</v>
      </c>
      <c r="CC3" s="8" t="s">
        <v>52</v>
      </c>
      <c r="CD3" s="8" t="s">
        <v>53</v>
      </c>
      <c r="CE3" s="8" t="s">
        <v>54</v>
      </c>
      <c r="CG3" s="8" t="s">
        <v>45</v>
      </c>
      <c r="CH3" s="8" t="s">
        <v>46</v>
      </c>
      <c r="CI3" s="8" t="s">
        <v>47</v>
      </c>
      <c r="CJ3" s="8" t="s">
        <v>48</v>
      </c>
      <c r="CK3" s="8" t="s">
        <v>49</v>
      </c>
      <c r="CL3" s="8" t="s">
        <v>50</v>
      </c>
      <c r="CM3" s="8" t="s">
        <v>51</v>
      </c>
      <c r="CN3" s="8" t="s">
        <v>52</v>
      </c>
      <c r="CO3" s="8" t="s">
        <v>53</v>
      </c>
      <c r="CP3" s="8" t="s">
        <v>54</v>
      </c>
    </row>
    <row r="4" spans="2:94" x14ac:dyDescent="0.2">
      <c r="B4" s="7" t="s">
        <v>40</v>
      </c>
      <c r="C4" s="4" t="s">
        <v>249</v>
      </c>
      <c r="F4" s="7" t="s">
        <v>90</v>
      </c>
      <c r="G4" s="18">
        <v>2.54</v>
      </c>
      <c r="H4" s="7" t="s">
        <v>10</v>
      </c>
      <c r="J4" s="7" t="s">
        <v>122</v>
      </c>
      <c r="K4" s="7">
        <f>MAX(G13,G53)</f>
        <v>308.20313757002714</v>
      </c>
      <c r="L4" s="7" t="s">
        <v>124</v>
      </c>
      <c r="N4" s="7" t="s">
        <v>250</v>
      </c>
      <c r="O4" s="7">
        <f>$C$5*$C$68*COS(G24/180*PI())</f>
        <v>13860.573805153934</v>
      </c>
      <c r="P4" s="7" t="s">
        <v>23</v>
      </c>
      <c r="R4" s="7" t="s">
        <v>250</v>
      </c>
      <c r="S4" s="7">
        <f xml:space="preserve"> $C$5 * $C$68</f>
        <v>13878.493070594275</v>
      </c>
      <c r="T4" s="7" t="s">
        <v>23</v>
      </c>
      <c r="V4" s="7" t="s">
        <v>250</v>
      </c>
      <c r="W4" s="7">
        <f>$C$5*$C$68*COS(G44/180*PI())</f>
        <v>13872.044801602406</v>
      </c>
      <c r="X4" s="7" t="s">
        <v>23</v>
      </c>
      <c r="AB4" s="3">
        <v>0</v>
      </c>
      <c r="AC4" s="4">
        <v>0</v>
      </c>
      <c r="AD4" s="3">
        <f t="shared" ref="AD4:AD34" si="0" xml:space="preserve"> $S$22 * TAN($S$19/180*PI()) + $S$23 / (2 * SQRT($S$22^2 + AC4^2)) - AC4</f>
        <v>0.53398539632072251</v>
      </c>
      <c r="AE4" s="4">
        <v>1</v>
      </c>
      <c r="AF4" s="3">
        <f t="shared" ref="AF4:AF34" si="1" xml:space="preserve"> $S$22 * TAN($S$19/180*PI()) + $S$23 / (2 * SQRT($S$22^2 + AE4^2)) - AE4</f>
        <v>-0.67688670432056108</v>
      </c>
      <c r="AG4" s="3">
        <f xml:space="preserve"> (AC4 + AE4)/2</f>
        <v>0.5</v>
      </c>
      <c r="AH4" s="3">
        <f t="shared" ref="AH4:AH34" si="2" xml:space="preserve"> $S$22 * TAN($S$19/180*PI()) + $S$23 / (2 * SQRT($S$22^2 + AG4^2)) - AG4</f>
        <v>-0.17088588251227527</v>
      </c>
      <c r="AI4" s="3">
        <f>AD4*AH4</f>
        <v>-9.1250565698933736E-2</v>
      </c>
      <c r="AJ4" s="3">
        <f>AF4*AH4</f>
        <v>0.11567038182864461</v>
      </c>
      <c r="AK4" s="3">
        <f>AE4-AC4</f>
        <v>1</v>
      </c>
      <c r="AM4" s="3">
        <v>0</v>
      </c>
      <c r="AN4" s="3"/>
      <c r="AO4" s="3">
        <f>K32</f>
        <v>8.2741280493792146E-10</v>
      </c>
      <c r="AP4" s="3"/>
      <c r="AQ4" s="3">
        <f>K32</f>
        <v>8.2741280493792146E-10</v>
      </c>
      <c r="AR4" s="3"/>
      <c r="AS4" s="3">
        <f>K32</f>
        <v>8.2741280493792146E-10</v>
      </c>
      <c r="AT4" s="3"/>
      <c r="AU4" s="3"/>
      <c r="AV4" s="3"/>
      <c r="AX4" s="3" t="s">
        <v>173</v>
      </c>
      <c r="AY4" s="3">
        <f>$C$6</f>
        <v>1097.8304031305015</v>
      </c>
      <c r="AZ4" s="27" t="s">
        <v>155</v>
      </c>
      <c r="BB4" s="3" t="s">
        <v>174</v>
      </c>
      <c r="BC4" s="3">
        <f>PI()*BC3^2</f>
        <v>3.1415926535897931</v>
      </c>
      <c r="BD4" s="27" t="s">
        <v>11</v>
      </c>
      <c r="BF4" s="3" t="s">
        <v>175</v>
      </c>
      <c r="BG4" s="3">
        <f>2*($AY$19 - $AY$10)</f>
        <v>9.875000000000006E-2</v>
      </c>
      <c r="BH4" s="27" t="s">
        <v>8</v>
      </c>
      <c r="BJ4" s="3" t="s">
        <v>175</v>
      </c>
      <c r="BK4" s="3">
        <f>$AY$20-$AY$19</f>
        <v>9.8750000000000004E-2</v>
      </c>
      <c r="BL4" s="27" t="s">
        <v>8</v>
      </c>
      <c r="BN4" s="29" t="s">
        <v>176</v>
      </c>
      <c r="BO4" s="30">
        <f>CA34</f>
        <v>0.42930750555246322</v>
      </c>
      <c r="BP4" s="6" t="s">
        <v>177</v>
      </c>
      <c r="BQ4" s="3"/>
      <c r="BR4" s="29" t="s">
        <v>176</v>
      </c>
      <c r="BS4" s="30">
        <f>CL34</f>
        <v>0.36558704403067305</v>
      </c>
      <c r="BT4" s="6" t="s">
        <v>177</v>
      </c>
      <c r="BV4" s="31">
        <v>0</v>
      </c>
      <c r="BW4" s="31"/>
      <c r="BX4" s="31">
        <f>$BO$20</f>
        <v>-1.2498185208986712E-8</v>
      </c>
      <c r="BY4" s="31"/>
      <c r="BZ4" s="31">
        <f>$BO$20</f>
        <v>-1.2498185208986712E-8</v>
      </c>
      <c r="CA4" s="31"/>
      <c r="CB4" s="31">
        <f>$BO$20</f>
        <v>-1.2498185208986712E-8</v>
      </c>
      <c r="CC4" s="31"/>
      <c r="CD4" s="31"/>
      <c r="CE4" s="31"/>
      <c r="CG4" s="31">
        <v>0</v>
      </c>
      <c r="CH4" s="31"/>
      <c r="CI4" s="31">
        <f>$BS$20</f>
        <v>-3.8092489162977472E-9</v>
      </c>
      <c r="CJ4" s="31"/>
      <c r="CK4" s="31">
        <f>$BS$20</f>
        <v>-3.8092489162977472E-9</v>
      </c>
      <c r="CL4" s="31"/>
      <c r="CM4" s="31">
        <f>$BS$20</f>
        <v>-3.8092489162977472E-9</v>
      </c>
      <c r="CN4" s="31"/>
      <c r="CO4" s="31"/>
      <c r="CP4" s="31"/>
    </row>
    <row r="5" spans="2:94" x14ac:dyDescent="0.2">
      <c r="B5" s="11" t="s">
        <v>41</v>
      </c>
      <c r="C5" s="11">
        <f>AR44</f>
        <v>1415.2124395786814</v>
      </c>
      <c r="D5" s="11" t="s">
        <v>7</v>
      </c>
      <c r="F5" s="7" t="s">
        <v>93</v>
      </c>
      <c r="G5" s="18">
        <v>152.4</v>
      </c>
      <c r="H5" s="7" t="s">
        <v>8</v>
      </c>
      <c r="J5" s="7" t="s">
        <v>123</v>
      </c>
      <c r="K5" s="7">
        <f>K4/$C$21</f>
        <v>38.525392196253392</v>
      </c>
      <c r="L5" s="7" t="s">
        <v>124</v>
      </c>
      <c r="N5" s="7" t="s">
        <v>26</v>
      </c>
      <c r="O5" s="7">
        <f>0.5*$C$65*$G$16^2</f>
        <v>1531.25</v>
      </c>
      <c r="P5" s="7" t="s">
        <v>27</v>
      </c>
      <c r="R5" s="7" t="s">
        <v>26</v>
      </c>
      <c r="S5" s="7">
        <f xml:space="preserve"> 0.5 * $C$65 * $C$13^2</f>
        <v>1531.25</v>
      </c>
      <c r="T5" s="7" t="s">
        <v>27</v>
      </c>
      <c r="V5" s="7" t="s">
        <v>26</v>
      </c>
      <c r="W5" s="7">
        <f>0.5*$C$65*$G$36^2</f>
        <v>1531.25</v>
      </c>
      <c r="X5" s="7" t="s">
        <v>27</v>
      </c>
      <c r="AB5" s="3">
        <v>1</v>
      </c>
      <c r="AC5" s="3">
        <f>IF(AI4&gt;0, AG4, AC4)</f>
        <v>0</v>
      </c>
      <c r="AD5" s="3">
        <f t="shared" si="0"/>
        <v>0.53398539632072251</v>
      </c>
      <c r="AE5" s="3">
        <f>IF(AJ4&gt;0, AG4, AE4)</f>
        <v>0.5</v>
      </c>
      <c r="AF5" s="3">
        <f t="shared" si="1"/>
        <v>-0.17088588251227527</v>
      </c>
      <c r="AG5" s="3">
        <f t="shared" ref="AG5:AG34" si="3" xml:space="preserve"> (AC5 + AE5)/2</f>
        <v>0.25</v>
      </c>
      <c r="AH5" s="3">
        <f t="shared" si="2"/>
        <v>9.101974029447496E-2</v>
      </c>
      <c r="AI5" s="3">
        <f t="shared" ref="AI5:AI34" si="4">AD5*AH5</f>
        <v>4.8603212094154448E-2</v>
      </c>
      <c r="AJ5" s="3">
        <f t="shared" ref="AJ5:AJ34" si="5">AF5*AH5</f>
        <v>-1.5553988646259455E-2</v>
      </c>
      <c r="AK5" s="3">
        <f t="shared" ref="AK5:AK34" si="6">AE5-AC5</f>
        <v>0.5</v>
      </c>
      <c r="AM5" s="3">
        <v>1</v>
      </c>
      <c r="AN5" s="4">
        <v>500</v>
      </c>
      <c r="AO5" s="3">
        <f t="dataTable" ref="AO5:AO44" dt2D="0" dtr="0" r1="C5" ca="1"/>
        <v>-553.3618105620485</v>
      </c>
      <c r="AP5" s="4">
        <v>2500</v>
      </c>
      <c r="AQ5" s="3">
        <f t="dataTable" ref="AQ5:AQ44" dt2D="0" dtr="0" r1="C5" ca="1"/>
        <v>455.94253427188596</v>
      </c>
      <c r="AR5" s="3">
        <f>(AN5+AP5)/2</f>
        <v>1500</v>
      </c>
      <c r="AS5" s="3">
        <f t="dataTable" ref="AS5:AS44" dt2D="0" dtr="0" r1="C5" ca="1"/>
        <v>48.53691880356223</v>
      </c>
      <c r="AT5" s="3">
        <f>AO5*AS5</f>
        <v>-26858.477268242332</v>
      </c>
      <c r="AU5" s="3">
        <f>AQ5*AS5</f>
        <v>22130.045765044917</v>
      </c>
      <c r="AV5" s="3">
        <f>AP5-AN5</f>
        <v>2000</v>
      </c>
      <c r="AX5" s="3" t="s">
        <v>179</v>
      </c>
      <c r="AY5" s="4">
        <v>20</v>
      </c>
      <c r="AZ5" s="27" t="s">
        <v>44</v>
      </c>
      <c r="BB5" s="3" t="s">
        <v>30</v>
      </c>
      <c r="BC5" s="3">
        <f>AY4*2*PI()/60</f>
        <v>114.9645309787435</v>
      </c>
      <c r="BD5" s="27" t="s">
        <v>31</v>
      </c>
      <c r="BF5" s="3" t="s">
        <v>180</v>
      </c>
      <c r="BG5" s="3">
        <f>(1+$BO$18)*$AY$3</f>
        <v>11.701458579647248</v>
      </c>
      <c r="BH5" s="27" t="s">
        <v>10</v>
      </c>
      <c r="BJ5" s="3" t="s">
        <v>180</v>
      </c>
      <c r="BK5" s="3">
        <f>(1+$BS$18)*$AY$3</f>
        <v>14.047846412329081</v>
      </c>
      <c r="BL5" s="27" t="s">
        <v>10</v>
      </c>
      <c r="BN5" s="3" t="s">
        <v>181</v>
      </c>
      <c r="BO5" s="3">
        <f>($AY$35+$AY$5)/180*PI()</f>
        <v>0.47751117503782359</v>
      </c>
      <c r="BP5" s="3" t="s">
        <v>177</v>
      </c>
      <c r="BQ5" s="3"/>
      <c r="BR5" s="3" t="s">
        <v>181</v>
      </c>
      <c r="BS5" s="3">
        <f>($AY$36+$AY$5)/180*PI()</f>
        <v>0.45165848549265758</v>
      </c>
      <c r="BT5" s="3" t="s">
        <v>177</v>
      </c>
      <c r="BV5" s="3">
        <v>1</v>
      </c>
      <c r="BW5" s="4">
        <f>0.01*PI()</f>
        <v>3.1415926535897934E-2</v>
      </c>
      <c r="BX5" s="3">
        <f t="dataTable" ref="BX5:BX34" dt2D="0" dtr="0" r1="BO4" ca="1"/>
        <v>-3.3048166854018066</v>
      </c>
      <c r="BY5" s="4">
        <f>0.9*PI()</f>
        <v>2.8274333882308138</v>
      </c>
      <c r="BZ5" s="3">
        <f t="dataTable" ref="BZ5:BZ34" dt2D="0" dtr="0" r1="BO4"/>
        <v>0.52749208117802415</v>
      </c>
      <c r="CA5" s="3">
        <f t="shared" ref="CA5:CA34" si="7">(BW5+BY5)/2</f>
        <v>1.4294246573833558</v>
      </c>
      <c r="CB5" s="3">
        <f t="dataTable" ref="CB5:CB34" dt2D="0" dtr="0" r1="BO4" ca="1"/>
        <v>1.4227973552463595</v>
      </c>
      <c r="CC5" s="3">
        <f t="shared" ref="CC5:CC34" si="8">BX5*CB5</f>
        <v>-4.7020844395637305</v>
      </c>
      <c r="CD5" s="3">
        <f t="shared" ref="CD5:CD34" si="9">BZ5*CB5</f>
        <v>0.75051433801349077</v>
      </c>
      <c r="CE5" s="3">
        <f t="shared" ref="CE5:CE34" si="10">BY5-BW5</f>
        <v>2.7960174616949161</v>
      </c>
      <c r="CG5" s="3">
        <v>1</v>
      </c>
      <c r="CH5" s="4">
        <f>0.01*PI()</f>
        <v>3.1415926535897934E-2</v>
      </c>
      <c r="CI5" s="3">
        <f t="dataTable" ref="CI5:CI34" dt2D="0" dtr="0" r1="BS4"/>
        <v>-2.8443908285780886</v>
      </c>
      <c r="CJ5" s="4">
        <f>0.9*PI()</f>
        <v>2.8274333882308138</v>
      </c>
      <c r="CK5" s="3">
        <f t="dataTable" ref="CK5:CK34" dt2D="0" dtr="0" r1="BS4" ca="1"/>
        <v>0.42569623925737965</v>
      </c>
      <c r="CL5" s="3">
        <f t="shared" ref="CL5:CL34" si="11">(CH5+CJ5)/2</f>
        <v>1.4294246573833558</v>
      </c>
      <c r="CM5" s="3">
        <f t="dataTable" ref="CM5:CM34" dt2D="0" dtr="0" r1="BS4" ca="1"/>
        <v>1.2214790020762745</v>
      </c>
      <c r="CN5" s="3">
        <f t="shared" ref="CN5:CN34" si="12">CI5*CM5</f>
        <v>-3.4743636708064711</v>
      </c>
      <c r="CO5" s="3">
        <f t="shared" ref="CO5:CO34" si="13">CK5*CM5</f>
        <v>0.51997901751572706</v>
      </c>
      <c r="CP5" s="3">
        <f t="shared" ref="CP5:CP34" si="14">CJ5-CH5</f>
        <v>2.7960174616949161</v>
      </c>
    </row>
    <row r="6" spans="2:94" x14ac:dyDescent="0.2">
      <c r="B6" s="11" t="s">
        <v>156</v>
      </c>
      <c r="C6" s="11">
        <f>AR79</f>
        <v>1097.8304031305015</v>
      </c>
      <c r="D6" s="11" t="s">
        <v>155</v>
      </c>
      <c r="F6" s="7" t="s">
        <v>94</v>
      </c>
      <c r="G6" s="7">
        <f xml:space="preserve"> $G$5/$G$4</f>
        <v>60</v>
      </c>
      <c r="H6" s="7" t="s">
        <v>14</v>
      </c>
      <c r="J6" s="7" t="s">
        <v>251</v>
      </c>
      <c r="K6" s="7">
        <f>MAX(G26,G33,G46)</f>
        <v>114.07360527717074</v>
      </c>
      <c r="L6" s="7" t="s">
        <v>124</v>
      </c>
      <c r="N6" s="7" t="s">
        <v>140</v>
      </c>
      <c r="O6" s="7">
        <f xml:space="preserve"> 0.4 * ($C$5 *2.20462/1000)^(2/3) * 0.3048^2</f>
        <v>7.9346328663320614E-2</v>
      </c>
      <c r="P6" s="7" t="s">
        <v>141</v>
      </c>
      <c r="R6" s="7" t="s">
        <v>140</v>
      </c>
      <c r="S6" s="7">
        <f xml:space="preserve"> 0.4 * ($C$5 *2.20462/1000)^(2/3) * 0.3048^2</f>
        <v>7.9346328663320614E-2</v>
      </c>
      <c r="T6" s="7" t="s">
        <v>141</v>
      </c>
      <c r="V6" s="7" t="s">
        <v>140</v>
      </c>
      <c r="W6" s="7">
        <f xml:space="preserve"> 0.4 * ($C$5 *2.20462/1000)^(2/3) * 0.3048^2</f>
        <v>7.9346328663320614E-2</v>
      </c>
      <c r="X6" s="7" t="s">
        <v>141</v>
      </c>
      <c r="AB6" s="3">
        <v>2</v>
      </c>
      <c r="AC6" s="3">
        <f t="shared" ref="AC6:AC34" si="15">IF(AI5&gt;0, AG5, AC5)</f>
        <v>0.25</v>
      </c>
      <c r="AD6" s="3">
        <f t="shared" si="0"/>
        <v>9.101974029447496E-2</v>
      </c>
      <c r="AE6" s="3">
        <f t="shared" ref="AE6:AE34" si="16">IF(AJ5&gt;0, AG5, AE5)</f>
        <v>0.5</v>
      </c>
      <c r="AF6" s="3">
        <f t="shared" si="1"/>
        <v>-0.17088588251227527</v>
      </c>
      <c r="AG6" s="3">
        <f t="shared" si="3"/>
        <v>0.375</v>
      </c>
      <c r="AH6" s="3">
        <f t="shared" si="2"/>
        <v>-4.1899804398006946E-2</v>
      </c>
      <c r="AI6" s="3">
        <f t="shared" si="4"/>
        <v>-3.8137093146958919E-3</v>
      </c>
      <c r="AJ6" s="3">
        <f t="shared" si="5"/>
        <v>7.1600850516451292E-3</v>
      </c>
      <c r="AK6" s="3">
        <f t="shared" si="6"/>
        <v>0.25</v>
      </c>
      <c r="AM6" s="3">
        <v>2</v>
      </c>
      <c r="AN6" s="3">
        <f>IF(AT5&gt;0,AR5,AN5)</f>
        <v>500</v>
      </c>
      <c r="AO6" s="3">
        <v>-553.3618105620485</v>
      </c>
      <c r="AP6" s="3">
        <f>IF(AU5&gt;0,AR5,AP5)</f>
        <v>1500</v>
      </c>
      <c r="AQ6" s="3">
        <v>48.53691880356223</v>
      </c>
      <c r="AR6" s="3">
        <f t="shared" ref="AR6:AR44" si="17">(AN6+AP6)/2</f>
        <v>1000</v>
      </c>
      <c r="AS6" s="3">
        <v>-245.73005606590846</v>
      </c>
      <c r="AT6" s="3">
        <f t="shared" ref="AT6:AT44" si="18">AO6*AS6</f>
        <v>135977.62873414479</v>
      </c>
      <c r="AU6" s="3">
        <f t="shared" ref="AU6:AU44" si="19">AQ6*AS6</f>
        <v>-11926.979778865792</v>
      </c>
      <c r="AV6" s="3">
        <f t="shared" ref="AV6:AV44" si="20">AP6-AN6</f>
        <v>1000</v>
      </c>
      <c r="AX6" s="3"/>
      <c r="AY6" s="3"/>
      <c r="AZ6" s="27"/>
      <c r="BB6" s="3" t="s">
        <v>183</v>
      </c>
      <c r="BC6" s="3">
        <f>$AY$4/60</f>
        <v>18.297173385508358</v>
      </c>
      <c r="BD6" s="27" t="s">
        <v>184</v>
      </c>
      <c r="BF6" s="3" t="s">
        <v>185</v>
      </c>
      <c r="BG6" s="3">
        <f>(1-$BO$19)*$BC$5*$AY$19</f>
        <v>25.561135673599587</v>
      </c>
      <c r="BH6" s="27" t="s">
        <v>10</v>
      </c>
      <c r="BJ6" s="3" t="s">
        <v>185</v>
      </c>
      <c r="BK6" s="3">
        <f>(1-$BS$19)*$BC$5*$AY$20</f>
        <v>36.698093258308845</v>
      </c>
      <c r="BL6" s="27" t="s">
        <v>10</v>
      </c>
      <c r="BN6" s="3" t="s">
        <v>29</v>
      </c>
      <c r="BO6" s="3">
        <f>BO5-BO4</f>
        <v>4.8203669485360368E-2</v>
      </c>
      <c r="BP6" s="3" t="s">
        <v>177</v>
      </c>
      <c r="BQ6" s="3"/>
      <c r="BR6" s="3" t="s">
        <v>29</v>
      </c>
      <c r="BS6" s="3">
        <f>BS5-BS4</f>
        <v>8.6071441461984532E-2</v>
      </c>
      <c r="BT6" s="3" t="s">
        <v>177</v>
      </c>
      <c r="BV6" s="3">
        <v>2</v>
      </c>
      <c r="BW6" s="3">
        <f t="shared" ref="BW6:BW34" si="21">IF(CC5&gt;0,CA5,BW5)</f>
        <v>3.1415926535897934E-2</v>
      </c>
      <c r="BX6" s="3">
        <v>-3.3048166854018066</v>
      </c>
      <c r="BY6" s="3">
        <f t="shared" ref="BY6:BY34" si="22">IF(CD5&gt;0,CA5,BY5)</f>
        <v>1.4294246573833558</v>
      </c>
      <c r="BZ6" s="3">
        <v>1.4227973552463595</v>
      </c>
      <c r="CA6" s="3">
        <f t="shared" si="7"/>
        <v>0.73042029195962688</v>
      </c>
      <c r="CB6" s="3">
        <v>0.88279513666102372</v>
      </c>
      <c r="CC6" s="3">
        <f t="shared" si="8"/>
        <v>-2.9174760974289193</v>
      </c>
      <c r="CD6" s="3">
        <f t="shared" si="9"/>
        <v>1.2560385856656531</v>
      </c>
      <c r="CE6" s="3">
        <f t="shared" si="10"/>
        <v>1.3980087308474578</v>
      </c>
      <c r="CG6" s="3">
        <v>2</v>
      </c>
      <c r="CH6" s="3">
        <f t="shared" ref="CH6:CH34" si="23">IF(CN5&gt;0,CL5,CH5)</f>
        <v>3.1415926535897934E-2</v>
      </c>
      <c r="CI6" s="3">
        <v>-2.8443908285780886</v>
      </c>
      <c r="CJ6" s="3">
        <f t="shared" ref="CJ6:CJ34" si="24">IF(CO5&gt;0,CL5,CJ5)</f>
        <v>1.4294246573833558</v>
      </c>
      <c r="CK6" s="3">
        <v>1.2214790020762745</v>
      </c>
      <c r="CL6" s="3">
        <f t="shared" si="11"/>
        <v>0.73042029195962688</v>
      </c>
      <c r="CM6" s="3">
        <v>0.76946414576721633</v>
      </c>
      <c r="CN6" s="3">
        <f t="shared" si="12"/>
        <v>-2.1886567591399437</v>
      </c>
      <c r="CO6" s="3">
        <f t="shared" si="13"/>
        <v>0.93988429690521236</v>
      </c>
      <c r="CP6" s="3">
        <f t="shared" si="14"/>
        <v>1.3980087308474578</v>
      </c>
    </row>
    <row r="7" spans="2:94" x14ac:dyDescent="0.2">
      <c r="B7" s="7" t="s">
        <v>113</v>
      </c>
      <c r="C7" s="18">
        <v>1</v>
      </c>
      <c r="D7" s="7" t="s">
        <v>8</v>
      </c>
      <c r="F7" s="7" t="s">
        <v>151</v>
      </c>
      <c r="G7" s="7">
        <f>$C$6*2*PI()*$C$7/60</f>
        <v>114.9645309787435</v>
      </c>
      <c r="H7" s="7" t="s">
        <v>10</v>
      </c>
      <c r="J7" s="7" t="s">
        <v>252</v>
      </c>
      <c r="K7" s="7">
        <f>K6/$C$28</f>
        <v>114.07360527717074</v>
      </c>
      <c r="L7" s="7" t="s">
        <v>124</v>
      </c>
      <c r="N7" s="7" t="s">
        <v>142</v>
      </c>
      <c r="O7" s="7">
        <f xml:space="preserve"> O6 / $C$11</f>
        <v>4.8979215224271982E-3</v>
      </c>
      <c r="R7" s="7" t="s">
        <v>142</v>
      </c>
      <c r="S7" s="7">
        <f xml:space="preserve"> S6 / $C$11</f>
        <v>4.8979215224271982E-3</v>
      </c>
      <c r="V7" s="7" t="s">
        <v>142</v>
      </c>
      <c r="W7" s="7">
        <f xml:space="preserve"> W6 / $C$11</f>
        <v>4.8979215224271982E-3</v>
      </c>
      <c r="AB7" s="3">
        <v>3</v>
      </c>
      <c r="AC7" s="3">
        <f t="shared" si="15"/>
        <v>0.25</v>
      </c>
      <c r="AD7" s="3">
        <f t="shared" si="0"/>
        <v>9.101974029447496E-2</v>
      </c>
      <c r="AE7" s="3">
        <f t="shared" si="16"/>
        <v>0.375</v>
      </c>
      <c r="AF7" s="3">
        <f t="shared" si="1"/>
        <v>-4.1899804398006946E-2</v>
      </c>
      <c r="AG7" s="3">
        <f t="shared" si="3"/>
        <v>0.3125</v>
      </c>
      <c r="AH7" s="3">
        <f t="shared" si="2"/>
        <v>2.3777557146808848E-2</v>
      </c>
      <c r="AI7" s="3">
        <f t="shared" si="4"/>
        <v>2.1642270763395782E-3</v>
      </c>
      <c r="AJ7" s="3">
        <f t="shared" si="5"/>
        <v>-9.962749935137228E-4</v>
      </c>
      <c r="AK7" s="3">
        <f t="shared" si="6"/>
        <v>0.125</v>
      </c>
      <c r="AM7" s="3">
        <v>3</v>
      </c>
      <c r="AN7" s="3">
        <f t="shared" ref="AN7:AN44" si="25">IF(AT6&gt;0,AR6,AN6)</f>
        <v>1000</v>
      </c>
      <c r="AO7" s="3">
        <v>-245.73005606590846</v>
      </c>
      <c r="AP7" s="3">
        <f t="shared" ref="AP7:AP44" si="26">IF(AU6&gt;0,AR6,AP6)</f>
        <v>1500</v>
      </c>
      <c r="AQ7" s="3">
        <v>48.53691880356223</v>
      </c>
      <c r="AR7" s="3">
        <f t="shared" si="17"/>
        <v>1250</v>
      </c>
      <c r="AS7" s="3">
        <v>-96.260653848815423</v>
      </c>
      <c r="AT7" s="3">
        <f t="shared" si="18"/>
        <v>23654.135867210422</v>
      </c>
      <c r="AU7" s="3">
        <f t="shared" si="19"/>
        <v>-4672.195539837764</v>
      </c>
      <c r="AV7" s="3">
        <f t="shared" si="20"/>
        <v>500</v>
      </c>
      <c r="AX7" s="59" t="s">
        <v>187</v>
      </c>
      <c r="AY7" s="59"/>
      <c r="AZ7" s="59"/>
      <c r="BB7" s="3" t="s">
        <v>188</v>
      </c>
      <c r="BC7" s="3">
        <f>$AY$3/(BC6*AY9)</f>
        <v>6.9409628101674947E-2</v>
      </c>
      <c r="BF7" s="3" t="s">
        <v>189</v>
      </c>
      <c r="BG7" s="3">
        <f>SQRT(BG5^2 + BG6^2)</f>
        <v>28.112200017347728</v>
      </c>
      <c r="BH7" s="27" t="s">
        <v>10</v>
      </c>
      <c r="BJ7" s="3" t="s">
        <v>189</v>
      </c>
      <c r="BK7" s="3">
        <f>SQRT(BK5^2 + BK6^2)</f>
        <v>39.294936539202098</v>
      </c>
      <c r="BL7" s="27" t="s">
        <v>10</v>
      </c>
      <c r="BN7" s="3" t="s">
        <v>190</v>
      </c>
      <c r="BO7" s="3">
        <f>BO6/PI()*180</f>
        <v>2.7618668185547022</v>
      </c>
      <c r="BP7" s="3" t="s">
        <v>44</v>
      </c>
      <c r="BQ7" s="3"/>
      <c r="BR7" s="3" t="s">
        <v>190</v>
      </c>
      <c r="BS7" s="3">
        <f>BS6/PI()*180</f>
        <v>4.9315303323790376</v>
      </c>
      <c r="BT7" s="3" t="s">
        <v>44</v>
      </c>
      <c r="BV7" s="3">
        <v>3</v>
      </c>
      <c r="BW7" s="3">
        <f t="shared" si="21"/>
        <v>3.1415926535897934E-2</v>
      </c>
      <c r="BX7" s="3">
        <v>-3.3048166854018066</v>
      </c>
      <c r="BY7" s="3">
        <f t="shared" si="22"/>
        <v>0.73042029195962688</v>
      </c>
      <c r="BZ7" s="3">
        <v>0.88279513666102372</v>
      </c>
      <c r="CA7" s="3">
        <f t="shared" si="7"/>
        <v>0.38091810924776243</v>
      </c>
      <c r="CB7" s="3">
        <v>-0.31151693292550553</v>
      </c>
      <c r="CC7" s="3">
        <f t="shared" si="8"/>
        <v>1.0295063577174062</v>
      </c>
      <c r="CD7" s="3">
        <f t="shared" si="9"/>
        <v>-0.27500563337419459</v>
      </c>
      <c r="CE7" s="3">
        <f t="shared" si="10"/>
        <v>0.6990043654237289</v>
      </c>
      <c r="CG7" s="3">
        <v>3</v>
      </c>
      <c r="CH7" s="3">
        <f t="shared" si="23"/>
        <v>3.1415926535897934E-2</v>
      </c>
      <c r="CI7" s="3">
        <v>-2.8443908285780886</v>
      </c>
      <c r="CJ7" s="3">
        <f t="shared" si="24"/>
        <v>0.73042029195962688</v>
      </c>
      <c r="CK7" s="3">
        <v>0.76946414576721633</v>
      </c>
      <c r="CL7" s="3">
        <f t="shared" si="11"/>
        <v>0.38091810924776243</v>
      </c>
      <c r="CM7" s="3">
        <v>6.2877055791722869E-2</v>
      </c>
      <c r="CN7" s="3">
        <f t="shared" si="12"/>
        <v>-0.17884692082196932</v>
      </c>
      <c r="CO7" s="3">
        <f t="shared" si="13"/>
        <v>4.8381640023135643E-2</v>
      </c>
      <c r="CP7" s="3">
        <f t="shared" si="14"/>
        <v>0.6990043654237289</v>
      </c>
    </row>
    <row r="8" spans="2:94" x14ac:dyDescent="0.2">
      <c r="B8" s="7" t="s">
        <v>246</v>
      </c>
      <c r="C8" s="18">
        <f>(0.548288+0.530863+0.513438+0.496013+0.478588+0.461163+0.443738+0.426313)/8</f>
        <v>0.48730050000000003</v>
      </c>
      <c r="D8" s="7" t="s">
        <v>8</v>
      </c>
      <c r="F8" s="7" t="s">
        <v>154</v>
      </c>
      <c r="G8" s="7">
        <f>G7/$C$67</f>
        <v>0.33771776584750274</v>
      </c>
      <c r="H8" s="7" t="s">
        <v>152</v>
      </c>
      <c r="N8" s="7" t="s">
        <v>144</v>
      </c>
      <c r="O8" s="18">
        <v>2.476619E-2</v>
      </c>
      <c r="R8" s="7" t="s">
        <v>144</v>
      </c>
      <c r="S8" s="18">
        <v>2.476619E-2</v>
      </c>
      <c r="V8" s="7" t="s">
        <v>144</v>
      </c>
      <c r="W8" s="18">
        <v>2.476619E-2</v>
      </c>
      <c r="AB8" s="3">
        <v>4</v>
      </c>
      <c r="AC8" s="3">
        <f t="shared" si="15"/>
        <v>0.3125</v>
      </c>
      <c r="AD8" s="3">
        <f t="shared" si="0"/>
        <v>2.3777557146808848E-2</v>
      </c>
      <c r="AE8" s="3">
        <f t="shared" si="16"/>
        <v>0.375</v>
      </c>
      <c r="AF8" s="3">
        <f t="shared" si="1"/>
        <v>-4.1899804398006946E-2</v>
      </c>
      <c r="AG8" s="3">
        <f t="shared" si="3"/>
        <v>0.34375</v>
      </c>
      <c r="AH8" s="3">
        <f t="shared" si="2"/>
        <v>-9.2041395269784609E-3</v>
      </c>
      <c r="AI8" s="3">
        <f t="shared" si="4"/>
        <v>-2.1885195358993252E-4</v>
      </c>
      <c r="AJ8" s="3">
        <f t="shared" si="5"/>
        <v>3.856516458323617E-4</v>
      </c>
      <c r="AK8" s="3">
        <f t="shared" si="6"/>
        <v>6.25E-2</v>
      </c>
      <c r="AM8" s="3">
        <v>4</v>
      </c>
      <c r="AN8" s="3">
        <f t="shared" si="25"/>
        <v>1250</v>
      </c>
      <c r="AO8" s="3">
        <v>-96.260653848815423</v>
      </c>
      <c r="AP8" s="3">
        <f t="shared" si="26"/>
        <v>1500</v>
      </c>
      <c r="AQ8" s="3">
        <v>48.53691880356223</v>
      </c>
      <c r="AR8" s="3">
        <f t="shared" si="17"/>
        <v>1375</v>
      </c>
      <c r="AS8" s="3">
        <v>-23.229146629483125</v>
      </c>
      <c r="AT8" s="3">
        <f t="shared" si="18"/>
        <v>2236.0528429040528</v>
      </c>
      <c r="AU8" s="3">
        <f t="shared" si="19"/>
        <v>-1127.4712038312637</v>
      </c>
      <c r="AV8" s="3">
        <f t="shared" si="20"/>
        <v>250</v>
      </c>
      <c r="AX8" s="3" t="s">
        <v>191</v>
      </c>
      <c r="AY8" s="3">
        <f>$C$22</f>
        <v>2</v>
      </c>
      <c r="AZ8" s="27"/>
      <c r="BF8" s="3" t="s">
        <v>192</v>
      </c>
      <c r="BG8" s="38">
        <f>$AY$45*BG7*$AY$27/$AY$46</f>
        <v>1055205.4298987319</v>
      </c>
      <c r="BH8" s="27"/>
      <c r="BJ8" s="3" t="s">
        <v>192</v>
      </c>
      <c r="BK8" s="38">
        <f>$AY$45*BK7*$AY$27/$AY$46</f>
        <v>1474955.0151928705</v>
      </c>
      <c r="BL8" s="27"/>
      <c r="BN8" s="3" t="s">
        <v>193</v>
      </c>
      <c r="BO8" s="3">
        <f xml:space="preserve"> $AY$8*$AY$27 / (2*PI()*$AY$19)</f>
        <v>0.67286936241325579</v>
      </c>
      <c r="BP8" s="3"/>
      <c r="BQ8" s="3"/>
      <c r="BR8" s="3" t="s">
        <v>193</v>
      </c>
      <c r="BS8" s="3">
        <f xml:space="preserve"> $AY$8*$AY$28 / (2*PI()*$AY$20)</f>
        <v>0.47184346557538748</v>
      </c>
      <c r="BT8" s="3"/>
      <c r="BV8" s="3">
        <v>4</v>
      </c>
      <c r="BW8" s="3">
        <f t="shared" si="21"/>
        <v>0.38091810924776243</v>
      </c>
      <c r="BX8" s="3">
        <v>-0.31151693292550553</v>
      </c>
      <c r="BY8" s="3">
        <f t="shared" si="22"/>
        <v>0.73042029195962688</v>
      </c>
      <c r="BZ8" s="3">
        <v>0.88279513666102372</v>
      </c>
      <c r="CA8" s="3">
        <f t="shared" si="7"/>
        <v>0.55566920060369462</v>
      </c>
      <c r="CB8" s="3">
        <v>0.62799140439450696</v>
      </c>
      <c r="CC8" s="3">
        <f t="shared" si="8"/>
        <v>-0.19562995620055765</v>
      </c>
      <c r="CD8" s="3">
        <f t="shared" si="9"/>
        <v>0.55438775766439696</v>
      </c>
      <c r="CE8" s="3">
        <f t="shared" si="10"/>
        <v>0.34950218271186445</v>
      </c>
      <c r="CG8" s="3">
        <v>4</v>
      </c>
      <c r="CH8" s="3">
        <f t="shared" si="23"/>
        <v>3.1415926535897934E-2</v>
      </c>
      <c r="CI8" s="3">
        <v>-2.8443908285780886</v>
      </c>
      <c r="CJ8" s="3">
        <f t="shared" si="24"/>
        <v>0.38091810924776243</v>
      </c>
      <c r="CK8" s="3">
        <v>6.2877055791722869E-2</v>
      </c>
      <c r="CL8" s="3">
        <f t="shared" si="11"/>
        <v>0.20616701789183017</v>
      </c>
      <c r="CM8" s="3">
        <v>-0.76397419630780106</v>
      </c>
      <c r="CN8" s="3">
        <f t="shared" si="12"/>
        <v>2.1730411972482258</v>
      </c>
      <c r="CO8" s="3">
        <f t="shared" si="13"/>
        <v>-4.8036448164682249E-2</v>
      </c>
      <c r="CP8" s="3">
        <f t="shared" si="14"/>
        <v>0.34950218271186451</v>
      </c>
    </row>
    <row r="9" spans="2:94" x14ac:dyDescent="0.2">
      <c r="B9" s="7" t="s">
        <v>253</v>
      </c>
      <c r="C9" s="18">
        <v>1</v>
      </c>
      <c r="D9" s="7" t="s">
        <v>8</v>
      </c>
      <c r="F9" s="7" t="s">
        <v>22</v>
      </c>
      <c r="G9" s="7">
        <f xml:space="preserve"> $C$5 * $C$68 / $C$21</f>
        <v>1734.8116338242844</v>
      </c>
      <c r="H9" s="7" t="s">
        <v>23</v>
      </c>
      <c r="N9" s="7" t="s">
        <v>143</v>
      </c>
      <c r="O9" s="7">
        <f>$O$8 + O7</f>
        <v>2.9664111522427199E-2</v>
      </c>
      <c r="R9" s="7" t="s">
        <v>143</v>
      </c>
      <c r="S9" s="7">
        <f xml:space="preserve"> $S$8 + S7</f>
        <v>2.9664111522427199E-2</v>
      </c>
      <c r="V9" s="7" t="s">
        <v>143</v>
      </c>
      <c r="W9" s="7">
        <f xml:space="preserve"> $W$8 + W7</f>
        <v>2.9664111522427199E-2</v>
      </c>
      <c r="AB9" s="3">
        <v>5</v>
      </c>
      <c r="AC9" s="3">
        <f t="shared" si="15"/>
        <v>0.3125</v>
      </c>
      <c r="AD9" s="3">
        <f t="shared" si="0"/>
        <v>2.3777557146808848E-2</v>
      </c>
      <c r="AE9" s="3">
        <f t="shared" si="16"/>
        <v>0.34375</v>
      </c>
      <c r="AF9" s="3">
        <f t="shared" si="1"/>
        <v>-9.2041395269784609E-3</v>
      </c>
      <c r="AG9" s="3">
        <f t="shared" si="3"/>
        <v>0.328125</v>
      </c>
      <c r="AH9" s="3">
        <f t="shared" si="2"/>
        <v>7.2459175632271777E-3</v>
      </c>
      <c r="AI9" s="3">
        <f t="shared" si="4"/>
        <v>1.7229021894070014E-4</v>
      </c>
      <c r="AJ9" s="3">
        <f t="shared" si="5"/>
        <v>-6.6692436252926719E-5</v>
      </c>
      <c r="AK9" s="3">
        <f t="shared" si="6"/>
        <v>3.125E-2</v>
      </c>
      <c r="AM9" s="3">
        <v>5</v>
      </c>
      <c r="AN9" s="3">
        <f t="shared" si="25"/>
        <v>1375</v>
      </c>
      <c r="AO9" s="3">
        <v>-23.229146629483125</v>
      </c>
      <c r="AP9" s="3">
        <f t="shared" si="26"/>
        <v>1500</v>
      </c>
      <c r="AQ9" s="3">
        <v>48.53691880356223</v>
      </c>
      <c r="AR9" s="3">
        <f t="shared" si="17"/>
        <v>1437.5</v>
      </c>
      <c r="AS9" s="3">
        <v>12.817194972700008</v>
      </c>
      <c r="AT9" s="3">
        <f t="shared" si="18"/>
        <v>-297.73250139952245</v>
      </c>
      <c r="AU9" s="3">
        <f t="shared" si="19"/>
        <v>622.10715167936632</v>
      </c>
      <c r="AV9" s="3">
        <f t="shared" si="20"/>
        <v>125</v>
      </c>
      <c r="AX9" s="3" t="s">
        <v>194</v>
      </c>
      <c r="AY9" s="3">
        <f>2*$C$7</f>
        <v>2</v>
      </c>
      <c r="AZ9" s="27" t="s">
        <v>8</v>
      </c>
      <c r="BB9" s="59" t="s">
        <v>195</v>
      </c>
      <c r="BC9" s="59"/>
      <c r="BD9" s="59"/>
      <c r="BF9" s="3" t="s">
        <v>196</v>
      </c>
      <c r="BG9" s="3">
        <f xml:space="preserve"> $BO$8 * PI() * $AY$45 * BG7^2 *$BO$14 * $AY$19 * BG4</f>
        <v>23.809614643279403</v>
      </c>
      <c r="BH9" s="27" t="s">
        <v>23</v>
      </c>
      <c r="BJ9" s="3" t="s">
        <v>196</v>
      </c>
      <c r="BK9" s="3">
        <f xml:space="preserve"> $BS$8 * PI() * $AY$45 * BK7^2 * $BS$14 * $AY$20 * BK4</f>
        <v>69.789987140029808</v>
      </c>
      <c r="BL9" s="27" t="s">
        <v>23</v>
      </c>
      <c r="BN9" s="3" t="s">
        <v>197</v>
      </c>
      <c r="BO9" s="3">
        <f>IF(-$AY$8*($BC$3-$AY$19)/(2*$AY$19*SIN(BO4))&gt;500, 1, 2*ACOS(MIN(1, EXP(-$AY$8*($BC$3-$AY$19)/(2*$AY$19*SIN(BO4)))))/PI() )</f>
        <v>0.99933225130915548</v>
      </c>
      <c r="BP9" s="3"/>
      <c r="BQ9" s="3"/>
      <c r="BR9" s="3" t="s">
        <v>197</v>
      </c>
      <c r="BS9" s="3">
        <f>IF(-$AY$8*($BC$3-$AY$20)/(2*$AY$20*SIN(BS4))&gt;500, 1, 2*ACOS(MIN(1, EXP(-$AY$8*($BC$3-$AY$20)/(2*$AY$20*SIN(BS4)))))/PI() )</f>
        <v>0.99576805919991029</v>
      </c>
      <c r="BT9" s="3"/>
      <c r="BV9" s="3">
        <v>5</v>
      </c>
      <c r="BW9" s="3">
        <f t="shared" si="21"/>
        <v>0.38091810924776243</v>
      </c>
      <c r="BX9" s="3">
        <v>-0.31151693292550553</v>
      </c>
      <c r="BY9" s="3">
        <f t="shared" si="22"/>
        <v>0.55566920060369462</v>
      </c>
      <c r="BZ9" s="3">
        <v>0.62799140439450696</v>
      </c>
      <c r="CA9" s="3">
        <f t="shared" si="7"/>
        <v>0.4682936549257285</v>
      </c>
      <c r="CB9" s="3">
        <v>0.22665358487618231</v>
      </c>
      <c r="CC9" s="3">
        <f t="shared" si="8"/>
        <v>-7.0606429597199066E-2</v>
      </c>
      <c r="CD9" s="3">
        <f t="shared" si="9"/>
        <v>0.1423365030774433</v>
      </c>
      <c r="CE9" s="3">
        <f t="shared" si="10"/>
        <v>0.1747510913559322</v>
      </c>
      <c r="CG9" s="3">
        <v>5</v>
      </c>
      <c r="CH9" s="3">
        <f t="shared" si="23"/>
        <v>0.20616701789183017</v>
      </c>
      <c r="CI9" s="3">
        <v>-0.76397419630780106</v>
      </c>
      <c r="CJ9" s="3">
        <f t="shared" si="24"/>
        <v>0.38091810924776243</v>
      </c>
      <c r="CK9" s="3">
        <v>6.2877055791722869E-2</v>
      </c>
      <c r="CL9" s="3">
        <f t="shared" si="11"/>
        <v>0.2935425635697963</v>
      </c>
      <c r="CM9" s="3">
        <v>-0.32196480158425833</v>
      </c>
      <c r="CN9" s="3">
        <f t="shared" si="12"/>
        <v>0.24597280052973439</v>
      </c>
      <c r="CO9" s="3">
        <f t="shared" si="13"/>
        <v>-2.0244198792184396E-2</v>
      </c>
      <c r="CP9" s="3">
        <f t="shared" si="14"/>
        <v>0.17475109135593225</v>
      </c>
    </row>
    <row r="10" spans="2:94" x14ac:dyDescent="0.2">
      <c r="B10" s="7" t="s">
        <v>285</v>
      </c>
      <c r="C10" s="18">
        <f>(0.500656+0.484769+0.468881+0.452994+0.437106+0.421219+0.405331+0.389444)/8</f>
        <v>0.44505</v>
      </c>
      <c r="D10" s="7" t="s">
        <v>8</v>
      </c>
      <c r="F10" s="49" t="s">
        <v>237</v>
      </c>
      <c r="G10" s="7">
        <f>BC10</f>
        <v>1734.8116357504891</v>
      </c>
      <c r="H10" s="7" t="s">
        <v>23</v>
      </c>
      <c r="J10" s="53" t="s">
        <v>24</v>
      </c>
      <c r="K10" s="53"/>
      <c r="L10" s="53"/>
      <c r="N10" s="7" t="s">
        <v>42</v>
      </c>
      <c r="O10" s="7">
        <f xml:space="preserve"> O5 * $C$11 * O9</f>
        <v>735.85536645320974</v>
      </c>
      <c r="P10" s="7" t="s">
        <v>23</v>
      </c>
      <c r="R10" s="7" t="s">
        <v>42</v>
      </c>
      <c r="S10" s="7">
        <f xml:space="preserve"> S5 * $C$11 * S9</f>
        <v>735.85536645320974</v>
      </c>
      <c r="T10" s="7" t="s">
        <v>23</v>
      </c>
      <c r="V10" s="7" t="s">
        <v>42</v>
      </c>
      <c r="W10" s="7">
        <f xml:space="preserve"> W5*W9*$C$11</f>
        <v>735.85536645320963</v>
      </c>
      <c r="X10" s="7" t="s">
        <v>23</v>
      </c>
      <c r="AB10" s="3">
        <v>6</v>
      </c>
      <c r="AC10" s="3">
        <f t="shared" si="15"/>
        <v>0.328125</v>
      </c>
      <c r="AD10" s="3">
        <f t="shared" si="0"/>
        <v>7.2459175632271777E-3</v>
      </c>
      <c r="AE10" s="3">
        <f t="shared" si="16"/>
        <v>0.34375</v>
      </c>
      <c r="AF10" s="3">
        <f t="shared" si="1"/>
        <v>-9.2041395269784609E-3</v>
      </c>
      <c r="AG10" s="3">
        <f t="shared" si="3"/>
        <v>0.3359375</v>
      </c>
      <c r="AH10" s="3">
        <f t="shared" si="2"/>
        <v>-9.8860715760101803E-4</v>
      </c>
      <c r="AI10" s="3">
        <f t="shared" si="4"/>
        <v>-7.163365966393315E-6</v>
      </c>
      <c r="AJ10" s="3">
        <f t="shared" si="5"/>
        <v>9.0992782159293549E-6</v>
      </c>
      <c r="AK10" s="3">
        <f t="shared" si="6"/>
        <v>1.5625E-2</v>
      </c>
      <c r="AM10" s="3">
        <v>6</v>
      </c>
      <c r="AN10" s="3">
        <f t="shared" si="25"/>
        <v>1375</v>
      </c>
      <c r="AO10" s="3">
        <v>-23.229146629483125</v>
      </c>
      <c r="AP10" s="3">
        <f t="shared" si="26"/>
        <v>1437.5</v>
      </c>
      <c r="AQ10" s="3">
        <v>12.817194972700008</v>
      </c>
      <c r="AR10" s="3">
        <f t="shared" si="17"/>
        <v>1406.25</v>
      </c>
      <c r="AS10" s="3">
        <v>-5.1657573559056118</v>
      </c>
      <c r="AT10" s="3">
        <f t="shared" si="18"/>
        <v>119.9961350726625</v>
      </c>
      <c r="AU10" s="3">
        <f t="shared" si="19"/>
        <v>-66.210519212301492</v>
      </c>
      <c r="AV10" s="3">
        <f t="shared" si="20"/>
        <v>62.5</v>
      </c>
      <c r="AX10" s="3" t="s">
        <v>198</v>
      </c>
      <c r="AY10" s="4">
        <f>0.21*($AY$9/2)</f>
        <v>0.21</v>
      </c>
      <c r="AZ10" s="27" t="s">
        <v>8</v>
      </c>
      <c r="BB10" s="5" t="s">
        <v>199</v>
      </c>
      <c r="BC10" s="39">
        <f>BG9+BK9+BG18+BK18+BG27+BK27+BG36+BK36</f>
        <v>1734.8116357504891</v>
      </c>
      <c r="BD10" s="27" t="s">
        <v>23</v>
      </c>
      <c r="BF10" s="3" t="s">
        <v>200</v>
      </c>
      <c r="BG10" s="3">
        <f xml:space="preserve"> $BO$8 * PI() * $AY$45 * BG7^2 * $BO$15 * $AY$19^2 * BG4</f>
        <v>2.8701203619363258</v>
      </c>
      <c r="BH10" s="27" t="s">
        <v>201</v>
      </c>
      <c r="BJ10" s="3" t="s">
        <v>200</v>
      </c>
      <c r="BK10" s="3">
        <f xml:space="preserve"> $BS$8 * PI() * $AY$45 * BK7^2 * $BS$15 * $AY$20^2 * BK4</f>
        <v>9.7160306450284484</v>
      </c>
      <c r="BL10" s="27" t="s">
        <v>201</v>
      </c>
      <c r="BN10" s="3" t="s">
        <v>202</v>
      </c>
      <c r="BO10" s="3">
        <f>IF(-$AY$8*($AY$19-$AY$10)/(2*$AY$19*SIN(BO4))&gt;500, 1, 2*ACOS(MIN(1, EXP(-$AY$8*($AY$19-$AY$10)/(2*$AY$19*SIN(BO4)))))/PI() )</f>
        <v>0.56367239839286509</v>
      </c>
      <c r="BP10" s="3"/>
      <c r="BQ10" s="3"/>
      <c r="BR10" s="3" t="s">
        <v>202</v>
      </c>
      <c r="BS10" s="3">
        <f>IF(-$AY$8*($AY$20-$AY$10)/(2*$AY$20*SIN(BS4))&gt;500, 1, 2*ACOS(MIN(1, EXP(-$AY$8*($AY$20-$AY$10)/(2*$AY$20*SIN(BS4)))))/PI() )</f>
        <v>0.79636738944304597</v>
      </c>
      <c r="BT10" s="3"/>
      <c r="BV10" s="3">
        <v>6</v>
      </c>
      <c r="BW10" s="3">
        <f t="shared" si="21"/>
        <v>0.38091810924776243</v>
      </c>
      <c r="BX10" s="3">
        <v>-0.31151693292550553</v>
      </c>
      <c r="BY10" s="3">
        <f t="shared" si="22"/>
        <v>0.4682936549257285</v>
      </c>
      <c r="BZ10" s="3">
        <v>0.22665358487618231</v>
      </c>
      <c r="CA10" s="3">
        <f t="shared" si="7"/>
        <v>0.42460588208674543</v>
      </c>
      <c r="CB10" s="3">
        <v>-2.8949840884852661E-2</v>
      </c>
      <c r="CC10" s="3">
        <f t="shared" si="8"/>
        <v>9.0183656411307045E-3</v>
      </c>
      <c r="CD10" s="3">
        <f t="shared" si="9"/>
        <v>-6.5615852181469259E-3</v>
      </c>
      <c r="CE10" s="3">
        <f t="shared" si="10"/>
        <v>8.7375545677966071E-2</v>
      </c>
      <c r="CG10" s="3">
        <v>6</v>
      </c>
      <c r="CH10" s="3">
        <f t="shared" si="23"/>
        <v>0.2935425635697963</v>
      </c>
      <c r="CI10" s="3">
        <v>-0.32196480158425833</v>
      </c>
      <c r="CJ10" s="3">
        <f t="shared" si="24"/>
        <v>0.38091810924776243</v>
      </c>
      <c r="CK10" s="3">
        <v>6.2877055791722869E-2</v>
      </c>
      <c r="CL10" s="3">
        <f t="shared" si="11"/>
        <v>0.33723033640877936</v>
      </c>
      <c r="CM10" s="3">
        <v>-0.12174474173769029</v>
      </c>
      <c r="CN10" s="3">
        <f t="shared" si="12"/>
        <v>3.9197521617502229E-2</v>
      </c>
      <c r="CO10" s="3">
        <f t="shared" si="13"/>
        <v>-7.6549509185896442E-3</v>
      </c>
      <c r="CP10" s="3">
        <f t="shared" si="14"/>
        <v>8.7375545677966127E-2</v>
      </c>
    </row>
    <row r="11" spans="2:94" x14ac:dyDescent="0.2">
      <c r="B11" s="7" t="s">
        <v>254</v>
      </c>
      <c r="C11" s="18">
        <v>16.2</v>
      </c>
      <c r="D11" s="7" t="s">
        <v>11</v>
      </c>
      <c r="F11" s="49" t="s">
        <v>238</v>
      </c>
      <c r="G11" s="7">
        <f>G9-G10</f>
        <v>-1.9262047317170072E-6</v>
      </c>
      <c r="H11" s="7" t="s">
        <v>23</v>
      </c>
      <c r="J11" s="7" t="s">
        <v>117</v>
      </c>
      <c r="K11" s="7">
        <f xml:space="preserve"> (G13*G6 + G26*G19 + G33*G29 + G46*G39 + G53*G51)/3600</f>
        <v>52.035399361948059</v>
      </c>
      <c r="L11" s="7" t="s">
        <v>125</v>
      </c>
      <c r="N11" s="7" t="s">
        <v>256</v>
      </c>
      <c r="O11" s="7">
        <f xml:space="preserve"> 1.78 * (1 - 0.045 * $C$12^0.68) - 0.64</f>
        <v>0.82990122458567595</v>
      </c>
      <c r="R11" s="7" t="s">
        <v>256</v>
      </c>
      <c r="S11" s="7">
        <f xml:space="preserve"> 1.78 * (1 - 0.045 * $C$12^0.68) - 0.64</f>
        <v>0.82990122458567595</v>
      </c>
      <c r="V11" s="7" t="s">
        <v>256</v>
      </c>
      <c r="W11" s="7">
        <f xml:space="preserve"> 1.78 * (1 - 0.045 * $C$12^0.68) - 0.64</f>
        <v>0.82990122458567595</v>
      </c>
      <c r="AB11" s="3">
        <v>7</v>
      </c>
      <c r="AC11" s="3">
        <f t="shared" si="15"/>
        <v>0.328125</v>
      </c>
      <c r="AD11" s="3">
        <f t="shared" si="0"/>
        <v>7.2459175632271777E-3</v>
      </c>
      <c r="AE11" s="3">
        <f t="shared" si="16"/>
        <v>0.3359375</v>
      </c>
      <c r="AF11" s="3">
        <f t="shared" si="1"/>
        <v>-9.8860715760101803E-4</v>
      </c>
      <c r="AG11" s="3">
        <f t="shared" si="3"/>
        <v>0.33203125</v>
      </c>
      <c r="AH11" s="3">
        <f t="shared" si="2"/>
        <v>3.1261985230626732E-3</v>
      </c>
      <c r="AI11" s="3">
        <f t="shared" si="4"/>
        <v>2.2652176784394685E-5</v>
      </c>
      <c r="AJ11" s="3">
        <f t="shared" si="5"/>
        <v>-3.0905822359814898E-6</v>
      </c>
      <c r="AK11" s="3">
        <f t="shared" si="6"/>
        <v>7.8125E-3</v>
      </c>
      <c r="AM11" s="3">
        <v>7</v>
      </c>
      <c r="AN11" s="3">
        <f t="shared" si="25"/>
        <v>1406.25</v>
      </c>
      <c r="AO11" s="3">
        <v>-5.1657573559056118</v>
      </c>
      <c r="AP11" s="3">
        <f t="shared" si="26"/>
        <v>1437.5</v>
      </c>
      <c r="AQ11" s="3">
        <v>12.817194972700008</v>
      </c>
      <c r="AR11" s="3">
        <f t="shared" si="17"/>
        <v>1421.875</v>
      </c>
      <c r="AS11" s="3">
        <v>3.8358509938209409</v>
      </c>
      <c r="AT11" s="3">
        <f t="shared" si="18"/>
        <v>-19.815075487488375</v>
      </c>
      <c r="AU11" s="3">
        <f t="shared" si="19"/>
        <v>49.164850074028095</v>
      </c>
      <c r="AV11" s="3">
        <f t="shared" si="20"/>
        <v>31.25</v>
      </c>
      <c r="AX11" s="61" t="s">
        <v>203</v>
      </c>
      <c r="AY11" s="4" t="s">
        <v>241</v>
      </c>
      <c r="AZ11" s="27"/>
      <c r="BB11" s="5" t="s">
        <v>204</v>
      </c>
      <c r="BC11" s="39">
        <f>BG10+BK10+BG19+BK19+BG28+BK28+BG37+BK37</f>
        <v>335.10676613273523</v>
      </c>
      <c r="BD11" s="27" t="s">
        <v>201</v>
      </c>
      <c r="BG11" s="3"/>
      <c r="BN11" s="3" t="s">
        <v>205</v>
      </c>
      <c r="BO11" s="3">
        <f>IF(BO4=0,1,BO9*BO10)</f>
        <v>0.56329600688677306</v>
      </c>
      <c r="BP11" s="3"/>
      <c r="BQ11" s="3"/>
      <c r="BR11" s="3" t="s">
        <v>205</v>
      </c>
      <c r="BS11" s="3">
        <f>IF(BS4=0,1,BS9*BS10)</f>
        <v>0.79299720979580102</v>
      </c>
      <c r="BT11" s="3"/>
      <c r="BV11" s="3">
        <v>7</v>
      </c>
      <c r="BW11" s="3">
        <f t="shared" si="21"/>
        <v>0.42460588208674543</v>
      </c>
      <c r="BX11" s="3">
        <v>-2.8949840884852661E-2</v>
      </c>
      <c r="BY11" s="3">
        <f t="shared" si="22"/>
        <v>0.4682936549257285</v>
      </c>
      <c r="BZ11" s="3">
        <v>0.22665358487618231</v>
      </c>
      <c r="CA11" s="3">
        <f t="shared" si="7"/>
        <v>0.44644976850623697</v>
      </c>
      <c r="CB11" s="3">
        <v>0.10273229283866786</v>
      </c>
      <c r="CC11" s="3">
        <f t="shared" si="8"/>
        <v>-2.9740835314155229E-3</v>
      </c>
      <c r="CD11" s="3">
        <f t="shared" si="9"/>
        <v>2.3284642454433822E-2</v>
      </c>
      <c r="CE11" s="3">
        <f t="shared" si="10"/>
        <v>4.3687772838983063E-2</v>
      </c>
      <c r="CG11" s="3">
        <v>7</v>
      </c>
      <c r="CH11" s="3">
        <f t="shared" si="23"/>
        <v>0.33723033640877936</v>
      </c>
      <c r="CI11" s="3">
        <v>-0.12174474173769029</v>
      </c>
      <c r="CJ11" s="3">
        <f t="shared" si="24"/>
        <v>0.38091810924776243</v>
      </c>
      <c r="CK11" s="3">
        <v>6.2877055791722869E-2</v>
      </c>
      <c r="CL11" s="3">
        <f t="shared" si="11"/>
        <v>0.35907422282827089</v>
      </c>
      <c r="CM11" s="3">
        <v>-2.7350502044453287E-2</v>
      </c>
      <c r="CN11" s="3">
        <f t="shared" si="12"/>
        <v>3.3297798077981358E-3</v>
      </c>
      <c r="CO11" s="3">
        <f t="shared" si="13"/>
        <v>-1.7197190429807197E-3</v>
      </c>
      <c r="CP11" s="3">
        <f t="shared" si="14"/>
        <v>4.3687772838983063E-2</v>
      </c>
    </row>
    <row r="12" spans="2:94" x14ac:dyDescent="0.2">
      <c r="B12" s="7" t="s">
        <v>255</v>
      </c>
      <c r="C12" s="18">
        <v>7.32</v>
      </c>
      <c r="F12" s="49" t="s">
        <v>239</v>
      </c>
      <c r="G12" s="5" t="str">
        <f>IF(ABS(G11)&lt;0.001, "TRUE", "FALSE")</f>
        <v>TRUE</v>
      </c>
      <c r="J12" s="7" t="s">
        <v>25</v>
      </c>
      <c r="K12" s="7">
        <f xml:space="preserve"> (G6 + G19 + G29 + G39 +G51)/60</f>
        <v>34.67079771753523</v>
      </c>
      <c r="L12" s="7" t="s">
        <v>126</v>
      </c>
      <c r="N12" s="7" t="s">
        <v>257</v>
      </c>
      <c r="O12" s="7">
        <f>O4/(O5*$C$11)</f>
        <v>0.558753290205248</v>
      </c>
      <c r="R12" s="7" t="s">
        <v>257</v>
      </c>
      <c r="S12" s="7">
        <f xml:space="preserve"> S4 / (S5 * $C$11)</f>
        <v>0.55947565918243491</v>
      </c>
      <c r="V12" s="7" t="s">
        <v>257</v>
      </c>
      <c r="W12" s="7">
        <f>W4 / ( W5 * $C$11)</f>
        <v>0.55921571384640589</v>
      </c>
      <c r="AB12" s="3">
        <v>8</v>
      </c>
      <c r="AC12" s="3">
        <f t="shared" si="15"/>
        <v>0.33203125</v>
      </c>
      <c r="AD12" s="3">
        <f t="shared" si="0"/>
        <v>3.1261985230626732E-3</v>
      </c>
      <c r="AE12" s="3">
        <f t="shared" si="16"/>
        <v>0.3359375</v>
      </c>
      <c r="AF12" s="3">
        <f t="shared" si="1"/>
        <v>-9.8860715760101803E-4</v>
      </c>
      <c r="AG12" s="3">
        <f t="shared" si="3"/>
        <v>0.333984375</v>
      </c>
      <c r="AH12" s="3">
        <f t="shared" si="2"/>
        <v>1.068192139111912E-3</v>
      </c>
      <c r="AI12" s="3">
        <f t="shared" si="4"/>
        <v>3.3393806876388171E-6</v>
      </c>
      <c r="AJ12" s="3">
        <f t="shared" si="5"/>
        <v>-1.0560223944191787E-6</v>
      </c>
      <c r="AK12" s="3">
        <f t="shared" si="6"/>
        <v>3.90625E-3</v>
      </c>
      <c r="AM12" s="3">
        <v>8</v>
      </c>
      <c r="AN12" s="3">
        <f t="shared" si="25"/>
        <v>1406.25</v>
      </c>
      <c r="AO12" s="3">
        <v>-5.1657573559056118</v>
      </c>
      <c r="AP12" s="3">
        <f t="shared" si="26"/>
        <v>1421.875</v>
      </c>
      <c r="AQ12" s="3">
        <v>3.8358509938209409</v>
      </c>
      <c r="AR12" s="3">
        <f t="shared" si="17"/>
        <v>1414.0625</v>
      </c>
      <c r="AS12" s="3">
        <v>-0.6624297691009815</v>
      </c>
      <c r="AT12" s="3">
        <f t="shared" si="18"/>
        <v>3.4219514525042514</v>
      </c>
      <c r="AU12" s="3">
        <f t="shared" si="19"/>
        <v>-2.5409818881425763</v>
      </c>
      <c r="AV12" s="3">
        <f t="shared" si="20"/>
        <v>15.625</v>
      </c>
      <c r="AX12" s="61"/>
      <c r="AY12" s="4" t="s">
        <v>241</v>
      </c>
      <c r="AZ12" s="27"/>
      <c r="BB12" s="5" t="s">
        <v>206</v>
      </c>
      <c r="BC12" s="39">
        <f>BC11*BC5/1000</f>
        <v>38.525392196253392</v>
      </c>
      <c r="BD12" s="27" t="s">
        <v>124</v>
      </c>
      <c r="BF12" s="60" t="s">
        <v>207</v>
      </c>
      <c r="BG12" s="60"/>
      <c r="BH12" s="60"/>
      <c r="BJ12" s="60" t="s">
        <v>208</v>
      </c>
      <c r="BK12" s="60"/>
      <c r="BL12" s="60"/>
      <c r="BN12" s="3" t="s">
        <v>209</v>
      </c>
      <c r="BO12" s="3">
        <f>IF(BO7&lt;$BH$43, $BC$44*BO7^2 + $BD$44*BO7 + $BE$44, IF(BO7&gt;$BI$43, $BJ$44*BO7^2 + $BK$44*BO7 + $BL$44, $BF$44*BO7^3 + $BG$44*BO7^2 + $BH$44*BO7 + $BI$44))</f>
        <v>0.50088623638710006</v>
      </c>
      <c r="BP12" s="3"/>
      <c r="BQ12" s="3"/>
      <c r="BR12" s="3" t="s">
        <v>209</v>
      </c>
      <c r="BS12" s="3">
        <f>IF(BS7&lt;$BH$43, $BC$44*BS7^2 + $BD$44*BS7 + $BE$44, IF(BS7&gt;$BI$43, $BJ$44*BS7^2 + $BK$44*BS7 + $BL$44, $BF$44*BS7^3 + $BG$44*BS7^2 + $BH$44*BS7 + $BI$44))</f>
        <v>0.75512488971453107</v>
      </c>
      <c r="BT12" s="3"/>
      <c r="BV12" s="3">
        <v>8</v>
      </c>
      <c r="BW12" s="3">
        <f t="shared" si="21"/>
        <v>0.42460588208674543</v>
      </c>
      <c r="BX12" s="3">
        <v>-2.8949840884852661E-2</v>
      </c>
      <c r="BY12" s="3">
        <f t="shared" si="22"/>
        <v>0.44644976850623697</v>
      </c>
      <c r="BZ12" s="3">
        <v>0.10273229283866786</v>
      </c>
      <c r="CA12" s="3">
        <f t="shared" si="7"/>
        <v>0.4355278252964912</v>
      </c>
      <c r="CB12" s="3">
        <v>3.7801360117007951E-2</v>
      </c>
      <c r="CC12" s="3">
        <f t="shared" si="8"/>
        <v>-1.0943433606183956E-3</v>
      </c>
      <c r="CD12" s="3">
        <f t="shared" si="9"/>
        <v>3.883420397240401E-3</v>
      </c>
      <c r="CE12" s="3">
        <f t="shared" si="10"/>
        <v>2.1843886419491532E-2</v>
      </c>
      <c r="CG12" s="3">
        <v>8</v>
      </c>
      <c r="CH12" s="3">
        <f t="shared" si="23"/>
        <v>0.35907422282827089</v>
      </c>
      <c r="CI12" s="3">
        <v>-2.7350502044453287E-2</v>
      </c>
      <c r="CJ12" s="3">
        <f t="shared" si="24"/>
        <v>0.38091810924776243</v>
      </c>
      <c r="CK12" s="3">
        <v>6.2877055791722869E-2</v>
      </c>
      <c r="CL12" s="3">
        <f t="shared" si="11"/>
        <v>0.36999616603801666</v>
      </c>
      <c r="CM12" s="3">
        <v>1.8301990370472698E-2</v>
      </c>
      <c r="CN12" s="3">
        <f t="shared" si="12"/>
        <v>-5.005686250451779E-4</v>
      </c>
      <c r="CO12" s="3">
        <f t="shared" si="13"/>
        <v>1.1507752696237866E-3</v>
      </c>
      <c r="CP12" s="3">
        <f t="shared" si="14"/>
        <v>2.1843886419491532E-2</v>
      </c>
    </row>
    <row r="13" spans="2:94" x14ac:dyDescent="0.2">
      <c r="B13" s="7" t="s">
        <v>9</v>
      </c>
      <c r="C13" s="18">
        <v>50</v>
      </c>
      <c r="D13" s="7" t="s">
        <v>10</v>
      </c>
      <c r="F13" s="44" t="s">
        <v>88</v>
      </c>
      <c r="G13" s="44">
        <f xml:space="preserve"> $C$21 * BC12</f>
        <v>308.20313757002714</v>
      </c>
      <c r="H13" s="44" t="s">
        <v>124</v>
      </c>
      <c r="N13" s="7" t="s">
        <v>258</v>
      </c>
      <c r="O13" s="7">
        <f>O9+O12^2/(PI()*O11*$C$12)</f>
        <v>4.6022963690439386E-2</v>
      </c>
      <c r="R13" s="7" t="s">
        <v>258</v>
      </c>
      <c r="S13" s="7">
        <f xml:space="preserve"> S9 + S12^2 / ( PI() * S11 * $C$12 )</f>
        <v>4.606528922566748E-2</v>
      </c>
      <c r="V13" s="7" t="s">
        <v>258</v>
      </c>
      <c r="W13" s="7">
        <f xml:space="preserve"> W9 + W12^2 / (PI() * W11 * $C$12)</f>
        <v>4.6050052032985372E-2</v>
      </c>
      <c r="AB13" s="3">
        <v>9</v>
      </c>
      <c r="AC13" s="3">
        <f t="shared" si="15"/>
        <v>0.333984375</v>
      </c>
      <c r="AD13" s="3">
        <f t="shared" si="0"/>
        <v>1.068192139111912E-3</v>
      </c>
      <c r="AE13" s="3">
        <f t="shared" si="16"/>
        <v>0.3359375</v>
      </c>
      <c r="AF13" s="3">
        <f t="shared" si="1"/>
        <v>-9.8860715760101803E-4</v>
      </c>
      <c r="AG13" s="3">
        <f t="shared" si="3"/>
        <v>0.3349609375</v>
      </c>
      <c r="AH13" s="3">
        <f t="shared" si="2"/>
        <v>3.964290649949298E-5</v>
      </c>
      <c r="AI13" s="3">
        <f t="shared" si="4"/>
        <v>4.2346241094306929E-8</v>
      </c>
      <c r="AJ13" s="3">
        <f t="shared" si="5"/>
        <v>-3.919126111350668E-8</v>
      </c>
      <c r="AK13" s="3">
        <f t="shared" si="6"/>
        <v>1.953125E-3</v>
      </c>
      <c r="AM13" s="3">
        <v>9</v>
      </c>
      <c r="AN13" s="3">
        <f t="shared" si="25"/>
        <v>1414.0625</v>
      </c>
      <c r="AO13" s="3">
        <v>-0.6624297691009815</v>
      </c>
      <c r="AP13" s="3">
        <f t="shared" si="26"/>
        <v>1421.875</v>
      </c>
      <c r="AQ13" s="3">
        <v>3.8358509938209409</v>
      </c>
      <c r="AR13" s="3">
        <f t="shared" si="17"/>
        <v>1417.96875</v>
      </c>
      <c r="AS13" s="3">
        <v>1.5873431341296964</v>
      </c>
      <c r="AT13" s="3">
        <f t="shared" si="18"/>
        <v>-1.0515033458255632</v>
      </c>
      <c r="AU13" s="3">
        <f t="shared" si="19"/>
        <v>6.0888117385862426</v>
      </c>
      <c r="AV13" s="3">
        <f t="shared" si="20"/>
        <v>7.8125</v>
      </c>
      <c r="AX13" s="61"/>
      <c r="AY13" s="4" t="s">
        <v>241</v>
      </c>
      <c r="AZ13" s="27"/>
      <c r="BF13" s="3" t="s">
        <v>175</v>
      </c>
      <c r="BG13" s="3">
        <f>$AY$21-$AY$20</f>
        <v>9.8749999999999949E-2</v>
      </c>
      <c r="BH13" s="27" t="s">
        <v>8</v>
      </c>
      <c r="BJ13" s="3" t="s">
        <v>175</v>
      </c>
      <c r="BK13" s="3">
        <f>$AY$22-$AY$21</f>
        <v>9.875000000000006E-2</v>
      </c>
      <c r="BL13" s="27" t="s">
        <v>8</v>
      </c>
      <c r="BN13" s="3" t="s">
        <v>210</v>
      </c>
      <c r="BO13" s="3">
        <f>IF(BO7&lt;$BH$43, $BC$45*BO7^2 + $BD$45*BO7 + $BE$45, IF(BO7&gt;$BI$43, $BJ$45*BO7^2 + $BK$45*BO7 + $BL$45, $BF$45*BO7^3 + $BG$45*BO7^2 + $BH$45*BO7 + $BI$45))</f>
        <v>2.8775212699466714E-3</v>
      </c>
      <c r="BP13" s="3"/>
      <c r="BQ13" s="3"/>
      <c r="BR13" s="3" t="s">
        <v>210</v>
      </c>
      <c r="BS13" s="3">
        <f>IF(BS7&lt;$BH$43, $BC$45*BS7^2 + $BD$45*BS7 + $BE$45, IF(BS7&gt;$BI$43, $BJ$45*BS7^2 + $BK$45*BS7 + $BL$45, $BF$45*BS7^3 + $BG$45*BS7^2 + $BH$45*BS7 + $BI$45))</f>
        <v>3.9088457345031365E-3</v>
      </c>
      <c r="BT13" s="3"/>
      <c r="BV13" s="3">
        <v>9</v>
      </c>
      <c r="BW13" s="3">
        <f t="shared" si="21"/>
        <v>0.42460588208674543</v>
      </c>
      <c r="BX13" s="3">
        <v>-2.8949840884852661E-2</v>
      </c>
      <c r="BY13" s="3">
        <f t="shared" si="22"/>
        <v>0.4355278252964912</v>
      </c>
      <c r="BZ13" s="3">
        <v>3.7801360117007951E-2</v>
      </c>
      <c r="CA13" s="3">
        <f t="shared" si="7"/>
        <v>0.43006685369161834</v>
      </c>
      <c r="CB13" s="3">
        <v>4.6454752006616085E-3</v>
      </c>
      <c r="CC13" s="3">
        <f t="shared" si="8"/>
        <v>-1.3448576789368256E-4</v>
      </c>
      <c r="CD13" s="3">
        <f t="shared" si="9"/>
        <v>1.7560528097483924E-4</v>
      </c>
      <c r="CE13" s="3">
        <f t="shared" si="10"/>
        <v>1.0921943209745766E-2</v>
      </c>
      <c r="CG13" s="3">
        <v>9</v>
      </c>
      <c r="CH13" s="3">
        <f t="shared" si="23"/>
        <v>0.35907422282827089</v>
      </c>
      <c r="CI13" s="3">
        <v>-2.7350502044453287E-2</v>
      </c>
      <c r="CJ13" s="3">
        <f t="shared" si="24"/>
        <v>0.36999616603801666</v>
      </c>
      <c r="CK13" s="3">
        <v>1.8301990370472698E-2</v>
      </c>
      <c r="CL13" s="3">
        <f t="shared" si="11"/>
        <v>0.36453519443314375</v>
      </c>
      <c r="CM13" s="3">
        <v>-4.3918434674468584E-3</v>
      </c>
      <c r="CN13" s="3">
        <f t="shared" si="12"/>
        <v>1.2011912373532412E-4</v>
      </c>
      <c r="CO13" s="3">
        <f t="shared" si="13"/>
        <v>-8.0379476849835833E-5</v>
      </c>
      <c r="CP13" s="3">
        <f t="shared" si="14"/>
        <v>1.0921943209745766E-2</v>
      </c>
    </row>
    <row r="14" spans="2:94" x14ac:dyDescent="0.2">
      <c r="B14" s="7" t="s">
        <v>259</v>
      </c>
      <c r="C14" s="18">
        <v>1</v>
      </c>
      <c r="N14" s="7" t="s">
        <v>260</v>
      </c>
      <c r="O14" s="7">
        <f>O5*O13*$C$11</f>
        <v>1141.6571430459619</v>
      </c>
      <c r="P14" s="7" t="s">
        <v>23</v>
      </c>
      <c r="R14" s="7" t="s">
        <v>43</v>
      </c>
      <c r="S14" s="7">
        <f xml:space="preserve"> S5 * S13 * $C$11</f>
        <v>1142.7070808542139</v>
      </c>
      <c r="T14" s="7" t="s">
        <v>23</v>
      </c>
      <c r="V14" s="7" t="s">
        <v>260</v>
      </c>
      <c r="W14" s="7">
        <f xml:space="preserve"> W5 * $C$11 * W13</f>
        <v>1142.3291032432435</v>
      </c>
      <c r="X14" s="7" t="s">
        <v>23</v>
      </c>
      <c r="AB14" s="3">
        <v>10</v>
      </c>
      <c r="AC14" s="3">
        <f t="shared" si="15"/>
        <v>0.3349609375</v>
      </c>
      <c r="AD14" s="3">
        <f t="shared" si="0"/>
        <v>3.964290649949298E-5</v>
      </c>
      <c r="AE14" s="3">
        <f t="shared" si="16"/>
        <v>0.3359375</v>
      </c>
      <c r="AF14" s="3">
        <f t="shared" si="1"/>
        <v>-9.8860715760101803E-4</v>
      </c>
      <c r="AG14" s="3">
        <f t="shared" si="3"/>
        <v>0.33544921875</v>
      </c>
      <c r="AH14" s="3">
        <f t="shared" si="2"/>
        <v>-4.7451936053810595E-4</v>
      </c>
      <c r="AI14" s="3">
        <f t="shared" si="4"/>
        <v>-1.8811326642011332E-8</v>
      </c>
      <c r="AJ14" s="3">
        <f t="shared" si="5"/>
        <v>4.6911323624822961E-7</v>
      </c>
      <c r="AK14" s="3">
        <f t="shared" si="6"/>
        <v>9.765625E-4</v>
      </c>
      <c r="AM14" s="3">
        <v>10</v>
      </c>
      <c r="AN14" s="3">
        <f t="shared" si="25"/>
        <v>1414.0625</v>
      </c>
      <c r="AO14" s="3">
        <v>-0.6624297691009815</v>
      </c>
      <c r="AP14" s="3">
        <f t="shared" si="26"/>
        <v>1417.96875</v>
      </c>
      <c r="AQ14" s="3">
        <v>1.5873431341296964</v>
      </c>
      <c r="AR14" s="3">
        <f t="shared" si="17"/>
        <v>1416.015625</v>
      </c>
      <c r="AS14" s="3">
        <v>0.46261484294154798</v>
      </c>
      <c r="AT14" s="3">
        <f t="shared" si="18"/>
        <v>-0.30644984359245647</v>
      </c>
      <c r="AU14" s="3">
        <f t="shared" si="19"/>
        <v>0.73432849468975403</v>
      </c>
      <c r="AV14" s="3">
        <f t="shared" si="20"/>
        <v>3.90625</v>
      </c>
      <c r="AX14" s="61"/>
      <c r="AY14" s="4" t="s">
        <v>241</v>
      </c>
      <c r="AZ14" s="27"/>
      <c r="BB14" s="59" t="s">
        <v>211</v>
      </c>
      <c r="BC14" s="59"/>
      <c r="BD14" s="59"/>
      <c r="BF14" s="3" t="s">
        <v>180</v>
      </c>
      <c r="BG14" s="3">
        <f>(1+$BO$37)*$AY$3</f>
        <v>16.002868478929066</v>
      </c>
      <c r="BH14" s="27" t="s">
        <v>10</v>
      </c>
      <c r="BJ14" s="3" t="s">
        <v>180</v>
      </c>
      <c r="BK14" s="3">
        <f>(1+$BS$37)*$AY$3</f>
        <v>17.627085351244087</v>
      </c>
      <c r="BL14" s="27" t="s">
        <v>10</v>
      </c>
      <c r="BN14" s="3" t="s">
        <v>212</v>
      </c>
      <c r="BO14" s="3">
        <f xml:space="preserve"> BO12*COS(BO4) - BO13*SIN(BO4)</f>
        <v>0.45423517733196711</v>
      </c>
      <c r="BP14" s="3"/>
      <c r="BQ14" s="3"/>
      <c r="BR14" s="3" t="s">
        <v>212</v>
      </c>
      <c r="BS14" s="3">
        <f xml:space="preserve"> BS12*COS(BS4) - BS13*SIN(BS4)</f>
        <v>0.70382434499750035</v>
      </c>
      <c r="BT14" s="3"/>
      <c r="BV14" s="3">
        <v>10</v>
      </c>
      <c r="BW14" s="3">
        <f t="shared" si="21"/>
        <v>0.42460588208674543</v>
      </c>
      <c r="BX14" s="3">
        <v>-2.8949840884852661E-2</v>
      </c>
      <c r="BY14" s="3">
        <f t="shared" si="22"/>
        <v>0.43006685369161834</v>
      </c>
      <c r="BZ14" s="3">
        <v>4.6454752006616085E-3</v>
      </c>
      <c r="CA14" s="3">
        <f t="shared" si="7"/>
        <v>0.42733636788918189</v>
      </c>
      <c r="CB14" s="3">
        <v>-1.2098251707351307E-2</v>
      </c>
      <c r="CC14" s="3">
        <f t="shared" si="8"/>
        <v>3.502424619127174E-4</v>
      </c>
      <c r="CD14" s="3">
        <f t="shared" si="9"/>
        <v>-5.6202128277862462E-5</v>
      </c>
      <c r="CE14" s="3">
        <f t="shared" si="10"/>
        <v>5.4609716048729107E-3</v>
      </c>
      <c r="CG14" s="3">
        <v>10</v>
      </c>
      <c r="CH14" s="3">
        <f t="shared" si="23"/>
        <v>0.36453519443314375</v>
      </c>
      <c r="CI14" s="3">
        <v>-4.3918434674468584E-3</v>
      </c>
      <c r="CJ14" s="3">
        <f t="shared" si="24"/>
        <v>0.36999616603801666</v>
      </c>
      <c r="CK14" s="3">
        <v>1.8301990370472698E-2</v>
      </c>
      <c r="CL14" s="3">
        <f t="shared" si="11"/>
        <v>0.36726568023558021</v>
      </c>
      <c r="CM14" s="3">
        <v>6.9884582927162986E-3</v>
      </c>
      <c r="CN14" s="3">
        <f t="shared" si="12"/>
        <v>-3.0692214900390902E-5</v>
      </c>
      <c r="CO14" s="3">
        <f t="shared" si="13"/>
        <v>1.2790269637774377E-4</v>
      </c>
      <c r="CP14" s="3">
        <f t="shared" si="14"/>
        <v>5.4609716048729107E-3</v>
      </c>
    </row>
    <row r="15" spans="2:94" x14ac:dyDescent="0.2">
      <c r="F15" s="51" t="s">
        <v>98</v>
      </c>
      <c r="G15" s="52"/>
      <c r="H15" s="52"/>
      <c r="J15" s="47" t="s">
        <v>55</v>
      </c>
      <c r="K15" s="47"/>
      <c r="L15" s="47"/>
      <c r="N15" s="7" t="s">
        <v>261</v>
      </c>
      <c r="O15" s="7">
        <f>O4/O14</f>
        <v>12.140749864861943</v>
      </c>
      <c r="R15" s="7" t="s">
        <v>261</v>
      </c>
      <c r="S15" s="7">
        <f>S4/S14</f>
        <v>12.145276163178766</v>
      </c>
      <c r="V15" s="7" t="s">
        <v>261</v>
      </c>
      <c r="W15" s="7">
        <f>W4/W14</f>
        <v>12.143649988622011</v>
      </c>
      <c r="AB15" s="3">
        <v>11</v>
      </c>
      <c r="AC15" s="3">
        <f t="shared" si="15"/>
        <v>0.3349609375</v>
      </c>
      <c r="AD15" s="3">
        <f t="shared" si="0"/>
        <v>3.964290649949298E-5</v>
      </c>
      <c r="AE15" s="3">
        <f t="shared" si="16"/>
        <v>0.33544921875</v>
      </c>
      <c r="AF15" s="3">
        <f t="shared" si="1"/>
        <v>-4.7451936053810595E-4</v>
      </c>
      <c r="AG15" s="3">
        <f t="shared" si="3"/>
        <v>0.335205078125</v>
      </c>
      <c r="AH15" s="3">
        <f t="shared" si="2"/>
        <v>-2.1744755582864261E-4</v>
      </c>
      <c r="AI15" s="3">
        <f t="shared" si="4"/>
        <v>-8.6202531242581584E-9</v>
      </c>
      <c r="AJ15" s="3">
        <f t="shared" si="5"/>
        <v>1.0318307514238159E-7</v>
      </c>
      <c r="AK15" s="3">
        <f t="shared" si="6"/>
        <v>4.8828125E-4</v>
      </c>
      <c r="AM15" s="3">
        <v>11</v>
      </c>
      <c r="AN15" s="3">
        <f t="shared" si="25"/>
        <v>1414.0625</v>
      </c>
      <c r="AO15" s="3">
        <v>-0.6624297691009815</v>
      </c>
      <c r="AP15" s="3">
        <f t="shared" si="26"/>
        <v>1416.015625</v>
      </c>
      <c r="AQ15" s="3">
        <v>0.46261484294154798</v>
      </c>
      <c r="AR15" s="3">
        <f t="shared" si="17"/>
        <v>1415.0390625</v>
      </c>
      <c r="AS15" s="3">
        <v>-9.986809428221477E-2</v>
      </c>
      <c r="AT15" s="3">
        <f t="shared" si="18"/>
        <v>6.6155598635922575E-2</v>
      </c>
      <c r="AU15" s="3">
        <f t="shared" si="19"/>
        <v>-4.6200462751238493E-2</v>
      </c>
      <c r="AV15" s="3">
        <f t="shared" si="20"/>
        <v>1.953125</v>
      </c>
      <c r="AX15" s="61"/>
      <c r="AY15" s="4" t="s">
        <v>241</v>
      </c>
      <c r="AZ15" s="27"/>
      <c r="BB15" s="3" t="s">
        <v>213</v>
      </c>
      <c r="BC15" s="3">
        <f>BC10*(AY3/2 + SQRT( (AY3/2)^2 + BC10/(2*AY45*PI()*BC3^2) ) )/1000</f>
        <v>28.341002070433913</v>
      </c>
      <c r="BD15" s="27" t="s">
        <v>124</v>
      </c>
      <c r="BF15" s="3" t="s">
        <v>185</v>
      </c>
      <c r="BG15" s="3">
        <f>(1-$BO$38)*$BC$5*$AY$21</f>
        <v>47.936582527078386</v>
      </c>
      <c r="BH15" s="27" t="s">
        <v>10</v>
      </c>
      <c r="BJ15" s="3" t="s">
        <v>185</v>
      </c>
      <c r="BK15" s="3">
        <f>(1-$BS$38)*$BC$5*$AY$22</f>
        <v>59.278869844500242</v>
      </c>
      <c r="BL15" s="27" t="s">
        <v>10</v>
      </c>
      <c r="BN15" s="3" t="s">
        <v>214</v>
      </c>
      <c r="BO15" s="3">
        <f xml:space="preserve"> BO12*SIN(BO4) + BO13*COS(BO4)</f>
        <v>0.21110591087150848</v>
      </c>
      <c r="BP15" s="3"/>
      <c r="BQ15" s="3"/>
      <c r="BR15" s="3" t="s">
        <v>214</v>
      </c>
      <c r="BS15" s="3">
        <f xml:space="preserve"> BS12*SIN(BS4) + BS13*COS(BS4)</f>
        <v>0.27360586530664582</v>
      </c>
      <c r="BT15" s="3"/>
      <c r="BV15" s="3">
        <v>11</v>
      </c>
      <c r="BW15" s="3">
        <f t="shared" si="21"/>
        <v>0.42733636788918189</v>
      </c>
      <c r="BX15" s="3">
        <v>-1.2098251707351307E-2</v>
      </c>
      <c r="BY15" s="3">
        <f t="shared" si="22"/>
        <v>0.43006685369161834</v>
      </c>
      <c r="BZ15" s="3">
        <v>4.6454752006616085E-3</v>
      </c>
      <c r="CA15" s="3">
        <f t="shared" si="7"/>
        <v>0.42870161079040014</v>
      </c>
      <c r="CB15" s="3">
        <v>-3.7127798248917793E-3</v>
      </c>
      <c r="CC15" s="3">
        <f t="shared" si="8"/>
        <v>4.4918144855516456E-5</v>
      </c>
      <c r="CD15" s="3">
        <f t="shared" si="9"/>
        <v>-1.7247626602051508E-5</v>
      </c>
      <c r="CE15" s="3">
        <f t="shared" si="10"/>
        <v>2.7304858024364553E-3</v>
      </c>
      <c r="CG15" s="3">
        <v>11</v>
      </c>
      <c r="CH15" s="3">
        <f t="shared" si="23"/>
        <v>0.36453519443314375</v>
      </c>
      <c r="CI15" s="3">
        <v>-4.3918434674468584E-3</v>
      </c>
      <c r="CJ15" s="3">
        <f t="shared" si="24"/>
        <v>0.36726568023558021</v>
      </c>
      <c r="CK15" s="3">
        <v>6.9884582927162986E-3</v>
      </c>
      <c r="CL15" s="3">
        <f t="shared" si="11"/>
        <v>0.36590043733436195</v>
      </c>
      <c r="CM15" s="3">
        <v>1.3066182975720875E-3</v>
      </c>
      <c r="CN15" s="3">
        <f t="shared" si="12"/>
        <v>-5.7384630346385076E-6</v>
      </c>
      <c r="CO15" s="3">
        <f t="shared" si="13"/>
        <v>9.131247477082507E-6</v>
      </c>
      <c r="CP15" s="3">
        <f t="shared" si="14"/>
        <v>2.7304858024364553E-3</v>
      </c>
    </row>
    <row r="16" spans="2:94" x14ac:dyDescent="0.2">
      <c r="B16" s="53" t="s">
        <v>12</v>
      </c>
      <c r="C16" s="53"/>
      <c r="D16" s="53"/>
      <c r="F16" s="10" t="s">
        <v>118</v>
      </c>
      <c r="G16" s="18">
        <f>$C$13</f>
        <v>50</v>
      </c>
      <c r="H16" s="7" t="s">
        <v>10</v>
      </c>
      <c r="J16" s="11" t="s">
        <v>85</v>
      </c>
      <c r="K16" s="19">
        <f>C5</f>
        <v>1415.2124395786814</v>
      </c>
      <c r="L16" s="7" t="s">
        <v>7</v>
      </c>
      <c r="N16" s="7" t="s">
        <v>139</v>
      </c>
      <c r="O16" s="7">
        <f>(O13*$C$11)/(0.3048^2)/($C$5*2.20462/1000)^(2/3)</f>
        <v>3.7585709350142782</v>
      </c>
      <c r="R16" s="7" t="s">
        <v>139</v>
      </c>
      <c r="S16" s="7">
        <f>(S13*$C$11)/(0.3048^2)/($C$5*2.20462/1000)^(2/3)</f>
        <v>3.7620275469697204</v>
      </c>
      <c r="V16" s="7" t="s">
        <v>139</v>
      </c>
      <c r="W16" s="7">
        <f>(W13*$C$11)/(0.3048^2)/($C$5*2.20462/1000)^(2/3)</f>
        <v>3.7607831666657625</v>
      </c>
      <c r="AB16" s="3">
        <v>12</v>
      </c>
      <c r="AC16" s="3">
        <f t="shared" si="15"/>
        <v>0.3349609375</v>
      </c>
      <c r="AD16" s="3">
        <f t="shared" si="0"/>
        <v>3.964290649949298E-5</v>
      </c>
      <c r="AE16" s="3">
        <f t="shared" si="16"/>
        <v>0.335205078125</v>
      </c>
      <c r="AF16" s="3">
        <f t="shared" si="1"/>
        <v>-2.1744755582864261E-4</v>
      </c>
      <c r="AG16" s="3">
        <f t="shared" si="3"/>
        <v>0.3350830078125</v>
      </c>
      <c r="AH16" s="3">
        <f t="shared" si="2"/>
        <v>-8.8904659381050521E-5</v>
      </c>
      <c r="AI16" s="3">
        <f t="shared" si="4"/>
        <v>-3.5244390992122573E-9</v>
      </c>
      <c r="AJ16" s="3">
        <f t="shared" si="5"/>
        <v>1.9332100884187438E-8</v>
      </c>
      <c r="AK16" s="3">
        <f t="shared" si="6"/>
        <v>2.44140625E-4</v>
      </c>
      <c r="AM16" s="3">
        <v>12</v>
      </c>
      <c r="AN16" s="3">
        <f t="shared" si="25"/>
        <v>1415.0390625</v>
      </c>
      <c r="AO16" s="3">
        <v>-9.986809428221477E-2</v>
      </c>
      <c r="AP16" s="3">
        <f t="shared" si="26"/>
        <v>1416.015625</v>
      </c>
      <c r="AQ16" s="3">
        <v>0.46261484294154798</v>
      </c>
      <c r="AR16" s="3">
        <f t="shared" si="17"/>
        <v>1415.52734375</v>
      </c>
      <c r="AS16" s="3">
        <v>0.18138340189250357</v>
      </c>
      <c r="AT16" s="3">
        <f t="shared" si="18"/>
        <v>-1.8114414681429398E-2</v>
      </c>
      <c r="AU16" s="3">
        <f t="shared" si="19"/>
        <v>8.3910653978704217E-2</v>
      </c>
      <c r="AV16" s="3">
        <f t="shared" si="20"/>
        <v>0.9765625</v>
      </c>
      <c r="AX16" s="61"/>
      <c r="AY16" s="4" t="s">
        <v>241</v>
      </c>
      <c r="AZ16" s="27"/>
      <c r="BB16" s="3" t="s">
        <v>215</v>
      </c>
      <c r="BC16" s="3">
        <f>BC15/BC12</f>
        <v>0.73564473856777723</v>
      </c>
      <c r="BD16" s="27"/>
      <c r="BF16" s="3" t="s">
        <v>189</v>
      </c>
      <c r="BG16" s="3">
        <f>SQRT(BG14^2 + BG15^2)</f>
        <v>50.537191690173074</v>
      </c>
      <c r="BH16" s="27" t="s">
        <v>10</v>
      </c>
      <c r="BJ16" s="3" t="s">
        <v>189</v>
      </c>
      <c r="BK16" s="3">
        <f>SQRT(BK14^2 + BK15^2)</f>
        <v>61.844147241442698</v>
      </c>
      <c r="BL16" s="27" t="s">
        <v>10</v>
      </c>
      <c r="BN16" s="3" t="s">
        <v>39</v>
      </c>
      <c r="BO16" s="3">
        <f xml:space="preserve"> 4*BO11*SIN(BO4)*SIN(BO4) / (BO8*BO14)</f>
        <v>1.2772484291576418</v>
      </c>
      <c r="BP16" s="3"/>
      <c r="BQ16" s="3"/>
      <c r="BR16" s="3" t="s">
        <v>39</v>
      </c>
      <c r="BS16" s="3">
        <f xml:space="preserve"> 4*BS11*SIN(BS4)*SIN(BS4) / (BS8*BS14)</f>
        <v>1.2207189693875944</v>
      </c>
      <c r="BT16" s="3"/>
      <c r="BV16" s="3">
        <v>12</v>
      </c>
      <c r="BW16" s="3">
        <f t="shared" si="21"/>
        <v>0.42870161079040014</v>
      </c>
      <c r="BX16" s="3">
        <v>-3.7127798248917793E-3</v>
      </c>
      <c r="BY16" s="3">
        <f t="shared" si="22"/>
        <v>0.43006685369161834</v>
      </c>
      <c r="BZ16" s="3">
        <v>4.6454752006616085E-3</v>
      </c>
      <c r="CA16" s="3">
        <f t="shared" si="7"/>
        <v>0.42938423224100924</v>
      </c>
      <c r="CB16" s="3">
        <v>4.6976541942396477E-4</v>
      </c>
      <c r="CC16" s="3">
        <f t="shared" si="8"/>
        <v>-1.7441355716691212E-6</v>
      </c>
      <c r="CD16" s="3">
        <f t="shared" si="9"/>
        <v>2.1822836060624275E-6</v>
      </c>
      <c r="CE16" s="3">
        <f t="shared" si="10"/>
        <v>1.3652429012181999E-3</v>
      </c>
      <c r="CG16" s="3">
        <v>12</v>
      </c>
      <c r="CH16" s="3">
        <f t="shared" si="23"/>
        <v>0.36453519443314375</v>
      </c>
      <c r="CI16" s="3">
        <v>-4.3918434674468584E-3</v>
      </c>
      <c r="CJ16" s="3">
        <f t="shared" si="24"/>
        <v>0.36590043733436195</v>
      </c>
      <c r="CK16" s="3">
        <v>1.3066182975720875E-3</v>
      </c>
      <c r="CL16" s="3">
        <f t="shared" si="11"/>
        <v>0.36521781588375285</v>
      </c>
      <c r="CM16" s="3">
        <v>-1.5405392705140769E-3</v>
      </c>
      <c r="CN16" s="3">
        <f t="shared" si="12"/>
        <v>6.7658073315525976E-6</v>
      </c>
      <c r="CO16" s="3">
        <f t="shared" si="13"/>
        <v>-2.0128967989820486E-6</v>
      </c>
      <c r="CP16" s="3">
        <f t="shared" si="14"/>
        <v>1.3652429012181999E-3</v>
      </c>
    </row>
    <row r="17" spans="2:94" x14ac:dyDescent="0.2">
      <c r="B17" s="7" t="s">
        <v>72</v>
      </c>
      <c r="C17" s="7">
        <f>C35*100</f>
        <v>400</v>
      </c>
      <c r="D17" s="7" t="s">
        <v>7</v>
      </c>
      <c r="F17" s="7" t="s">
        <v>100</v>
      </c>
      <c r="G17" s="18">
        <v>2.54</v>
      </c>
      <c r="H17" s="7" t="s">
        <v>10</v>
      </c>
      <c r="J17" s="12" t="s">
        <v>56</v>
      </c>
      <c r="K17" s="7">
        <f xml:space="preserve"> 1000 * K11 / ($C$60 * $C$61 * $C$62)</f>
        <v>306.0905844820474</v>
      </c>
      <c r="L17" s="7" t="s">
        <v>7</v>
      </c>
      <c r="AB17" s="3">
        <v>13</v>
      </c>
      <c r="AC17" s="3">
        <f t="shared" si="15"/>
        <v>0.3349609375</v>
      </c>
      <c r="AD17" s="3">
        <f t="shared" si="0"/>
        <v>3.964290649949298E-5</v>
      </c>
      <c r="AE17" s="3">
        <f t="shared" si="16"/>
        <v>0.3350830078125</v>
      </c>
      <c r="AF17" s="3">
        <f t="shared" si="1"/>
        <v>-8.8904659381050521E-5</v>
      </c>
      <c r="AG17" s="3">
        <f t="shared" si="3"/>
        <v>0.33502197265625</v>
      </c>
      <c r="AH17" s="3">
        <f t="shared" si="2"/>
        <v>-2.4631460434521024E-5</v>
      </c>
      <c r="AI17" s="3">
        <f t="shared" si="4"/>
        <v>-9.764626829516777E-10</v>
      </c>
      <c r="AJ17" s="3">
        <f t="shared" si="5"/>
        <v>2.1898515999889145E-9</v>
      </c>
      <c r="AK17" s="3">
        <f t="shared" si="6"/>
        <v>1.220703125E-4</v>
      </c>
      <c r="AM17" s="3">
        <v>13</v>
      </c>
      <c r="AN17" s="3">
        <f t="shared" si="25"/>
        <v>1415.0390625</v>
      </c>
      <c r="AO17" s="3">
        <v>-9.986809428221477E-2</v>
      </c>
      <c r="AP17" s="3">
        <f t="shared" si="26"/>
        <v>1415.52734375</v>
      </c>
      <c r="AQ17" s="3">
        <v>0.18138340189250357</v>
      </c>
      <c r="AR17" s="3">
        <f t="shared" si="17"/>
        <v>1415.283203125</v>
      </c>
      <c r="AS17" s="3">
        <v>4.0760085961892401E-2</v>
      </c>
      <c r="AT17" s="3">
        <f t="shared" si="18"/>
        <v>-4.0706321077934489E-3</v>
      </c>
      <c r="AU17" s="3">
        <f t="shared" si="19"/>
        <v>7.3932030531989219E-3</v>
      </c>
      <c r="AV17" s="3">
        <f t="shared" si="20"/>
        <v>0.48828125</v>
      </c>
      <c r="AX17" s="61"/>
      <c r="AY17" s="4" t="s">
        <v>241</v>
      </c>
      <c r="AZ17" s="27"/>
      <c r="BB17" s="3" t="s">
        <v>212</v>
      </c>
      <c r="BC17" s="3">
        <f>BC10/($AY$45*BC6^2*AY9^4)</f>
        <v>0.26437978679687441</v>
      </c>
      <c r="BD17" s="3"/>
      <c r="BF17" s="3" t="s">
        <v>192</v>
      </c>
      <c r="BG17" s="38">
        <f>$AY$45*BG16*$AY$27/$AY$46</f>
        <v>1896938.6618762002</v>
      </c>
      <c r="BH17" s="27"/>
      <c r="BJ17" s="3" t="s">
        <v>192</v>
      </c>
      <c r="BK17" s="38">
        <f>$AY$45*BK16*$AY$27/$AY$46</f>
        <v>2321350.8703109981</v>
      </c>
      <c r="BL17" s="27"/>
      <c r="BN17" s="3" t="s">
        <v>216</v>
      </c>
      <c r="BO17" s="3">
        <f xml:space="preserve"> 4*BO11*SIN(BO4)*COS(BO4) / (BO8*BO15)</f>
        <v>6.0033816559888171</v>
      </c>
      <c r="BP17" s="3"/>
      <c r="BQ17" s="3"/>
      <c r="BR17" s="3" t="s">
        <v>216</v>
      </c>
      <c r="BS17" s="3">
        <f xml:space="preserve"> 4*BS11*SIN(BS4)*COS(BS4) / (BS8*BS15)</f>
        <v>8.2032953904861561</v>
      </c>
      <c r="BT17" s="3"/>
      <c r="BV17" s="3">
        <v>13</v>
      </c>
      <c r="BW17" s="3">
        <f t="shared" si="21"/>
        <v>0.42870161079040014</v>
      </c>
      <c r="BX17" s="3">
        <v>-3.7127798248917793E-3</v>
      </c>
      <c r="BY17" s="3">
        <f t="shared" si="22"/>
        <v>0.42938423224100924</v>
      </c>
      <c r="BZ17" s="3">
        <v>4.6976541942396477E-4</v>
      </c>
      <c r="CA17" s="3">
        <f t="shared" si="7"/>
        <v>0.42904292151570467</v>
      </c>
      <c r="CB17" s="3">
        <v>-1.6206547192875453E-3</v>
      </c>
      <c r="CC17" s="3">
        <f t="shared" si="8"/>
        <v>6.0171341448864485E-6</v>
      </c>
      <c r="CD17" s="3">
        <f t="shared" si="9"/>
        <v>-7.6132754394754165E-7</v>
      </c>
      <c r="CE17" s="3">
        <f t="shared" si="10"/>
        <v>6.8262145060909996E-4</v>
      </c>
      <c r="CG17" s="3">
        <v>13</v>
      </c>
      <c r="CH17" s="3">
        <f t="shared" si="23"/>
        <v>0.36521781588375285</v>
      </c>
      <c r="CI17" s="3">
        <v>-1.5405392705140769E-3</v>
      </c>
      <c r="CJ17" s="3">
        <f t="shared" si="24"/>
        <v>0.36590043733436195</v>
      </c>
      <c r="CK17" s="3">
        <v>1.3066182975720875E-3</v>
      </c>
      <c r="CL17" s="3">
        <f t="shared" si="11"/>
        <v>0.36555912660905743</v>
      </c>
      <c r="CM17" s="3">
        <v>-1.1644160742455001E-4</v>
      </c>
      <c r="CN17" s="3">
        <f t="shared" si="12"/>
        <v>1.7938286895930278E-7</v>
      </c>
      <c r="CO17" s="3">
        <f t="shared" si="13"/>
        <v>-1.5214473485962288E-7</v>
      </c>
      <c r="CP17" s="3">
        <f t="shared" si="14"/>
        <v>6.8262145060909996E-4</v>
      </c>
    </row>
    <row r="18" spans="2:94" x14ac:dyDescent="0.2">
      <c r="B18" s="7" t="s">
        <v>13</v>
      </c>
      <c r="C18" s="18">
        <v>96000</v>
      </c>
      <c r="D18" s="7" t="s">
        <v>8</v>
      </c>
      <c r="F18" s="7" t="s">
        <v>99</v>
      </c>
      <c r="G18" s="18">
        <v>304.8</v>
      </c>
      <c r="H18" s="7" t="s">
        <v>8</v>
      </c>
      <c r="J18" s="13" t="s">
        <v>157</v>
      </c>
      <c r="K18" s="7">
        <f xml:space="preserve"> $C$21 * (0.0095 * MAX(G9,G52) - 1.9275) + $C$28 * (0.0095 * MAX(O20,S20,W20) - 1.9275)</f>
        <v>132.04168778545105</v>
      </c>
      <c r="L18" s="7" t="s">
        <v>7</v>
      </c>
      <c r="N18" s="51" t="s">
        <v>262</v>
      </c>
      <c r="O18" s="57"/>
      <c r="P18" s="57"/>
      <c r="R18" s="51" t="s">
        <v>263</v>
      </c>
      <c r="S18" s="57"/>
      <c r="T18" s="57"/>
      <c r="V18" s="51" t="s">
        <v>264</v>
      </c>
      <c r="W18" s="57"/>
      <c r="X18" s="57"/>
      <c r="AB18" s="3">
        <v>14</v>
      </c>
      <c r="AC18" s="3">
        <f t="shared" si="15"/>
        <v>0.3349609375</v>
      </c>
      <c r="AD18" s="3">
        <f t="shared" si="0"/>
        <v>3.964290649949298E-5</v>
      </c>
      <c r="AE18" s="3">
        <f t="shared" si="16"/>
        <v>0.33502197265625</v>
      </c>
      <c r="AF18" s="3">
        <f t="shared" si="1"/>
        <v>-2.4631460434521024E-5</v>
      </c>
      <c r="AG18" s="3">
        <f t="shared" si="3"/>
        <v>0.334991455078125</v>
      </c>
      <c r="AH18" s="3">
        <f t="shared" si="2"/>
        <v>7.5055769946930084E-6</v>
      </c>
      <c r="AI18" s="3">
        <f t="shared" si="4"/>
        <v>2.9754288702536043E-10</v>
      </c>
      <c r="AJ18" s="3">
        <f t="shared" si="5"/>
        <v>-1.8487332278303204E-10</v>
      </c>
      <c r="AK18" s="3">
        <f t="shared" si="6"/>
        <v>6.103515625E-5</v>
      </c>
      <c r="AM18" s="3">
        <v>14</v>
      </c>
      <c r="AN18" s="3">
        <f t="shared" si="25"/>
        <v>1415.0390625</v>
      </c>
      <c r="AO18" s="3">
        <v>-9.986809428221477E-2</v>
      </c>
      <c r="AP18" s="3">
        <f t="shared" si="26"/>
        <v>1415.283203125</v>
      </c>
      <c r="AQ18" s="3">
        <v>4.0760085961892401E-2</v>
      </c>
      <c r="AR18" s="3">
        <f t="shared" si="17"/>
        <v>1415.1611328125</v>
      </c>
      <c r="AS18" s="3">
        <v>-2.9553246722002768E-2</v>
      </c>
      <c r="AT18" s="3">
        <f t="shared" si="18"/>
        <v>2.9514264299785272E-3</v>
      </c>
      <c r="AU18" s="3">
        <f t="shared" si="19"/>
        <v>-1.2045928768418476E-3</v>
      </c>
      <c r="AV18" s="3">
        <f t="shared" si="20"/>
        <v>0.244140625</v>
      </c>
      <c r="AX18" s="61"/>
      <c r="AY18" s="4" t="s">
        <v>241</v>
      </c>
      <c r="BB18" s="3" t="s">
        <v>214</v>
      </c>
      <c r="BC18" s="3">
        <f>BC11/($AY$45*BC6^2*AY9^5)</f>
        <v>2.5534603745620978E-2</v>
      </c>
      <c r="BD18" s="27"/>
      <c r="BF18" s="3" t="s">
        <v>196</v>
      </c>
      <c r="BG18" s="3">
        <f xml:space="preserve"> $BO$27 * PI() * $AY$45 * BG16^2 *$BO$33 * $AY$21 * BG13</f>
        <v>130.27082082368469</v>
      </c>
      <c r="BH18" s="27" t="s">
        <v>23</v>
      </c>
      <c r="BJ18" s="3" t="s">
        <v>196</v>
      </c>
      <c r="BK18" s="3">
        <f xml:space="preserve"> $BS$27 * PI() * $AY$45 * BK16^2 * $BS$33 * $AY$22 * BK13</f>
        <v>200.43452866299873</v>
      </c>
      <c r="BL18" s="27" t="s">
        <v>23</v>
      </c>
      <c r="BN18" s="3" t="s">
        <v>46</v>
      </c>
      <c r="BO18" s="3">
        <f>1/(BO16-1)</f>
        <v>3.6068734565540348</v>
      </c>
      <c r="BP18" s="3"/>
      <c r="BQ18" s="3"/>
      <c r="BR18" s="3" t="s">
        <v>46</v>
      </c>
      <c r="BS18" s="3">
        <f>1/(BS16-1)</f>
        <v>4.5306481938303467</v>
      </c>
      <c r="BT18" s="3"/>
      <c r="BV18" s="3">
        <v>14</v>
      </c>
      <c r="BW18" s="3">
        <f t="shared" si="21"/>
        <v>0.42904292151570467</v>
      </c>
      <c r="BX18" s="3">
        <v>-1.6206547192875453E-3</v>
      </c>
      <c r="BY18" s="3">
        <f t="shared" si="22"/>
        <v>0.42938423224100924</v>
      </c>
      <c r="BZ18" s="3">
        <v>4.6976541942396477E-4</v>
      </c>
      <c r="CA18" s="3">
        <f t="shared" si="7"/>
        <v>0.42921357687835693</v>
      </c>
      <c r="CB18" s="3">
        <v>-5.7523128516492883E-4</v>
      </c>
      <c r="CC18" s="3">
        <f t="shared" si="8"/>
        <v>9.3225129698438166E-7</v>
      </c>
      <c r="CD18" s="3">
        <f t="shared" si="9"/>
        <v>-2.7022376594128907E-7</v>
      </c>
      <c r="CE18" s="3">
        <f t="shared" si="10"/>
        <v>3.4131072530457773E-4</v>
      </c>
      <c r="CG18" s="3">
        <v>14</v>
      </c>
      <c r="CH18" s="3">
        <f t="shared" si="23"/>
        <v>0.36555912660905743</v>
      </c>
      <c r="CI18" s="3">
        <v>-1.1644160742455001E-4</v>
      </c>
      <c r="CJ18" s="3">
        <f t="shared" si="24"/>
        <v>0.36590043733436195</v>
      </c>
      <c r="CK18" s="3">
        <v>1.3066182975720875E-3</v>
      </c>
      <c r="CL18" s="3">
        <f t="shared" si="11"/>
        <v>0.36572978197170969</v>
      </c>
      <c r="CM18" s="3">
        <v>5.9521813367675869E-4</v>
      </c>
      <c r="CN18" s="3">
        <f t="shared" si="12"/>
        <v>-6.930815625356246E-8</v>
      </c>
      <c r="CO18" s="3">
        <f t="shared" si="13"/>
        <v>7.7772290450876161E-7</v>
      </c>
      <c r="CP18" s="3">
        <f t="shared" si="14"/>
        <v>3.4131072530452222E-4</v>
      </c>
    </row>
    <row r="19" spans="2:94" x14ac:dyDescent="0.2">
      <c r="F19" s="7" t="s">
        <v>104</v>
      </c>
      <c r="G19" s="7">
        <f>$G$18/$G$17</f>
        <v>120</v>
      </c>
      <c r="H19" s="7" t="s">
        <v>14</v>
      </c>
      <c r="J19" s="13" t="s">
        <v>158</v>
      </c>
      <c r="K19" s="7">
        <v>0</v>
      </c>
      <c r="L19" s="7" t="s">
        <v>7</v>
      </c>
      <c r="N19" s="7" t="s">
        <v>29</v>
      </c>
      <c r="O19" s="7">
        <f xml:space="preserve"> 90 - $C$69</f>
        <v>85</v>
      </c>
      <c r="P19" s="7" t="s">
        <v>44</v>
      </c>
      <c r="R19" s="7" t="s">
        <v>29</v>
      </c>
      <c r="S19" s="7">
        <f xml:space="preserve"> 90 - $C$69</f>
        <v>85</v>
      </c>
      <c r="T19" s="7" t="s">
        <v>44</v>
      </c>
      <c r="V19" s="7" t="s">
        <v>29</v>
      </c>
      <c r="W19" s="7">
        <f xml:space="preserve"> 90 - $C$69</f>
        <v>85</v>
      </c>
      <c r="X19" s="7" t="s">
        <v>44</v>
      </c>
      <c r="AB19" s="3">
        <v>15</v>
      </c>
      <c r="AC19" s="3">
        <f t="shared" si="15"/>
        <v>0.334991455078125</v>
      </c>
      <c r="AD19" s="3">
        <f t="shared" si="0"/>
        <v>7.5055769946930084E-6</v>
      </c>
      <c r="AE19" s="3">
        <f t="shared" si="16"/>
        <v>0.33502197265625</v>
      </c>
      <c r="AF19" s="3">
        <f t="shared" si="1"/>
        <v>-2.4631460434521024E-5</v>
      </c>
      <c r="AG19" s="3">
        <f t="shared" si="3"/>
        <v>0.3350067138671875</v>
      </c>
      <c r="AH19" s="3">
        <f t="shared" si="2"/>
        <v>-8.5629782244356356E-6</v>
      </c>
      <c r="AI19" s="3">
        <f t="shared" si="4"/>
        <v>-6.4270092367381286E-11</v>
      </c>
      <c r="AJ19" s="3">
        <f t="shared" si="5"/>
        <v>2.1091865933685146E-10</v>
      </c>
      <c r="AK19" s="3">
        <f t="shared" si="6"/>
        <v>3.0517578125E-5</v>
      </c>
      <c r="AM19" s="3">
        <v>15</v>
      </c>
      <c r="AN19" s="3">
        <f t="shared" si="25"/>
        <v>1415.1611328125</v>
      </c>
      <c r="AO19" s="3">
        <v>-2.9553246722002768E-2</v>
      </c>
      <c r="AP19" s="3">
        <f t="shared" si="26"/>
        <v>1415.283203125</v>
      </c>
      <c r="AQ19" s="3">
        <v>4.0760085961892401E-2</v>
      </c>
      <c r="AR19" s="3">
        <f t="shared" si="17"/>
        <v>1415.22216796875</v>
      </c>
      <c r="AS19" s="3">
        <v>5.6034164863376645E-3</v>
      </c>
      <c r="AT19" s="3">
        <f t="shared" si="18"/>
        <v>-1.6559914990687486E-4</v>
      </c>
      <c r="AU19" s="3">
        <f t="shared" si="19"/>
        <v>2.2839573766340827E-4</v>
      </c>
      <c r="AV19" s="3">
        <f t="shared" si="20"/>
        <v>0.1220703125</v>
      </c>
      <c r="AX19" s="61" t="s">
        <v>217</v>
      </c>
      <c r="AY19" s="4">
        <f>0.259375*($AY$9/2)</f>
        <v>0.25937500000000002</v>
      </c>
      <c r="AZ19" s="27" t="s">
        <v>8</v>
      </c>
      <c r="BB19" s="3" t="s">
        <v>218</v>
      </c>
      <c r="BC19" s="3">
        <f>2*PI()*BC18</f>
        <v>0.16043864707913855</v>
      </c>
      <c r="BD19" s="27"/>
      <c r="BF19" s="3" t="s">
        <v>200</v>
      </c>
      <c r="BG19" s="3">
        <f xml:space="preserve"> $BO$27 * PI() * $AY$45 * BG16^2 * $BO$34 * $AY$21^2 * BG13</f>
        <v>20.282196645595789</v>
      </c>
      <c r="BH19" s="27" t="s">
        <v>201</v>
      </c>
      <c r="BJ19" s="3" t="s">
        <v>200</v>
      </c>
      <c r="BK19" s="3">
        <f xml:space="preserve"> $BS$27 * PI() * $AY$45 * BK16^2 * $BS$34 * $AY$22^2 * BK13</f>
        <v>33.94267431271161</v>
      </c>
      <c r="BL19" s="27" t="s">
        <v>201</v>
      </c>
      <c r="BN19" s="3" t="s">
        <v>219</v>
      </c>
      <c r="BO19" s="3">
        <f>1/(BO17+1)</f>
        <v>0.14278816279345105</v>
      </c>
      <c r="BP19" s="3"/>
      <c r="BQ19" s="3"/>
      <c r="BR19" s="3" t="s">
        <v>219</v>
      </c>
      <c r="BS19" s="3">
        <f>1/(BS17+1)</f>
        <v>0.10865673191732422</v>
      </c>
      <c r="BT19" s="3"/>
      <c r="BV19" s="3">
        <v>15</v>
      </c>
      <c r="BW19" s="3">
        <f t="shared" si="21"/>
        <v>0.42921357687835693</v>
      </c>
      <c r="BX19" s="3">
        <v>-5.7523128516492883E-4</v>
      </c>
      <c r="BY19" s="3">
        <f t="shared" si="22"/>
        <v>0.42938423224100924</v>
      </c>
      <c r="BZ19" s="3">
        <v>4.6976541942396477E-4</v>
      </c>
      <c r="CA19" s="3">
        <f t="shared" si="7"/>
        <v>0.42929890455968311</v>
      </c>
      <c r="CB19" s="3">
        <v>-5.2679561209925674E-5</v>
      </c>
      <c r="CC19" s="3">
        <f t="shared" si="8"/>
        <v>3.0302931696710081E-8</v>
      </c>
      <c r="CD19" s="3">
        <f t="shared" si="9"/>
        <v>-2.4747036166851159E-8</v>
      </c>
      <c r="CE19" s="3">
        <f t="shared" si="10"/>
        <v>1.7065536265231662E-4</v>
      </c>
      <c r="CG19" s="3">
        <v>15</v>
      </c>
      <c r="CH19" s="3">
        <f t="shared" si="23"/>
        <v>0.36555912660905743</v>
      </c>
      <c r="CI19" s="3">
        <v>-1.1644160742455001E-4</v>
      </c>
      <c r="CJ19" s="3">
        <f t="shared" si="24"/>
        <v>0.36572978197170969</v>
      </c>
      <c r="CK19" s="3">
        <v>5.9521813367675869E-4</v>
      </c>
      <c r="CL19" s="3">
        <f t="shared" si="11"/>
        <v>0.36564445429038356</v>
      </c>
      <c r="CM19" s="3">
        <v>2.39420701670226E-4</v>
      </c>
      <c r="CN19" s="3">
        <f t="shared" si="12"/>
        <v>-2.787853135319476E-8</v>
      </c>
      <c r="CO19" s="3">
        <f t="shared" si="13"/>
        <v>1.4250754321173193E-7</v>
      </c>
      <c r="CP19" s="3">
        <f t="shared" si="14"/>
        <v>1.7065536265226111E-4</v>
      </c>
    </row>
    <row r="20" spans="2:94" x14ac:dyDescent="0.2">
      <c r="B20" s="53" t="s">
        <v>135</v>
      </c>
      <c r="C20" s="53"/>
      <c r="D20" s="53"/>
      <c r="F20" s="7" t="s">
        <v>265</v>
      </c>
      <c r="G20" s="7">
        <f>O21*$C$9</f>
        <v>157.07963267948966</v>
      </c>
      <c r="H20" s="7" t="s">
        <v>10</v>
      </c>
      <c r="J20" s="14" t="s">
        <v>57</v>
      </c>
      <c r="K20" s="7">
        <f xml:space="preserve"> 0.2138 * K4 + 0.2138 * K6</f>
        <v>90.282767620730908</v>
      </c>
      <c r="L20" s="7" t="s">
        <v>7</v>
      </c>
      <c r="N20" s="7" t="s">
        <v>22</v>
      </c>
      <c r="O20" s="7">
        <f>(O14+$C$5*$C$68*SIN(G24/180*PI()))/$C$28</f>
        <v>1846.6845910321513</v>
      </c>
      <c r="P20" s="7" t="s">
        <v>23</v>
      </c>
      <c r="R20" s="7" t="s">
        <v>22</v>
      </c>
      <c r="S20" s="7">
        <f xml:space="preserve"> S14 / $C$28</f>
        <v>1142.7070808542139</v>
      </c>
      <c r="T20" s="7" t="s">
        <v>23</v>
      </c>
      <c r="V20" s="7" t="s">
        <v>22</v>
      </c>
      <c r="W20" s="7">
        <f>(W14-$C$5*$C$68*SIN(G44/180*PI()))/$C$28</f>
        <v>719.3126344515299</v>
      </c>
      <c r="X20" s="7" t="s">
        <v>23</v>
      </c>
      <c r="AB20" s="3">
        <v>16</v>
      </c>
      <c r="AC20" s="3">
        <f t="shared" si="15"/>
        <v>0.334991455078125</v>
      </c>
      <c r="AD20" s="3">
        <f t="shared" si="0"/>
        <v>7.5055769946930084E-6</v>
      </c>
      <c r="AE20" s="3">
        <f t="shared" si="16"/>
        <v>0.3350067138671875</v>
      </c>
      <c r="AF20" s="3">
        <f t="shared" si="1"/>
        <v>-8.5629782244356356E-6</v>
      </c>
      <c r="AG20" s="3">
        <f t="shared" si="3"/>
        <v>0.33499908447265625</v>
      </c>
      <c r="AH20" s="3">
        <f t="shared" si="2"/>
        <v>-5.2870974165397655E-7</v>
      </c>
      <c r="AI20" s="3">
        <f t="shared" si="4"/>
        <v>-3.9682716738281704E-12</v>
      </c>
      <c r="AJ20" s="3">
        <f t="shared" si="5"/>
        <v>4.5273300048299919E-12</v>
      </c>
      <c r="AK20" s="3">
        <f t="shared" si="6"/>
        <v>1.52587890625E-5</v>
      </c>
      <c r="AM20" s="3">
        <v>16</v>
      </c>
      <c r="AN20" s="3">
        <f t="shared" si="25"/>
        <v>1415.1611328125</v>
      </c>
      <c r="AO20" s="3">
        <v>-2.9553246722002768E-2</v>
      </c>
      <c r="AP20" s="3">
        <f t="shared" si="26"/>
        <v>1415.22216796875</v>
      </c>
      <c r="AQ20" s="3">
        <v>5.6034164863376645E-3</v>
      </c>
      <c r="AR20" s="3">
        <f t="shared" si="17"/>
        <v>1415.191650390625</v>
      </c>
      <c r="AS20" s="3">
        <v>-1.197462705374619E-2</v>
      </c>
      <c r="AT20" s="3">
        <f t="shared" si="18"/>
        <v>3.5388910772333023E-4</v>
      </c>
      <c r="AU20" s="3">
        <f t="shared" si="19"/>
        <v>-6.7098822650706413E-5</v>
      </c>
      <c r="AV20" s="3">
        <f t="shared" si="20"/>
        <v>6.103515625E-2</v>
      </c>
      <c r="AX20" s="61"/>
      <c r="AY20" s="4">
        <f>0.358125*($AY$9/2)</f>
        <v>0.35812500000000003</v>
      </c>
      <c r="AZ20" s="27" t="s">
        <v>8</v>
      </c>
      <c r="BB20" s="3" t="s">
        <v>220</v>
      </c>
      <c r="BC20" s="3">
        <f>BC17/BC19*BC7</f>
        <v>0.11437707194152248</v>
      </c>
      <c r="BD20" s="27"/>
      <c r="BN20" s="8" t="s">
        <v>221</v>
      </c>
      <c r="BO20" s="41">
        <f>SIN(BO4)/(1+BO18) - $AY$3*COS(BO4)/($BC$5*$AY$19*(1-BO19))</f>
        <v>-1.2498185208986712E-8</v>
      </c>
      <c r="BP20" s="41"/>
      <c r="BQ20" s="3"/>
      <c r="BR20" s="8" t="s">
        <v>221</v>
      </c>
      <c r="BS20" s="41">
        <f>SIN(BS4)/(1+BS18) - $AY$3*COS(BS4)/($BC$5*$AY$20*(1-BS19))</f>
        <v>-3.8092489162977472E-9</v>
      </c>
      <c r="BT20" s="41"/>
      <c r="BV20" s="3">
        <v>16</v>
      </c>
      <c r="BW20" s="3">
        <f t="shared" si="21"/>
        <v>0.42929890455968311</v>
      </c>
      <c r="BX20" s="3">
        <v>-5.2679561209925674E-5</v>
      </c>
      <c r="BY20" s="3">
        <f t="shared" si="22"/>
        <v>0.42938423224100924</v>
      </c>
      <c r="BZ20" s="3">
        <v>4.6976541942396477E-4</v>
      </c>
      <c r="CA20" s="3">
        <f t="shared" si="7"/>
        <v>0.42934156840034621</v>
      </c>
      <c r="CB20" s="3">
        <v>2.0855627582948288E-4</v>
      </c>
      <c r="CC20" s="3">
        <f t="shared" si="8"/>
        <v>-1.0986653098273386E-8</v>
      </c>
      <c r="CD20" s="3">
        <f t="shared" si="9"/>
        <v>9.7972526388537111E-8</v>
      </c>
      <c r="CE20" s="3">
        <f t="shared" si="10"/>
        <v>8.5327681326130556E-5</v>
      </c>
      <c r="CG20" s="3">
        <v>16</v>
      </c>
      <c r="CH20" s="3">
        <f t="shared" si="23"/>
        <v>0.36555912660905743</v>
      </c>
      <c r="CI20" s="3">
        <v>-1.1644160742455001E-4</v>
      </c>
      <c r="CJ20" s="3">
        <f t="shared" si="24"/>
        <v>0.36564445429038356</v>
      </c>
      <c r="CK20" s="3">
        <v>2.39420701670226E-4</v>
      </c>
      <c r="CL20" s="3">
        <f t="shared" si="11"/>
        <v>0.36560179044972052</v>
      </c>
      <c r="CM20" s="3">
        <v>6.1497655683084851E-5</v>
      </c>
      <c r="CN20" s="3">
        <f t="shared" si="12"/>
        <v>-7.1608858805799131E-9</v>
      </c>
      <c r="CO20" s="3">
        <f t="shared" si="13"/>
        <v>1.4723811874718136E-8</v>
      </c>
      <c r="CP20" s="3">
        <f t="shared" si="14"/>
        <v>8.5327681326130556E-5</v>
      </c>
    </row>
    <row r="21" spans="2:94" x14ac:dyDescent="0.2">
      <c r="B21" s="7" t="s">
        <v>112</v>
      </c>
      <c r="C21" s="18">
        <v>8</v>
      </c>
      <c r="F21" s="7" t="s">
        <v>266</v>
      </c>
      <c r="G21" s="7">
        <f>G20/$C$67</f>
        <v>0.46143434115755327</v>
      </c>
      <c r="H21" s="7" t="s">
        <v>152</v>
      </c>
      <c r="J21" s="14" t="s">
        <v>83</v>
      </c>
      <c r="K21" s="7">
        <f xml:space="preserve"> 0.1149 * K4 + 0.1149 * K6</f>
        <v>48.519597753143039</v>
      </c>
      <c r="L21" s="7" t="s">
        <v>7</v>
      </c>
      <c r="N21" s="7" t="s">
        <v>30</v>
      </c>
      <c r="O21" s="7">
        <f xml:space="preserve"> PI() * $G$16 / ($C$9 * $C$14)</f>
        <v>157.07963267948966</v>
      </c>
      <c r="P21" s="7" t="s">
        <v>31</v>
      </c>
      <c r="R21" s="7" t="s">
        <v>30</v>
      </c>
      <c r="S21" s="7">
        <f xml:space="preserve"> PI() * $C$13 / ($C$9 * $C$14)</f>
        <v>157.07963267948966</v>
      </c>
      <c r="T21" s="7" t="s">
        <v>31</v>
      </c>
      <c r="V21" s="7" t="s">
        <v>30</v>
      </c>
      <c r="W21" s="7">
        <f xml:space="preserve"> PI() * $G$36 / ($C$9 * $C$14)</f>
        <v>157.07963267948966</v>
      </c>
      <c r="X21" s="7" t="s">
        <v>31</v>
      </c>
      <c r="AB21" s="3">
        <v>17</v>
      </c>
      <c r="AC21" s="3">
        <f t="shared" si="15"/>
        <v>0.334991455078125</v>
      </c>
      <c r="AD21" s="3">
        <f t="shared" si="0"/>
        <v>7.5055769946930084E-6</v>
      </c>
      <c r="AE21" s="3">
        <f t="shared" si="16"/>
        <v>0.33499908447265625</v>
      </c>
      <c r="AF21" s="3">
        <f t="shared" si="1"/>
        <v>-5.2870974165397655E-7</v>
      </c>
      <c r="AG21" s="3">
        <f t="shared" si="3"/>
        <v>0.33499526977539062</v>
      </c>
      <c r="AH21" s="3">
        <f t="shared" si="2"/>
        <v>3.4884313447336446E-6</v>
      </c>
      <c r="AI21" s="3">
        <f t="shared" si="4"/>
        <v>2.6182690048598837E-11</v>
      </c>
      <c r="AJ21" s="3">
        <f t="shared" si="5"/>
        <v>-1.844367635051759E-12</v>
      </c>
      <c r="AK21" s="3">
        <f t="shared" si="6"/>
        <v>7.62939453125E-6</v>
      </c>
      <c r="AM21" s="3">
        <v>17</v>
      </c>
      <c r="AN21" s="3">
        <f t="shared" si="25"/>
        <v>1415.191650390625</v>
      </c>
      <c r="AO21" s="3">
        <v>-1.197462705374619E-2</v>
      </c>
      <c r="AP21" s="3">
        <f t="shared" si="26"/>
        <v>1415.22216796875</v>
      </c>
      <c r="AQ21" s="3">
        <v>5.6034164863376645E-3</v>
      </c>
      <c r="AR21" s="3">
        <f t="shared" si="17"/>
        <v>1415.2069091796875</v>
      </c>
      <c r="AS21" s="3">
        <v>-3.1858474378623214E-3</v>
      </c>
      <c r="AT21" s="3">
        <f t="shared" si="18"/>
        <v>3.814933491853414E-5</v>
      </c>
      <c r="AU21" s="3">
        <f t="shared" si="19"/>
        <v>-1.785163005627434E-5</v>
      </c>
      <c r="AV21" s="3">
        <f t="shared" si="20"/>
        <v>3.0517578125E-2</v>
      </c>
      <c r="AX21" s="61"/>
      <c r="AY21" s="4">
        <f>0.456875*($AY$9/2)</f>
        <v>0.45687499999999998</v>
      </c>
      <c r="AZ21" s="27" t="s">
        <v>8</v>
      </c>
      <c r="BD21" s="27"/>
      <c r="BF21" s="60" t="s">
        <v>222</v>
      </c>
      <c r="BG21" s="60"/>
      <c r="BH21" s="60"/>
      <c r="BJ21" s="60" t="s">
        <v>223</v>
      </c>
      <c r="BK21" s="60"/>
      <c r="BL21" s="60"/>
      <c r="BN21" s="3"/>
      <c r="BO21" s="3"/>
      <c r="BP21" s="3"/>
      <c r="BQ21" s="3"/>
      <c r="BR21" s="3"/>
      <c r="BS21" s="3"/>
      <c r="BT21" s="3"/>
      <c r="BV21" s="3">
        <v>17</v>
      </c>
      <c r="BW21" s="3">
        <f t="shared" si="21"/>
        <v>0.42929890455968311</v>
      </c>
      <c r="BX21" s="3">
        <v>-5.2679561209925674E-5</v>
      </c>
      <c r="BY21" s="3">
        <f t="shared" si="22"/>
        <v>0.42934156840034621</v>
      </c>
      <c r="BZ21" s="3">
        <v>2.0855627582948288E-4</v>
      </c>
      <c r="CA21" s="3">
        <f t="shared" si="7"/>
        <v>0.42932023648001466</v>
      </c>
      <c r="CB21" s="3">
        <v>7.7941693514591015E-5</v>
      </c>
      <c r="CC21" s="3">
        <f t="shared" si="8"/>
        <v>-4.1059342143071642E-9</v>
      </c>
      <c r="CD21" s="3">
        <f t="shared" si="9"/>
        <v>1.625522933124606E-8</v>
      </c>
      <c r="CE21" s="3">
        <f t="shared" si="10"/>
        <v>4.2663840663093033E-5</v>
      </c>
      <c r="CG21" s="3">
        <v>17</v>
      </c>
      <c r="CH21" s="3">
        <f t="shared" si="23"/>
        <v>0.36555912660905743</v>
      </c>
      <c r="CI21" s="3">
        <v>-1.1644160742455001E-4</v>
      </c>
      <c r="CJ21" s="3">
        <f t="shared" si="24"/>
        <v>0.36560179044972052</v>
      </c>
      <c r="CK21" s="3">
        <v>6.1497655683084851E-5</v>
      </c>
      <c r="CL21" s="3">
        <f t="shared" si="11"/>
        <v>0.36558045852938897</v>
      </c>
      <c r="CM21" s="3">
        <v>-2.7469948864961014E-5</v>
      </c>
      <c r="CN21" s="3">
        <f t="shared" si="12"/>
        <v>3.1986450017062535E-9</v>
      </c>
      <c r="CO21" s="3">
        <f t="shared" si="13"/>
        <v>-1.68933745692932E-9</v>
      </c>
      <c r="CP21" s="3">
        <f t="shared" si="14"/>
        <v>4.2663840663093033E-5</v>
      </c>
    </row>
    <row r="22" spans="2:94" x14ac:dyDescent="0.2">
      <c r="B22" s="7" t="s">
        <v>134</v>
      </c>
      <c r="C22" s="18">
        <v>2</v>
      </c>
      <c r="F22" s="7" t="s">
        <v>101</v>
      </c>
      <c r="G22" s="7">
        <f>SQRT($G$16^2-$G$17^2)</f>
        <v>49.935442323063484</v>
      </c>
      <c r="H22" s="7" t="s">
        <v>10</v>
      </c>
      <c r="J22" s="15" t="s">
        <v>64</v>
      </c>
      <c r="K22" s="7">
        <f xml:space="preserve"> $C$70 * (14.86 * ($C$5*2.20462)^0.144 * ($C$36/(PI()*$C$37))^0.778 * ($C$36*3.28084)^0.383 * $C$35^0.455 * 0.453592)</f>
        <v>169.42717583428669</v>
      </c>
      <c r="L22" s="7" t="s">
        <v>7</v>
      </c>
      <c r="N22" s="7" t="s">
        <v>32</v>
      </c>
      <c r="O22" s="7">
        <f xml:space="preserve"> $G$16 * COS(O19/180*PI()) / (O21 * $C$9)</f>
        <v>2.7742534554270868E-2</v>
      </c>
      <c r="R22" s="7" t="s">
        <v>32</v>
      </c>
      <c r="S22" s="7">
        <f xml:space="preserve"> $C$13 * COS(S19/180*PI()) / (S21 * $C$9)</f>
        <v>2.7742534554270868E-2</v>
      </c>
      <c r="V22" s="7" t="s">
        <v>32</v>
      </c>
      <c r="W22" s="7">
        <f xml:space="preserve"> $G$36 * COS(W19/180*PI()) / (W21 * $C$9)</f>
        <v>2.7742534554270868E-2</v>
      </c>
      <c r="AB22" s="3">
        <v>18</v>
      </c>
      <c r="AC22" s="3">
        <f t="shared" si="15"/>
        <v>0.33499526977539062</v>
      </c>
      <c r="AD22" s="3">
        <f t="shared" si="0"/>
        <v>3.4884313447336446E-6</v>
      </c>
      <c r="AE22" s="3">
        <f t="shared" si="16"/>
        <v>0.33499908447265625</v>
      </c>
      <c r="AF22" s="3">
        <f t="shared" si="1"/>
        <v>-5.2870974165397655E-7</v>
      </c>
      <c r="AG22" s="3">
        <f t="shared" si="3"/>
        <v>0.33499717712402344</v>
      </c>
      <c r="AH22" s="3">
        <f t="shared" si="2"/>
        <v>1.4798602311349995E-6</v>
      </c>
      <c r="AI22" s="3">
        <f t="shared" si="4"/>
        <v>5.1623908161161087E-12</v>
      </c>
      <c r="AJ22" s="3">
        <f t="shared" si="5"/>
        <v>-7.8241652048737961E-13</v>
      </c>
      <c r="AK22" s="3">
        <f t="shared" si="6"/>
        <v>3.814697265625E-6</v>
      </c>
      <c r="AM22" s="3">
        <v>18</v>
      </c>
      <c r="AN22" s="3">
        <f t="shared" si="25"/>
        <v>1415.2069091796875</v>
      </c>
      <c r="AO22" s="3">
        <v>-3.1858474378623214E-3</v>
      </c>
      <c r="AP22" s="3">
        <f t="shared" si="26"/>
        <v>1415.22216796875</v>
      </c>
      <c r="AQ22" s="3">
        <v>5.6034164863376645E-3</v>
      </c>
      <c r="AR22" s="3">
        <f t="shared" si="17"/>
        <v>1415.2145385742188</v>
      </c>
      <c r="AS22" s="3">
        <v>1.2087868195749252E-3</v>
      </c>
      <c r="AT22" s="3">
        <f t="shared" si="18"/>
        <v>-3.8510103920645198E-6</v>
      </c>
      <c r="AU22" s="3">
        <f t="shared" si="19"/>
        <v>6.7733359932738081E-6</v>
      </c>
      <c r="AV22" s="3">
        <f t="shared" si="20"/>
        <v>1.52587890625E-2</v>
      </c>
      <c r="AX22" s="61"/>
      <c r="AY22" s="4">
        <f>0.555625*($AY$9/2)</f>
        <v>0.55562500000000004</v>
      </c>
      <c r="AZ22" s="27" t="s">
        <v>8</v>
      </c>
      <c r="BB22" s="59" t="s">
        <v>224</v>
      </c>
      <c r="BC22" s="59"/>
      <c r="BD22" s="59"/>
      <c r="BF22" s="3" t="s">
        <v>175</v>
      </c>
      <c r="BG22" s="3">
        <f>$AY$23-$AY$22</f>
        <v>9.8750000000000004E-2</v>
      </c>
      <c r="BH22" s="27" t="s">
        <v>8</v>
      </c>
      <c r="BJ22" s="3" t="s">
        <v>175</v>
      </c>
      <c r="BK22" s="3">
        <f>$AY$24-$AY$23</f>
        <v>9.8750000000000004E-2</v>
      </c>
      <c r="BL22" s="27" t="s">
        <v>8</v>
      </c>
      <c r="BN22" s="60" t="s">
        <v>207</v>
      </c>
      <c r="BO22" s="60"/>
      <c r="BP22" s="60"/>
      <c r="BQ22" s="3"/>
      <c r="BR22" s="60" t="s">
        <v>208</v>
      </c>
      <c r="BS22" s="60"/>
      <c r="BT22" s="60"/>
      <c r="BV22" s="3">
        <v>18</v>
      </c>
      <c r="BW22" s="3">
        <f t="shared" si="21"/>
        <v>0.42929890455968311</v>
      </c>
      <c r="BX22" s="3">
        <v>-5.2679561209925674E-5</v>
      </c>
      <c r="BY22" s="3">
        <f t="shared" si="22"/>
        <v>0.42932023648001466</v>
      </c>
      <c r="BZ22" s="3">
        <v>7.7941693514591015E-5</v>
      </c>
      <c r="CA22" s="3">
        <f t="shared" si="7"/>
        <v>0.42930957051984886</v>
      </c>
      <c r="CB22" s="3">
        <v>1.2631900143528219E-5</v>
      </c>
      <c r="CC22" s="3">
        <f t="shared" si="8"/>
        <v>-6.6544295680866366E-10</v>
      </c>
      <c r="CD22" s="3">
        <f t="shared" si="9"/>
        <v>9.8455168949379458E-10</v>
      </c>
      <c r="CE22" s="3">
        <f t="shared" si="10"/>
        <v>2.1331920331546517E-5</v>
      </c>
      <c r="CG22" s="3">
        <v>18</v>
      </c>
      <c r="CH22" s="3">
        <f t="shared" si="23"/>
        <v>0.36558045852938897</v>
      </c>
      <c r="CI22" s="3">
        <v>-2.7469948864961014E-5</v>
      </c>
      <c r="CJ22" s="3">
        <f t="shared" si="24"/>
        <v>0.36560179044972052</v>
      </c>
      <c r="CK22" s="3">
        <v>6.1497655683084851E-5</v>
      </c>
      <c r="CL22" s="3">
        <f t="shared" si="11"/>
        <v>0.36559112448955478</v>
      </c>
      <c r="CM22" s="3">
        <v>1.7014360177383669E-5</v>
      </c>
      <c r="CN22" s="3">
        <f t="shared" si="12"/>
        <v>-4.6738360404275839E-10</v>
      </c>
      <c r="CO22" s="3">
        <f t="shared" si="13"/>
        <v>1.0463432638567314E-9</v>
      </c>
      <c r="CP22" s="3">
        <f t="shared" si="14"/>
        <v>2.1331920331546517E-5</v>
      </c>
    </row>
    <row r="23" spans="2:94" x14ac:dyDescent="0.2">
      <c r="B23" s="7" t="s">
        <v>149</v>
      </c>
      <c r="C23" s="7">
        <f>$C$22*$C$8/PI()</f>
        <v>0.31022513338460861</v>
      </c>
      <c r="F23" s="7" t="s">
        <v>102</v>
      </c>
      <c r="G23" s="7">
        <f>$G$22 * ($G$18/$G$17)</f>
        <v>5992.2530787676178</v>
      </c>
      <c r="H23" s="7" t="s">
        <v>8</v>
      </c>
      <c r="J23" s="15" t="s">
        <v>65</v>
      </c>
      <c r="K23" s="7">
        <f xml:space="preserve"> $C$70 * C41 * $C$5</f>
        <v>36.795523429045716</v>
      </c>
      <c r="L23" s="7" t="s">
        <v>7</v>
      </c>
      <c r="N23" s="7" t="s">
        <v>33</v>
      </c>
      <c r="O23" s="7">
        <f xml:space="preserve"> O20 / ( $C$65 * PI() * $C$9^2 * O21^2 * $C$9^2)</f>
        <v>1.9447644628549334E-2</v>
      </c>
      <c r="R23" s="7" t="s">
        <v>33</v>
      </c>
      <c r="S23" s="7">
        <f xml:space="preserve"> S20 / ( $C$65 * PI() * $C$9^2 * S21^2 * $C$9^2)</f>
        <v>1.2033977719258956E-2</v>
      </c>
      <c r="V23" s="7" t="s">
        <v>33</v>
      </c>
      <c r="W23" s="7">
        <f xml:space="preserve"> W20 / ( $C$65 * PI() * $C$9^2 * W21^2 * $C$9^2)</f>
        <v>7.5751628402445561E-3</v>
      </c>
      <c r="AB23" s="3">
        <v>19</v>
      </c>
      <c r="AC23" s="3">
        <f t="shared" si="15"/>
        <v>0.33499717712402344</v>
      </c>
      <c r="AD23" s="3">
        <f t="shared" si="0"/>
        <v>1.4798602311349995E-6</v>
      </c>
      <c r="AE23" s="3">
        <f t="shared" si="16"/>
        <v>0.33499908447265625</v>
      </c>
      <c r="AF23" s="3">
        <f t="shared" si="1"/>
        <v>-5.2870974165397655E-7</v>
      </c>
      <c r="AG23" s="3">
        <f t="shared" si="3"/>
        <v>0.33499813079833984</v>
      </c>
      <c r="AH23" s="3">
        <f t="shared" si="2"/>
        <v>4.7557510213236398E-7</v>
      </c>
      <c r="AI23" s="3">
        <f t="shared" si="4"/>
        <v>7.0378468056365116E-13</v>
      </c>
      <c r="AJ23" s="3">
        <f t="shared" si="5"/>
        <v>-2.5144118938546568E-13</v>
      </c>
      <c r="AK23" s="3">
        <f t="shared" si="6"/>
        <v>1.9073486328125E-6</v>
      </c>
      <c r="AM23" s="3">
        <v>19</v>
      </c>
      <c r="AN23" s="3">
        <f t="shared" si="25"/>
        <v>1415.2069091796875</v>
      </c>
      <c r="AO23" s="3">
        <v>-3.1858474378623214E-3</v>
      </c>
      <c r="AP23" s="3">
        <f t="shared" si="26"/>
        <v>1415.2145385742188</v>
      </c>
      <c r="AQ23" s="3">
        <v>1.2087868195749252E-3</v>
      </c>
      <c r="AR23" s="3">
        <f t="shared" si="17"/>
        <v>1415.2107238769531</v>
      </c>
      <c r="AS23" s="3">
        <v>-9.8827839713067078E-4</v>
      </c>
      <c r="AT23" s="3">
        <f t="shared" si="18"/>
        <v>3.1485041993934291E-6</v>
      </c>
      <c r="AU23" s="3">
        <f t="shared" si="19"/>
        <v>-1.1946179005221885E-6</v>
      </c>
      <c r="AV23" s="3">
        <f t="shared" si="20"/>
        <v>7.62939453125E-3</v>
      </c>
      <c r="AX23" s="61"/>
      <c r="AY23" s="4">
        <f>0.654375*($AY$9/2)</f>
        <v>0.65437500000000004</v>
      </c>
      <c r="AZ23" s="27" t="s">
        <v>8</v>
      </c>
      <c r="BB23" s="62" t="s">
        <v>225</v>
      </c>
      <c r="BC23" s="61">
        <f>BO20</f>
        <v>-1.2498185208986712E-8</v>
      </c>
      <c r="BD23" s="61"/>
      <c r="BF23" s="3" t="s">
        <v>180</v>
      </c>
      <c r="BG23" s="3">
        <f>(1+$BO$56)*$AY$3</f>
        <v>19.038785976376513</v>
      </c>
      <c r="BH23" s="27" t="s">
        <v>10</v>
      </c>
      <c r="BJ23" s="3" t="s">
        <v>180</v>
      </c>
      <c r="BK23" s="3">
        <f>(1+$BS$56)*$AY$3</f>
        <v>20.403513058273273</v>
      </c>
      <c r="BL23" s="27" t="s">
        <v>10</v>
      </c>
      <c r="BN23" s="29" t="s">
        <v>176</v>
      </c>
      <c r="BO23" s="30">
        <f>CA68</f>
        <v>0.32220121473296465</v>
      </c>
      <c r="BP23" s="6" t="s">
        <v>177</v>
      </c>
      <c r="BQ23" s="3"/>
      <c r="BR23" s="29" t="s">
        <v>176</v>
      </c>
      <c r="BS23" s="30">
        <f>CL68</f>
        <v>0.28903178683761105</v>
      </c>
      <c r="BT23" s="6" t="s">
        <v>177</v>
      </c>
      <c r="BV23" s="3">
        <v>19</v>
      </c>
      <c r="BW23" s="3">
        <f t="shared" si="21"/>
        <v>0.42929890455968311</v>
      </c>
      <c r="BX23" s="3">
        <v>-5.2679561209925674E-5</v>
      </c>
      <c r="BY23" s="3">
        <f t="shared" si="22"/>
        <v>0.42930957051984886</v>
      </c>
      <c r="BZ23" s="3">
        <v>1.2631900143528219E-5</v>
      </c>
      <c r="CA23" s="3">
        <f t="shared" si="7"/>
        <v>0.42930423753976599</v>
      </c>
      <c r="CB23" s="3">
        <v>-2.0023622042730782E-5</v>
      </c>
      <c r="CC23" s="3">
        <f t="shared" si="8"/>
        <v>1.0548356230444531E-9</v>
      </c>
      <c r="CD23" s="3">
        <f t="shared" si="9"/>
        <v>-2.5293639415552576E-10</v>
      </c>
      <c r="CE23" s="3">
        <f t="shared" si="10"/>
        <v>1.0665960165745503E-5</v>
      </c>
      <c r="CG23" s="3">
        <v>19</v>
      </c>
      <c r="CH23" s="3">
        <f t="shared" si="23"/>
        <v>0.36558045852938897</v>
      </c>
      <c r="CI23" s="3">
        <v>-2.7469948864961014E-5</v>
      </c>
      <c r="CJ23" s="3">
        <f t="shared" si="24"/>
        <v>0.36559112448955478</v>
      </c>
      <c r="CK23" s="3">
        <v>1.7014360177383669E-5</v>
      </c>
      <c r="CL23" s="3">
        <f t="shared" si="11"/>
        <v>0.3655857915094719</v>
      </c>
      <c r="CM23" s="3">
        <v>-5.2276676537899025E-6</v>
      </c>
      <c r="CN23" s="3">
        <f t="shared" si="12"/>
        <v>1.4360376313261934E-10</v>
      </c>
      <c r="CO23" s="3">
        <f t="shared" si="13"/>
        <v>-8.8945420349239642E-11</v>
      </c>
      <c r="CP23" s="3">
        <f t="shared" si="14"/>
        <v>1.0665960165801014E-5</v>
      </c>
    </row>
    <row r="24" spans="2:94" x14ac:dyDescent="0.2">
      <c r="B24" s="7" t="s">
        <v>268</v>
      </c>
      <c r="C24" s="18">
        <v>0.75</v>
      </c>
      <c r="F24" s="7" t="s">
        <v>116</v>
      </c>
      <c r="G24" s="7">
        <f>ATAN(G17/G22)/PI()*180</f>
        <v>2.9118789347687013</v>
      </c>
      <c r="H24" s="7" t="s">
        <v>44</v>
      </c>
      <c r="J24" s="15" t="s">
        <v>267</v>
      </c>
      <c r="K24" s="7">
        <f xml:space="preserve"> $C$70 * (0.04674 * ($C$5*2.20462)^0.397 * ($C$11*3.28084^2)^0.36 * $C$46^0.397 * $C$12^1.712 * 0.453592)</f>
        <v>123.8849410002594</v>
      </c>
      <c r="L24" s="7" t="s">
        <v>7</v>
      </c>
      <c r="N24" s="7" t="s">
        <v>1</v>
      </c>
      <c r="O24" s="18">
        <v>1.2E-2</v>
      </c>
      <c r="R24" s="7" t="s">
        <v>1</v>
      </c>
      <c r="S24" s="18">
        <v>1.2E-2</v>
      </c>
      <c r="V24" s="7" t="s">
        <v>1</v>
      </c>
      <c r="W24" s="18">
        <v>1.2E-2</v>
      </c>
      <c r="AB24" s="3">
        <v>20</v>
      </c>
      <c r="AC24" s="3">
        <f t="shared" si="15"/>
        <v>0.33499813079833984</v>
      </c>
      <c r="AD24" s="3">
        <f t="shared" si="0"/>
        <v>4.7557510213236398E-7</v>
      </c>
      <c r="AE24" s="3">
        <f t="shared" si="16"/>
        <v>0.33499908447265625</v>
      </c>
      <c r="AF24" s="3">
        <f t="shared" si="1"/>
        <v>-5.2870974165397655E-7</v>
      </c>
      <c r="AG24" s="3">
        <f t="shared" si="3"/>
        <v>0.33499860763549805</v>
      </c>
      <c r="AH24" s="3">
        <f t="shared" si="2"/>
        <v>-2.6567355426720951E-8</v>
      </c>
      <c r="AI24" s="3">
        <f t="shared" si="4"/>
        <v>-1.2634772770449631E-14</v>
      </c>
      <c r="AJ24" s="3">
        <f t="shared" si="5"/>
        <v>1.4046419624091006E-14</v>
      </c>
      <c r="AK24" s="3">
        <f t="shared" si="6"/>
        <v>9.5367431640625E-7</v>
      </c>
      <c r="AM24" s="3">
        <v>20</v>
      </c>
      <c r="AN24" s="3">
        <f t="shared" si="25"/>
        <v>1415.2107238769531</v>
      </c>
      <c r="AO24" s="3">
        <v>-9.8827839713067078E-4</v>
      </c>
      <c r="AP24" s="3">
        <f t="shared" si="26"/>
        <v>1415.2145385742188</v>
      </c>
      <c r="AQ24" s="3">
        <v>1.2087868195749252E-3</v>
      </c>
      <c r="AR24" s="3">
        <f t="shared" si="17"/>
        <v>1415.2126312255859</v>
      </c>
      <c r="AS24" s="3">
        <v>1.1040440017495712E-4</v>
      </c>
      <c r="AT24" s="3">
        <f t="shared" si="18"/>
        <v>-1.0911028364107977E-7</v>
      </c>
      <c r="AU24" s="3">
        <f t="shared" si="19"/>
        <v>1.3345538375456372E-7</v>
      </c>
      <c r="AV24" s="3">
        <f t="shared" si="20"/>
        <v>3.814697265625E-3</v>
      </c>
      <c r="AX24" s="61"/>
      <c r="AY24" s="4">
        <f>0.753125*($AY$9/2)</f>
        <v>0.75312500000000004</v>
      </c>
      <c r="AZ24" s="27" t="s">
        <v>8</v>
      </c>
      <c r="BB24" s="62"/>
      <c r="BC24" s="61">
        <f>BS20</f>
        <v>-3.8092489162977472E-9</v>
      </c>
      <c r="BD24" s="61"/>
      <c r="BF24" s="3" t="s">
        <v>185</v>
      </c>
      <c r="BG24" s="3">
        <f>(1-$BO$57)*$BC$5*$AY$23</f>
        <v>70.663995751526102</v>
      </c>
      <c r="BH24" s="27" t="s">
        <v>10</v>
      </c>
      <c r="BJ24" s="3" t="s">
        <v>185</v>
      </c>
      <c r="BK24" s="3">
        <f>(1-$BS$57)*$BC$5*$AY$24</f>
        <v>82.019244821982525</v>
      </c>
      <c r="BL24" s="27" t="s">
        <v>10</v>
      </c>
      <c r="BN24" s="3" t="s">
        <v>181</v>
      </c>
      <c r="BO24" s="3">
        <f>($AY$37+$AY$5)/180*PI()</f>
        <v>0.42580579594749163</v>
      </c>
      <c r="BP24" s="3" t="s">
        <v>177</v>
      </c>
      <c r="BQ24" s="3"/>
      <c r="BR24" s="3" t="s">
        <v>181</v>
      </c>
      <c r="BS24" s="3">
        <f>($AY$38+$AY$5)/180*PI()</f>
        <v>0.39995310640232556</v>
      </c>
      <c r="BT24" s="3" t="s">
        <v>177</v>
      </c>
      <c r="BV24" s="3">
        <v>20</v>
      </c>
      <c r="BW24" s="3">
        <f t="shared" si="21"/>
        <v>0.42930423753976599</v>
      </c>
      <c r="BX24" s="3">
        <v>-2.0023622042730782E-5</v>
      </c>
      <c r="BY24" s="3">
        <f t="shared" si="22"/>
        <v>0.42930957051984886</v>
      </c>
      <c r="BZ24" s="3">
        <v>1.2631900143528219E-5</v>
      </c>
      <c r="CA24" s="3">
        <f t="shared" si="7"/>
        <v>0.42930690402980742</v>
      </c>
      <c r="CB24" s="3">
        <v>-3.6958088259209099E-6</v>
      </c>
      <c r="CC24" s="3">
        <f t="shared" si="8"/>
        <v>7.4003479072428905E-11</v>
      </c>
      <c r="CD24" s="3">
        <f t="shared" si="9"/>
        <v>-4.6685088038603198E-11</v>
      </c>
      <c r="CE24" s="3">
        <f t="shared" si="10"/>
        <v>5.3329800828727514E-6</v>
      </c>
      <c r="CG24" s="3">
        <v>20</v>
      </c>
      <c r="CH24" s="3">
        <f t="shared" si="23"/>
        <v>0.3655857915094719</v>
      </c>
      <c r="CI24" s="3">
        <v>-5.2276676537899025E-6</v>
      </c>
      <c r="CJ24" s="3">
        <f t="shared" si="24"/>
        <v>0.36559112448955478</v>
      </c>
      <c r="CK24" s="3">
        <v>1.7014360177383669E-5</v>
      </c>
      <c r="CL24" s="3">
        <f t="shared" si="11"/>
        <v>0.36558845799951334</v>
      </c>
      <c r="CM24" s="3">
        <v>5.8933779345099468E-6</v>
      </c>
      <c r="CN24" s="3">
        <f t="shared" si="12"/>
        <v>-3.0808621199796798E-11</v>
      </c>
      <c r="CO24" s="3">
        <f t="shared" si="13"/>
        <v>1.0027205483919766E-10</v>
      </c>
      <c r="CP24" s="3">
        <f t="shared" si="14"/>
        <v>5.3329800828727514E-6</v>
      </c>
    </row>
    <row r="25" spans="2:94" x14ac:dyDescent="0.2">
      <c r="B25" s="7" t="s">
        <v>136</v>
      </c>
      <c r="C25" s="18">
        <v>0.14399999999999999</v>
      </c>
      <c r="F25" s="7" t="s">
        <v>119</v>
      </c>
      <c r="G25" s="7">
        <f xml:space="preserve"> 1/1000 * (O25 + O20 * (O30 * O27 + $G$16 * SIN(O19/180*PI())))</f>
        <v>114.07360527717074</v>
      </c>
      <c r="H25" s="7" t="s">
        <v>124</v>
      </c>
      <c r="J25" s="15" t="s">
        <v>66</v>
      </c>
      <c r="K25" s="7">
        <f xml:space="preserve"> $C$70 * (3.184 * ($C$5*2.20462)^0.887 * ($C$50*3.28084*3.28084)^0.101 * ($C$49)^0.138 ) / ( 174.04 * ($C$51*3.28084)^0.223 ) * 0.453592</f>
        <v>13.951675909596064</v>
      </c>
      <c r="L25" s="7" t="s">
        <v>7</v>
      </c>
      <c r="N25" s="7" t="s">
        <v>34</v>
      </c>
      <c r="O25" s="7">
        <f xml:space="preserve"> ($C$30 * $O$24 / 8) * (1 + 4.65 * O22^2) * ( PI() * $C$65 * O21^3 * $C$9^ 5)</f>
        <v>12723.520148485653</v>
      </c>
      <c r="P25" s="7" t="s">
        <v>21</v>
      </c>
      <c r="R25" s="7" t="s">
        <v>34</v>
      </c>
      <c r="S25" s="7">
        <f xml:space="preserve"> ($C$30 * $S$24 / 8) * (1 + 4.65 * S22^2) * ( PI() * $C$65 * S21^3 * $C$9^5)</f>
        <v>12723.520148485653</v>
      </c>
      <c r="T25" s="7" t="s">
        <v>21</v>
      </c>
      <c r="V25" s="7" t="s">
        <v>34</v>
      </c>
      <c r="W25" s="7">
        <f xml:space="preserve"> ($C$30 * $W$24 / 8) * (1 + 4.65 * W22^2) * ( PI() * $C$65 * W21^3 * $C$9^ 5)</f>
        <v>12723.520148485653</v>
      </c>
      <c r="X25" s="7" t="s">
        <v>21</v>
      </c>
      <c r="AB25" s="3">
        <v>21</v>
      </c>
      <c r="AC25" s="3">
        <f t="shared" si="15"/>
        <v>0.33499813079833984</v>
      </c>
      <c r="AD25" s="3">
        <f t="shared" si="0"/>
        <v>4.7557510213236398E-7</v>
      </c>
      <c r="AE25" s="3">
        <f t="shared" si="16"/>
        <v>0.33499860763549805</v>
      </c>
      <c r="AF25" s="3">
        <f t="shared" si="1"/>
        <v>-2.6567355426720951E-8</v>
      </c>
      <c r="AG25" s="3">
        <f t="shared" si="3"/>
        <v>0.33499836921691895</v>
      </c>
      <c r="AH25" s="3">
        <f t="shared" si="2"/>
        <v>2.2450386444328174E-7</v>
      </c>
      <c r="AI25" s="3">
        <f t="shared" si="4"/>
        <v>1.0676844826172412E-13</v>
      </c>
      <c r="AJ25" s="3">
        <f t="shared" si="5"/>
        <v>-5.9644739613370456E-15</v>
      </c>
      <c r="AK25" s="3">
        <f t="shared" si="6"/>
        <v>4.76837158203125E-7</v>
      </c>
      <c r="AM25" s="3">
        <v>21</v>
      </c>
      <c r="AN25" s="3">
        <f t="shared" si="25"/>
        <v>1415.2107238769531</v>
      </c>
      <c r="AO25" s="3">
        <v>-9.8827839713067078E-4</v>
      </c>
      <c r="AP25" s="3">
        <f t="shared" si="26"/>
        <v>1415.2126312255859</v>
      </c>
      <c r="AQ25" s="3">
        <v>1.1040440017495712E-4</v>
      </c>
      <c r="AR25" s="3">
        <f t="shared" si="17"/>
        <v>1415.2116775512695</v>
      </c>
      <c r="AS25" s="3">
        <v>-4.3925004683842417E-4</v>
      </c>
      <c r="AT25" s="3">
        <f t="shared" si="18"/>
        <v>4.341013322290499E-7</v>
      </c>
      <c r="AU25" s="3">
        <f t="shared" si="19"/>
        <v>-4.8495137948018041E-8</v>
      </c>
      <c r="AV25" s="3">
        <f t="shared" si="20"/>
        <v>1.9073486328125E-3</v>
      </c>
      <c r="AX25" s="61"/>
      <c r="AY25" s="4">
        <f>0.851875*($AY$9/2)</f>
        <v>0.85187500000000005</v>
      </c>
      <c r="AZ25" s="27" t="s">
        <v>8</v>
      </c>
      <c r="BB25" s="62"/>
      <c r="BC25" s="61">
        <f>BO39</f>
        <v>-1.7774052021857223E-9</v>
      </c>
      <c r="BD25" s="61"/>
      <c r="BF25" s="3" t="s">
        <v>189</v>
      </c>
      <c r="BG25" s="3">
        <f>SQRT(BG23^2 + BG24^2)</f>
        <v>73.18384840267673</v>
      </c>
      <c r="BH25" s="27" t="s">
        <v>10</v>
      </c>
      <c r="BJ25" s="3" t="s">
        <v>189</v>
      </c>
      <c r="BK25" s="3">
        <f>SQRT(BK23^2 + BK24^2)</f>
        <v>84.518991157534742</v>
      </c>
      <c r="BL25" s="27" t="s">
        <v>10</v>
      </c>
      <c r="BN25" s="3" t="s">
        <v>29</v>
      </c>
      <c r="BO25" s="3">
        <f>BO24-BO23</f>
        <v>0.10360458121452698</v>
      </c>
      <c r="BP25" s="3" t="s">
        <v>177</v>
      </c>
      <c r="BQ25" s="3"/>
      <c r="BR25" s="3" t="s">
        <v>29</v>
      </c>
      <c r="BS25" s="3">
        <f>BS24-BS23</f>
        <v>0.11092131956471452</v>
      </c>
      <c r="BT25" s="3" t="s">
        <v>177</v>
      </c>
      <c r="BV25" s="3">
        <v>21</v>
      </c>
      <c r="BW25" s="3">
        <f t="shared" si="21"/>
        <v>0.42930690402980742</v>
      </c>
      <c r="BX25" s="3">
        <v>-3.6958088259209099E-6</v>
      </c>
      <c r="BY25" s="3">
        <f t="shared" si="22"/>
        <v>0.42930957051984886</v>
      </c>
      <c r="BZ25" s="3">
        <v>1.2631900143528219E-5</v>
      </c>
      <c r="CA25" s="3">
        <f t="shared" si="7"/>
        <v>0.42930823727482814</v>
      </c>
      <c r="CB25" s="3">
        <v>4.4680586898382391E-6</v>
      </c>
      <c r="CC25" s="3">
        <f t="shared" si="8"/>
        <v>-1.6513090740636783E-11</v>
      </c>
      <c r="CD25" s="3">
        <f t="shared" si="9"/>
        <v>5.6440071205460158E-11</v>
      </c>
      <c r="CE25" s="3">
        <f t="shared" si="10"/>
        <v>2.6664900414363757E-6</v>
      </c>
      <c r="CG25" s="3">
        <v>21</v>
      </c>
      <c r="CH25" s="3">
        <f t="shared" si="23"/>
        <v>0.3655857915094719</v>
      </c>
      <c r="CI25" s="3">
        <v>-5.2276676537899025E-6</v>
      </c>
      <c r="CJ25" s="3">
        <f t="shared" si="24"/>
        <v>0.36558845799951334</v>
      </c>
      <c r="CK25" s="3">
        <v>5.8933779345099468E-6</v>
      </c>
      <c r="CL25" s="3">
        <f t="shared" si="11"/>
        <v>0.36558712475449262</v>
      </c>
      <c r="CM25" s="3">
        <v>3.3286305860247278E-7</v>
      </c>
      <c r="CN25" s="3">
        <f t="shared" si="12"/>
        <v>-1.7400974445977197E-12</v>
      </c>
      <c r="CO25" s="3">
        <f t="shared" si="13"/>
        <v>1.9616878047813045E-12</v>
      </c>
      <c r="CP25" s="3">
        <f t="shared" si="14"/>
        <v>2.6664900414363757E-6</v>
      </c>
    </row>
    <row r="26" spans="2:94" x14ac:dyDescent="0.2">
      <c r="F26" s="44" t="s">
        <v>103</v>
      </c>
      <c r="G26" s="44">
        <f>$C$28*G25</f>
        <v>114.07360527717074</v>
      </c>
      <c r="H26" s="44" t="s">
        <v>124</v>
      </c>
      <c r="J26" s="15" t="s">
        <v>67</v>
      </c>
      <c r="K26" s="7">
        <f xml:space="preserve"> $C$70 * ( 1.68 * ($C$5*2.20462)^0.567 * ($C$55*3.28084*3.28084)^1.249 * ($C$54)^0.482 ) / (639.95 * ($C$56*3.28084)^0.747 * (COS($C$57/180*PI()))^0.882 ) * 0.453592</f>
        <v>6.5374756068391591</v>
      </c>
      <c r="L26" s="7" t="s">
        <v>7</v>
      </c>
      <c r="N26" s="7" t="s">
        <v>35</v>
      </c>
      <c r="O26" s="19">
        <f>AG69</f>
        <v>0.3451784928329289</v>
      </c>
      <c r="R26" s="7" t="s">
        <v>35</v>
      </c>
      <c r="S26" s="19">
        <f>AG34</f>
        <v>0.33499858202412724</v>
      </c>
      <c r="V26" s="7" t="s">
        <v>35</v>
      </c>
      <c r="W26" s="19">
        <f>AG104</f>
        <v>0.32858471060171723</v>
      </c>
      <c r="AB26" s="3">
        <v>22</v>
      </c>
      <c r="AC26" s="3">
        <f t="shared" si="15"/>
        <v>0.33499836921691895</v>
      </c>
      <c r="AD26" s="3">
        <f t="shared" si="0"/>
        <v>2.2450386444328174E-7</v>
      </c>
      <c r="AE26" s="3">
        <f t="shared" si="16"/>
        <v>0.33499860763549805</v>
      </c>
      <c r="AF26" s="3">
        <f t="shared" si="1"/>
        <v>-2.6567355426720951E-8</v>
      </c>
      <c r="AG26" s="3">
        <f t="shared" si="3"/>
        <v>0.3349984884262085</v>
      </c>
      <c r="AH26" s="3">
        <f t="shared" si="2"/>
        <v>9.8968252315589922E-8</v>
      </c>
      <c r="AI26" s="3">
        <f t="shared" si="4"/>
        <v>2.2218755102047705E-14</v>
      </c>
      <c r="AJ26" s="3">
        <f t="shared" si="5"/>
        <v>-2.6293247352296763E-15</v>
      </c>
      <c r="AK26" s="3">
        <f t="shared" si="6"/>
        <v>2.384185791015625E-7</v>
      </c>
      <c r="AM26" s="3">
        <v>22</v>
      </c>
      <c r="AN26" s="3">
        <f t="shared" si="25"/>
        <v>1415.2116775512695</v>
      </c>
      <c r="AO26" s="3">
        <v>-4.3925004683842417E-4</v>
      </c>
      <c r="AP26" s="3">
        <f t="shared" si="26"/>
        <v>1415.2126312255859</v>
      </c>
      <c r="AQ26" s="3">
        <v>1.1040440017495712E-4</v>
      </c>
      <c r="AR26" s="3">
        <f t="shared" si="17"/>
        <v>1415.2121543884277</v>
      </c>
      <c r="AS26" s="3">
        <v>-1.6467415264287411E-4</v>
      </c>
      <c r="AT26" s="3">
        <f t="shared" si="18"/>
        <v>7.2333129261460259E-8</v>
      </c>
      <c r="AU26" s="3">
        <f t="shared" si="19"/>
        <v>-1.8180751046855844E-8</v>
      </c>
      <c r="AV26" s="3">
        <f t="shared" si="20"/>
        <v>9.5367431640625E-4</v>
      </c>
      <c r="AX26" s="61"/>
      <c r="AY26" s="4">
        <f>0.950625*($AY$9/2)</f>
        <v>0.95062500000000005</v>
      </c>
      <c r="AZ26" s="7" t="s">
        <v>8</v>
      </c>
      <c r="BB26" s="62"/>
      <c r="BC26" s="61">
        <f>BS39</f>
        <v>-3.7739750907705982E-10</v>
      </c>
      <c r="BD26" s="61"/>
      <c r="BF26" s="3" t="s">
        <v>192</v>
      </c>
      <c r="BG26" s="38">
        <f>$AY$45*BG25*$AY$27/$AY$46</f>
        <v>2746992.2015258875</v>
      </c>
      <c r="BH26" s="27"/>
      <c r="BJ26" s="3" t="s">
        <v>192</v>
      </c>
      <c r="BK26" s="38">
        <f>$AY$45*BK25*$AY$27/$AY$46</f>
        <v>3172462.430686981</v>
      </c>
      <c r="BL26" s="27"/>
      <c r="BN26" s="3" t="s">
        <v>190</v>
      </c>
      <c r="BO26" s="3">
        <f>BO25/PI()*180</f>
        <v>5.9361052418127684</v>
      </c>
      <c r="BP26" s="3" t="s">
        <v>44</v>
      </c>
      <c r="BQ26" s="3"/>
      <c r="BR26" s="3" t="s">
        <v>190</v>
      </c>
      <c r="BS26" s="3">
        <f>BS25/PI()*180</f>
        <v>6.3553234690800275</v>
      </c>
      <c r="BT26" s="3" t="s">
        <v>44</v>
      </c>
      <c r="BV26" s="3">
        <v>22</v>
      </c>
      <c r="BW26" s="3">
        <f t="shared" si="21"/>
        <v>0.42930690402980742</v>
      </c>
      <c r="BX26" s="3">
        <v>-3.6958088259209099E-6</v>
      </c>
      <c r="BY26" s="3">
        <f t="shared" si="22"/>
        <v>0.42930823727482814</v>
      </c>
      <c r="BZ26" s="3">
        <v>4.4680586898382391E-6</v>
      </c>
      <c r="CA26" s="3">
        <f t="shared" si="7"/>
        <v>0.42930757065231778</v>
      </c>
      <c r="CB26" s="3">
        <v>3.8612818964445239E-7</v>
      </c>
      <c r="CC26" s="3">
        <f t="shared" si="8"/>
        <v>-1.42705597122483E-12</v>
      </c>
      <c r="CD26" s="3">
        <f t="shared" si="9"/>
        <v>1.725243413132403E-12</v>
      </c>
      <c r="CE26" s="3">
        <f t="shared" si="10"/>
        <v>1.3332450207181878E-6</v>
      </c>
      <c r="CG26" s="3">
        <v>22</v>
      </c>
      <c r="CH26" s="3">
        <f t="shared" si="23"/>
        <v>0.3655857915094719</v>
      </c>
      <c r="CI26" s="3">
        <v>-5.2276676537899025E-6</v>
      </c>
      <c r="CJ26" s="3">
        <f t="shared" si="24"/>
        <v>0.36558712475449262</v>
      </c>
      <c r="CK26" s="3">
        <v>3.3286305860247278E-7</v>
      </c>
      <c r="CL26" s="3">
        <f t="shared" si="11"/>
        <v>0.36558645813198226</v>
      </c>
      <c r="CM26" s="3">
        <v>-2.4474003180730008E-6</v>
      </c>
      <c r="CN26" s="3">
        <f t="shared" si="12"/>
        <v>1.2794195478665345E-11</v>
      </c>
      <c r="CO26" s="3">
        <f t="shared" si="13"/>
        <v>-8.1464915549844379E-13</v>
      </c>
      <c r="CP26" s="3">
        <f t="shared" si="14"/>
        <v>1.3332450207181878E-6</v>
      </c>
    </row>
    <row r="27" spans="2:94" x14ac:dyDescent="0.2">
      <c r="B27" s="53" t="s">
        <v>269</v>
      </c>
      <c r="C27" s="53"/>
      <c r="D27" s="53"/>
      <c r="J27" s="15" t="s">
        <v>138</v>
      </c>
      <c r="K27" s="7">
        <f>$C$70*(0.14*$G$13*1000/745.7)*0.453592</f>
        <v>20.996955194563956</v>
      </c>
      <c r="L27" s="7" t="s">
        <v>7</v>
      </c>
      <c r="N27" s="7" t="s">
        <v>36</v>
      </c>
      <c r="O27" s="7">
        <f xml:space="preserve"> O21 * $C$9 * O26 - $G$16 * SIN(O19/180*PI())</f>
        <v>4.4107759584690456</v>
      </c>
      <c r="P27" s="7" t="s">
        <v>10</v>
      </c>
      <c r="R27" s="7" t="s">
        <v>36</v>
      </c>
      <c r="S27" s="7">
        <f xml:space="preserve"> S21 * $C$9 * S26 - $C$13 * SIN(S19/180*PI())</f>
        <v>2.8117193079125187</v>
      </c>
      <c r="T27" s="7" t="s">
        <v>10</v>
      </c>
      <c r="V27" s="7" t="s">
        <v>36</v>
      </c>
      <c r="W27" s="7">
        <f xml:space="preserve"> W21 * $C$9 * W26 - $G$36 * SIN(W19/180*PI())</f>
        <v>1.8042307408268741</v>
      </c>
      <c r="X27" s="7" t="s">
        <v>10</v>
      </c>
      <c r="AB27" s="3">
        <v>23</v>
      </c>
      <c r="AC27" s="3">
        <f t="shared" si="15"/>
        <v>0.3349984884262085</v>
      </c>
      <c r="AD27" s="3">
        <f t="shared" si="0"/>
        <v>9.8968252315589922E-8</v>
      </c>
      <c r="AE27" s="3">
        <f t="shared" si="16"/>
        <v>0.33499860763549805</v>
      </c>
      <c r="AF27" s="3">
        <f t="shared" si="1"/>
        <v>-2.6567355426720951E-8</v>
      </c>
      <c r="AG27" s="3">
        <f t="shared" si="3"/>
        <v>0.33499854803085327</v>
      </c>
      <c r="AH27" s="3">
        <f t="shared" si="2"/>
        <v>3.6200447861567397E-8</v>
      </c>
      <c r="AI27" s="3">
        <f t="shared" si="4"/>
        <v>3.58269505790096E-15</v>
      </c>
      <c r="AJ27" s="3">
        <f t="shared" si="5"/>
        <v>-9.6175016494474135E-16</v>
      </c>
      <c r="AK27" s="3">
        <f t="shared" si="6"/>
        <v>1.1920928955078125E-7</v>
      </c>
      <c r="AM27" s="3">
        <v>23</v>
      </c>
      <c r="AN27" s="3">
        <f t="shared" si="25"/>
        <v>1415.2121543884277</v>
      </c>
      <c r="AO27" s="3">
        <v>-1.6467415264287411E-4</v>
      </c>
      <c r="AP27" s="3">
        <f t="shared" si="26"/>
        <v>1415.2126312255859</v>
      </c>
      <c r="AQ27" s="3">
        <v>1.1040440017495712E-4</v>
      </c>
      <c r="AR27" s="3">
        <f t="shared" si="17"/>
        <v>1415.2123928070068</v>
      </c>
      <c r="AS27" s="3">
        <v>-2.7115100579067075E-5</v>
      </c>
      <c r="AT27" s="3">
        <f t="shared" si="18"/>
        <v>4.4651562116841759E-9</v>
      </c>
      <c r="AU27" s="3">
        <f t="shared" si="19"/>
        <v>-2.9936264151155327E-9</v>
      </c>
      <c r="AV27" s="3">
        <f t="shared" si="20"/>
        <v>4.76837158203125E-4</v>
      </c>
      <c r="AX27" s="61" t="s">
        <v>226</v>
      </c>
      <c r="AY27" s="4">
        <f>0.548288*($AY$9/2)</f>
        <v>0.548288</v>
      </c>
      <c r="AZ27" s="27" t="s">
        <v>8</v>
      </c>
      <c r="BB27" s="62"/>
      <c r="BC27" s="61">
        <f>BO58</f>
        <v>-4.9045674466174916E-10</v>
      </c>
      <c r="BD27" s="61"/>
      <c r="BF27" s="3" t="s">
        <v>196</v>
      </c>
      <c r="BG27" s="3">
        <f xml:space="preserve"> $BO$46 * PI() * $AY$45 * BG25^2 * $BO$52 * $AY$23 * BG22</f>
        <v>272.86205364507634</v>
      </c>
      <c r="BH27" s="27" t="s">
        <v>23</v>
      </c>
      <c r="BJ27" s="3" t="s">
        <v>196</v>
      </c>
      <c r="BK27" s="3">
        <f xml:space="preserve"> $BS$46 * PI() * $AY$45 * BK25^2 * $BS$52 * $AY$24 * BK22</f>
        <v>336.99095646578849</v>
      </c>
      <c r="BL27" s="27" t="s">
        <v>23</v>
      </c>
      <c r="BN27" s="3" t="s">
        <v>193</v>
      </c>
      <c r="BO27" s="3">
        <f xml:space="preserve"> $AY$8*$AY$29 / (2*PI()*$AY$21)</f>
        <v>0.35771795642666615</v>
      </c>
      <c r="BP27" s="3"/>
      <c r="BQ27" s="3"/>
      <c r="BR27" s="3" t="s">
        <v>193</v>
      </c>
      <c r="BS27" s="3">
        <f xml:space="preserve"> $AY$8*$AY$30 / (2*PI()*$AY$22)</f>
        <v>0.28415899496185476</v>
      </c>
      <c r="BT27" s="3"/>
      <c r="BV27" s="3">
        <v>23</v>
      </c>
      <c r="BW27" s="3">
        <f t="shared" si="21"/>
        <v>0.42930690402980742</v>
      </c>
      <c r="BX27" s="3">
        <v>-3.6958088259209099E-6</v>
      </c>
      <c r="BY27" s="3">
        <f t="shared" si="22"/>
        <v>0.42930757065231778</v>
      </c>
      <c r="BZ27" s="3">
        <v>3.8612818964445239E-7</v>
      </c>
      <c r="CA27" s="3">
        <f t="shared" si="7"/>
        <v>0.42930723734106258</v>
      </c>
      <c r="CB27" s="3">
        <v>-1.6548395039006625E-6</v>
      </c>
      <c r="CC27" s="3">
        <f t="shared" si="8"/>
        <v>6.115970443998648E-12</v>
      </c>
      <c r="CD27" s="3">
        <f t="shared" si="9"/>
        <v>-6.3898018179328648E-13</v>
      </c>
      <c r="CE27" s="3">
        <f t="shared" si="10"/>
        <v>6.6662251035909392E-7</v>
      </c>
      <c r="CG27" s="3">
        <v>23</v>
      </c>
      <c r="CH27" s="3">
        <f t="shared" si="23"/>
        <v>0.36558645813198226</v>
      </c>
      <c r="CI27" s="3">
        <v>-2.4474003180730008E-6</v>
      </c>
      <c r="CJ27" s="3">
        <f t="shared" si="24"/>
        <v>0.36558712475449262</v>
      </c>
      <c r="CK27" s="3">
        <v>3.3286305860247278E-7</v>
      </c>
      <c r="CL27" s="3">
        <f t="shared" si="11"/>
        <v>0.36558679144323747</v>
      </c>
      <c r="CM27" s="3">
        <v>-1.0572681348602897E-6</v>
      </c>
      <c r="CN27" s="3">
        <f t="shared" si="12"/>
        <v>2.5875583695455212E-12</v>
      </c>
      <c r="CO27" s="3">
        <f t="shared" si="13"/>
        <v>-3.5192550513252769E-13</v>
      </c>
      <c r="CP27" s="3">
        <f t="shared" si="14"/>
        <v>6.6662251035909392E-7</v>
      </c>
    </row>
    <row r="28" spans="2:94" x14ac:dyDescent="0.2">
      <c r="B28" s="7" t="s">
        <v>270</v>
      </c>
      <c r="C28" s="18">
        <v>1</v>
      </c>
      <c r="F28" s="51" t="s">
        <v>92</v>
      </c>
      <c r="G28" s="52"/>
      <c r="H28" s="52"/>
      <c r="J28" s="16" t="s">
        <v>68</v>
      </c>
      <c r="K28" s="7">
        <f xml:space="preserve"> $C$70 * (0.0268 * $C$5)</f>
        <v>30.34215470456693</v>
      </c>
      <c r="L28" s="7" t="s">
        <v>7</v>
      </c>
      <c r="N28" s="7" t="s">
        <v>37</v>
      </c>
      <c r="O28" s="7">
        <f xml:space="preserve"> 1/$C$31 - O25 * SQRT( (2*$C$65*PI()*$C$9^2) / O20^3 )</f>
        <v>0.88852166383071629</v>
      </c>
      <c r="R28" s="7" t="s">
        <v>37</v>
      </c>
      <c r="S28" s="7">
        <f xml:space="preserve"> 1/$C$31 - S25 * SQRT( (2*$C$65*PI()*$C$9^2) / S20^3 )</f>
        <v>0.41950865418802807</v>
      </c>
      <c r="V28" s="7" t="s">
        <v>37</v>
      </c>
      <c r="W28" s="7">
        <f xml:space="preserve"> 1/$C$31 - W25 * SQRT( (2*$C$65*PI()*$C$9^2) / W20^3 )</f>
        <v>-0.49640390800561374</v>
      </c>
      <c r="AB28" s="3">
        <v>24</v>
      </c>
      <c r="AC28" s="3">
        <f t="shared" si="15"/>
        <v>0.33499854803085327</v>
      </c>
      <c r="AD28" s="3">
        <f t="shared" si="0"/>
        <v>3.6200447861567397E-8</v>
      </c>
      <c r="AE28" s="3">
        <f t="shared" si="16"/>
        <v>0.33499860763549805</v>
      </c>
      <c r="AF28" s="3">
        <f t="shared" si="1"/>
        <v>-2.6567355426720951E-8</v>
      </c>
      <c r="AG28" s="3">
        <f t="shared" si="3"/>
        <v>0.33499857783317566</v>
      </c>
      <c r="AH28" s="3">
        <f t="shared" si="2"/>
        <v>4.8165461064009207E-9</v>
      </c>
      <c r="AI28" s="3">
        <f t="shared" si="4"/>
        <v>1.7436112619760199E-16</v>
      </c>
      <c r="AJ28" s="3">
        <f t="shared" si="5"/>
        <v>-1.2796289233794217E-16</v>
      </c>
      <c r="AK28" s="3">
        <f t="shared" si="6"/>
        <v>5.9604644775390625E-8</v>
      </c>
      <c r="AM28" s="3">
        <v>24</v>
      </c>
      <c r="AN28" s="3">
        <f t="shared" si="25"/>
        <v>1415.2123928070068</v>
      </c>
      <c r="AO28" s="3">
        <v>-2.7115100579067075E-5</v>
      </c>
      <c r="AP28" s="3">
        <f t="shared" si="26"/>
        <v>1415.2126312255859</v>
      </c>
      <c r="AQ28" s="3">
        <v>1.1040440017495712E-4</v>
      </c>
      <c r="AR28" s="3">
        <f t="shared" si="17"/>
        <v>1415.2125120162964</v>
      </c>
      <c r="AS28" s="3">
        <v>4.1644650082162116E-5</v>
      </c>
      <c r="AT28" s="3">
        <f t="shared" si="18"/>
        <v>-1.1291988755578798E-9</v>
      </c>
      <c r="AU28" s="3">
        <f t="shared" si="19"/>
        <v>4.5977526128170873E-9</v>
      </c>
      <c r="AV28" s="3">
        <f t="shared" si="20"/>
        <v>2.384185791015625E-4</v>
      </c>
      <c r="AX28" s="61"/>
      <c r="AY28" s="4">
        <f>0.530863*($AY$9/2)</f>
        <v>0.53086299999999997</v>
      </c>
      <c r="AZ28" s="27" t="s">
        <v>8</v>
      </c>
      <c r="BB28" s="62"/>
      <c r="BC28" s="61">
        <f>BS58</f>
        <v>-5.3508551894898559E-9</v>
      </c>
      <c r="BD28" s="61"/>
      <c r="BF28" s="3" t="s">
        <v>200</v>
      </c>
      <c r="BG28" s="3">
        <f xml:space="preserve"> $BO$46 * PI() * $AY$45 * BG25^2 * $BO$53 * $AY$23^2 * BG22</f>
        <v>49.413553003327088</v>
      </c>
      <c r="BH28" s="27" t="s">
        <v>201</v>
      </c>
      <c r="BJ28" s="3" t="s">
        <v>200</v>
      </c>
      <c r="BK28" s="3">
        <f xml:space="preserve"> $BS$46 * PI() * $AY$45 * BK25^2 * $BS$53 * $AY$24^2 * BK22</f>
        <v>64.834882237295218</v>
      </c>
      <c r="BL28" s="27" t="s">
        <v>201</v>
      </c>
      <c r="BN28" s="3" t="s">
        <v>197</v>
      </c>
      <c r="BO28" s="3">
        <f>IF(-$AY$8*($BC$3-$AY$21)/(2*$AY$21*SIN(BO23))&gt;500, 1, 2*ACOS(MIN(1, EXP(-$AY$8*($BC$3-$AY$21)/(2*$AY$21*SIN(BO23)))))/PI() )</f>
        <v>0.98508930262594274</v>
      </c>
      <c r="BP28" s="3"/>
      <c r="BQ28" s="3"/>
      <c r="BR28" s="3" t="s">
        <v>197</v>
      </c>
      <c r="BS28" s="3">
        <f>IF(-$AY$8*($BC$3-$AY$22)/(2*$AY$22*SIN(BS23))&gt;500, 1, 2*ACOS(MIN(1, EXP(-$AY$8*($BC$3-$AY$22)/(2*$AY$22*SIN(BS23)))))/PI() )</f>
        <v>0.96149479179152353</v>
      </c>
      <c r="BT28" s="3"/>
      <c r="BV28" s="3">
        <v>24</v>
      </c>
      <c r="BW28" s="3">
        <f t="shared" si="21"/>
        <v>0.42930723734106258</v>
      </c>
      <c r="BX28" s="3">
        <v>-1.6548395039006625E-6</v>
      </c>
      <c r="BY28" s="3">
        <f t="shared" si="22"/>
        <v>0.42930757065231778</v>
      </c>
      <c r="BZ28" s="3">
        <v>3.8612818964445239E-7</v>
      </c>
      <c r="CA28" s="3">
        <f t="shared" si="7"/>
        <v>0.42930740399669021</v>
      </c>
      <c r="CB28" s="3">
        <v>-6.3435545334666887E-7</v>
      </c>
      <c r="CC28" s="3">
        <f t="shared" si="8"/>
        <v>1.0497564637128814E-12</v>
      </c>
      <c r="CD28" s="3">
        <f t="shared" si="9"/>
        <v>-2.4494252279183515E-13</v>
      </c>
      <c r="CE28" s="3">
        <f t="shared" si="10"/>
        <v>3.3331125520730254E-7</v>
      </c>
      <c r="CG28" s="3">
        <v>24</v>
      </c>
      <c r="CH28" s="3">
        <f t="shared" si="23"/>
        <v>0.36558679144323747</v>
      </c>
      <c r="CI28" s="3">
        <v>-1.0572681348602897E-6</v>
      </c>
      <c r="CJ28" s="3">
        <f t="shared" si="24"/>
        <v>0.36558712475449262</v>
      </c>
      <c r="CK28" s="3">
        <v>3.3286305860247278E-7</v>
      </c>
      <c r="CL28" s="3">
        <f t="shared" si="11"/>
        <v>0.36558695809886504</v>
      </c>
      <c r="CM28" s="3">
        <v>-3.6220241429740785E-7</v>
      </c>
      <c r="CN28" s="3">
        <f t="shared" si="12"/>
        <v>3.829450710061143E-13</v>
      </c>
      <c r="CO28" s="3">
        <f t="shared" si="13"/>
        <v>-1.2056380345623519E-13</v>
      </c>
      <c r="CP28" s="3">
        <f t="shared" si="14"/>
        <v>3.3331125515179139E-7</v>
      </c>
    </row>
    <row r="29" spans="2:94" x14ac:dyDescent="0.2">
      <c r="B29" s="7" t="s">
        <v>271</v>
      </c>
      <c r="C29" s="18">
        <v>4</v>
      </c>
      <c r="F29" s="10" t="s">
        <v>95</v>
      </c>
      <c r="G29" s="7">
        <f xml:space="preserve"> ($C$18-G23-G43)/$C$13</f>
        <v>1600.2478630521136</v>
      </c>
      <c r="H29" s="7" t="s">
        <v>14</v>
      </c>
      <c r="J29" s="16" t="s">
        <v>69</v>
      </c>
      <c r="K29" s="7">
        <f xml:space="preserve"> $C$70 * (11.5 * ($C$5*2.20462/1000)^0.4 * 0.453592)</f>
        <v>6.5783256044545002</v>
      </c>
      <c r="L29" s="7" t="s">
        <v>7</v>
      </c>
      <c r="N29" s="7" t="s">
        <v>38</v>
      </c>
      <c r="O29" s="18">
        <v>1.1499999999999999</v>
      </c>
      <c r="R29" s="7" t="s">
        <v>38</v>
      </c>
      <c r="S29" s="18">
        <v>1.1499999999999999</v>
      </c>
      <c r="V29" s="7" t="s">
        <v>38</v>
      </c>
      <c r="W29" s="18">
        <v>1.1499999999999999</v>
      </c>
      <c r="AB29" s="3">
        <v>25</v>
      </c>
      <c r="AC29" s="3">
        <f t="shared" si="15"/>
        <v>0.33499857783317566</v>
      </c>
      <c r="AD29" s="3">
        <f t="shared" si="0"/>
        <v>4.8165461064009207E-9</v>
      </c>
      <c r="AE29" s="3">
        <f t="shared" si="16"/>
        <v>0.33499860763549805</v>
      </c>
      <c r="AF29" s="3">
        <f t="shared" si="1"/>
        <v>-2.6567355426720951E-8</v>
      </c>
      <c r="AG29" s="3">
        <f t="shared" si="3"/>
        <v>0.33499859273433685</v>
      </c>
      <c r="AH29" s="3">
        <f t="shared" si="2"/>
        <v>-1.0875404687915591E-8</v>
      </c>
      <c r="AI29" s="3">
        <f t="shared" si="4"/>
        <v>-5.2381888105114159E-17</v>
      </c>
      <c r="AJ29" s="3">
        <f t="shared" si="5"/>
        <v>2.8893074175328074E-16</v>
      </c>
      <c r="AK29" s="3">
        <f t="shared" si="6"/>
        <v>2.9802322387695312E-8</v>
      </c>
      <c r="AM29" s="3">
        <v>25</v>
      </c>
      <c r="AN29" s="3">
        <f t="shared" si="25"/>
        <v>1415.2123928070068</v>
      </c>
      <c r="AO29" s="3">
        <v>-2.7115100579067075E-5</v>
      </c>
      <c r="AP29" s="3">
        <f t="shared" si="26"/>
        <v>1415.2125120162964</v>
      </c>
      <c r="AQ29" s="3">
        <v>4.1644650082162116E-5</v>
      </c>
      <c r="AR29" s="3">
        <f t="shared" si="17"/>
        <v>1415.2124524116516</v>
      </c>
      <c r="AS29" s="3">
        <v>6.9936634190526092E-6</v>
      </c>
      <c r="AT29" s="3">
        <f t="shared" si="18"/>
        <v>-1.8963388702375363E-10</v>
      </c>
      <c r="AU29" s="3">
        <f t="shared" si="19"/>
        <v>2.9124866587886343E-10</v>
      </c>
      <c r="AV29" s="3">
        <f t="shared" si="20"/>
        <v>1.1920928955078125E-4</v>
      </c>
      <c r="AX29" s="61"/>
      <c r="AY29" s="4">
        <f>0.513438*($AY$9/2)</f>
        <v>0.51343799999999995</v>
      </c>
      <c r="AZ29" s="27" t="s">
        <v>8</v>
      </c>
      <c r="BB29" s="62"/>
      <c r="BC29" s="61">
        <f>BO77</f>
        <v>-5.3385459247712319E-9</v>
      </c>
      <c r="BD29" s="61"/>
      <c r="BN29" s="3" t="s">
        <v>202</v>
      </c>
      <c r="BO29" s="3">
        <f>IF(-$AY$8*($AY$21-$AY$10)/(2*$AY$21*SIN(BO23))&gt;500, 1, 2*ACOS(MIN(1, EXP(-$AY$8*($AY$21-$AY$10)/(2*$AY$21*SIN(BO23)))))/PI() )</f>
        <v>0.88380343237134729</v>
      </c>
      <c r="BP29" s="3"/>
      <c r="BQ29" s="3"/>
      <c r="BR29" s="3" t="s">
        <v>202</v>
      </c>
      <c r="BS29" s="3">
        <f>IF(-$AY$8*($AY$22-$AY$10)/(2*$AY$22*SIN(BS23))&gt;500, 1, 2*ACOS(MIN(1, EXP(-$AY$8*($AY$22-$AY$10)/(2*$AY$22*SIN(BS23)))))/PI() )</f>
        <v>0.92805757604239902</v>
      </c>
      <c r="BT29" s="3"/>
      <c r="BV29" s="3">
        <v>25</v>
      </c>
      <c r="BW29" s="3">
        <f t="shared" si="21"/>
        <v>0.42930740399669021</v>
      </c>
      <c r="BX29" s="3">
        <v>-6.3435545334666887E-7</v>
      </c>
      <c r="BY29" s="3">
        <f t="shared" si="22"/>
        <v>0.42930757065231778</v>
      </c>
      <c r="BZ29" s="3">
        <v>3.8612818964445239E-7</v>
      </c>
      <c r="CA29" s="3">
        <f t="shared" si="7"/>
        <v>0.42930748732450397</v>
      </c>
      <c r="CB29" s="3">
        <v>-1.2411358112085491E-7</v>
      </c>
      <c r="CC29" s="3">
        <f t="shared" si="8"/>
        <v>7.8732127018398481E-14</v>
      </c>
      <c r="CD29" s="3">
        <f t="shared" si="9"/>
        <v>-4.792375238848559E-14</v>
      </c>
      <c r="CE29" s="3">
        <f t="shared" si="10"/>
        <v>1.6665562757589569E-7</v>
      </c>
      <c r="CG29" s="3">
        <v>25</v>
      </c>
      <c r="CH29" s="3">
        <f t="shared" si="23"/>
        <v>0.36558695809886504</v>
      </c>
      <c r="CI29" s="3">
        <v>-3.6220241429740785E-7</v>
      </c>
      <c r="CJ29" s="3">
        <f t="shared" si="24"/>
        <v>0.36558712475449262</v>
      </c>
      <c r="CK29" s="3">
        <v>3.3286305860247278E-7</v>
      </c>
      <c r="CL29" s="3">
        <f t="shared" si="11"/>
        <v>0.36558704142667886</v>
      </c>
      <c r="CM29" s="3">
        <v>-1.4669646733467268E-8</v>
      </c>
      <c r="CN29" s="3">
        <f t="shared" si="12"/>
        <v>5.3133814637519267E-15</v>
      </c>
      <c r="CO29" s="3">
        <f t="shared" si="13"/>
        <v>-4.8829834803196887E-15</v>
      </c>
      <c r="CP29" s="3">
        <f t="shared" si="14"/>
        <v>1.6665562757589569E-7</v>
      </c>
    </row>
    <row r="30" spans="2:94" x14ac:dyDescent="0.2">
      <c r="B30" s="7" t="s">
        <v>272</v>
      </c>
      <c r="C30" s="7">
        <f>$C$29*$C$10/PI()</f>
        <v>0.56665525938438421</v>
      </c>
      <c r="F30" s="7" t="s">
        <v>265</v>
      </c>
      <c r="G30" s="7">
        <f>S21*$C$9</f>
        <v>157.07963267948966</v>
      </c>
      <c r="H30" s="7" t="s">
        <v>10</v>
      </c>
      <c r="J30" s="16" t="s">
        <v>70</v>
      </c>
      <c r="K30" s="7">
        <f xml:space="preserve"> $C$70 * (8 * ($C$5/1000))</f>
        <v>9.0573596133035608</v>
      </c>
      <c r="L30" s="7" t="s">
        <v>7</v>
      </c>
      <c r="N30" s="7" t="s">
        <v>39</v>
      </c>
      <c r="O30" s="7">
        <f xml:space="preserve"> 1/$C$73 * LN( EXP($C$73 * O28) + EXP($C$73 * O29) )</f>
        <v>1.1500130627823277</v>
      </c>
      <c r="R30" s="7" t="s">
        <v>39</v>
      </c>
      <c r="S30" s="7">
        <f xml:space="preserve"> 1/$C$73 * LN( EXP($C$73 * S28) + EXP($C$73 * S29) )</f>
        <v>1.1500000000101256</v>
      </c>
      <c r="V30" s="7" t="s">
        <v>39</v>
      </c>
      <c r="W30" s="7">
        <f xml:space="preserve"> 1/$C$73 * LN( EXP($C$73 * W28) + EXP($C$73 * W29) )</f>
        <v>1.1499999999999999</v>
      </c>
      <c r="AB30" s="3">
        <v>26</v>
      </c>
      <c r="AC30" s="3">
        <f>IF(AI29&gt;0, AG29, AC29)</f>
        <v>0.33499857783317566</v>
      </c>
      <c r="AD30" s="3">
        <f t="shared" si="0"/>
        <v>4.8165461064009207E-9</v>
      </c>
      <c r="AE30" s="3">
        <f t="shared" si="16"/>
        <v>0.33499859273433685</v>
      </c>
      <c r="AF30" s="3">
        <f t="shared" si="1"/>
        <v>-1.0875404687915591E-8</v>
      </c>
      <c r="AG30" s="3">
        <f t="shared" si="3"/>
        <v>0.33499858528375626</v>
      </c>
      <c r="AH30" s="3">
        <f t="shared" si="2"/>
        <v>-3.0294293185129106E-9</v>
      </c>
      <c r="AI30" s="3">
        <f t="shared" si="4"/>
        <v>-1.4591385988700154E-17</v>
      </c>
      <c r="AJ30" s="3">
        <f t="shared" si="5"/>
        <v>3.2946269812264242E-17</v>
      </c>
      <c r="AK30" s="3">
        <f t="shared" si="6"/>
        <v>1.4901161193847656E-8</v>
      </c>
      <c r="AM30" s="3">
        <v>26</v>
      </c>
      <c r="AN30" s="3">
        <f t="shared" si="25"/>
        <v>1415.2123928070068</v>
      </c>
      <c r="AO30" s="3">
        <v>-2.7115100579067075E-5</v>
      </c>
      <c r="AP30" s="3">
        <f t="shared" si="26"/>
        <v>1415.2124524116516</v>
      </c>
      <c r="AQ30" s="3">
        <v>6.9936634190526092E-6</v>
      </c>
      <c r="AR30" s="3">
        <f t="shared" si="17"/>
        <v>1415.2124226093292</v>
      </c>
      <c r="AS30" s="3">
        <v>-9.7080870773424977E-6</v>
      </c>
      <c r="AT30" s="3">
        <f t="shared" si="18"/>
        <v>2.6323575753248316E-10</v>
      </c>
      <c r="AU30" s="3">
        <f t="shared" si="19"/>
        <v>-6.7895093461787585E-11</v>
      </c>
      <c r="AV30" s="3">
        <f t="shared" si="20"/>
        <v>5.9604644775390625E-5</v>
      </c>
      <c r="AX30" s="61"/>
      <c r="AY30" s="4">
        <f>0.496013*($AY$9/2)</f>
        <v>0.49601299999999998</v>
      </c>
      <c r="AZ30" s="27" t="s">
        <v>8</v>
      </c>
      <c r="BB30" s="39" t="s">
        <v>227</v>
      </c>
      <c r="BC30" s="61" t="b">
        <f>IF(BC23&lt;0.00001,IF(BC24&lt;0.00001,IF(BC25&lt;0.00001,IF(BC26&lt;0.00001,IF(BC27&lt;0.00001,IF(BC28&lt;0.00001,IF(BC29&lt;0.00001,TRUE,FALSE),FALSE),FALSE),FALSE),FALSE),FALSE),FALSE)</f>
        <v>1</v>
      </c>
      <c r="BD30" s="61"/>
      <c r="BF30" s="60" t="s">
        <v>228</v>
      </c>
      <c r="BG30" s="60"/>
      <c r="BH30" s="60"/>
      <c r="BJ30" s="60" t="s">
        <v>242</v>
      </c>
      <c r="BK30" s="60"/>
      <c r="BL30" s="60"/>
      <c r="BN30" s="3" t="s">
        <v>205</v>
      </c>
      <c r="BO30" s="3">
        <f>IF(BO23=0,1,BO28*BO29)</f>
        <v>0.87062530685310502</v>
      </c>
      <c r="BP30" s="3"/>
      <c r="BQ30" s="3"/>
      <c r="BR30" s="3" t="s">
        <v>205</v>
      </c>
      <c r="BS30" s="3">
        <f>IF(BS23=0,1,BS28*BS29)</f>
        <v>0.89232252584743244</v>
      </c>
      <c r="BT30" s="3"/>
      <c r="BV30" s="3">
        <v>26</v>
      </c>
      <c r="BW30" s="3">
        <f t="shared" si="21"/>
        <v>0.42930748732450397</v>
      </c>
      <c r="BX30" s="3">
        <v>-1.2411358112085491E-7</v>
      </c>
      <c r="BY30" s="3">
        <f t="shared" si="22"/>
        <v>0.42930757065231778</v>
      </c>
      <c r="BZ30" s="3">
        <v>3.8612818964445239E-7</v>
      </c>
      <c r="CA30" s="3">
        <f t="shared" si="7"/>
        <v>0.42930752898841085</v>
      </c>
      <c r="CB30" s="3">
        <v>1.310073169391579E-7</v>
      </c>
      <c r="CC30" s="3">
        <f t="shared" si="8"/>
        <v>-1.6259787258353725E-14</v>
      </c>
      <c r="CD30" s="3">
        <f t="shared" si="9"/>
        <v>5.0585618119894042E-14</v>
      </c>
      <c r="CE30" s="3">
        <f t="shared" si="10"/>
        <v>8.3327813815703422E-8</v>
      </c>
      <c r="CG30" s="3">
        <v>26</v>
      </c>
      <c r="CH30" s="3">
        <f t="shared" si="23"/>
        <v>0.36558704142667886</v>
      </c>
      <c r="CI30" s="3">
        <v>-1.4669646733467268E-8</v>
      </c>
      <c r="CJ30" s="3">
        <f t="shared" si="24"/>
        <v>0.36558712475449262</v>
      </c>
      <c r="CK30" s="3">
        <v>3.3286305860247278E-7</v>
      </c>
      <c r="CL30" s="3">
        <f t="shared" si="11"/>
        <v>0.36558708309058574</v>
      </c>
      <c r="CM30" s="3">
        <v>1.5909671356728605E-7</v>
      </c>
      <c r="CN30" s="3">
        <f t="shared" si="12"/>
        <v>-2.3338925844877154E-15</v>
      </c>
      <c r="CO30" s="3">
        <f t="shared" si="13"/>
        <v>5.2957418691608366E-14</v>
      </c>
      <c r="CP30" s="3">
        <f t="shared" si="14"/>
        <v>8.3327813760192271E-8</v>
      </c>
    </row>
    <row r="31" spans="2:94" x14ac:dyDescent="0.2">
      <c r="B31" s="7" t="s">
        <v>273</v>
      </c>
      <c r="C31" s="18">
        <v>0.75</v>
      </c>
      <c r="F31" s="7" t="s">
        <v>266</v>
      </c>
      <c r="G31" s="7">
        <f>G30/$C$67</f>
        <v>0.46143434115755327</v>
      </c>
      <c r="H31" s="7" t="s">
        <v>152</v>
      </c>
      <c r="J31" s="16" t="s">
        <v>71</v>
      </c>
      <c r="K31" s="7">
        <f xml:space="preserve"> $C$70 * (13 * ($C$5*2.20462/1000)^1.3 * 0.453592)</f>
        <v>20.706215039565741</v>
      </c>
      <c r="L31" s="7" t="s">
        <v>7</v>
      </c>
      <c r="AB31" s="3">
        <v>27</v>
      </c>
      <c r="AC31" s="3">
        <f t="shared" si="15"/>
        <v>0.33499857783317566</v>
      </c>
      <c r="AD31" s="3">
        <f t="shared" si="0"/>
        <v>4.8165461064009207E-9</v>
      </c>
      <c r="AE31" s="3">
        <f t="shared" si="16"/>
        <v>0.33499858528375626</v>
      </c>
      <c r="AF31" s="3">
        <f t="shared" si="1"/>
        <v>-3.0294293185129106E-9</v>
      </c>
      <c r="AG31" s="3">
        <f t="shared" si="3"/>
        <v>0.33499858155846596</v>
      </c>
      <c r="AH31" s="3">
        <f t="shared" si="2"/>
        <v>8.9355839394400505E-10</v>
      </c>
      <c r="AI31" s="3">
        <f t="shared" si="4"/>
        <v>4.3038652031928576E-18</v>
      </c>
      <c r="AJ31" s="3">
        <f t="shared" si="5"/>
        <v>-2.7069719964172781E-18</v>
      </c>
      <c r="AK31" s="3">
        <f t="shared" si="6"/>
        <v>7.4505805969238281E-9</v>
      </c>
      <c r="AM31" s="3">
        <v>27</v>
      </c>
      <c r="AN31" s="3">
        <f t="shared" si="25"/>
        <v>1415.2124226093292</v>
      </c>
      <c r="AO31" s="3">
        <v>-9.7080870773424977E-6</v>
      </c>
      <c r="AP31" s="3">
        <f t="shared" si="26"/>
        <v>1415.2124524116516</v>
      </c>
      <c r="AQ31" s="3">
        <v>6.9936634190526092E-6</v>
      </c>
      <c r="AR31" s="3">
        <f t="shared" si="17"/>
        <v>1415.2124375104904</v>
      </c>
      <c r="AS31" s="3">
        <v>-1.207166860694997E-6</v>
      </c>
      <c r="AT31" s="3">
        <f t="shared" si="18"/>
        <v>1.1719281000509212E-11</v>
      </c>
      <c r="AU31" s="3">
        <f t="shared" si="19"/>
        <v>-8.4425187143351777E-12</v>
      </c>
      <c r="AV31" s="3">
        <f t="shared" si="20"/>
        <v>2.9802322387695312E-5</v>
      </c>
      <c r="AX31" s="61"/>
      <c r="AY31" s="4">
        <f>0.478588*($AY$9/2)</f>
        <v>0.47858800000000001</v>
      </c>
      <c r="AZ31" s="27" t="s">
        <v>8</v>
      </c>
      <c r="BF31" s="3" t="s">
        <v>175</v>
      </c>
      <c r="BG31" s="3">
        <f>$AY$25-$AY$24</f>
        <v>9.8750000000000004E-2</v>
      </c>
      <c r="BH31" s="27" t="s">
        <v>8</v>
      </c>
      <c r="BJ31" s="3" t="s">
        <v>175</v>
      </c>
      <c r="BK31" s="3">
        <f>2*($AY$9/2 - $AY$26)</f>
        <v>9.8749999999999893E-2</v>
      </c>
      <c r="BL31" s="27" t="s">
        <v>8</v>
      </c>
      <c r="BN31" s="3" t="s">
        <v>209</v>
      </c>
      <c r="BO31" s="3">
        <f>IF(BO26&lt;$BH$43, $BC$44*BO26^2 + $BD$44*BO26 + $BE$44, IF(BO26&gt;$BI$43, $BJ$44*BO26^2 + $BK$44*BO26 + $BL$44, $BF$44*BO26^3 + $BG$44*BO26^2 + $BH$44*BO26 + $BI$44))</f>
        <v>0.86758594418616597</v>
      </c>
      <c r="BP31" s="3"/>
      <c r="BQ31" s="3"/>
      <c r="BR31" s="3" t="s">
        <v>209</v>
      </c>
      <c r="BS31" s="3">
        <f>IF(BS26&lt;$BH$43, $BC$44*BS26^2 + $BD$44*BS26 + $BE$44, IF(BS26&gt;$BI$43, $BJ$44*BS26^2 + $BK$44*BS26 + $BL$44, $BF$44*BS26^3 + $BG$44*BS26^2 + $BH$44*BS26 + $BI$44))</f>
        <v>0.91303590137203394</v>
      </c>
      <c r="BT31" s="3"/>
      <c r="BV31" s="3">
        <v>27</v>
      </c>
      <c r="BW31" s="3">
        <f t="shared" si="21"/>
        <v>0.42930748732450397</v>
      </c>
      <c r="BX31" s="3">
        <v>-1.2411358112085491E-7</v>
      </c>
      <c r="BY31" s="3">
        <f t="shared" si="22"/>
        <v>0.42930752898841085</v>
      </c>
      <c r="BZ31" s="3">
        <v>1.310073169391579E-7</v>
      </c>
      <c r="CA31" s="3">
        <f t="shared" si="7"/>
        <v>0.42930750815645741</v>
      </c>
      <c r="CB31" s="3">
        <v>3.4468708859369812E-9</v>
      </c>
      <c r="CC31" s="3">
        <f t="shared" si="8"/>
        <v>-4.2780348931485254E-16</v>
      </c>
      <c r="CD31" s="3">
        <f t="shared" si="9"/>
        <v>4.5156530660230204E-16</v>
      </c>
      <c r="CE31" s="3">
        <f t="shared" si="10"/>
        <v>4.1663906880096135E-8</v>
      </c>
      <c r="CG31" s="3">
        <v>27</v>
      </c>
      <c r="CH31" s="3">
        <f t="shared" si="23"/>
        <v>0.36558704142667886</v>
      </c>
      <c r="CI31" s="3">
        <v>-1.4669646733467268E-8</v>
      </c>
      <c r="CJ31" s="3">
        <f t="shared" si="24"/>
        <v>0.36558708309058574</v>
      </c>
      <c r="CK31" s="3">
        <v>1.5909671356728605E-7</v>
      </c>
      <c r="CL31" s="3">
        <f t="shared" si="11"/>
        <v>0.3655870622586323</v>
      </c>
      <c r="CM31" s="3">
        <v>7.2213535234899595E-8</v>
      </c>
      <c r="CN31" s="3">
        <f t="shared" si="12"/>
        <v>-1.0593470512707682E-15</v>
      </c>
      <c r="CO31" s="3">
        <f t="shared" si="13"/>
        <v>1.148893613094794E-14</v>
      </c>
      <c r="CP31" s="3">
        <f t="shared" si="14"/>
        <v>4.1663906880096135E-8</v>
      </c>
    </row>
    <row r="32" spans="2:94" x14ac:dyDescent="0.2">
      <c r="B32" s="7" t="s">
        <v>136</v>
      </c>
      <c r="C32" s="18">
        <v>0.14399999999999999</v>
      </c>
      <c r="F32" s="10" t="s">
        <v>119</v>
      </c>
      <c r="G32" s="7">
        <f xml:space="preserve"> 1/1000 * (S25 + S20 * (S30 * S27 + $C$13 * SIN(S19/180*PI())))</f>
        <v>73.336374216366423</v>
      </c>
      <c r="H32" s="7" t="s">
        <v>124</v>
      </c>
      <c r="J32" s="11" t="s">
        <v>58</v>
      </c>
      <c r="K32" s="11">
        <f>$C$5 - $C$17 - SUM(K17:K31)</f>
        <v>8.2741280493792146E-10</v>
      </c>
      <c r="L32" s="11" t="s">
        <v>7</v>
      </c>
      <c r="AB32" s="3">
        <v>28</v>
      </c>
      <c r="AC32" s="3">
        <f t="shared" si="15"/>
        <v>0.33499858155846596</v>
      </c>
      <c r="AD32" s="3">
        <f t="shared" si="0"/>
        <v>8.9355839394400505E-10</v>
      </c>
      <c r="AE32" s="3">
        <f t="shared" si="16"/>
        <v>0.33499858528375626</v>
      </c>
      <c r="AF32" s="3">
        <f t="shared" si="1"/>
        <v>-3.0294293185129106E-9</v>
      </c>
      <c r="AG32" s="3">
        <f t="shared" si="3"/>
        <v>0.33499858342111111</v>
      </c>
      <c r="AH32" s="3">
        <f t="shared" si="2"/>
        <v>-1.0679354622844528E-9</v>
      </c>
      <c r="AI32" s="3">
        <f t="shared" si="4"/>
        <v>-9.5426269651474422E-19</v>
      </c>
      <c r="AJ32" s="3">
        <f t="shared" si="5"/>
        <v>3.23523499972416E-18</v>
      </c>
      <c r="AK32" s="3">
        <f t="shared" si="6"/>
        <v>3.7252902984619141E-9</v>
      </c>
      <c r="AM32" s="3">
        <v>28</v>
      </c>
      <c r="AN32" s="3">
        <f t="shared" si="25"/>
        <v>1415.2124375104904</v>
      </c>
      <c r="AO32" s="3">
        <v>-1.207166860694997E-6</v>
      </c>
      <c r="AP32" s="3">
        <f t="shared" si="26"/>
        <v>1415.2124524116516</v>
      </c>
      <c r="AQ32" s="3">
        <v>6.9936634190526092E-6</v>
      </c>
      <c r="AR32" s="3">
        <f t="shared" si="17"/>
        <v>1415.212444961071</v>
      </c>
      <c r="AS32" s="3">
        <v>3.1445865715795662E-6</v>
      </c>
      <c r="AT32" s="3">
        <f t="shared" si="18"/>
        <v>-3.7960406997973485E-12</v>
      </c>
      <c r="AU32" s="3">
        <f t="shared" si="19"/>
        <v>2.1992180073700072E-11</v>
      </c>
      <c r="AV32" s="3">
        <f t="shared" si="20"/>
        <v>1.4901161193847656E-5</v>
      </c>
      <c r="AX32" s="61"/>
      <c r="AY32" s="4">
        <f>0.461163*($AY$9/2)</f>
        <v>0.46116299999999999</v>
      </c>
      <c r="AZ32" s="27" t="s">
        <v>8</v>
      </c>
      <c r="BF32" s="3" t="s">
        <v>180</v>
      </c>
      <c r="BG32" s="3">
        <f>(1+$BO$75)*$AY$3</f>
        <v>22.044166758768689</v>
      </c>
      <c r="BH32" s="27" t="s">
        <v>10</v>
      </c>
      <c r="BJ32" s="3" t="s">
        <v>180</v>
      </c>
      <c r="BK32" s="3">
        <f>(1+$BS$75)*$AY$3</f>
        <v>25.13039754019788</v>
      </c>
      <c r="BL32" s="27" t="s">
        <v>10</v>
      </c>
      <c r="BN32" s="3" t="s">
        <v>210</v>
      </c>
      <c r="BO32" s="3">
        <f>IF(BO26&lt;$BH$43, $BC$45*BO26^2 + $BD$45*BO26 + $BE$45, IF(BO26&gt;$BI$43, $BJ$45*BO26^2 + $BK$45*BO26 + $BL$45, $BF$45*BO26^3 + $BG$45*BO26^2 + $BH$45*BO26 + $BI$45))</f>
        <v>5.4083688894027964E-3</v>
      </c>
      <c r="BP32" s="3"/>
      <c r="BQ32" s="3"/>
      <c r="BR32" s="3" t="s">
        <v>210</v>
      </c>
      <c r="BS32" s="3">
        <f>IF(BS26&lt;$BH$43, $BC$45*BS26^2 + $BD$45*BS26 + $BE$45, IF(BS26&gt;$BI$43, $BJ$45*BS26^2 + $BK$45*BS26 + $BL$45, $BF$45*BS26^3 + $BG$45*BS26^2 + $BH$45*BS26 + $BI$45))</f>
        <v>6.2159770435727037E-3</v>
      </c>
      <c r="BT32" s="3"/>
      <c r="BV32" s="3">
        <v>28</v>
      </c>
      <c r="BW32" s="3">
        <f t="shared" si="21"/>
        <v>0.42930748732450397</v>
      </c>
      <c r="BX32" s="3">
        <v>-1.2411358112085491E-7</v>
      </c>
      <c r="BY32" s="3">
        <f t="shared" si="22"/>
        <v>0.42930750815645741</v>
      </c>
      <c r="BZ32" s="3">
        <v>3.4468708859369812E-9</v>
      </c>
      <c r="CA32" s="3">
        <f t="shared" si="7"/>
        <v>0.42930749774048071</v>
      </c>
      <c r="CB32" s="3">
        <v>-6.033335413213603E-8</v>
      </c>
      <c r="CC32" s="3">
        <f t="shared" si="8"/>
        <v>7.4881886423721325E-15</v>
      </c>
      <c r="CD32" s="3">
        <f t="shared" si="9"/>
        <v>-2.0796128180898536E-16</v>
      </c>
      <c r="CE32" s="3">
        <f t="shared" si="10"/>
        <v>2.0831953440048068E-8</v>
      </c>
      <c r="CG32" s="3">
        <v>28</v>
      </c>
      <c r="CH32" s="3">
        <f t="shared" si="23"/>
        <v>0.36558704142667886</v>
      </c>
      <c r="CI32" s="3">
        <v>-1.4669646733467268E-8</v>
      </c>
      <c r="CJ32" s="3">
        <f t="shared" si="24"/>
        <v>0.3655870622586323</v>
      </c>
      <c r="CK32" s="3">
        <v>7.2213535234899595E-8</v>
      </c>
      <c r="CL32" s="3">
        <f t="shared" si="11"/>
        <v>0.36558705184265561</v>
      </c>
      <c r="CM32" s="3">
        <v>2.8771944729499843E-8</v>
      </c>
      <c r="CN32" s="3">
        <f t="shared" si="12"/>
        <v>-4.2207426501660813E-16</v>
      </c>
      <c r="CO32" s="3">
        <f t="shared" si="13"/>
        <v>2.0777238445003208E-15</v>
      </c>
      <c r="CP32" s="3">
        <f t="shared" si="14"/>
        <v>2.0831953440048068E-8</v>
      </c>
    </row>
    <row r="33" spans="2:94" x14ac:dyDescent="0.2">
      <c r="F33" s="45" t="s">
        <v>247</v>
      </c>
      <c r="G33" s="44">
        <f xml:space="preserve"> $C$28 * G32</f>
        <v>73.336374216366423</v>
      </c>
      <c r="H33" s="44" t="s">
        <v>124</v>
      </c>
      <c r="J33" s="7" t="s">
        <v>59</v>
      </c>
      <c r="K33" s="5" t="str">
        <f>IF(ABS(K32)&lt;0.00001, "TRUE", "FALSE")</f>
        <v>TRUE</v>
      </c>
      <c r="AB33" s="3">
        <v>29</v>
      </c>
      <c r="AC33" s="3">
        <f t="shared" si="15"/>
        <v>0.33499858155846596</v>
      </c>
      <c r="AD33" s="3">
        <f t="shared" si="0"/>
        <v>8.9355839394400505E-10</v>
      </c>
      <c r="AE33" s="3">
        <f t="shared" si="16"/>
        <v>0.33499858342111111</v>
      </c>
      <c r="AF33" s="3">
        <f t="shared" si="1"/>
        <v>-1.0679354622844528E-9</v>
      </c>
      <c r="AG33" s="3">
        <f t="shared" si="3"/>
        <v>0.33499858248978853</v>
      </c>
      <c r="AH33" s="3">
        <f t="shared" si="2"/>
        <v>-8.7188534170223875E-11</v>
      </c>
      <c r="AI33" s="3">
        <f t="shared" si="4"/>
        <v>-7.790804656347725E-20</v>
      </c>
      <c r="AJ33" s="3">
        <f t="shared" si="5"/>
        <v>9.3111727544981843E-20</v>
      </c>
      <c r="AK33" s="3">
        <f t="shared" si="6"/>
        <v>1.862645149230957E-9</v>
      </c>
      <c r="AM33" s="3">
        <v>29</v>
      </c>
      <c r="AN33" s="3">
        <f t="shared" si="25"/>
        <v>1415.2124375104904</v>
      </c>
      <c r="AO33" s="3">
        <v>-1.207166860694997E-6</v>
      </c>
      <c r="AP33" s="3">
        <f t="shared" si="26"/>
        <v>1415.212444961071</v>
      </c>
      <c r="AQ33" s="3">
        <v>3.1445865715795662E-6</v>
      </c>
      <c r="AR33" s="3">
        <f t="shared" si="17"/>
        <v>1415.2124412357807</v>
      </c>
      <c r="AS33" s="3">
        <v>9.6870985544228461E-7</v>
      </c>
      <c r="AT33" s="3">
        <f t="shared" si="18"/>
        <v>-1.1693944351185671E-12</v>
      </c>
      <c r="AU33" s="3">
        <f t="shared" si="19"/>
        <v>3.046192003180591E-12</v>
      </c>
      <c r="AV33" s="3">
        <f t="shared" si="20"/>
        <v>7.4505805969238281E-6</v>
      </c>
      <c r="AX33" s="61"/>
      <c r="AY33" s="4">
        <f>0.443738*($AY$9/2)</f>
        <v>0.44373800000000002</v>
      </c>
      <c r="AZ33" s="27" t="s">
        <v>8</v>
      </c>
      <c r="BF33" s="3" t="s">
        <v>185</v>
      </c>
      <c r="BG33" s="3">
        <f>(1-$BO$76)*$BC$5*$AY$25</f>
        <v>93.211905149015209</v>
      </c>
      <c r="BH33" s="27" t="s">
        <v>10</v>
      </c>
      <c r="BJ33" s="3" t="s">
        <v>185</v>
      </c>
      <c r="BK33" s="3">
        <f>(1-$BS$76)*$BC$5*$AY$26</f>
        <v>103.6941671080442</v>
      </c>
      <c r="BL33" s="27" t="s">
        <v>10</v>
      </c>
      <c r="BN33" s="3" t="s">
        <v>212</v>
      </c>
      <c r="BO33" s="3">
        <f xml:space="preserve"> BO31*COS(BO23) - BO32*SIN(BO23)</f>
        <v>0.82122798198715885</v>
      </c>
      <c r="BP33" s="3"/>
      <c r="BR33" s="3" t="s">
        <v>212</v>
      </c>
      <c r="BS33" s="3">
        <f xml:space="preserve"> BS31*COS(BS23) - BS32*SIN(BS23)</f>
        <v>0.8733917315304629</v>
      </c>
      <c r="BT33" s="3"/>
      <c r="BV33" s="3">
        <v>29</v>
      </c>
      <c r="BW33" s="3">
        <f t="shared" si="21"/>
        <v>0.42930749774048071</v>
      </c>
      <c r="BX33" s="3">
        <v>-6.033335413213603E-8</v>
      </c>
      <c r="BY33" s="3">
        <f t="shared" si="22"/>
        <v>0.42930750815645741</v>
      </c>
      <c r="BZ33" s="3">
        <v>3.4468708859369812E-9</v>
      </c>
      <c r="CA33" s="3">
        <f t="shared" si="7"/>
        <v>0.42930750294846909</v>
      </c>
      <c r="CB33" s="3">
        <v>-2.8443241165132527E-8</v>
      </c>
      <c r="CC33" s="3">
        <f t="shared" si="8"/>
        <v>1.7160761418816902E-15</v>
      </c>
      <c r="CD33" s="3">
        <f t="shared" si="9"/>
        <v>-9.8040179873779572E-17</v>
      </c>
      <c r="CE33" s="3">
        <f t="shared" si="10"/>
        <v>1.0415976692268458E-8</v>
      </c>
      <c r="CG33" s="3">
        <v>29</v>
      </c>
      <c r="CH33" s="3">
        <f t="shared" si="23"/>
        <v>0.36558704142667886</v>
      </c>
      <c r="CI33" s="3">
        <v>-1.4669646733467268E-8</v>
      </c>
      <c r="CJ33" s="3">
        <f t="shared" si="24"/>
        <v>0.36558705184265561</v>
      </c>
      <c r="CK33" s="3">
        <v>2.8771944729499843E-8</v>
      </c>
      <c r="CL33" s="3">
        <f t="shared" si="11"/>
        <v>0.36558704663466723</v>
      </c>
      <c r="CM33" s="3">
        <v>7.0511489702607122E-9</v>
      </c>
      <c r="CN33" s="3">
        <f t="shared" si="12"/>
        <v>-1.0343786445877614E-16</v>
      </c>
      <c r="CO33" s="3">
        <f t="shared" si="13"/>
        <v>2.0287526845181094E-16</v>
      </c>
      <c r="CP33" s="3">
        <f t="shared" si="14"/>
        <v>1.0415976747779609E-8</v>
      </c>
    </row>
    <row r="34" spans="2:94" x14ac:dyDescent="0.2">
      <c r="B34" s="53" t="s">
        <v>127</v>
      </c>
      <c r="C34" s="53"/>
      <c r="D34" s="53"/>
      <c r="AB34" s="3">
        <v>30</v>
      </c>
      <c r="AC34" s="3">
        <f t="shared" si="15"/>
        <v>0.33499858155846596</v>
      </c>
      <c r="AD34" s="3">
        <f t="shared" si="0"/>
        <v>8.9355839394400505E-10</v>
      </c>
      <c r="AE34" s="3">
        <f t="shared" si="16"/>
        <v>0.33499858248978853</v>
      </c>
      <c r="AF34" s="3">
        <f t="shared" si="1"/>
        <v>-8.7188534170223875E-11</v>
      </c>
      <c r="AG34" s="3">
        <f t="shared" si="3"/>
        <v>0.33499858202412724</v>
      </c>
      <c r="AH34" s="3">
        <f t="shared" si="2"/>
        <v>4.0318492988689059E-10</v>
      </c>
      <c r="AI34" s="3">
        <f t="shared" si="4"/>
        <v>3.6026927841215623E-19</v>
      </c>
      <c r="AJ34" s="3">
        <f t="shared" si="5"/>
        <v>-3.5153103036362477E-20</v>
      </c>
      <c r="AK34" s="3">
        <f t="shared" si="6"/>
        <v>9.3132257461547852E-10</v>
      </c>
      <c r="AM34" s="3">
        <v>30</v>
      </c>
      <c r="AN34" s="3">
        <f t="shared" si="25"/>
        <v>1415.2124375104904</v>
      </c>
      <c r="AO34" s="3">
        <v>-1.207166860694997E-6</v>
      </c>
      <c r="AP34" s="3">
        <f t="shared" si="26"/>
        <v>1415.2124412357807</v>
      </c>
      <c r="AQ34" s="3">
        <v>9.6870985544228461E-7</v>
      </c>
      <c r="AR34" s="3">
        <f t="shared" si="17"/>
        <v>1415.2124393731356</v>
      </c>
      <c r="AS34" s="3">
        <v>-1.1922838893951848E-7</v>
      </c>
      <c r="AT34" s="3">
        <f t="shared" si="18"/>
        <v>1.4392855998184063E-13</v>
      </c>
      <c r="AU34" s="3">
        <f t="shared" si="19"/>
        <v>-1.1549771541421743E-13</v>
      </c>
      <c r="AV34" s="3">
        <f t="shared" si="20"/>
        <v>3.7252902984619141E-6</v>
      </c>
      <c r="AX34" s="61"/>
      <c r="AY34" s="4">
        <f>0.426313*($AY$9/2)</f>
        <v>0.426313</v>
      </c>
      <c r="AZ34" s="27" t="s">
        <v>8</v>
      </c>
      <c r="BF34" s="3" t="s">
        <v>189</v>
      </c>
      <c r="BG34" s="3">
        <f>SQRT(BG32^2 + BG33^2)</f>
        <v>95.783112027107421</v>
      </c>
      <c r="BH34" s="27" t="s">
        <v>10</v>
      </c>
      <c r="BJ34" s="3" t="s">
        <v>189</v>
      </c>
      <c r="BK34" s="3">
        <f>SQRT(BK32^2 + BK33^2)</f>
        <v>106.6959098220704</v>
      </c>
      <c r="BL34" s="27" t="s">
        <v>10</v>
      </c>
      <c r="BN34" s="3" t="s">
        <v>214</v>
      </c>
      <c r="BO34" s="3">
        <f xml:space="preserve"> BO31*SIN(BO23) + BO32*COS(BO23)</f>
        <v>0.27985571747731652</v>
      </c>
      <c r="BP34" s="3"/>
      <c r="BR34" s="3" t="s">
        <v>214</v>
      </c>
      <c r="BS34" s="3">
        <f xml:space="preserve"> BS31*SIN(BS23) + BS32*COS(BS23)</f>
        <v>0.26619556506273451</v>
      </c>
      <c r="BT34" s="3"/>
      <c r="BV34" s="3">
        <v>30</v>
      </c>
      <c r="BW34" s="3">
        <f t="shared" si="21"/>
        <v>0.42930750294846909</v>
      </c>
      <c r="BX34" s="3">
        <v>-2.8443241165132527E-8</v>
      </c>
      <c r="BY34" s="3">
        <f t="shared" si="22"/>
        <v>0.42930750815645741</v>
      </c>
      <c r="BZ34" s="3">
        <v>3.4468708859369812E-9</v>
      </c>
      <c r="CA34" s="6">
        <f t="shared" si="7"/>
        <v>0.42930750555246322</v>
      </c>
      <c r="CB34" s="3">
        <v>-1.2498185208986712E-8</v>
      </c>
      <c r="CC34" s="3">
        <f t="shared" si="8"/>
        <v>3.5548889602570129E-16</v>
      </c>
      <c r="CD34" s="3">
        <f t="shared" si="9"/>
        <v>-4.3079630723904503E-17</v>
      </c>
      <c r="CE34" s="3">
        <f t="shared" si="10"/>
        <v>5.2079883183786535E-9</v>
      </c>
      <c r="CG34" s="3">
        <v>30</v>
      </c>
      <c r="CH34" s="3">
        <f t="shared" si="23"/>
        <v>0.36558704142667886</v>
      </c>
      <c r="CI34" s="3">
        <v>-1.4669646733467268E-8</v>
      </c>
      <c r="CJ34" s="3">
        <f t="shared" si="24"/>
        <v>0.36558704663466723</v>
      </c>
      <c r="CK34" s="3">
        <v>7.0511489702607122E-9</v>
      </c>
      <c r="CL34" s="6">
        <f t="shared" si="11"/>
        <v>0.36558704403067305</v>
      </c>
      <c r="CM34" s="3">
        <v>-3.8092489162977472E-9</v>
      </c>
      <c r="CN34" s="3">
        <f t="shared" si="12"/>
        <v>5.5880335921930976E-17</v>
      </c>
      <c r="CO34" s="3">
        <f t="shared" si="13"/>
        <v>-2.6859581573619594E-17</v>
      </c>
      <c r="CP34" s="3">
        <f t="shared" si="14"/>
        <v>5.2079883738898047E-9</v>
      </c>
    </row>
    <row r="35" spans="2:94" x14ac:dyDescent="0.2">
      <c r="B35" s="7" t="s">
        <v>128</v>
      </c>
      <c r="C35" s="18">
        <v>4</v>
      </c>
      <c r="F35" s="51" t="s">
        <v>105</v>
      </c>
      <c r="G35" s="52"/>
      <c r="H35" s="52"/>
      <c r="J35" s="48" t="s">
        <v>60</v>
      </c>
      <c r="K35" s="48"/>
      <c r="L35" s="48"/>
      <c r="AM35" s="3">
        <v>31</v>
      </c>
      <c r="AN35" s="3">
        <f t="shared" si="25"/>
        <v>1415.2124393731356</v>
      </c>
      <c r="AO35" s="7">
        <v>-1.1922838893951848E-7</v>
      </c>
      <c r="AP35" s="3">
        <f t="shared" si="26"/>
        <v>1415.2124412357807</v>
      </c>
      <c r="AQ35" s="7">
        <v>9.6870985544228461E-7</v>
      </c>
      <c r="AR35" s="3">
        <f t="shared" si="17"/>
        <v>1415.2124403044581</v>
      </c>
      <c r="AS35" s="7">
        <v>4.247403921908699E-7</v>
      </c>
      <c r="AT35" s="3">
        <f t="shared" si="18"/>
        <v>-5.0641112678456655E-14</v>
      </c>
      <c r="AU35" s="3">
        <f t="shared" si="19"/>
        <v>4.1145020391971685E-13</v>
      </c>
      <c r="AV35" s="3">
        <f t="shared" si="20"/>
        <v>1.862645149230957E-6</v>
      </c>
      <c r="AX35" s="61" t="s">
        <v>245</v>
      </c>
      <c r="AY35" s="4">
        <v>7.359375</v>
      </c>
      <c r="AZ35" s="27" t="s">
        <v>44</v>
      </c>
      <c r="BF35" s="3" t="s">
        <v>192</v>
      </c>
      <c r="BG35" s="38">
        <f>$AY$45*BG34*$AY$27/$AY$46</f>
        <v>3595266.8180089984</v>
      </c>
      <c r="BH35" s="27"/>
      <c r="BJ35" s="3" t="s">
        <v>192</v>
      </c>
      <c r="BK35" s="38">
        <f>$AY$45*BK34*$AY$27/$AY$46</f>
        <v>4004884.1187370066</v>
      </c>
      <c r="BL35" s="27"/>
      <c r="BN35" s="3" t="s">
        <v>39</v>
      </c>
      <c r="BO35" s="3">
        <f xml:space="preserve"> 4*BO30*SIN(BO23)*SIN(BO23) / (BO27*BO33)</f>
        <v>1.1886670737350953</v>
      </c>
      <c r="BP35" s="3"/>
      <c r="BR35" s="3" t="s">
        <v>39</v>
      </c>
      <c r="BS35" s="3">
        <f xml:space="preserve"> 4*BS30*SIN(BS23)*SIN(BS23) / (BS27*BS33)</f>
        <v>1.1683559110899144</v>
      </c>
      <c r="BT35" s="3"/>
      <c r="BV35" s="3"/>
      <c r="BW35" s="3"/>
      <c r="BX35" s="3"/>
      <c r="BY35" s="3"/>
      <c r="BZ35" s="3"/>
      <c r="CA35" s="3"/>
      <c r="CB35" s="3"/>
      <c r="CC35" s="3"/>
      <c r="CD35" s="3"/>
      <c r="CE35" s="3"/>
    </row>
    <row r="36" spans="2:94" x14ac:dyDescent="0.2">
      <c r="B36" s="7" t="s">
        <v>129</v>
      </c>
      <c r="C36" s="18">
        <v>9</v>
      </c>
      <c r="D36" s="7" t="s">
        <v>8</v>
      </c>
      <c r="F36" s="10" t="s">
        <v>118</v>
      </c>
      <c r="G36" s="18">
        <f>$C$13</f>
        <v>50</v>
      </c>
      <c r="H36" s="7" t="s">
        <v>10</v>
      </c>
      <c r="J36" s="7" t="s">
        <v>61</v>
      </c>
      <c r="K36" s="7">
        <f>ROUND($C$17/$C$5 * 100, 2)</f>
        <v>28.26</v>
      </c>
      <c r="L36" s="7" t="s">
        <v>62</v>
      </c>
      <c r="AM36" s="3">
        <v>32</v>
      </c>
      <c r="AN36" s="3">
        <f t="shared" si="25"/>
        <v>1415.2124393731356</v>
      </c>
      <c r="AO36" s="7">
        <v>-1.1922838893951848E-7</v>
      </c>
      <c r="AP36" s="3">
        <f t="shared" si="26"/>
        <v>1415.2124403044581</v>
      </c>
      <c r="AQ36" s="7">
        <v>4.247403921908699E-7</v>
      </c>
      <c r="AR36" s="3">
        <f t="shared" si="17"/>
        <v>1415.2124398387969</v>
      </c>
      <c r="AS36" s="7">
        <v>1.5275577425200026E-7</v>
      </c>
      <c r="AT36" s="3">
        <f t="shared" si="18"/>
        <v>-1.821282486527477E-14</v>
      </c>
      <c r="AU36" s="3">
        <f t="shared" si="19"/>
        <v>6.4881547465214578E-14</v>
      </c>
      <c r="AV36" s="3">
        <f t="shared" si="20"/>
        <v>9.3132257461547852E-7</v>
      </c>
      <c r="AX36" s="61"/>
      <c r="AY36" s="4">
        <v>5.8781249999999998</v>
      </c>
      <c r="AZ36" s="27" t="s">
        <v>44</v>
      </c>
      <c r="BF36" s="3" t="s">
        <v>196</v>
      </c>
      <c r="BG36" s="3">
        <f xml:space="preserve"> $BO$65 * PI() * $AY$45 * BG34^2 * $BO$71 * $AY$25 * BG31</f>
        <v>374.19519113478032</v>
      </c>
      <c r="BH36" s="27" t="s">
        <v>23</v>
      </c>
      <c r="BJ36" s="3" t="s">
        <v>196</v>
      </c>
      <c r="BK36" s="3">
        <f xml:space="preserve"> $BS$65 * PI() * $AY$45 * BK34^2 * $BS$71 * $AY$26 * BK31</f>
        <v>326.45848323485143</v>
      </c>
      <c r="BL36" s="27" t="s">
        <v>23</v>
      </c>
      <c r="BN36" s="3" t="s">
        <v>216</v>
      </c>
      <c r="BO36" s="3">
        <f xml:space="preserve"> 4*BO30*SIN(BO23)*COS(BO23) / (BO27*BO34)</f>
        <v>10.448622441420408</v>
      </c>
      <c r="BP36" s="3"/>
      <c r="BR36" s="3" t="s">
        <v>216</v>
      </c>
      <c r="BS36" s="3">
        <f xml:space="preserve"> 4*BS30*SIN(BS23)*COS(BS23) / (BS27*BS34)</f>
        <v>12.891481579162981</v>
      </c>
      <c r="BT36" s="3"/>
      <c r="BV36" s="59" t="s">
        <v>229</v>
      </c>
      <c r="BW36" s="59"/>
      <c r="BX36" s="59"/>
      <c r="BY36" s="59"/>
      <c r="BZ36" s="59"/>
      <c r="CA36" s="59"/>
      <c r="CB36" s="59"/>
      <c r="CC36" s="59"/>
      <c r="CD36" s="59"/>
      <c r="CE36" s="59"/>
      <c r="CG36" s="59" t="s">
        <v>230</v>
      </c>
      <c r="CH36" s="59"/>
      <c r="CI36" s="59"/>
      <c r="CJ36" s="59"/>
      <c r="CK36" s="59"/>
      <c r="CL36" s="59"/>
      <c r="CM36" s="59"/>
      <c r="CN36" s="59"/>
      <c r="CO36" s="59"/>
      <c r="CP36" s="59"/>
    </row>
    <row r="37" spans="2:94" x14ac:dyDescent="0.2">
      <c r="B37" s="7" t="s">
        <v>130</v>
      </c>
      <c r="C37" s="18">
        <v>1.8</v>
      </c>
      <c r="D37" s="7" t="s">
        <v>8</v>
      </c>
      <c r="F37" s="7" t="s">
        <v>100</v>
      </c>
      <c r="G37" s="18">
        <v>1.524</v>
      </c>
      <c r="H37" s="7" t="s">
        <v>10</v>
      </c>
      <c r="J37" s="12" t="s">
        <v>56</v>
      </c>
      <c r="K37" s="7">
        <f>ROUND(K17/$C$5 * 100, 2)</f>
        <v>21.63</v>
      </c>
      <c r="L37" s="7" t="s">
        <v>62</v>
      </c>
      <c r="AB37" s="17" t="s">
        <v>111</v>
      </c>
      <c r="AM37" s="3">
        <v>33</v>
      </c>
      <c r="AN37" s="3">
        <f t="shared" si="25"/>
        <v>1415.2124393731356</v>
      </c>
      <c r="AO37" s="7">
        <v>-1.1922838893951848E-7</v>
      </c>
      <c r="AP37" s="3">
        <f t="shared" si="26"/>
        <v>1415.2124398387969</v>
      </c>
      <c r="AQ37" s="7">
        <v>1.5275577425200026E-7</v>
      </c>
      <c r="AR37" s="3">
        <f t="shared" si="17"/>
        <v>1415.2124396059662</v>
      </c>
      <c r="AS37" s="7">
        <v>1.6763692656240892E-8</v>
      </c>
      <c r="AT37" s="3">
        <f t="shared" si="18"/>
        <v>-1.9987080680808387E-15</v>
      </c>
      <c r="AU37" s="3">
        <f t="shared" si="19"/>
        <v>2.5607508510266483E-15</v>
      </c>
      <c r="AV37" s="3">
        <f t="shared" si="20"/>
        <v>4.6566128730773926E-7</v>
      </c>
      <c r="AX37" s="61"/>
      <c r="AY37" s="4">
        <v>4.3968749999999996</v>
      </c>
      <c r="AZ37" s="27" t="s">
        <v>44</v>
      </c>
      <c r="BF37" s="3" t="s">
        <v>200</v>
      </c>
      <c r="BG37" s="3">
        <f xml:space="preserve"> $BO$65 * PI() * $AY$45 * BG34^2 * $BO$72 * $AY$25^2 * BG31</f>
        <v>77.198899790112407</v>
      </c>
      <c r="BH37" s="27" t="s">
        <v>201</v>
      </c>
      <c r="BJ37" s="3" t="s">
        <v>200</v>
      </c>
      <c r="BK37" s="3">
        <f xml:space="preserve"> $BS$65 * PI() * $AY$45 * BK34^2 * $BS$72 * $AY$26^2 * BK31</f>
        <v>76.848409136728321</v>
      </c>
      <c r="BL37" s="27" t="s">
        <v>201</v>
      </c>
      <c r="BN37" s="3" t="s">
        <v>46</v>
      </c>
      <c r="BO37" s="3">
        <f>1/(BO35-1)</f>
        <v>5.300341920838215</v>
      </c>
      <c r="BP37" s="3"/>
      <c r="BR37" s="3" t="s">
        <v>46</v>
      </c>
      <c r="BS37" s="3">
        <f>1/(BS35-1)</f>
        <v>5.9397973823795622</v>
      </c>
      <c r="BT37" s="3"/>
      <c r="BV37" s="8" t="s">
        <v>45</v>
      </c>
      <c r="BW37" s="8" t="s">
        <v>46</v>
      </c>
      <c r="BX37" s="8" t="s">
        <v>47</v>
      </c>
      <c r="BY37" s="8" t="s">
        <v>48</v>
      </c>
      <c r="BZ37" s="8" t="s">
        <v>49</v>
      </c>
      <c r="CA37" s="8" t="s">
        <v>50</v>
      </c>
      <c r="CB37" s="8" t="s">
        <v>51</v>
      </c>
      <c r="CC37" s="8" t="s">
        <v>52</v>
      </c>
      <c r="CD37" s="8" t="s">
        <v>53</v>
      </c>
      <c r="CE37" s="8" t="s">
        <v>54</v>
      </c>
      <c r="CG37" s="8" t="s">
        <v>45</v>
      </c>
      <c r="CH37" s="8" t="s">
        <v>46</v>
      </c>
      <c r="CI37" s="8" t="s">
        <v>47</v>
      </c>
      <c r="CJ37" s="8" t="s">
        <v>48</v>
      </c>
      <c r="CK37" s="8" t="s">
        <v>49</v>
      </c>
      <c r="CL37" s="8" t="s">
        <v>50</v>
      </c>
      <c r="CM37" s="8" t="s">
        <v>51</v>
      </c>
      <c r="CN37" s="8" t="s">
        <v>52</v>
      </c>
      <c r="CO37" s="8" t="s">
        <v>53</v>
      </c>
      <c r="CP37" s="8" t="s">
        <v>54</v>
      </c>
    </row>
    <row r="38" spans="2:94" x14ac:dyDescent="0.2">
      <c r="F38" s="7" t="s">
        <v>99</v>
      </c>
      <c r="G38" s="18">
        <v>304.8</v>
      </c>
      <c r="H38" s="7" t="s">
        <v>8</v>
      </c>
      <c r="J38" s="20" t="s">
        <v>84</v>
      </c>
      <c r="K38" s="7">
        <f>ROUND(SUM(K18:K21)/$C$5 * 100, 2)</f>
        <v>19.14</v>
      </c>
      <c r="L38" s="7" t="s">
        <v>62</v>
      </c>
      <c r="AB38" s="8" t="s">
        <v>45</v>
      </c>
      <c r="AC38" s="8" t="s">
        <v>46</v>
      </c>
      <c r="AD38" s="8" t="s">
        <v>47</v>
      </c>
      <c r="AE38" s="8" t="s">
        <v>48</v>
      </c>
      <c r="AF38" s="8" t="s">
        <v>49</v>
      </c>
      <c r="AG38" s="8" t="s">
        <v>50</v>
      </c>
      <c r="AH38" s="8" t="s">
        <v>51</v>
      </c>
      <c r="AI38" s="8" t="s">
        <v>52</v>
      </c>
      <c r="AJ38" s="8" t="s">
        <v>53</v>
      </c>
      <c r="AK38" s="8" t="s">
        <v>54</v>
      </c>
      <c r="AM38" s="3">
        <v>34</v>
      </c>
      <c r="AN38" s="3">
        <f t="shared" si="25"/>
        <v>1415.2124393731356</v>
      </c>
      <c r="AO38" s="7">
        <v>-1.1922838893951848E-7</v>
      </c>
      <c r="AP38" s="3">
        <f t="shared" si="26"/>
        <v>1415.2124396059662</v>
      </c>
      <c r="AQ38" s="7">
        <v>1.6763692656240892E-8</v>
      </c>
      <c r="AR38" s="3">
        <f t="shared" si="17"/>
        <v>1415.2124394895509</v>
      </c>
      <c r="AS38" s="7">
        <v>-5.1232177611382212E-8</v>
      </c>
      <c r="AT38" s="3">
        <f t="shared" si="18"/>
        <v>6.1083299984683694E-15</v>
      </c>
      <c r="AU38" s="3">
        <f t="shared" si="19"/>
        <v>-8.5884047958715702E-16</v>
      </c>
      <c r="AV38" s="3">
        <f t="shared" si="20"/>
        <v>2.3283064365386963E-7</v>
      </c>
      <c r="AX38" s="61"/>
      <c r="AY38" s="4">
        <v>2.9156249999999999</v>
      </c>
      <c r="AZ38" s="27" t="s">
        <v>44</v>
      </c>
      <c r="BN38" s="3" t="s">
        <v>219</v>
      </c>
      <c r="BO38" s="3">
        <f>1/(BO36+1)</f>
        <v>8.7346753298638086E-2</v>
      </c>
      <c r="BP38" s="3"/>
      <c r="BR38" s="3" t="s">
        <v>219</v>
      </c>
      <c r="BS38" s="3">
        <f>1/(BS36+1)</f>
        <v>7.1986562002139876E-2</v>
      </c>
      <c r="BT38" s="3"/>
      <c r="BV38" s="31">
        <v>0</v>
      </c>
      <c r="BW38" s="31"/>
      <c r="BX38" s="31">
        <f>$BO$39</f>
        <v>-1.7774052021857223E-9</v>
      </c>
      <c r="BY38" s="31"/>
      <c r="BZ38" s="31">
        <f>$BO$39</f>
        <v>-1.7774052021857223E-9</v>
      </c>
      <c r="CA38" s="31"/>
      <c r="CB38" s="31">
        <f>$BO$39</f>
        <v>-1.7774052021857223E-9</v>
      </c>
      <c r="CC38" s="31"/>
      <c r="CD38" s="31"/>
      <c r="CE38" s="31"/>
      <c r="CG38" s="31">
        <v>0</v>
      </c>
      <c r="CH38" s="31"/>
      <c r="CI38" s="31">
        <f>$BS$39</f>
        <v>-3.7739750907705982E-10</v>
      </c>
      <c r="CJ38" s="31"/>
      <c r="CK38" s="31">
        <f>$BS$39</f>
        <v>-3.7739750907705982E-10</v>
      </c>
      <c r="CL38" s="31"/>
      <c r="CM38" s="31">
        <f>$BS$39</f>
        <v>-3.7739750907705982E-10</v>
      </c>
      <c r="CN38" s="31"/>
      <c r="CO38" s="31"/>
      <c r="CP38" s="31"/>
    </row>
    <row r="39" spans="2:94" x14ac:dyDescent="0.2">
      <c r="B39" s="53" t="s">
        <v>131</v>
      </c>
      <c r="C39" s="53"/>
      <c r="D39" s="53"/>
      <c r="F39" s="7" t="s">
        <v>106</v>
      </c>
      <c r="G39" s="7">
        <f>$G$38/$G$37</f>
        <v>200</v>
      </c>
      <c r="H39" s="7" t="s">
        <v>14</v>
      </c>
      <c r="J39" s="21" t="s">
        <v>73</v>
      </c>
      <c r="K39" s="7">
        <f>ROUND(SUM(K22:K27)/$C$5 * 100, 2)</f>
        <v>26.26</v>
      </c>
      <c r="L39" s="7" t="s">
        <v>62</v>
      </c>
      <c r="AB39" s="3">
        <v>0</v>
      </c>
      <c r="AC39" s="4">
        <v>0</v>
      </c>
      <c r="AD39" s="3">
        <f t="shared" ref="AD39:AD69" si="27" xml:space="preserve"> $O$22 * TAN($O$19/180*PI()) + $O$23 / (2 * SQRT($O$22^2 + AC39^2)) - AC39</f>
        <v>0.66760092619935563</v>
      </c>
      <c r="AE39" s="4">
        <v>1</v>
      </c>
      <c r="AF39" s="3">
        <f t="shared" ref="AF39:AF69" si="28" xml:space="preserve"> $O$22 * TAN($O$19/180*PI()) + $O$23 / (2 * SQRT($O$22^2 + AE39^2)) - AE39</f>
        <v>-0.67318129652192005</v>
      </c>
      <c r="AG39" s="3">
        <f xml:space="preserve"> (AC39 + AE39)/2</f>
        <v>0.5</v>
      </c>
      <c r="AH39" s="3">
        <f t="shared" ref="AH39:AH69" si="29" xml:space="preserve"> $O$22 * TAN($O$19/180*PI()) + $O$23 / (2 * SQRT($O$22^2 + AG39^2)) - AG39</f>
        <v>-0.16348360115224819</v>
      </c>
      <c r="AI39" s="3">
        <f>AD39*AH39</f>
        <v>-0.10914180354764694</v>
      </c>
      <c r="AJ39" s="3">
        <f>AF39*AH39</f>
        <v>0.1100541025837429</v>
      </c>
      <c r="AK39" s="3">
        <f>AE39-AC39</f>
        <v>1</v>
      </c>
      <c r="AM39" s="3">
        <v>35</v>
      </c>
      <c r="AN39" s="3">
        <f t="shared" si="25"/>
        <v>1415.2124394895509</v>
      </c>
      <c r="AO39" s="7">
        <v>-5.1232177611382212E-8</v>
      </c>
      <c r="AP39" s="3">
        <f t="shared" si="26"/>
        <v>1415.2124396059662</v>
      </c>
      <c r="AQ39" s="7">
        <v>1.6763692656240892E-8</v>
      </c>
      <c r="AR39" s="3">
        <f t="shared" si="17"/>
        <v>1415.2124395477585</v>
      </c>
      <c r="AS39" s="7">
        <v>-1.723424247757066E-8</v>
      </c>
      <c r="AT39" s="3">
        <f t="shared" si="18"/>
        <v>8.829477716085279E-16</v>
      </c>
      <c r="AU39" s="3">
        <f t="shared" si="19"/>
        <v>-2.8890954405712611E-16</v>
      </c>
      <c r="AV39" s="3">
        <f t="shared" si="20"/>
        <v>1.1641532182693481E-7</v>
      </c>
      <c r="AX39" s="61"/>
      <c r="AY39" s="4">
        <v>1.434375</v>
      </c>
      <c r="AZ39" s="27" t="s">
        <v>44</v>
      </c>
      <c r="BN39" s="8" t="s">
        <v>221</v>
      </c>
      <c r="BO39" s="41">
        <f>SIN(BO23)/(1+BO37) - $AY$3*COS(BO23)/($BC$5*$AY$21*(1-BO38))</f>
        <v>-1.7774052021857223E-9</v>
      </c>
      <c r="BP39" s="41"/>
      <c r="BR39" s="8" t="s">
        <v>221</v>
      </c>
      <c r="BS39" s="41">
        <f>SIN(BS23)/(1+BS37) - $AY$3*COS(BS23)/($BC$5*$AY$22*(1-BS38))</f>
        <v>-3.7739750907705982E-10</v>
      </c>
      <c r="BT39" s="41"/>
      <c r="BV39" s="3">
        <v>1</v>
      </c>
      <c r="BW39" s="4">
        <f>0.01*PI()</f>
        <v>3.1415926535897934E-2</v>
      </c>
      <c r="BX39" s="3">
        <f t="dataTable" ref="BX39:BX68" dt2D="0" dtr="0" r1="BO23"/>
        <v>-2.5797421480167109</v>
      </c>
      <c r="BY39" s="4">
        <f>0.9*PI()</f>
        <v>2.8274333882308138</v>
      </c>
      <c r="BZ39" s="3">
        <f t="dataTable" ref="BZ39:BZ68" dt2D="0" dtr="0" r1="BO23" ca="1"/>
        <v>0.38836270936829137</v>
      </c>
      <c r="CA39" s="3">
        <f t="shared" ref="CA39:CA68" si="30">(BW39+BY39)/2</f>
        <v>1.4294246573833558</v>
      </c>
      <c r="CB39" s="3">
        <f t="dataTable" ref="CB39:CB68" dt2D="0" dtr="0" r1="BO23" ca="1"/>
        <v>1.1668385582313783</v>
      </c>
      <c r="CC39" s="3">
        <f t="shared" ref="CC39:CC68" si="31">BX39*CB39</f>
        <v>-3.0101426086005376</v>
      </c>
      <c r="CD39" s="3">
        <f t="shared" ref="CD39:CD68" si="32">BZ39*CB39</f>
        <v>0.45315658387012886</v>
      </c>
      <c r="CE39" s="3">
        <f t="shared" ref="CE39:CE68" si="33">BY39-BW39</f>
        <v>2.7960174616949161</v>
      </c>
      <c r="CG39" s="3">
        <v>1</v>
      </c>
      <c r="CH39" s="4">
        <f>0.01*PI()</f>
        <v>3.1415926535897934E-2</v>
      </c>
      <c r="CI39" s="3">
        <f t="dataTable" ref="CI39:CI68" dt2D="0" dtr="0" r1="BS23" ca="1"/>
        <v>-2.3969330464471272</v>
      </c>
      <c r="CJ39" s="4">
        <f>0.9*PI()</f>
        <v>2.8274333882308138</v>
      </c>
      <c r="CK39" s="3">
        <f t="dataTable" ref="CK39:CK68" dt2D="0" dtr="0" r1="BS23" ca="1"/>
        <v>0.36804155782289916</v>
      </c>
      <c r="CL39" s="3">
        <f t="shared" ref="CL39:CL68" si="34">(CH39+CJ39)/2</f>
        <v>1.4294246573833558</v>
      </c>
      <c r="CM39" s="3">
        <f t="dataTable" ref="CM39:CM68" dt2D="0" dtr="0" r1="BS23"/>
        <v>1.1439985476188232</v>
      </c>
      <c r="CN39" s="3">
        <f t="shared" ref="CN39:CN68" si="35">CI39*CM39</f>
        <v>-2.7420879238750748</v>
      </c>
      <c r="CO39" s="3">
        <f t="shared" ref="CO39:CO68" si="36">CK39*CM39</f>
        <v>0.4210390076127658</v>
      </c>
      <c r="CP39" s="3">
        <f t="shared" ref="CP39:CP68" si="37">CJ39-CH39</f>
        <v>2.7960174616949161</v>
      </c>
    </row>
    <row r="40" spans="2:94" x14ac:dyDescent="0.2">
      <c r="B40" s="7" t="s">
        <v>145</v>
      </c>
      <c r="C40" s="23" t="s">
        <v>146</v>
      </c>
      <c r="F40" s="7" t="s">
        <v>265</v>
      </c>
      <c r="G40" s="7">
        <f>W21*$C$9</f>
        <v>157.07963267948966</v>
      </c>
      <c r="H40" s="7" t="s">
        <v>10</v>
      </c>
      <c r="J40" s="16" t="s">
        <v>74</v>
      </c>
      <c r="K40" s="7">
        <f>ROUND(SUM(K28:K31)/$C$5*100, 2)</f>
        <v>4.71</v>
      </c>
      <c r="L40" s="7" t="s">
        <v>62</v>
      </c>
      <c r="AB40" s="3">
        <v>1</v>
      </c>
      <c r="AC40" s="3">
        <f>IF(AI39&gt;0, AG39, AC39)</f>
        <v>0</v>
      </c>
      <c r="AD40" s="3">
        <f t="shared" si="27"/>
        <v>0.66760092619935563</v>
      </c>
      <c r="AE40" s="3">
        <f>IF(AJ39&gt;0, AG39, AE39)</f>
        <v>0.5</v>
      </c>
      <c r="AF40" s="3">
        <f t="shared" si="28"/>
        <v>-0.16348360115224819</v>
      </c>
      <c r="AG40" s="3">
        <f t="shared" ref="AG40:AG69" si="38" xml:space="preserve"> (AC40 + AE40)/2</f>
        <v>0.25</v>
      </c>
      <c r="AH40" s="3">
        <f t="shared" si="29"/>
        <v>0.10575661408071535</v>
      </c>
      <c r="AI40" s="3">
        <f t="shared" ref="AI40:AI69" si="39">AD40*AH40</f>
        <v>7.0603213511993376E-2</v>
      </c>
      <c r="AJ40" s="3">
        <f t="shared" ref="AJ40:AJ69" si="40">AF40*AH40</f>
        <v>-1.7289472115583904E-2</v>
      </c>
      <c r="AK40" s="3">
        <f t="shared" ref="AK40:AK69" si="41">AE40-AC40</f>
        <v>0.5</v>
      </c>
      <c r="AM40" s="3">
        <v>36</v>
      </c>
      <c r="AN40" s="3">
        <f t="shared" si="25"/>
        <v>1415.2124395477585</v>
      </c>
      <c r="AO40" s="7">
        <v>-1.723424247757066E-8</v>
      </c>
      <c r="AP40" s="3">
        <f t="shared" si="26"/>
        <v>1415.2124396059662</v>
      </c>
      <c r="AQ40" s="7">
        <v>1.6763692656240892E-8</v>
      </c>
      <c r="AR40" s="3">
        <f t="shared" si="17"/>
        <v>1415.2124395768624</v>
      </c>
      <c r="AS40" s="7">
        <v>-2.3521806724602357E-10</v>
      </c>
      <c r="AT40" s="3">
        <f t="shared" si="18"/>
        <v>4.0538052060234914E-18</v>
      </c>
      <c r="AU40" s="3">
        <f t="shared" si="19"/>
        <v>-3.9431233865073415E-18</v>
      </c>
      <c r="AV40" s="3">
        <f t="shared" si="20"/>
        <v>5.8207660913467407E-8</v>
      </c>
      <c r="AX40" s="61"/>
      <c r="AY40" s="4">
        <v>-4.6875E-2</v>
      </c>
      <c r="AZ40" s="27" t="s">
        <v>44</v>
      </c>
      <c r="BV40" s="3">
        <v>2</v>
      </c>
      <c r="BW40" s="3">
        <f t="shared" ref="BW40:BW68" si="42">IF(CC39&gt;0,CA39,BW39)</f>
        <v>3.1415926535897934E-2</v>
      </c>
      <c r="BX40" s="3">
        <v>-2.5797421480167109</v>
      </c>
      <c r="BY40" s="3">
        <f t="shared" ref="BY40:BY68" si="43">IF(CD39&gt;0,CA39,BY39)</f>
        <v>1.4294246573833558</v>
      </c>
      <c r="BZ40" s="3">
        <v>1.1668385582313783</v>
      </c>
      <c r="CA40" s="3">
        <f t="shared" si="30"/>
        <v>0.73042029195962688</v>
      </c>
      <c r="CB40" s="3">
        <v>0.74241868409024259</v>
      </c>
      <c r="CC40" s="3">
        <f t="shared" si="31"/>
        <v>-1.9152487708227024</v>
      </c>
      <c r="CD40" s="3">
        <f t="shared" si="32"/>
        <v>0.86628274694789575</v>
      </c>
      <c r="CE40" s="3">
        <f t="shared" si="33"/>
        <v>1.3980087308474578</v>
      </c>
      <c r="CG40" s="3">
        <v>2</v>
      </c>
      <c r="CH40" s="3">
        <f t="shared" ref="CH40:CH68" si="44">IF(CN39&gt;0,CL39,CH39)</f>
        <v>3.1415926535897934E-2</v>
      </c>
      <c r="CI40" s="3">
        <v>-2.3969330464471272</v>
      </c>
      <c r="CJ40" s="3">
        <f t="shared" ref="CJ40:CJ68" si="45">IF(CO39&gt;0,CL39,CJ39)</f>
        <v>1.4294246573833558</v>
      </c>
      <c r="CK40" s="3">
        <v>1.1439985476188232</v>
      </c>
      <c r="CL40" s="3">
        <f t="shared" si="34"/>
        <v>0.73042029195962688</v>
      </c>
      <c r="CM40" s="3">
        <v>0.73294665084271904</v>
      </c>
      <c r="CN40" s="3">
        <f t="shared" si="35"/>
        <v>-1.7568240486876574</v>
      </c>
      <c r="CO40" s="3">
        <f t="shared" si="36"/>
        <v>0.83848990404615131</v>
      </c>
      <c r="CP40" s="3">
        <f t="shared" si="37"/>
        <v>1.3980087308474578</v>
      </c>
    </row>
    <row r="41" spans="2:94" x14ac:dyDescent="0.2">
      <c r="B41" s="7" t="s">
        <v>147</v>
      </c>
      <c r="C41" s="7">
        <f>IF(C40="wheeled",0.0325,0.014)</f>
        <v>3.2500000000000001E-2</v>
      </c>
      <c r="F41" s="7" t="s">
        <v>266</v>
      </c>
      <c r="G41" s="7">
        <f>G40/$C$67</f>
        <v>0.46143434115755327</v>
      </c>
      <c r="H41" s="7" t="s">
        <v>152</v>
      </c>
      <c r="J41" s="11" t="s">
        <v>63</v>
      </c>
      <c r="K41" s="11">
        <f>SUM(K36:K40)</f>
        <v>100</v>
      </c>
      <c r="L41" s="11" t="s">
        <v>62</v>
      </c>
      <c r="AB41" s="3">
        <v>2</v>
      </c>
      <c r="AC41" s="3">
        <f t="shared" ref="AC41:AC69" si="46">IF(AI40&gt;0, AG40, AC40)</f>
        <v>0.25</v>
      </c>
      <c r="AD41" s="3">
        <f t="shared" si="27"/>
        <v>0.10575661408071535</v>
      </c>
      <c r="AE41" s="3">
        <f t="shared" ref="AE41:AE69" si="47">IF(AJ40&gt;0, AG40, AE40)</f>
        <v>0.5</v>
      </c>
      <c r="AF41" s="3">
        <f t="shared" si="28"/>
        <v>-0.16348360115224819</v>
      </c>
      <c r="AG41" s="3">
        <f t="shared" si="38"/>
        <v>0.375</v>
      </c>
      <c r="AH41" s="3">
        <f t="shared" si="29"/>
        <v>-3.2041854920337953E-2</v>
      </c>
      <c r="AI41" s="3">
        <f t="shared" si="39"/>
        <v>-3.3886380852404512E-3</v>
      </c>
      <c r="AJ41" s="3">
        <f t="shared" si="40"/>
        <v>5.2383178299747315E-3</v>
      </c>
      <c r="AK41" s="3">
        <f t="shared" si="41"/>
        <v>0.25</v>
      </c>
      <c r="AM41" s="3">
        <v>37</v>
      </c>
      <c r="AN41" s="3">
        <f t="shared" si="25"/>
        <v>1415.2124395768624</v>
      </c>
      <c r="AO41" s="7">
        <v>-2.3521806724602357E-10</v>
      </c>
      <c r="AP41" s="3">
        <f t="shared" si="26"/>
        <v>1415.2124396059662</v>
      </c>
      <c r="AQ41" s="7">
        <v>1.6763692656240892E-8</v>
      </c>
      <c r="AR41" s="3">
        <f t="shared" si="17"/>
        <v>1415.2124395914143</v>
      </c>
      <c r="AS41" s="7">
        <v>8.2641236076597124E-9</v>
      </c>
      <c r="AT41" s="3">
        <f t="shared" si="18"/>
        <v>-1.9438711824759531E-18</v>
      </c>
      <c r="AU41" s="3">
        <f t="shared" si="19"/>
        <v>1.3853722823199211E-16</v>
      </c>
      <c r="AV41" s="3">
        <f t="shared" si="20"/>
        <v>2.9103830456733704E-8</v>
      </c>
      <c r="AX41" s="61"/>
      <c r="AY41" s="4">
        <v>-1.528125</v>
      </c>
      <c r="AZ41" s="27" t="s">
        <v>44</v>
      </c>
      <c r="BB41" s="24" t="s">
        <v>165</v>
      </c>
      <c r="BC41" s="64" t="s">
        <v>240</v>
      </c>
      <c r="BD41" s="64"/>
      <c r="BE41" s="25"/>
      <c r="BF41" s="25"/>
      <c r="BG41" s="25"/>
      <c r="BH41" s="25"/>
      <c r="BI41" s="25"/>
      <c r="BJ41" s="25"/>
      <c r="BK41" s="25"/>
      <c r="BL41" s="26"/>
      <c r="BN41" s="60" t="s">
        <v>222</v>
      </c>
      <c r="BO41" s="60"/>
      <c r="BP41" s="60"/>
      <c r="BQ41" s="3"/>
      <c r="BR41" s="60" t="s">
        <v>223</v>
      </c>
      <c r="BS41" s="60"/>
      <c r="BT41" s="60"/>
      <c r="BV41" s="3">
        <v>3</v>
      </c>
      <c r="BW41" s="3">
        <f t="shared" si="42"/>
        <v>3.1415926535897934E-2</v>
      </c>
      <c r="BX41" s="3">
        <v>-2.5797421480167109</v>
      </c>
      <c r="BY41" s="3">
        <f t="shared" si="43"/>
        <v>0.73042029195962688</v>
      </c>
      <c r="BZ41" s="3">
        <v>0.74241868409024259</v>
      </c>
      <c r="CA41" s="3">
        <f t="shared" si="30"/>
        <v>0.38091810924776243</v>
      </c>
      <c r="CB41" s="3">
        <v>0.195634159930864</v>
      </c>
      <c r="CC41" s="3">
        <f t="shared" si="31"/>
        <v>-0.50468568796549185</v>
      </c>
      <c r="CD41" s="3">
        <f t="shared" si="32"/>
        <v>0.14524245557897211</v>
      </c>
      <c r="CE41" s="3">
        <f t="shared" si="33"/>
        <v>0.6990043654237289</v>
      </c>
      <c r="CG41" s="3">
        <v>3</v>
      </c>
      <c r="CH41" s="3">
        <f t="shared" si="44"/>
        <v>3.1415926535897934E-2</v>
      </c>
      <c r="CI41" s="3">
        <v>-2.3969330464471272</v>
      </c>
      <c r="CJ41" s="3">
        <f t="shared" si="45"/>
        <v>0.73042029195962688</v>
      </c>
      <c r="CK41" s="3">
        <v>0.73294665084271904</v>
      </c>
      <c r="CL41" s="3">
        <f t="shared" si="34"/>
        <v>0.38091810924776243</v>
      </c>
      <c r="CM41" s="3">
        <v>0.26844565858282499</v>
      </c>
      <c r="CN41" s="3">
        <f t="shared" si="35"/>
        <v>-0.64344627023243606</v>
      </c>
      <c r="CO41" s="3">
        <f t="shared" si="36"/>
        <v>0.1967563463915496</v>
      </c>
      <c r="CP41" s="3">
        <f t="shared" si="37"/>
        <v>0.6990043654237289</v>
      </c>
    </row>
    <row r="42" spans="2:94" x14ac:dyDescent="0.2">
      <c r="B42" s="7" t="s">
        <v>132</v>
      </c>
      <c r="C42" s="18">
        <v>0.3</v>
      </c>
      <c r="D42" s="7" t="s">
        <v>8</v>
      </c>
      <c r="F42" s="7" t="s">
        <v>101</v>
      </c>
      <c r="G42" s="7">
        <f>SQRT($G$36^2-$G$37^2)</f>
        <v>49.976768843133506</v>
      </c>
      <c r="H42" s="7" t="s">
        <v>10</v>
      </c>
      <c r="AB42" s="3">
        <v>3</v>
      </c>
      <c r="AC42" s="3">
        <f>IF(AI41&gt;0, AG41, AC41)</f>
        <v>0.25</v>
      </c>
      <c r="AD42" s="3">
        <f t="shared" si="27"/>
        <v>0.10575661408071535</v>
      </c>
      <c r="AE42" s="3">
        <f t="shared" si="47"/>
        <v>0.375</v>
      </c>
      <c r="AF42" s="3">
        <f t="shared" si="28"/>
        <v>-3.2041854920337953E-2</v>
      </c>
      <c r="AG42" s="3">
        <f t="shared" si="38"/>
        <v>0.3125</v>
      </c>
      <c r="AH42" s="3">
        <f t="shared" si="29"/>
        <v>3.5592955831480644E-2</v>
      </c>
      <c r="AI42" s="3">
        <f t="shared" si="39"/>
        <v>3.7641904938618452E-3</v>
      </c>
      <c r="AJ42" s="3">
        <f t="shared" si="40"/>
        <v>-1.1404643269382995E-3</v>
      </c>
      <c r="AK42" s="3">
        <f t="shared" si="41"/>
        <v>0.125</v>
      </c>
      <c r="AM42" s="3">
        <v>38</v>
      </c>
      <c r="AN42" s="3">
        <f t="shared" si="25"/>
        <v>1415.2124395768624</v>
      </c>
      <c r="AO42" s="7">
        <v>-2.3521806724602357E-10</v>
      </c>
      <c r="AP42" s="3">
        <f t="shared" si="26"/>
        <v>1415.2124395914143</v>
      </c>
      <c r="AQ42" s="7">
        <v>8.2641236076597124E-9</v>
      </c>
      <c r="AR42" s="3">
        <f t="shared" si="17"/>
        <v>1415.2124395841383</v>
      </c>
      <c r="AS42" s="7">
        <v>4.0146233004634269E-9</v>
      </c>
      <c r="AT42" s="3">
        <f t="shared" si="18"/>
        <v>-9.4431193345585941E-19</v>
      </c>
      <c r="AU42" s="3">
        <f t="shared" si="19"/>
        <v>3.3177343193220557E-17</v>
      </c>
      <c r="AV42" s="3">
        <f t="shared" si="20"/>
        <v>1.4551915228366852E-8</v>
      </c>
      <c r="AX42" s="61"/>
      <c r="AY42" s="4">
        <v>-3.0093749999999999</v>
      </c>
      <c r="AZ42" s="27" t="s">
        <v>44</v>
      </c>
      <c r="BB42" s="28"/>
      <c r="BC42" s="62" t="s">
        <v>170</v>
      </c>
      <c r="BD42" s="62"/>
      <c r="BE42" s="62"/>
      <c r="BF42" s="62" t="s">
        <v>171</v>
      </c>
      <c r="BG42" s="62"/>
      <c r="BH42" s="62"/>
      <c r="BI42" s="62"/>
      <c r="BJ42" s="62" t="s">
        <v>172</v>
      </c>
      <c r="BK42" s="62"/>
      <c r="BL42" s="63"/>
      <c r="BN42" s="29" t="s">
        <v>176</v>
      </c>
      <c r="BO42" s="30">
        <f>CA102</f>
        <v>0.26317765563544177</v>
      </c>
      <c r="BP42" s="6" t="s">
        <v>177</v>
      </c>
      <c r="BQ42" s="3"/>
      <c r="BR42" s="29" t="s">
        <v>176</v>
      </c>
      <c r="BS42" s="30">
        <f>CL102</f>
        <v>0.24381588084540545</v>
      </c>
      <c r="BT42" s="6" t="s">
        <v>177</v>
      </c>
      <c r="BV42" s="3">
        <v>4</v>
      </c>
      <c r="BW42" s="3">
        <f t="shared" si="42"/>
        <v>3.1415926535897934E-2</v>
      </c>
      <c r="BX42" s="3">
        <v>-2.5797421480167109</v>
      </c>
      <c r="BY42" s="3">
        <f t="shared" si="43"/>
        <v>0.38091810924776243</v>
      </c>
      <c r="BZ42" s="3">
        <v>0.195634159930864</v>
      </c>
      <c r="CA42" s="3">
        <f t="shared" si="30"/>
        <v>0.20616701789183017</v>
      </c>
      <c r="CB42" s="3">
        <v>-0.48071402685946307</v>
      </c>
      <c r="CC42" s="3">
        <f t="shared" si="31"/>
        <v>1.2401182362321941</v>
      </c>
      <c r="CD42" s="3">
        <f t="shared" si="32"/>
        <v>-9.4044084811633857E-2</v>
      </c>
      <c r="CE42" s="3">
        <f t="shared" si="33"/>
        <v>0.34950218271186451</v>
      </c>
      <c r="CG42" s="3">
        <v>4</v>
      </c>
      <c r="CH42" s="3">
        <f t="shared" si="44"/>
        <v>3.1415926535897934E-2</v>
      </c>
      <c r="CI42" s="3">
        <v>-2.3969330464471272</v>
      </c>
      <c r="CJ42" s="3">
        <f t="shared" si="45"/>
        <v>0.38091810924776243</v>
      </c>
      <c r="CK42" s="3">
        <v>0.26844565858282499</v>
      </c>
      <c r="CL42" s="3">
        <f t="shared" si="34"/>
        <v>0.20616701789183017</v>
      </c>
      <c r="CM42" s="3">
        <v>-0.30946775900043921</v>
      </c>
      <c r="CN42" s="3">
        <f t="shared" si="35"/>
        <v>0.74177349835808815</v>
      </c>
      <c r="CO42" s="3">
        <f t="shared" si="36"/>
        <v>-8.3075276375023863E-2</v>
      </c>
      <c r="CP42" s="3">
        <f t="shared" si="37"/>
        <v>0.34950218271186451</v>
      </c>
    </row>
    <row r="43" spans="2:94" x14ac:dyDescent="0.2">
      <c r="B43" s="7" t="s">
        <v>133</v>
      </c>
      <c r="C43" s="18">
        <v>5.7</v>
      </c>
      <c r="F43" s="7" t="s">
        <v>102</v>
      </c>
      <c r="G43" s="7">
        <f>$G$42 * ($G$38/$G$37)</f>
        <v>9995.3537686267009</v>
      </c>
      <c r="H43" s="7" t="s">
        <v>8</v>
      </c>
      <c r="J43" s="53" t="s">
        <v>137</v>
      </c>
      <c r="K43" s="53"/>
      <c r="L43" s="53"/>
      <c r="AB43" s="3">
        <v>4</v>
      </c>
      <c r="AC43" s="3">
        <f t="shared" si="46"/>
        <v>0.3125</v>
      </c>
      <c r="AD43" s="3">
        <f t="shared" si="27"/>
        <v>3.5592955831480644E-2</v>
      </c>
      <c r="AE43" s="3">
        <f t="shared" si="47"/>
        <v>0.375</v>
      </c>
      <c r="AF43" s="3">
        <f t="shared" si="28"/>
        <v>-3.2041854920337953E-2</v>
      </c>
      <c r="AG43" s="3">
        <f t="shared" si="38"/>
        <v>0.34375</v>
      </c>
      <c r="AH43" s="3">
        <f t="shared" si="29"/>
        <v>1.5444280045294745E-3</v>
      </c>
      <c r="AI43" s="3">
        <f t="shared" si="39"/>
        <v>5.4970757750119376E-5</v>
      </c>
      <c r="AJ43" s="3">
        <f t="shared" si="40"/>
        <v>-4.948633805604047E-5</v>
      </c>
      <c r="AK43" s="3">
        <f t="shared" si="41"/>
        <v>6.25E-2</v>
      </c>
      <c r="AM43" s="3">
        <v>39</v>
      </c>
      <c r="AN43" s="3">
        <f t="shared" si="25"/>
        <v>1415.2124395768624</v>
      </c>
      <c r="AO43" s="7">
        <v>-2.3521806724602357E-10</v>
      </c>
      <c r="AP43" s="3">
        <f t="shared" si="26"/>
        <v>1415.2124395841383</v>
      </c>
      <c r="AQ43" s="7">
        <v>4.0146233004634269E-9</v>
      </c>
      <c r="AR43" s="3">
        <f t="shared" si="17"/>
        <v>1415.2124395805004</v>
      </c>
      <c r="AS43" s="7">
        <v>1.8898163034464233E-9</v>
      </c>
      <c r="AT43" s="3">
        <f t="shared" si="18"/>
        <v>-4.4451893834669246E-19</v>
      </c>
      <c r="AU43" s="3">
        <f t="shared" si="19"/>
        <v>7.5869005654116728E-18</v>
      </c>
      <c r="AV43" s="3">
        <f t="shared" si="20"/>
        <v>7.2759576141834259E-9</v>
      </c>
      <c r="AX43" s="3"/>
      <c r="AY43" s="3"/>
      <c r="AZ43" s="27"/>
      <c r="BB43" s="28"/>
      <c r="BC43" s="5" t="s">
        <v>178</v>
      </c>
      <c r="BD43" s="3">
        <v>-180</v>
      </c>
      <c r="BE43" s="3">
        <v>-9.5</v>
      </c>
      <c r="BF43" s="62" t="s">
        <v>178</v>
      </c>
      <c r="BG43" s="62"/>
      <c r="BH43" s="3">
        <v>-9.5</v>
      </c>
      <c r="BI43" s="3">
        <v>18.5</v>
      </c>
      <c r="BJ43" s="5" t="s">
        <v>178</v>
      </c>
      <c r="BK43" s="3">
        <v>18.5</v>
      </c>
      <c r="BL43" s="32">
        <v>180</v>
      </c>
      <c r="BN43" s="3" t="s">
        <v>181</v>
      </c>
      <c r="BO43" s="3">
        <f>($AY$39+$AY$5)/180*PI()</f>
        <v>0.37410041685715956</v>
      </c>
      <c r="BP43" s="3" t="s">
        <v>177</v>
      </c>
      <c r="BQ43" s="3"/>
      <c r="BR43" s="3" t="s">
        <v>181</v>
      </c>
      <c r="BS43" s="3">
        <f>($AY$40+$AY$5)/180*PI()</f>
        <v>0.34824772731199355</v>
      </c>
      <c r="BT43" s="3" t="s">
        <v>177</v>
      </c>
      <c r="BV43" s="3">
        <v>5</v>
      </c>
      <c r="BW43" s="3">
        <f t="shared" si="42"/>
        <v>0.20616701789183017</v>
      </c>
      <c r="BX43" s="3">
        <v>-0.48071402685946307</v>
      </c>
      <c r="BY43" s="3">
        <f t="shared" si="43"/>
        <v>0.38091810924776243</v>
      </c>
      <c r="BZ43" s="3">
        <v>0.195634159930864</v>
      </c>
      <c r="CA43" s="3">
        <f t="shared" si="30"/>
        <v>0.2935425635697963</v>
      </c>
      <c r="CB43" s="3">
        <v>-0.10602680655575128</v>
      </c>
      <c r="CC43" s="3">
        <f t="shared" si="31"/>
        <v>5.0968573134464519E-2</v>
      </c>
      <c r="CD43" s="3">
        <f t="shared" si="32"/>
        <v>-2.0742465230686624E-2</v>
      </c>
      <c r="CE43" s="3">
        <f t="shared" si="33"/>
        <v>0.17475109135593225</v>
      </c>
      <c r="CG43" s="3">
        <v>5</v>
      </c>
      <c r="CH43" s="3">
        <f t="shared" si="44"/>
        <v>0.20616701789183017</v>
      </c>
      <c r="CI43" s="3">
        <v>-0.30946775900043921</v>
      </c>
      <c r="CJ43" s="3">
        <f t="shared" si="45"/>
        <v>0.38091810924776243</v>
      </c>
      <c r="CK43" s="3">
        <v>0.26844565858282499</v>
      </c>
      <c r="CL43" s="3">
        <f t="shared" si="34"/>
        <v>0.2935425635697963</v>
      </c>
      <c r="CM43" s="3">
        <v>1.4736820796022392E-2</v>
      </c>
      <c r="CN43" s="3">
        <f t="shared" si="35"/>
        <v>-4.5605709065361186E-3</v>
      </c>
      <c r="CO43" s="3">
        <f t="shared" si="36"/>
        <v>3.9560355640053018E-3</v>
      </c>
      <c r="CP43" s="3">
        <f t="shared" si="37"/>
        <v>0.17475109135593225</v>
      </c>
    </row>
    <row r="44" spans="2:94" x14ac:dyDescent="0.2">
      <c r="F44" s="7" t="s">
        <v>116</v>
      </c>
      <c r="G44" s="7">
        <f>ATAN(G37/G42)/PI()*180</f>
        <v>1.7466458786346903</v>
      </c>
      <c r="H44" s="7" t="s">
        <v>44</v>
      </c>
      <c r="J44" s="7" t="s">
        <v>61</v>
      </c>
      <c r="K44" s="7">
        <f>C17</f>
        <v>400</v>
      </c>
      <c r="L44" s="7" t="s">
        <v>7</v>
      </c>
      <c r="AB44" s="3">
        <v>5</v>
      </c>
      <c r="AC44" s="3">
        <f t="shared" si="46"/>
        <v>0.34375</v>
      </c>
      <c r="AD44" s="3">
        <f t="shared" si="27"/>
        <v>1.5444280045294745E-3</v>
      </c>
      <c r="AE44" s="3">
        <f t="shared" si="47"/>
        <v>0.375</v>
      </c>
      <c r="AF44" s="3">
        <f t="shared" si="28"/>
        <v>-3.2041854920337953E-2</v>
      </c>
      <c r="AG44" s="3">
        <f t="shared" si="38"/>
        <v>0.359375</v>
      </c>
      <c r="AH44" s="3">
        <f t="shared" si="29"/>
        <v>-1.5299050342756859E-2</v>
      </c>
      <c r="AI44" s="3">
        <f t="shared" si="39"/>
        <v>-2.362828179205995E-5</v>
      </c>
      <c r="AJ44" s="3">
        <f t="shared" si="40"/>
        <v>4.9020995150156192E-4</v>
      </c>
      <c r="AK44" s="3">
        <f t="shared" si="41"/>
        <v>3.125E-2</v>
      </c>
      <c r="AM44" s="3">
        <v>40</v>
      </c>
      <c r="AN44" s="3">
        <f t="shared" si="25"/>
        <v>1415.2124395768624</v>
      </c>
      <c r="AO44" s="7">
        <v>-2.3521806724602357E-10</v>
      </c>
      <c r="AP44" s="3">
        <f t="shared" si="26"/>
        <v>1415.2124395805004</v>
      </c>
      <c r="AQ44" s="7">
        <v>1.8898163034464233E-9</v>
      </c>
      <c r="AR44" s="6">
        <f t="shared" si="17"/>
        <v>1415.2124395786814</v>
      </c>
      <c r="AS44" s="7">
        <v>8.2741280493792146E-10</v>
      </c>
      <c r="AT44" s="3">
        <f t="shared" si="18"/>
        <v>-1.9462244079210899E-19</v>
      </c>
      <c r="AU44" s="3">
        <f t="shared" si="19"/>
        <v>1.5636582084520192E-18</v>
      </c>
      <c r="AV44" s="3">
        <f t="shared" si="20"/>
        <v>3.637978807091713E-9</v>
      </c>
      <c r="AX44" s="59" t="s">
        <v>231</v>
      </c>
      <c r="AY44" s="59"/>
      <c r="AZ44" s="59"/>
      <c r="BB44" s="33" t="s">
        <v>182</v>
      </c>
      <c r="BC44" s="3">
        <v>-4.9719999999999998E-5</v>
      </c>
      <c r="BD44" s="3">
        <v>-9.4228200000000002E-3</v>
      </c>
      <c r="BE44" s="3">
        <v>-0.58952914000000001</v>
      </c>
      <c r="BF44" s="3">
        <v>-2.3201E-4</v>
      </c>
      <c r="BG44" s="3">
        <v>1.5145600000000001E-3</v>
      </c>
      <c r="BH44" s="3">
        <v>0.11609899</v>
      </c>
      <c r="BI44" s="3">
        <v>0.17357117999999999</v>
      </c>
      <c r="BJ44" s="3">
        <v>6.9132000000000004E-4</v>
      </c>
      <c r="BK44" s="3">
        <v>-0.13722607000000001</v>
      </c>
      <c r="BL44" s="32">
        <v>3.6431797299999999</v>
      </c>
      <c r="BN44" s="3" t="s">
        <v>29</v>
      </c>
      <c r="BO44" s="3">
        <f>BO43-BO42</f>
        <v>0.11092276122171779</v>
      </c>
      <c r="BP44" s="3" t="s">
        <v>177</v>
      </c>
      <c r="BQ44" s="3"/>
      <c r="BR44" s="3" t="s">
        <v>29</v>
      </c>
      <c r="BS44" s="3">
        <f>BS43-BS42</f>
        <v>0.1044318464665881</v>
      </c>
      <c r="BT44" s="3" t="s">
        <v>177</v>
      </c>
      <c r="BV44" s="3">
        <v>6</v>
      </c>
      <c r="BW44" s="3">
        <f t="shared" si="42"/>
        <v>0.2935425635697963</v>
      </c>
      <c r="BX44" s="3">
        <v>-0.10602680655575128</v>
      </c>
      <c r="BY44" s="3">
        <f t="shared" si="43"/>
        <v>0.38091810924776243</v>
      </c>
      <c r="BZ44" s="3">
        <v>0.195634159930864</v>
      </c>
      <c r="CA44" s="3">
        <f t="shared" si="30"/>
        <v>0.33723033640877936</v>
      </c>
      <c r="CB44" s="3">
        <v>5.2799475292019234E-2</v>
      </c>
      <c r="CC44" s="3">
        <f t="shared" si="31"/>
        <v>-5.5981597530320925E-3</v>
      </c>
      <c r="CD44" s="3">
        <f t="shared" si="32"/>
        <v>1.0329380993544593E-2</v>
      </c>
      <c r="CE44" s="3">
        <f t="shared" si="33"/>
        <v>8.7375545677966127E-2</v>
      </c>
      <c r="CG44" s="3">
        <v>6</v>
      </c>
      <c r="CH44" s="3">
        <f t="shared" si="44"/>
        <v>0.20616701789183017</v>
      </c>
      <c r="CI44" s="3">
        <v>-0.30946775900043921</v>
      </c>
      <c r="CJ44" s="3">
        <f t="shared" si="45"/>
        <v>0.2935425635697963</v>
      </c>
      <c r="CK44" s="3">
        <v>1.4736820796022392E-2</v>
      </c>
      <c r="CL44" s="3">
        <f t="shared" si="34"/>
        <v>0.24985479073081324</v>
      </c>
      <c r="CM44" s="3">
        <v>-0.13607160385512199</v>
      </c>
      <c r="CN44" s="3">
        <f t="shared" si="35"/>
        <v>4.2109774308640123E-2</v>
      </c>
      <c r="CO44" s="3">
        <f t="shared" si="36"/>
        <v>-2.0052628414402823E-3</v>
      </c>
      <c r="CP44" s="3">
        <f t="shared" si="37"/>
        <v>8.7375545677966127E-2</v>
      </c>
    </row>
    <row r="45" spans="2:94" x14ac:dyDescent="0.2">
      <c r="B45" s="53" t="s">
        <v>274</v>
      </c>
      <c r="C45" s="53"/>
      <c r="D45" s="53"/>
      <c r="F45" s="7" t="s">
        <v>119</v>
      </c>
      <c r="G45" s="7">
        <f>1/1000 * (W25 + W20 * (W30 * W27 + $G$36 * SIN(W19/180*PI())))</f>
        <v>50.044768646480662</v>
      </c>
      <c r="H45" s="7" t="s">
        <v>124</v>
      </c>
      <c r="J45" s="12" t="s">
        <v>56</v>
      </c>
      <c r="K45" s="7">
        <f>ROUND(K17, 2)</f>
        <v>306.08999999999997</v>
      </c>
      <c r="L45" s="7" t="s">
        <v>7</v>
      </c>
      <c r="AB45" s="3">
        <v>6</v>
      </c>
      <c r="AC45" s="3">
        <f t="shared" si="46"/>
        <v>0.34375</v>
      </c>
      <c r="AD45" s="3">
        <f t="shared" si="27"/>
        <v>1.5444280045294745E-3</v>
      </c>
      <c r="AE45" s="3">
        <f t="shared" si="47"/>
        <v>0.359375</v>
      </c>
      <c r="AF45" s="3">
        <f t="shared" si="28"/>
        <v>-1.5299050342756859E-2</v>
      </c>
      <c r="AG45" s="3">
        <f t="shared" si="38"/>
        <v>0.3515625</v>
      </c>
      <c r="AH45" s="3">
        <f t="shared" si="29"/>
        <v>-6.8907240988795304E-3</v>
      </c>
      <c r="AI45" s="3">
        <f t="shared" si="39"/>
        <v>-1.0642227269795674E-5</v>
      </c>
      <c r="AJ45" s="3">
        <f t="shared" si="40"/>
        <v>1.0542153488680583E-4</v>
      </c>
      <c r="AK45" s="3">
        <f t="shared" si="41"/>
        <v>1.5625E-2</v>
      </c>
      <c r="AX45" s="3" t="s">
        <v>20</v>
      </c>
      <c r="AY45" s="3">
        <f>$C$65</f>
        <v>1.2250000000000001</v>
      </c>
      <c r="AZ45" s="27" t="s">
        <v>16</v>
      </c>
      <c r="BB45" s="35" t="s">
        <v>186</v>
      </c>
      <c r="BC45" s="36">
        <v>-1.4875000000000001E-4</v>
      </c>
      <c r="BD45" s="36">
        <v>-2.818766E-2</v>
      </c>
      <c r="BE45" s="36">
        <v>-0.15965826999999999</v>
      </c>
      <c r="BF45" s="36">
        <v>-4.4100000000000001E-6</v>
      </c>
      <c r="BG45" s="36">
        <v>3.8060999999999998E-4</v>
      </c>
      <c r="BH45" s="36">
        <v>-2.2518899999999999E-3</v>
      </c>
      <c r="BI45" s="36">
        <v>6.2865899999999999E-3</v>
      </c>
      <c r="BJ45" s="36">
        <v>-2.0911000000000001E-4</v>
      </c>
      <c r="BK45" s="36">
        <v>4.150877E-2</v>
      </c>
      <c r="BL45" s="37">
        <v>-0.59881362999999999</v>
      </c>
      <c r="BN45" s="3" t="s">
        <v>190</v>
      </c>
      <c r="BO45" s="3">
        <f>BO44/PI()*180</f>
        <v>6.3554060699418207</v>
      </c>
      <c r="BP45" s="3" t="s">
        <v>44</v>
      </c>
      <c r="BQ45" s="3"/>
      <c r="BR45" s="3" t="s">
        <v>190</v>
      </c>
      <c r="BS45" s="3">
        <f>BS44/PI()*180</f>
        <v>5.9835040492936971</v>
      </c>
      <c r="BT45" s="3" t="s">
        <v>44</v>
      </c>
      <c r="BV45" s="3">
        <v>7</v>
      </c>
      <c r="BW45" s="3">
        <f t="shared" si="42"/>
        <v>0.2935425635697963</v>
      </c>
      <c r="BX45" s="3">
        <v>-0.10602680655575128</v>
      </c>
      <c r="BY45" s="3">
        <f t="shared" si="43"/>
        <v>0.33723033640877936</v>
      </c>
      <c r="BZ45" s="3">
        <v>5.2799475292019234E-2</v>
      </c>
      <c r="CA45" s="3">
        <f t="shared" si="30"/>
        <v>0.31538644998928783</v>
      </c>
      <c r="CB45" s="3">
        <v>-2.4568412605547998E-2</v>
      </c>
      <c r="CC45" s="3">
        <f t="shared" si="31"/>
        <v>2.6049103307103187E-3</v>
      </c>
      <c r="CD45" s="3">
        <f t="shared" si="32"/>
        <v>-1.2971992943307655E-3</v>
      </c>
      <c r="CE45" s="3">
        <f t="shared" si="33"/>
        <v>4.3687772838983063E-2</v>
      </c>
      <c r="CG45" s="3">
        <v>7</v>
      </c>
      <c r="CH45" s="3">
        <f t="shared" si="44"/>
        <v>0.24985479073081324</v>
      </c>
      <c r="CI45" s="3">
        <v>-0.13607160385512199</v>
      </c>
      <c r="CJ45" s="3">
        <f t="shared" si="45"/>
        <v>0.2935425635697963</v>
      </c>
      <c r="CK45" s="3">
        <v>1.4736820796022392E-2</v>
      </c>
      <c r="CL45" s="3">
        <f t="shared" si="34"/>
        <v>0.27169867715030477</v>
      </c>
      <c r="CM45" s="3">
        <v>-5.8332065978878148E-2</v>
      </c>
      <c r="CN45" s="3">
        <f t="shared" si="35"/>
        <v>7.9373377739287466E-3</v>
      </c>
      <c r="CO45" s="3">
        <f t="shared" si="36"/>
        <v>-8.5962920299248176E-4</v>
      </c>
      <c r="CP45" s="3">
        <f t="shared" si="37"/>
        <v>4.3687772838983063E-2</v>
      </c>
    </row>
    <row r="46" spans="2:94" x14ac:dyDescent="0.2">
      <c r="B46" s="7" t="s">
        <v>133</v>
      </c>
      <c r="C46" s="18">
        <v>3</v>
      </c>
      <c r="F46" s="44" t="s">
        <v>107</v>
      </c>
      <c r="G46" s="44">
        <f>$C$28*G45</f>
        <v>50.044768646480662</v>
      </c>
      <c r="H46" s="44" t="s">
        <v>124</v>
      </c>
      <c r="J46" s="20" t="s">
        <v>84</v>
      </c>
      <c r="K46" s="7">
        <f>ROUND(SUM(K18:K21), 2)</f>
        <v>270.83999999999997</v>
      </c>
      <c r="L46" s="7" t="s">
        <v>7</v>
      </c>
      <c r="AB46" s="3">
        <v>7</v>
      </c>
      <c r="AC46" s="3">
        <f t="shared" si="46"/>
        <v>0.34375</v>
      </c>
      <c r="AD46" s="3">
        <f t="shared" si="27"/>
        <v>1.5444280045294745E-3</v>
      </c>
      <c r="AE46" s="3">
        <f t="shared" si="47"/>
        <v>0.3515625</v>
      </c>
      <c r="AF46" s="3">
        <f t="shared" si="28"/>
        <v>-6.8907240988795304E-3</v>
      </c>
      <c r="AG46" s="3">
        <f t="shared" si="38"/>
        <v>0.34765625</v>
      </c>
      <c r="AH46" s="3">
        <f t="shared" si="29"/>
        <v>-2.6766128888580654E-3</v>
      </c>
      <c r="AI46" s="3">
        <f t="shared" si="39"/>
        <v>-4.1338359028369339E-6</v>
      </c>
      <c r="AJ46" s="3">
        <f t="shared" si="40"/>
        <v>1.8443800936625829E-5</v>
      </c>
      <c r="AK46" s="3">
        <f t="shared" si="41"/>
        <v>7.8125E-3</v>
      </c>
      <c r="AX46" s="3" t="s">
        <v>32</v>
      </c>
      <c r="AY46" s="38">
        <f>$C$66</f>
        <v>1.7893802780775801E-5</v>
      </c>
      <c r="AZ46" s="27" t="s">
        <v>232</v>
      </c>
      <c r="BN46" s="3" t="s">
        <v>193</v>
      </c>
      <c r="BO46" s="3">
        <f xml:space="preserve"> $AY$8*$AY$31 / (2*PI()*$AY$23)</f>
        <v>0.23280121002319465</v>
      </c>
      <c r="BP46" s="3"/>
      <c r="BQ46" s="3"/>
      <c r="BR46" s="3" t="s">
        <v>193</v>
      </c>
      <c r="BS46" s="3">
        <f xml:space="preserve"> $AY$8*$AY$32 / (2*PI()*$AY$24)</f>
        <v>0.1949115247033035</v>
      </c>
      <c r="BT46" s="3"/>
      <c r="BV46" s="3">
        <v>8</v>
      </c>
      <c r="BW46" s="3">
        <f t="shared" si="42"/>
        <v>0.31538644998928783</v>
      </c>
      <c r="BX46" s="3">
        <v>-2.4568412605547998E-2</v>
      </c>
      <c r="BY46" s="3">
        <f t="shared" si="43"/>
        <v>0.33723033640877936</v>
      </c>
      <c r="BZ46" s="3">
        <v>5.2799475292019234E-2</v>
      </c>
      <c r="CA46" s="3">
        <f t="shared" si="30"/>
        <v>0.3263083931990336</v>
      </c>
      <c r="CB46" s="3">
        <v>1.4617190085531091E-2</v>
      </c>
      <c r="CC46" s="3">
        <f t="shared" si="31"/>
        <v>-3.591211571550533E-4</v>
      </c>
      <c r="CD46" s="3">
        <f t="shared" si="32"/>
        <v>7.7177996675974734E-4</v>
      </c>
      <c r="CE46" s="3">
        <f t="shared" si="33"/>
        <v>2.1843886419491532E-2</v>
      </c>
      <c r="CG46" s="3">
        <v>8</v>
      </c>
      <c r="CH46" s="3">
        <f t="shared" si="44"/>
        <v>0.27169867715030477</v>
      </c>
      <c r="CI46" s="3">
        <v>-5.8332065978878148E-2</v>
      </c>
      <c r="CJ46" s="3">
        <f t="shared" si="45"/>
        <v>0.2935425635697963</v>
      </c>
      <c r="CK46" s="3">
        <v>1.4736820796022392E-2</v>
      </c>
      <c r="CL46" s="3">
        <f t="shared" si="34"/>
        <v>0.28262062036005053</v>
      </c>
      <c r="CM46" s="3">
        <v>-2.1254253398076406E-2</v>
      </c>
      <c r="CN46" s="3">
        <f t="shared" si="35"/>
        <v>1.239804511548388E-3</v>
      </c>
      <c r="CO46" s="3">
        <f t="shared" si="36"/>
        <v>-3.1322012348070197E-4</v>
      </c>
      <c r="CP46" s="3">
        <f t="shared" si="37"/>
        <v>2.1843886419491532E-2</v>
      </c>
    </row>
    <row r="47" spans="2:94" x14ac:dyDescent="0.2">
      <c r="J47" s="21" t="s">
        <v>73</v>
      </c>
      <c r="K47" s="7">
        <f>ROUND(SUM(K22:K27), 2)</f>
        <v>371.59</v>
      </c>
      <c r="L47" s="7" t="s">
        <v>7</v>
      </c>
      <c r="AB47" s="3">
        <v>8</v>
      </c>
      <c r="AC47" s="3">
        <f t="shared" si="46"/>
        <v>0.34375</v>
      </c>
      <c r="AD47" s="3">
        <f t="shared" si="27"/>
        <v>1.5444280045294745E-3</v>
      </c>
      <c r="AE47" s="3">
        <f t="shared" si="47"/>
        <v>0.34765625</v>
      </c>
      <c r="AF47" s="3">
        <f t="shared" si="28"/>
        <v>-2.6766128888580654E-3</v>
      </c>
      <c r="AG47" s="3">
        <f t="shared" si="38"/>
        <v>0.345703125</v>
      </c>
      <c r="AH47" s="3">
        <f t="shared" si="29"/>
        <v>-5.6697314670983712E-4</v>
      </c>
      <c r="AI47" s="3">
        <f t="shared" si="39"/>
        <v>-8.7564920559487072E-7</v>
      </c>
      <c r="AJ47" s="3">
        <f t="shared" si="40"/>
        <v>1.5175676321199648E-6</v>
      </c>
      <c r="AK47" s="3">
        <f t="shared" si="41"/>
        <v>3.90625E-3</v>
      </c>
      <c r="AM47" s="65" t="s">
        <v>244</v>
      </c>
      <c r="AN47" s="65"/>
      <c r="AO47" s="65"/>
      <c r="AP47" s="65"/>
      <c r="AQ47" s="3"/>
      <c r="AR47" s="3"/>
      <c r="AS47" s="3"/>
      <c r="AT47" s="3"/>
      <c r="AU47" s="3"/>
      <c r="AV47" s="3"/>
      <c r="BN47" s="3" t="s">
        <v>197</v>
      </c>
      <c r="BO47" s="3">
        <f>IF(-$AY$8*($BC$3-$AY$23)/(2*$AY$23*SIN(BO42))&gt;500, 1, 2*ACOS(MIN(1, EXP(-$AY$8*($BC$3-$AY$23)/(2*$AY$23*SIN(BO42)))))/PI() )</f>
        <v>0.91616998299109376</v>
      </c>
      <c r="BP47" s="3"/>
      <c r="BQ47" s="3"/>
      <c r="BR47" s="3" t="s">
        <v>197</v>
      </c>
      <c r="BS47" s="3">
        <f>IF(-$AY$8*($BC$3-$AY$24)/(2*$AY$24*SIN(BS42))&gt;500, 1, 2*ACOS(MIN(1, EXP(-$AY$8*($BC$3-$AY$24)/(2*$AY$24*SIN(BS42)))))/PI() )</f>
        <v>0.83439554832014007</v>
      </c>
      <c r="BT47" s="3"/>
      <c r="BV47" s="3">
        <v>9</v>
      </c>
      <c r="BW47" s="3">
        <f t="shared" si="42"/>
        <v>0.31538644998928783</v>
      </c>
      <c r="BX47" s="3">
        <v>-2.4568412605547998E-2</v>
      </c>
      <c r="BY47" s="3">
        <f t="shared" si="43"/>
        <v>0.3263083931990336</v>
      </c>
      <c r="BZ47" s="3">
        <v>1.4617190085531091E-2</v>
      </c>
      <c r="CA47" s="3">
        <f t="shared" si="30"/>
        <v>0.32084742159416069</v>
      </c>
      <c r="CB47" s="3">
        <v>-4.8492761958692024E-3</v>
      </c>
      <c r="CC47" s="3">
        <f t="shared" si="31"/>
        <v>1.1913901841837675E-4</v>
      </c>
      <c r="CD47" s="3">
        <f t="shared" si="32"/>
        <v>-7.0882791932261227E-5</v>
      </c>
      <c r="CE47" s="3">
        <f t="shared" si="33"/>
        <v>1.0921943209745766E-2</v>
      </c>
      <c r="CG47" s="3">
        <v>9</v>
      </c>
      <c r="CH47" s="3">
        <f t="shared" si="44"/>
        <v>0.28262062036005053</v>
      </c>
      <c r="CI47" s="3">
        <v>-2.1254253398076406E-2</v>
      </c>
      <c r="CJ47" s="3">
        <f t="shared" si="45"/>
        <v>0.2935425635697963</v>
      </c>
      <c r="CK47" s="3">
        <v>1.4736820796022392E-2</v>
      </c>
      <c r="CL47" s="3">
        <f t="shared" si="34"/>
        <v>0.28808159196492344</v>
      </c>
      <c r="CM47" s="3">
        <v>-3.1269790956101814E-3</v>
      </c>
      <c r="CN47" s="3">
        <f t="shared" si="35"/>
        <v>6.6461606068586579E-5</v>
      </c>
      <c r="CO47" s="3">
        <f t="shared" si="36"/>
        <v>-4.6081730564915409E-5</v>
      </c>
      <c r="CP47" s="3">
        <f t="shared" si="37"/>
        <v>1.0921943209745766E-2</v>
      </c>
    </row>
    <row r="48" spans="2:94" x14ac:dyDescent="0.2">
      <c r="B48" s="53" t="s">
        <v>275</v>
      </c>
      <c r="C48" s="53"/>
      <c r="D48" s="53"/>
      <c r="F48" s="53" t="s">
        <v>87</v>
      </c>
      <c r="G48" s="53"/>
      <c r="H48" s="53"/>
      <c r="J48" s="16" t="s">
        <v>74</v>
      </c>
      <c r="K48" s="7">
        <f>ROUND(SUM(K28:K31), 2)</f>
        <v>66.680000000000007</v>
      </c>
      <c r="L48" s="7" t="s">
        <v>7</v>
      </c>
      <c r="AB48" s="3">
        <v>9</v>
      </c>
      <c r="AC48" s="3">
        <f t="shared" si="46"/>
        <v>0.34375</v>
      </c>
      <c r="AD48" s="3">
        <f t="shared" si="27"/>
        <v>1.5444280045294745E-3</v>
      </c>
      <c r="AE48" s="3">
        <f t="shared" si="47"/>
        <v>0.345703125</v>
      </c>
      <c r="AF48" s="3">
        <f t="shared" si="28"/>
        <v>-5.6697314670983712E-4</v>
      </c>
      <c r="AG48" s="3">
        <f t="shared" si="38"/>
        <v>0.3447265625</v>
      </c>
      <c r="AH48" s="3">
        <f t="shared" si="29"/>
        <v>4.8850540565803513E-4</v>
      </c>
      <c r="AI48" s="3">
        <f t="shared" si="39"/>
        <v>7.544614288623007E-7</v>
      </c>
      <c r="AJ48" s="3">
        <f t="shared" si="40"/>
        <v>-2.7696944703070164E-7</v>
      </c>
      <c r="AK48" s="3">
        <f t="shared" si="41"/>
        <v>1.953125E-3</v>
      </c>
      <c r="AM48" s="8" t="s">
        <v>45</v>
      </c>
      <c r="AN48" s="8" t="s">
        <v>46</v>
      </c>
      <c r="AO48" s="8" t="s">
        <v>47</v>
      </c>
      <c r="AP48" s="8" t="s">
        <v>48</v>
      </c>
      <c r="AQ48" s="8" t="s">
        <v>49</v>
      </c>
      <c r="AR48" s="8" t="s">
        <v>50</v>
      </c>
      <c r="AS48" s="8" t="s">
        <v>51</v>
      </c>
      <c r="AT48" s="8" t="s">
        <v>52</v>
      </c>
      <c r="AU48" s="8" t="s">
        <v>53</v>
      </c>
      <c r="AV48" s="8" t="s">
        <v>54</v>
      </c>
      <c r="BN48" s="3" t="s">
        <v>202</v>
      </c>
      <c r="BO48" s="3">
        <f>IF(-$AY$8*($AY$23-$AY$10)/(2*$AY$23*SIN(BO42))&gt;500, 1, 2*ACOS(MIN(1, EXP(-$AY$8*($AY$23-$AY$10)/(2*$AY$23*SIN(BO42)))))/PI() )</f>
        <v>0.95316063856422129</v>
      </c>
      <c r="BP48" s="3"/>
      <c r="BQ48" s="3"/>
      <c r="BR48" s="3" t="s">
        <v>202</v>
      </c>
      <c r="BS48" s="3">
        <f>IF(-$AY$8*($AY$24-$AY$10)/(2*$AY$24*SIN(BS42))&gt;500, 1, 2*ACOS(MIN(1, EXP(-$AY$8*($AY$24-$AY$10)/(2*$AY$24*SIN(BS42)))))/PI() )</f>
        <v>0.96788658415696671</v>
      </c>
      <c r="BT48" s="3"/>
      <c r="BV48" s="3">
        <v>10</v>
      </c>
      <c r="BW48" s="3">
        <f t="shared" si="42"/>
        <v>0.32084742159416069</v>
      </c>
      <c r="BX48" s="3">
        <v>-4.8492761958692024E-3</v>
      </c>
      <c r="BY48" s="3">
        <f t="shared" si="43"/>
        <v>0.3263083931990336</v>
      </c>
      <c r="BZ48" s="3">
        <v>1.4617190085531091E-2</v>
      </c>
      <c r="CA48" s="3">
        <f t="shared" si="30"/>
        <v>0.32357790739659714</v>
      </c>
      <c r="CB48" s="3">
        <v>4.9154093702225843E-3</v>
      </c>
      <c r="CC48" s="3">
        <f t="shared" si="31"/>
        <v>-2.3836177651972804E-5</v>
      </c>
      <c r="CD48" s="3">
        <f t="shared" si="32"/>
        <v>7.1849473112744181E-5</v>
      </c>
      <c r="CE48" s="3">
        <f t="shared" si="33"/>
        <v>5.4609716048729107E-3</v>
      </c>
      <c r="CG48" s="3">
        <v>10</v>
      </c>
      <c r="CH48" s="3">
        <f t="shared" si="44"/>
        <v>0.28808159196492344</v>
      </c>
      <c r="CI48" s="3">
        <v>-3.1269790956101814E-3</v>
      </c>
      <c r="CJ48" s="3">
        <f t="shared" si="45"/>
        <v>0.2935425635697963</v>
      </c>
      <c r="CK48" s="3">
        <v>1.4736820796022392E-2</v>
      </c>
      <c r="CL48" s="3">
        <f t="shared" si="34"/>
        <v>0.29081207776735984</v>
      </c>
      <c r="CM48" s="3">
        <v>5.8373938017355215E-3</v>
      </c>
      <c r="CN48" s="3">
        <f t="shared" si="35"/>
        <v>-1.825340839087142E-5</v>
      </c>
      <c r="CO48" s="3">
        <f t="shared" si="36"/>
        <v>8.6024626371988242E-5</v>
      </c>
      <c r="CP48" s="3">
        <f t="shared" si="37"/>
        <v>5.4609716048728552E-3</v>
      </c>
    </row>
    <row r="49" spans="2:94" x14ac:dyDescent="0.2">
      <c r="B49" s="7" t="s">
        <v>276</v>
      </c>
      <c r="C49" s="18">
        <v>2</v>
      </c>
      <c r="F49" s="7" t="s">
        <v>91</v>
      </c>
      <c r="G49" s="18">
        <v>1.524</v>
      </c>
      <c r="H49" s="7" t="s">
        <v>10</v>
      </c>
      <c r="J49" s="11" t="s">
        <v>63</v>
      </c>
      <c r="K49" s="11">
        <f>SUM(K44:K48)</f>
        <v>1415.1999999999998</v>
      </c>
      <c r="L49" s="7" t="s">
        <v>7</v>
      </c>
      <c r="AB49" s="3">
        <v>10</v>
      </c>
      <c r="AC49" s="3">
        <f t="shared" si="46"/>
        <v>0.3447265625</v>
      </c>
      <c r="AD49" s="3">
        <f t="shared" si="27"/>
        <v>4.8850540565803513E-4</v>
      </c>
      <c r="AE49" s="3">
        <f t="shared" si="47"/>
        <v>0.345703125</v>
      </c>
      <c r="AF49" s="3">
        <f t="shared" si="28"/>
        <v>-5.6697314670983712E-4</v>
      </c>
      <c r="AG49" s="3">
        <f t="shared" si="38"/>
        <v>0.34521484375</v>
      </c>
      <c r="AH49" s="3">
        <f t="shared" si="29"/>
        <v>-3.9289143842879959E-5</v>
      </c>
      <c r="AI49" s="3">
        <f t="shared" si="39"/>
        <v>-1.9192959150922966E-8</v>
      </c>
      <c r="AJ49" s="3">
        <f t="shared" si="40"/>
        <v>2.2275889516133073E-8</v>
      </c>
      <c r="AK49" s="3">
        <f t="shared" si="41"/>
        <v>9.765625E-4</v>
      </c>
      <c r="AM49" s="3">
        <v>0</v>
      </c>
      <c r="AN49" s="3"/>
      <c r="AO49" s="3">
        <f>$G$11</f>
        <v>-1.9262047317170072E-6</v>
      </c>
      <c r="AP49" s="3"/>
      <c r="AQ49" s="3">
        <f>$G$11</f>
        <v>-1.9262047317170072E-6</v>
      </c>
      <c r="AR49" s="3"/>
      <c r="AS49" s="3">
        <f>$G$11</f>
        <v>-1.9262047317170072E-6</v>
      </c>
      <c r="AT49" s="3"/>
      <c r="AU49" s="3"/>
      <c r="AV49" s="3"/>
      <c r="BN49" s="3" t="s">
        <v>205</v>
      </c>
      <c r="BO49" s="3">
        <f>IF(BO42=0,1,BO47*BO48)</f>
        <v>0.87325716602116266</v>
      </c>
      <c r="BP49" s="3"/>
      <c r="BQ49" s="3"/>
      <c r="BR49" s="3" t="s">
        <v>205</v>
      </c>
      <c r="BS49" s="3">
        <f>IF(BS42=0,1,BS47*BS48)</f>
        <v>0.80760025709935968</v>
      </c>
      <c r="BT49" s="3"/>
      <c r="BV49" s="3">
        <v>11</v>
      </c>
      <c r="BW49" s="3">
        <f t="shared" si="42"/>
        <v>0.32084742159416069</v>
      </c>
      <c r="BX49" s="3">
        <v>-4.8492761958692024E-3</v>
      </c>
      <c r="BY49" s="3">
        <f t="shared" si="43"/>
        <v>0.32357790739659714</v>
      </c>
      <c r="BZ49" s="3">
        <v>4.9154093702225843E-3</v>
      </c>
      <c r="CA49" s="3">
        <f t="shared" si="30"/>
        <v>0.32221266449537889</v>
      </c>
      <c r="CB49" s="3">
        <v>4.0945046329794732E-5</v>
      </c>
      <c r="CC49" s="3">
        <f t="shared" si="31"/>
        <v>-1.9855383850583525E-7</v>
      </c>
      <c r="CD49" s="3">
        <f t="shared" si="32"/>
        <v>2.0126166439367086E-7</v>
      </c>
      <c r="CE49" s="3">
        <f t="shared" si="33"/>
        <v>2.7304858024364553E-3</v>
      </c>
      <c r="CG49" s="3">
        <v>11</v>
      </c>
      <c r="CH49" s="3">
        <f t="shared" si="44"/>
        <v>0.28808159196492344</v>
      </c>
      <c r="CI49" s="3">
        <v>-3.1269790956101814E-3</v>
      </c>
      <c r="CJ49" s="3">
        <f t="shared" si="45"/>
        <v>0.29081207776735984</v>
      </c>
      <c r="CK49" s="3">
        <v>5.8373938017355215E-3</v>
      </c>
      <c r="CL49" s="3">
        <f t="shared" si="34"/>
        <v>0.28944683486614164</v>
      </c>
      <c r="CM49" s="3">
        <v>1.3633810801563853E-3</v>
      </c>
      <c r="CN49" s="3">
        <f t="shared" si="35"/>
        <v>-4.2632641369994462E-6</v>
      </c>
      <c r="CO49" s="3">
        <f t="shared" si="36"/>
        <v>7.9585922667083644E-6</v>
      </c>
      <c r="CP49" s="3">
        <f t="shared" si="37"/>
        <v>2.7304858024363998E-3</v>
      </c>
    </row>
    <row r="50" spans="2:94" x14ac:dyDescent="0.2">
      <c r="B50" s="7" t="s">
        <v>277</v>
      </c>
      <c r="C50" s="18">
        <v>2</v>
      </c>
      <c r="D50" s="7" t="s">
        <v>11</v>
      </c>
      <c r="F50" s="7" t="s">
        <v>97</v>
      </c>
      <c r="G50" s="18">
        <v>152.4</v>
      </c>
      <c r="H50" s="7" t="s">
        <v>8</v>
      </c>
      <c r="AB50" s="3">
        <v>11</v>
      </c>
      <c r="AC50" s="3">
        <f t="shared" si="46"/>
        <v>0.3447265625</v>
      </c>
      <c r="AD50" s="3">
        <f t="shared" si="27"/>
        <v>4.8850540565803513E-4</v>
      </c>
      <c r="AE50" s="3">
        <f t="shared" si="47"/>
        <v>0.34521484375</v>
      </c>
      <c r="AF50" s="3">
        <f t="shared" si="28"/>
        <v>-3.9289143842879959E-5</v>
      </c>
      <c r="AG50" s="3">
        <f t="shared" si="38"/>
        <v>0.344970703125</v>
      </c>
      <c r="AH50" s="3">
        <f t="shared" si="29"/>
        <v>2.2459428361754075E-4</v>
      </c>
      <c r="AI50" s="3">
        <f t="shared" si="39"/>
        <v>1.0971552162706254E-7</v>
      </c>
      <c r="AJ50" s="3">
        <f t="shared" si="40"/>
        <v>-8.8241171153381365E-9</v>
      </c>
      <c r="AK50" s="3">
        <f t="shared" si="41"/>
        <v>4.8828125E-4</v>
      </c>
      <c r="AM50" s="3">
        <v>1</v>
      </c>
      <c r="AN50" s="4">
        <v>500</v>
      </c>
      <c r="AO50" s="3">
        <f t="dataTable" ref="AO50:AO79" dt2D="0" dtr="0" r1="C6" ca="1"/>
        <v>1281.0999152660618</v>
      </c>
      <c r="AP50" s="4">
        <v>3000</v>
      </c>
      <c r="AQ50" s="3">
        <f t="dataTable" ref="AQ50:AQ79" dt2D="0" dtr="0" r1="C6" ca="1"/>
        <v>-10453.880738012205</v>
      </c>
      <c r="AR50" s="3">
        <f t="shared" ref="AR50:AR79" si="48">(AN50+AP50)/2</f>
        <v>1750</v>
      </c>
      <c r="AS50" s="3">
        <f t="dataTable" ref="AS50:AS79" dt2D="0" dtr="0" r1="C6" ca="1"/>
        <v>-2490.8581518590954</v>
      </c>
      <c r="AT50" s="3">
        <f t="shared" ref="AT50:AT79" si="49">AO50*AS50</f>
        <v>-3191038.1672864663</v>
      </c>
      <c r="AU50" s="3">
        <f t="shared" ref="AU50:AU79" si="50">AQ50*AS50</f>
        <v>26039134.054840479</v>
      </c>
      <c r="AV50" s="3">
        <f t="shared" ref="AV50:AV79" si="51">AP50-AN50</f>
        <v>2500</v>
      </c>
      <c r="BN50" s="3" t="s">
        <v>209</v>
      </c>
      <c r="BO50" s="3">
        <f>IF(BO45&lt;$BH$43, $BC$44*BO45^2 + $BD$44*BO45 + $BE$44, IF(BO45&gt;$BI$43, $BJ$44*BO45^2 + $BK$44*BO45 + $BL$44, $BF$44*BO45^3 + $BG$44*BO45^2 + $BH$44*BO45 + $BI$44))</f>
        <v>0.91304475924399608</v>
      </c>
      <c r="BP50" s="3"/>
      <c r="BQ50" s="3"/>
      <c r="BR50" s="3" t="s">
        <v>209</v>
      </c>
      <c r="BS50" s="3">
        <f>IF(BS45&lt;$BH$43, $BC$44*BS45^2 + $BD$44*BS45 + $BE$44, IF(BS45&gt;$BI$43, $BJ$44*BS45^2 + $BK$44*BS45 + $BL$44, $BF$44*BS45^3 + $BG$44*BS45^2 + $BH$44*BS45 + $BI$44))</f>
        <v>0.8727727646262371</v>
      </c>
      <c r="BT50" s="3"/>
      <c r="BV50" s="3">
        <v>12</v>
      </c>
      <c r="BW50" s="3">
        <f t="shared" si="42"/>
        <v>0.32084742159416069</v>
      </c>
      <c r="BX50" s="3">
        <v>-4.8492761958692024E-3</v>
      </c>
      <c r="BY50" s="3">
        <f t="shared" si="43"/>
        <v>0.32221266449537889</v>
      </c>
      <c r="BZ50" s="3">
        <v>4.0945046329794732E-5</v>
      </c>
      <c r="CA50" s="3">
        <f t="shared" si="30"/>
        <v>0.32153004304476979</v>
      </c>
      <c r="CB50" s="3">
        <v>-2.4021939494443881E-3</v>
      </c>
      <c r="CC50" s="3">
        <f t="shared" si="31"/>
        <v>1.1648901936901697E-5</v>
      </c>
      <c r="CD50" s="3">
        <f t="shared" si="32"/>
        <v>-9.8357942553153054E-8</v>
      </c>
      <c r="CE50" s="3">
        <f t="shared" si="33"/>
        <v>1.3652429012181999E-3</v>
      </c>
      <c r="CG50" s="3">
        <v>12</v>
      </c>
      <c r="CH50" s="3">
        <f t="shared" si="44"/>
        <v>0.28808159196492344</v>
      </c>
      <c r="CI50" s="3">
        <v>-3.1269790956101814E-3</v>
      </c>
      <c r="CJ50" s="3">
        <f t="shared" si="45"/>
        <v>0.28944683486614164</v>
      </c>
      <c r="CK50" s="3">
        <v>1.3633810801563853E-3</v>
      </c>
      <c r="CL50" s="3">
        <f t="shared" si="34"/>
        <v>0.28876421341553254</v>
      </c>
      <c r="CM50" s="3">
        <v>-8.7974845290123005E-4</v>
      </c>
      <c r="CN50" s="3">
        <f t="shared" si="35"/>
        <v>2.7509550216175448E-6</v>
      </c>
      <c r="CO50" s="3">
        <f t="shared" si="36"/>
        <v>-1.199432395982388E-6</v>
      </c>
      <c r="CP50" s="3">
        <f t="shared" si="37"/>
        <v>1.3652429012181999E-3</v>
      </c>
    </row>
    <row r="51" spans="2:94" x14ac:dyDescent="0.2">
      <c r="B51" s="7" t="s">
        <v>278</v>
      </c>
      <c r="C51" s="18">
        <f>0.15*1.25</f>
        <v>0.1875</v>
      </c>
      <c r="D51" s="7" t="s">
        <v>8</v>
      </c>
      <c r="F51" s="7" t="s">
        <v>96</v>
      </c>
      <c r="G51" s="7">
        <f xml:space="preserve"> $G$50/$G$49</f>
        <v>100</v>
      </c>
      <c r="H51" s="7" t="s">
        <v>14</v>
      </c>
      <c r="AB51" s="3">
        <v>12</v>
      </c>
      <c r="AC51" s="3">
        <f t="shared" si="46"/>
        <v>0.344970703125</v>
      </c>
      <c r="AD51" s="3">
        <f t="shared" si="27"/>
        <v>2.2459428361754075E-4</v>
      </c>
      <c r="AE51" s="3">
        <f t="shared" si="47"/>
        <v>0.34521484375</v>
      </c>
      <c r="AF51" s="3">
        <f t="shared" si="28"/>
        <v>-3.9289143842879959E-5</v>
      </c>
      <c r="AG51" s="3">
        <f t="shared" si="38"/>
        <v>0.3450927734375</v>
      </c>
      <c r="AH51" s="3">
        <f t="shared" si="29"/>
        <v>9.2649111691212038E-5</v>
      </c>
      <c r="AI51" s="3">
        <f t="shared" si="39"/>
        <v>2.0808460868089288E-8</v>
      </c>
      <c r="AJ51" s="3">
        <f t="shared" si="40"/>
        <v>-3.640104276151081E-9</v>
      </c>
      <c r="AK51" s="3">
        <f t="shared" si="41"/>
        <v>2.44140625E-4</v>
      </c>
      <c r="AM51" s="3">
        <v>2</v>
      </c>
      <c r="AN51" s="3">
        <f t="shared" ref="AN51:AN79" si="52">IF(AT50&gt;0, AR50, AN50)</f>
        <v>500</v>
      </c>
      <c r="AO51" s="3">
        <v>1281.0999152660618</v>
      </c>
      <c r="AP51" s="3">
        <f t="shared" ref="AP51:AP79" si="53">IF(AU50&gt;0, AR50, AP50)</f>
        <v>1750</v>
      </c>
      <c r="AQ51" s="3">
        <v>-2490.8581518590954</v>
      </c>
      <c r="AR51" s="3">
        <f t="shared" si="48"/>
        <v>1125</v>
      </c>
      <c r="AS51" s="3">
        <v>-80.996053418023166</v>
      </c>
      <c r="AT51" s="3">
        <f t="shared" si="49"/>
        <v>-103764.03717071489</v>
      </c>
      <c r="AU51" s="3">
        <f t="shared" si="50"/>
        <v>201749.67992469776</v>
      </c>
      <c r="AV51" s="3">
        <f t="shared" si="51"/>
        <v>1250</v>
      </c>
      <c r="BN51" s="3" t="s">
        <v>210</v>
      </c>
      <c r="BO51" s="3">
        <f>IF(BO45&lt;$BH$43, $BC$45*BO45^2 + $BD$45*BO45 + $BE$45, IF(BO45&gt;$BI$43, $BJ$45*BO45^2 + $BK$45*BO45 + $BL$45, $BF$45*BO45^3 + $BG$45*BO45^2 + $BH$45*BO45 + $BI$45))</f>
        <v>6.2161465052143761E-3</v>
      </c>
      <c r="BP51" s="3"/>
      <c r="BQ51" s="3"/>
      <c r="BR51" s="3" t="s">
        <v>210</v>
      </c>
      <c r="BS51" s="3">
        <f>IF(BS45&lt;$BH$43, $BC$45*BS45^2 + $BD$45*BS45 + $BE$45, IF(BS45&gt;$BI$43, $BJ$45*BS45^2 + $BK$45*BS45 + $BL$45, $BF$45*BS45^3 + $BG$45*BS45^2 + $BH$45*BS45 + $BI$45))</f>
        <v>5.4943934616742632E-3</v>
      </c>
      <c r="BT51" s="3"/>
      <c r="BV51" s="3">
        <v>13</v>
      </c>
      <c r="BW51" s="3">
        <f t="shared" si="42"/>
        <v>0.32153004304476979</v>
      </c>
      <c r="BX51" s="3">
        <v>-2.4021939494443881E-3</v>
      </c>
      <c r="BY51" s="3">
        <f t="shared" si="43"/>
        <v>0.32221266449537889</v>
      </c>
      <c r="BZ51" s="3">
        <v>4.0945046329794732E-5</v>
      </c>
      <c r="CA51" s="3">
        <f t="shared" si="30"/>
        <v>0.32187135377007436</v>
      </c>
      <c r="CB51" s="3">
        <v>-1.1801318006797734E-3</v>
      </c>
      <c r="CC51" s="3">
        <f t="shared" si="31"/>
        <v>2.8349054711398623E-6</v>
      </c>
      <c r="CD51" s="3">
        <f t="shared" si="32"/>
        <v>-4.8320551254097403E-8</v>
      </c>
      <c r="CE51" s="3">
        <f t="shared" si="33"/>
        <v>6.8262145060909996E-4</v>
      </c>
      <c r="CG51" s="3">
        <v>13</v>
      </c>
      <c r="CH51" s="3">
        <f t="shared" si="44"/>
        <v>0.28876421341553254</v>
      </c>
      <c r="CI51" s="3">
        <v>-8.7974845290123005E-4</v>
      </c>
      <c r="CJ51" s="3">
        <f t="shared" si="45"/>
        <v>0.28944683486614164</v>
      </c>
      <c r="CK51" s="3">
        <v>1.3633810801563853E-3</v>
      </c>
      <c r="CL51" s="3">
        <f t="shared" si="34"/>
        <v>0.28910552414083712</v>
      </c>
      <c r="CM51" s="3">
        <v>2.4232805348841507E-4</v>
      </c>
      <c r="CN51" s="3">
        <f t="shared" si="35"/>
        <v>-2.1318773015099968E-7</v>
      </c>
      <c r="CO51" s="3">
        <f t="shared" si="36"/>
        <v>3.3038548331722968E-7</v>
      </c>
      <c r="CP51" s="3">
        <f t="shared" si="37"/>
        <v>6.8262145060909996E-4</v>
      </c>
    </row>
    <row r="52" spans="2:94" x14ac:dyDescent="0.2">
      <c r="F52" s="7" t="s">
        <v>22</v>
      </c>
      <c r="G52" s="7">
        <f xml:space="preserve"> $C$5 * $C$68 / $C$21</f>
        <v>1734.8116338242844</v>
      </c>
      <c r="H52" s="7" t="s">
        <v>23</v>
      </c>
      <c r="AB52" s="3">
        <v>13</v>
      </c>
      <c r="AC52" s="3">
        <f t="shared" si="46"/>
        <v>0.3450927734375</v>
      </c>
      <c r="AD52" s="3">
        <f t="shared" si="27"/>
        <v>9.2649111691212038E-5</v>
      </c>
      <c r="AE52" s="3">
        <f t="shared" si="47"/>
        <v>0.34521484375</v>
      </c>
      <c r="AF52" s="3">
        <f t="shared" si="28"/>
        <v>-3.9289143842879959E-5</v>
      </c>
      <c r="AG52" s="3">
        <f t="shared" si="38"/>
        <v>0.34515380859375</v>
      </c>
      <c r="AH52" s="3">
        <f t="shared" si="29"/>
        <v>2.6679119827899278E-5</v>
      </c>
      <c r="AI52" s="3">
        <f t="shared" si="39"/>
        <v>2.47179675275827E-9</v>
      </c>
      <c r="AJ52" s="3">
        <f t="shared" si="40"/>
        <v>-1.0481997765197656E-9</v>
      </c>
      <c r="AK52" s="3">
        <f t="shared" si="41"/>
        <v>1.220703125E-4</v>
      </c>
      <c r="AM52" s="3">
        <v>3</v>
      </c>
      <c r="AN52" s="3">
        <f t="shared" si="52"/>
        <v>500</v>
      </c>
      <c r="AO52" s="3">
        <v>1281.0999152660618</v>
      </c>
      <c r="AP52" s="3">
        <f t="shared" si="53"/>
        <v>1125</v>
      </c>
      <c r="AQ52" s="3">
        <v>-80.996053418023166</v>
      </c>
      <c r="AR52" s="3">
        <f t="shared" si="48"/>
        <v>812.5</v>
      </c>
      <c r="AS52" s="3">
        <v>731.02269714364286</v>
      </c>
      <c r="AT52" s="3">
        <f t="shared" si="49"/>
        <v>936513.11536828883</v>
      </c>
      <c r="AU52" s="3">
        <f t="shared" si="50"/>
        <v>-59209.953427633867</v>
      </c>
      <c r="AV52" s="3">
        <f t="shared" si="51"/>
        <v>625</v>
      </c>
      <c r="BN52" s="3" t="s">
        <v>212</v>
      </c>
      <c r="BO52" s="3">
        <f xml:space="preserve"> BO50*COS(BO42) - BO51*SIN(BO42)</f>
        <v>0.879989841667975</v>
      </c>
      <c r="BP52" s="3"/>
      <c r="BQ52" s="3"/>
      <c r="BR52" s="3" t="s">
        <v>212</v>
      </c>
      <c r="BS52" s="3">
        <f xml:space="preserve"> BS50*COS(BS42) - BS51*SIN(BS42)</f>
        <v>0.84563312824521186</v>
      </c>
      <c r="BT52" s="3"/>
      <c r="BV52" s="3">
        <v>14</v>
      </c>
      <c r="BW52" s="3">
        <f t="shared" si="42"/>
        <v>0.32187135377007436</v>
      </c>
      <c r="BX52" s="3">
        <v>-1.1801318006797734E-3</v>
      </c>
      <c r="BY52" s="3">
        <f t="shared" si="43"/>
        <v>0.32221266449537889</v>
      </c>
      <c r="BZ52" s="3">
        <v>4.0945046329794732E-5</v>
      </c>
      <c r="CA52" s="3">
        <f t="shared" si="30"/>
        <v>0.32204200913272663</v>
      </c>
      <c r="CB52" s="3">
        <v>-5.6947024602364144E-4</v>
      </c>
      <c r="CC52" s="3">
        <f t="shared" si="31"/>
        <v>6.7204994687343359E-7</v>
      </c>
      <c r="CD52" s="3">
        <f t="shared" si="32"/>
        <v>-2.3316985606877601E-8</v>
      </c>
      <c r="CE52" s="3">
        <f t="shared" si="33"/>
        <v>3.4131072530452222E-4</v>
      </c>
      <c r="CG52" s="3">
        <v>14</v>
      </c>
      <c r="CH52" s="3">
        <f t="shared" si="44"/>
        <v>0.28876421341553254</v>
      </c>
      <c r="CI52" s="3">
        <v>-8.7974845290123005E-4</v>
      </c>
      <c r="CJ52" s="3">
        <f t="shared" si="45"/>
        <v>0.28910552414083712</v>
      </c>
      <c r="CK52" s="3">
        <v>2.4232805348841507E-4</v>
      </c>
      <c r="CL52" s="3">
        <f t="shared" si="34"/>
        <v>0.28893486877818486</v>
      </c>
      <c r="CM52" s="3">
        <v>-3.1858215291767633E-4</v>
      </c>
      <c r="CN52" s="3">
        <f t="shared" si="35"/>
        <v>2.8027215615126885E-7</v>
      </c>
      <c r="CO52" s="3">
        <f t="shared" si="36"/>
        <v>-7.72013929926891E-8</v>
      </c>
      <c r="CP52" s="3">
        <f t="shared" si="37"/>
        <v>3.4131072530457773E-4</v>
      </c>
    </row>
    <row r="53" spans="2:94" x14ac:dyDescent="0.2">
      <c r="B53" s="53" t="s">
        <v>279</v>
      </c>
      <c r="C53" s="53"/>
      <c r="D53" s="53"/>
      <c r="F53" s="44" t="s">
        <v>89</v>
      </c>
      <c r="G53" s="44">
        <f xml:space="preserve"> 1/1000 * IF( $G$49&gt;=2*SQRT(($C$5*$C$68)/(2*$C$65*$C$21*PI()*$C$7*$C$7)), ($C$5*$C$68)/$C$24 * ( ($G$49/2) - SQRT( ($G$49/2)^2 - ($C$5*$C$68)/(2*$C$65*$C$21*PI()*$C$7*$C$7 ) ) ), 1/$C$24 * SQRT(($C$5*$C$68)^3/(2*$C$65*$C$21*PI()*$C$7*$C$7)) )</f>
        <v>277.8108696252429</v>
      </c>
      <c r="H53" s="44" t="s">
        <v>124</v>
      </c>
      <c r="AB53" s="3">
        <v>14</v>
      </c>
      <c r="AC53" s="3">
        <f t="shared" si="46"/>
        <v>0.34515380859375</v>
      </c>
      <c r="AD53" s="3">
        <f t="shared" si="27"/>
        <v>2.6679119827899278E-5</v>
      </c>
      <c r="AE53" s="3">
        <f t="shared" si="47"/>
        <v>0.34521484375</v>
      </c>
      <c r="AF53" s="3">
        <f t="shared" si="28"/>
        <v>-3.9289143842879959E-5</v>
      </c>
      <c r="AG53" s="3">
        <f t="shared" si="38"/>
        <v>0.345184326171875</v>
      </c>
      <c r="AH53" s="3">
        <f t="shared" si="29"/>
        <v>-6.3052279750119844E-6</v>
      </c>
      <c r="AI53" s="3">
        <f t="shared" si="39"/>
        <v>-1.6821793268756745E-10</v>
      </c>
      <c r="AJ53" s="3">
        <f t="shared" si="40"/>
        <v>2.4772700887239659E-10</v>
      </c>
      <c r="AK53" s="3">
        <f t="shared" si="41"/>
        <v>6.103515625E-5</v>
      </c>
      <c r="AM53" s="3">
        <v>4</v>
      </c>
      <c r="AN53" s="3">
        <f t="shared" si="52"/>
        <v>812.5</v>
      </c>
      <c r="AO53" s="3">
        <v>731.02269714364286</v>
      </c>
      <c r="AP53" s="3">
        <f t="shared" si="53"/>
        <v>1125</v>
      </c>
      <c r="AQ53" s="3">
        <v>-80.996053418023166</v>
      </c>
      <c r="AR53" s="3">
        <f t="shared" si="48"/>
        <v>968.75</v>
      </c>
      <c r="AS53" s="3">
        <v>357.75601341771585</v>
      </c>
      <c r="AT53" s="3">
        <f t="shared" si="49"/>
        <v>261527.76584797591</v>
      </c>
      <c r="AU53" s="3">
        <f t="shared" si="50"/>
        <v>-28976.825173400324</v>
      </c>
      <c r="AV53" s="3">
        <f t="shared" si="51"/>
        <v>312.5</v>
      </c>
      <c r="BN53" s="3" t="s">
        <v>214</v>
      </c>
      <c r="BO53" s="3">
        <f xml:space="preserve"> BO50*SIN(BO42) + BO51*COS(BO42)</f>
        <v>0.2435308017920392</v>
      </c>
      <c r="BP53" s="3"/>
      <c r="BQ53" s="3"/>
      <c r="BR53" s="3" t="s">
        <v>214</v>
      </c>
      <c r="BS53" s="3">
        <f xml:space="preserve"> BS50*SIN(BS42) + BS51*COS(BS42)</f>
        <v>0.21602569163655957</v>
      </c>
      <c r="BT53" s="3"/>
      <c r="BV53" s="3">
        <v>15</v>
      </c>
      <c r="BW53" s="3">
        <f t="shared" si="42"/>
        <v>0.32204200913272663</v>
      </c>
      <c r="BX53" s="3">
        <v>-5.6947024602364144E-4</v>
      </c>
      <c r="BY53" s="3">
        <f t="shared" si="43"/>
        <v>0.32221266449537889</v>
      </c>
      <c r="BZ53" s="3">
        <v>4.0945046329794732E-5</v>
      </c>
      <c r="CA53" s="3">
        <f t="shared" si="30"/>
        <v>0.32212733681405276</v>
      </c>
      <c r="CB53" s="3">
        <v>-2.6423182098252174E-4</v>
      </c>
      <c r="CC53" s="3">
        <f t="shared" si="31"/>
        <v>1.5047216010219143E-7</v>
      </c>
      <c r="CD53" s="3">
        <f t="shared" si="32"/>
        <v>-1.0818984151935381E-8</v>
      </c>
      <c r="CE53" s="3">
        <f t="shared" si="33"/>
        <v>1.7065536265226111E-4</v>
      </c>
      <c r="CG53" s="3">
        <v>15</v>
      </c>
      <c r="CH53" s="3">
        <f t="shared" si="44"/>
        <v>0.28893486877818486</v>
      </c>
      <c r="CI53" s="3">
        <v>-3.1858215291767633E-4</v>
      </c>
      <c r="CJ53" s="3">
        <f t="shared" si="45"/>
        <v>0.28910552414083712</v>
      </c>
      <c r="CK53" s="3">
        <v>2.4232805348841507E-4</v>
      </c>
      <c r="CL53" s="3">
        <f t="shared" si="34"/>
        <v>0.28902019645951099</v>
      </c>
      <c r="CM53" s="3">
        <v>-3.8095052028695731E-5</v>
      </c>
      <c r="CN53" s="3">
        <f t="shared" si="35"/>
        <v>1.2136403690812779E-8</v>
      </c>
      <c r="CO53" s="3">
        <f t="shared" si="36"/>
        <v>-9.2314998056537337E-9</v>
      </c>
      <c r="CP53" s="3">
        <f t="shared" si="37"/>
        <v>1.7065536265226111E-4</v>
      </c>
    </row>
    <row r="54" spans="2:94" x14ac:dyDescent="0.2">
      <c r="B54" s="7" t="s">
        <v>280</v>
      </c>
      <c r="C54" s="18">
        <v>1.2</v>
      </c>
      <c r="AB54" s="3">
        <v>15</v>
      </c>
      <c r="AC54" s="3">
        <f t="shared" si="46"/>
        <v>0.34515380859375</v>
      </c>
      <c r="AD54" s="3">
        <f t="shared" si="27"/>
        <v>2.6679119827899278E-5</v>
      </c>
      <c r="AE54" s="3">
        <f t="shared" si="47"/>
        <v>0.345184326171875</v>
      </c>
      <c r="AF54" s="3">
        <f t="shared" si="28"/>
        <v>-6.3052279750119844E-6</v>
      </c>
      <c r="AG54" s="3">
        <f t="shared" si="38"/>
        <v>0.3451690673828125</v>
      </c>
      <c r="AH54" s="3">
        <f t="shared" si="29"/>
        <v>1.0186891927499442E-5</v>
      </c>
      <c r="AI54" s="3">
        <f t="shared" si="39"/>
        <v>2.7177731040761747E-10</v>
      </c>
      <c r="AJ54" s="3">
        <f t="shared" si="40"/>
        <v>-6.423067595969323E-11</v>
      </c>
      <c r="AK54" s="3">
        <f t="shared" si="41"/>
        <v>3.0517578125E-5</v>
      </c>
      <c r="AM54" s="3">
        <v>5</v>
      </c>
      <c r="AN54" s="3">
        <f t="shared" si="52"/>
        <v>968.75</v>
      </c>
      <c r="AO54" s="3">
        <v>357.75601341771585</v>
      </c>
      <c r="AP54" s="3">
        <f t="shared" si="53"/>
        <v>1125</v>
      </c>
      <c r="AQ54" s="3">
        <v>-80.996053418023166</v>
      </c>
      <c r="AR54" s="3">
        <f t="shared" si="48"/>
        <v>1046.875</v>
      </c>
      <c r="AS54" s="3">
        <v>146.56565288857291</v>
      </c>
      <c r="AT54" s="3">
        <f t="shared" si="49"/>
        <v>52434.743681380576</v>
      </c>
      <c r="AU54" s="3">
        <f t="shared" si="50"/>
        <v>-11871.239450610294</v>
      </c>
      <c r="AV54" s="3">
        <f t="shared" si="51"/>
        <v>156.25</v>
      </c>
      <c r="BN54" s="3" t="s">
        <v>39</v>
      </c>
      <c r="BO54" s="3">
        <f xml:space="preserve"> 4*BO49*SIN(BO42)*SIN(BO42) / (BO46*BO52)</f>
        <v>1.1539507212007509</v>
      </c>
      <c r="BP54" s="3"/>
      <c r="BQ54" s="3"/>
      <c r="BR54" s="3" t="s">
        <v>39</v>
      </c>
      <c r="BS54" s="3">
        <f xml:space="preserve"> 4*BS49*SIN(BS42)*SIN(BS42) / (BS46*BS52)</f>
        <v>1.1421892766397161</v>
      </c>
      <c r="BT54" s="3"/>
      <c r="BV54" s="3">
        <v>16</v>
      </c>
      <c r="BW54" s="3">
        <f t="shared" si="42"/>
        <v>0.32212733681405276</v>
      </c>
      <c r="BX54" s="3">
        <v>-2.6423182098252174E-4</v>
      </c>
      <c r="BY54" s="3">
        <f t="shared" si="43"/>
        <v>0.32221266449537889</v>
      </c>
      <c r="BZ54" s="3">
        <v>4.0945046329794732E-5</v>
      </c>
      <c r="CA54" s="3">
        <f t="shared" si="30"/>
        <v>0.32217000065471579</v>
      </c>
      <c r="CB54" s="3">
        <v>-1.1163569309927818E-4</v>
      </c>
      <c r="CC54" s="3">
        <f t="shared" si="31"/>
        <v>2.9497702474268208E-8</v>
      </c>
      <c r="CD54" s="3">
        <f t="shared" si="32"/>
        <v>-4.5709286260086914E-9</v>
      </c>
      <c r="CE54" s="3">
        <f t="shared" si="33"/>
        <v>8.5327681326130556E-5</v>
      </c>
      <c r="CG54" s="3">
        <v>16</v>
      </c>
      <c r="CH54" s="3">
        <f t="shared" si="44"/>
        <v>0.28902019645951099</v>
      </c>
      <c r="CI54" s="3">
        <v>-3.8095052028695731E-5</v>
      </c>
      <c r="CJ54" s="3">
        <f t="shared" si="45"/>
        <v>0.28910552414083712</v>
      </c>
      <c r="CK54" s="3">
        <v>2.4232805348841507E-4</v>
      </c>
      <c r="CL54" s="3">
        <f t="shared" si="34"/>
        <v>0.28906286030017403</v>
      </c>
      <c r="CM54" s="3">
        <v>1.0212449840293208E-4</v>
      </c>
      <c r="CN54" s="3">
        <f t="shared" si="35"/>
        <v>-3.8904380800641518E-9</v>
      </c>
      <c r="CO54" s="3">
        <f t="shared" si="36"/>
        <v>2.4747630911463285E-8</v>
      </c>
      <c r="CP54" s="3">
        <f t="shared" si="37"/>
        <v>8.5327681326130556E-5</v>
      </c>
    </row>
    <row r="55" spans="2:94" x14ac:dyDescent="0.2">
      <c r="B55" s="7" t="s">
        <v>281</v>
      </c>
      <c r="C55" s="18">
        <v>2.5</v>
      </c>
      <c r="D55" s="7" t="s">
        <v>11</v>
      </c>
      <c r="AB55" s="3">
        <v>16</v>
      </c>
      <c r="AC55" s="3">
        <f t="shared" si="46"/>
        <v>0.3451690673828125</v>
      </c>
      <c r="AD55" s="3">
        <f t="shared" si="27"/>
        <v>1.0186891927499442E-5</v>
      </c>
      <c r="AE55" s="3">
        <f t="shared" si="47"/>
        <v>0.345184326171875</v>
      </c>
      <c r="AF55" s="3">
        <f t="shared" si="28"/>
        <v>-6.3052279750119844E-6</v>
      </c>
      <c r="AG55" s="3">
        <f t="shared" si="38"/>
        <v>0.34517669677734375</v>
      </c>
      <c r="AH55" s="3">
        <f t="shared" si="29"/>
        <v>1.9408184774305504E-6</v>
      </c>
      <c r="AI55" s="3">
        <f t="shared" si="39"/>
        <v>1.9770908080479033E-11</v>
      </c>
      <c r="AJ55" s="3">
        <f t="shared" si="40"/>
        <v>-1.2237302958315272E-11</v>
      </c>
      <c r="AK55" s="3">
        <f t="shared" si="41"/>
        <v>1.52587890625E-5</v>
      </c>
      <c r="AM55" s="3">
        <v>6</v>
      </c>
      <c r="AN55" s="3">
        <f t="shared" si="52"/>
        <v>1046.875</v>
      </c>
      <c r="AO55" s="3">
        <v>146.56565288857291</v>
      </c>
      <c r="AP55" s="3">
        <f t="shared" si="53"/>
        <v>1125</v>
      </c>
      <c r="AQ55" s="3">
        <v>-80.996053418023166</v>
      </c>
      <c r="AR55" s="3">
        <f t="shared" si="48"/>
        <v>1085.9375</v>
      </c>
      <c r="AS55" s="3">
        <v>34.831217957456374</v>
      </c>
      <c r="AT55" s="3">
        <f t="shared" si="49"/>
        <v>5105.0602008387787</v>
      </c>
      <c r="AU55" s="3">
        <f t="shared" si="50"/>
        <v>-2821.1911902969441</v>
      </c>
      <c r="AV55" s="3">
        <f t="shared" si="51"/>
        <v>78.125</v>
      </c>
      <c r="BN55" s="3" t="s">
        <v>216</v>
      </c>
      <c r="BO55" s="3">
        <f xml:space="preserve"> 4*BO49*SIN(BO42)*COS(BO42) / (BO46*BO53)</f>
        <v>15.476400815968255</v>
      </c>
      <c r="BP55" s="3"/>
      <c r="BQ55" s="3"/>
      <c r="BR55" s="3" t="s">
        <v>216</v>
      </c>
      <c r="BS55" s="3">
        <f xml:space="preserve"> 4*BS49*SIN(BS42)*COS(BS42) / (BS46*BS53)</f>
        <v>17.97320616379913</v>
      </c>
      <c r="BT55" s="3"/>
      <c r="BV55" s="3">
        <v>17</v>
      </c>
      <c r="BW55" s="3">
        <f t="shared" si="42"/>
        <v>0.32217000065471579</v>
      </c>
      <c r="BX55" s="3">
        <v>-1.1163569309927818E-4</v>
      </c>
      <c r="BY55" s="3">
        <f t="shared" si="43"/>
        <v>0.32221266449537889</v>
      </c>
      <c r="BZ55" s="3">
        <v>4.0945046329794732E-5</v>
      </c>
      <c r="CA55" s="3">
        <f t="shared" si="30"/>
        <v>0.32219133257504734</v>
      </c>
      <c r="CB55" s="3">
        <v>-3.5343399888983218E-5</v>
      </c>
      <c r="CC55" s="3">
        <f t="shared" si="31"/>
        <v>3.9455849430915929E-9</v>
      </c>
      <c r="CD55" s="3">
        <f t="shared" si="32"/>
        <v>-1.4471371459068799E-9</v>
      </c>
      <c r="CE55" s="3">
        <f t="shared" si="33"/>
        <v>4.2663840663093033E-5</v>
      </c>
      <c r="CG55" s="3">
        <v>17</v>
      </c>
      <c r="CH55" s="3">
        <f t="shared" si="44"/>
        <v>0.28902019645951099</v>
      </c>
      <c r="CI55" s="3">
        <v>-3.8095052028695731E-5</v>
      </c>
      <c r="CJ55" s="3">
        <f t="shared" si="45"/>
        <v>0.28906286030017403</v>
      </c>
      <c r="CK55" s="3">
        <v>1.0212449840293208E-4</v>
      </c>
      <c r="CL55" s="3">
        <f t="shared" si="34"/>
        <v>0.28904152837984254</v>
      </c>
      <c r="CM55" s="3">
        <v>3.2016722823914601E-5</v>
      </c>
      <c r="CN55" s="3">
        <f t="shared" si="35"/>
        <v>-1.2196787217653568E-9</v>
      </c>
      <c r="CO55" s="3">
        <f t="shared" si="36"/>
        <v>3.2696917588979858E-9</v>
      </c>
      <c r="CP55" s="3">
        <f t="shared" si="37"/>
        <v>4.2663840663037522E-5</v>
      </c>
    </row>
    <row r="56" spans="2:94" x14ac:dyDescent="0.2">
      <c r="B56" s="7" t="s">
        <v>282</v>
      </c>
      <c r="C56" s="18">
        <f>0.12*2.92</f>
        <v>0.35039999999999999</v>
      </c>
      <c r="D56" s="7" t="s">
        <v>8</v>
      </c>
      <c r="AB56" s="3">
        <v>17</v>
      </c>
      <c r="AC56" s="3">
        <f t="shared" si="46"/>
        <v>0.34517669677734375</v>
      </c>
      <c r="AD56" s="3">
        <f t="shared" si="27"/>
        <v>1.9408184774305504E-6</v>
      </c>
      <c r="AE56" s="3">
        <f t="shared" si="47"/>
        <v>0.345184326171875</v>
      </c>
      <c r="AF56" s="3">
        <f t="shared" si="28"/>
        <v>-6.3052279750119844E-6</v>
      </c>
      <c r="AG56" s="3">
        <f t="shared" si="38"/>
        <v>0.34518051147460938</v>
      </c>
      <c r="AH56" s="3">
        <f t="shared" si="29"/>
        <v>-2.1822081233691115E-6</v>
      </c>
      <c r="AI56" s="3">
        <f t="shared" si="39"/>
        <v>-4.2352698474338179E-12</v>
      </c>
      <c r="AJ56" s="3">
        <f t="shared" si="40"/>
        <v>1.3759319706765325E-11</v>
      </c>
      <c r="AK56" s="3">
        <f t="shared" si="41"/>
        <v>7.62939453125E-6</v>
      </c>
      <c r="AM56" s="3">
        <v>7</v>
      </c>
      <c r="AN56" s="3">
        <f t="shared" si="52"/>
        <v>1085.9375</v>
      </c>
      <c r="AO56" s="3">
        <v>34.831217957456374</v>
      </c>
      <c r="AP56" s="3">
        <f t="shared" si="53"/>
        <v>1125</v>
      </c>
      <c r="AQ56" s="3">
        <v>-80.996053418023166</v>
      </c>
      <c r="AR56" s="3">
        <f t="shared" si="48"/>
        <v>1105.46875</v>
      </c>
      <c r="AS56" s="3">
        <v>-22.570813174737395</v>
      </c>
      <c r="AT56" s="3">
        <f t="shared" si="49"/>
        <v>-786.16891316630608</v>
      </c>
      <c r="AU56" s="3">
        <f t="shared" si="50"/>
        <v>1828.1467895892511</v>
      </c>
      <c r="AV56" s="3">
        <f t="shared" si="51"/>
        <v>39.0625</v>
      </c>
      <c r="BN56" s="3" t="s">
        <v>46</v>
      </c>
      <c r="BO56" s="3">
        <f>1/(BO54-1)</f>
        <v>6.4955850300694937</v>
      </c>
      <c r="BP56" s="3"/>
      <c r="BQ56" s="3"/>
      <c r="BR56" s="3" t="s">
        <v>46</v>
      </c>
      <c r="BS56" s="3">
        <f>1/(BS54-1)</f>
        <v>7.0328791568005009</v>
      </c>
      <c r="BT56" s="3"/>
      <c r="BV56" s="3">
        <v>18</v>
      </c>
      <c r="BW56" s="3">
        <f t="shared" si="42"/>
        <v>0.32219133257504734</v>
      </c>
      <c r="BX56" s="3">
        <v>-3.5343399888983218E-5</v>
      </c>
      <c r="BY56" s="3">
        <f t="shared" si="43"/>
        <v>0.32221266449537889</v>
      </c>
      <c r="BZ56" s="3">
        <v>4.0945046329794732E-5</v>
      </c>
      <c r="CA56" s="3">
        <f t="shared" si="30"/>
        <v>0.32220199853521314</v>
      </c>
      <c r="CB56" s="3">
        <v>2.8013040869398487E-6</v>
      </c>
      <c r="CC56" s="3">
        <f t="shared" si="31"/>
        <v>-9.9007610555358083E-11</v>
      </c>
      <c r="CD56" s="3">
        <f t="shared" si="32"/>
        <v>1.1469952562359543E-10</v>
      </c>
      <c r="CE56" s="3">
        <f t="shared" si="33"/>
        <v>2.1331920331546517E-5</v>
      </c>
      <c r="CG56" s="3">
        <v>18</v>
      </c>
      <c r="CH56" s="3">
        <f t="shared" si="44"/>
        <v>0.28902019645951099</v>
      </c>
      <c r="CI56" s="3">
        <v>-3.8095052028695731E-5</v>
      </c>
      <c r="CJ56" s="3">
        <f t="shared" si="45"/>
        <v>0.28904152837984254</v>
      </c>
      <c r="CK56" s="3">
        <v>3.2016722823914601E-5</v>
      </c>
      <c r="CL56" s="3">
        <f t="shared" si="34"/>
        <v>0.28903086241967679</v>
      </c>
      <c r="CM56" s="3">
        <v>-3.0386646658053795E-6</v>
      </c>
      <c r="CN56" s="3">
        <f t="shared" si="35"/>
        <v>1.1575808854161526E-10</v>
      </c>
      <c r="CO56" s="3">
        <f t="shared" si="36"/>
        <v>-9.7288084359913923E-11</v>
      </c>
      <c r="CP56" s="3">
        <f t="shared" si="37"/>
        <v>2.1331920331546517E-5</v>
      </c>
    </row>
    <row r="57" spans="2:94" x14ac:dyDescent="0.2">
      <c r="B57" s="7" t="s">
        <v>283</v>
      </c>
      <c r="C57" s="18">
        <v>35</v>
      </c>
      <c r="D57" s="7" t="s">
        <v>44</v>
      </c>
      <c r="AB57" s="3">
        <v>18</v>
      </c>
      <c r="AC57" s="3">
        <f t="shared" si="46"/>
        <v>0.34517669677734375</v>
      </c>
      <c r="AD57" s="3">
        <f t="shared" si="27"/>
        <v>1.9408184774305504E-6</v>
      </c>
      <c r="AE57" s="3">
        <f t="shared" si="47"/>
        <v>0.34518051147460938</v>
      </c>
      <c r="AF57" s="3">
        <f t="shared" si="28"/>
        <v>-2.1822081233691115E-6</v>
      </c>
      <c r="AG57" s="3">
        <f t="shared" si="38"/>
        <v>0.34517860412597656</v>
      </c>
      <c r="AH57" s="3">
        <f t="shared" si="29"/>
        <v>-1.2069566668326814E-7</v>
      </c>
      <c r="AI57" s="3">
        <f t="shared" si="39"/>
        <v>-2.3424838004468568E-13</v>
      </c>
      <c r="AJ57" s="3">
        <f t="shared" si="40"/>
        <v>2.6338306429167839E-13</v>
      </c>
      <c r="AK57" s="3">
        <f t="shared" si="41"/>
        <v>3.814697265625E-6</v>
      </c>
      <c r="AM57" s="3">
        <v>8</v>
      </c>
      <c r="AN57" s="3">
        <f t="shared" si="52"/>
        <v>1085.9375</v>
      </c>
      <c r="AO57" s="3">
        <v>34.831217957456374</v>
      </c>
      <c r="AP57" s="3">
        <f t="shared" si="53"/>
        <v>1105.46875</v>
      </c>
      <c r="AQ57" s="3">
        <v>-22.570813174737395</v>
      </c>
      <c r="AR57" s="3">
        <f t="shared" si="48"/>
        <v>1095.703125</v>
      </c>
      <c r="AS57" s="3">
        <v>6.2581035302459895</v>
      </c>
      <c r="AT57" s="3">
        <f t="shared" si="49"/>
        <v>217.97736806232524</v>
      </c>
      <c r="AU57" s="3">
        <f t="shared" si="50"/>
        <v>-141.25048560934678</v>
      </c>
      <c r="AV57" s="3">
        <f t="shared" si="51"/>
        <v>19.53125</v>
      </c>
      <c r="BN57" s="3" t="s">
        <v>219</v>
      </c>
      <c r="BO57" s="3">
        <f>1/(BO55+1)</f>
        <v>6.0692866795935239E-2</v>
      </c>
      <c r="BP57" s="3"/>
      <c r="BQ57" s="3"/>
      <c r="BR57" s="3" t="s">
        <v>219</v>
      </c>
      <c r="BS57" s="3">
        <f>1/(BS55+1)</f>
        <v>5.2705904914900445E-2</v>
      </c>
      <c r="BT57" s="3"/>
      <c r="BV57" s="3">
        <v>19</v>
      </c>
      <c r="BW57" s="3">
        <f t="shared" si="42"/>
        <v>0.32219133257504734</v>
      </c>
      <c r="BX57" s="3">
        <v>-3.5343399888983218E-5</v>
      </c>
      <c r="BY57" s="3">
        <f t="shared" si="43"/>
        <v>0.32220199853521314</v>
      </c>
      <c r="BZ57" s="3">
        <v>2.8013040869398487E-6</v>
      </c>
      <c r="CA57" s="3">
        <f t="shared" si="30"/>
        <v>0.32219666555513027</v>
      </c>
      <c r="CB57" s="3">
        <v>-1.6270927683512126E-5</v>
      </c>
      <c r="CC57" s="3">
        <f t="shared" si="31"/>
        <v>5.7506990368309646E-10</v>
      </c>
      <c r="CD57" s="3">
        <f t="shared" si="32"/>
        <v>-4.5579816218125243E-11</v>
      </c>
      <c r="CE57" s="3">
        <f t="shared" si="33"/>
        <v>1.0665960165801014E-5</v>
      </c>
      <c r="CG57" s="3">
        <v>19</v>
      </c>
      <c r="CH57" s="3">
        <f t="shared" si="44"/>
        <v>0.28903086241967679</v>
      </c>
      <c r="CI57" s="3">
        <v>-3.0386646658053795E-6</v>
      </c>
      <c r="CJ57" s="3">
        <f t="shared" si="45"/>
        <v>0.28904152837984254</v>
      </c>
      <c r="CK57" s="3">
        <v>3.2016722823914601E-5</v>
      </c>
      <c r="CL57" s="3">
        <f t="shared" si="34"/>
        <v>0.28903619539975967</v>
      </c>
      <c r="CM57" s="3">
        <v>1.4489154059819931E-5</v>
      </c>
      <c r="CN57" s="3">
        <f t="shared" si="35"/>
        <v>-4.402768047898539E-11</v>
      </c>
      <c r="CO57" s="3">
        <f t="shared" si="36"/>
        <v>4.6389522948625169E-10</v>
      </c>
      <c r="CP57" s="3">
        <f t="shared" si="37"/>
        <v>1.0665960165745503E-5</v>
      </c>
    </row>
    <row r="58" spans="2:94" x14ac:dyDescent="0.2">
      <c r="AB58" s="3">
        <v>19</v>
      </c>
      <c r="AC58" s="3">
        <f t="shared" si="46"/>
        <v>0.34517669677734375</v>
      </c>
      <c r="AD58" s="3">
        <f t="shared" si="27"/>
        <v>1.9408184774305504E-6</v>
      </c>
      <c r="AE58" s="3">
        <f t="shared" si="47"/>
        <v>0.34517860412597656</v>
      </c>
      <c r="AF58" s="3">
        <f t="shared" si="28"/>
        <v>-1.2069566668326814E-7</v>
      </c>
      <c r="AG58" s="3">
        <f t="shared" si="38"/>
        <v>0.34517765045166016</v>
      </c>
      <c r="AH58" s="3">
        <f t="shared" si="29"/>
        <v>9.10061194459022E-7</v>
      </c>
      <c r="AI58" s="3">
        <f t="shared" si="39"/>
        <v>1.7662635817985872E-12</v>
      </c>
      <c r="AJ58" s="3">
        <f t="shared" si="40"/>
        <v>-1.0984044258780299E-13</v>
      </c>
      <c r="AK58" s="3">
        <f t="shared" si="41"/>
        <v>1.9073486328125E-6</v>
      </c>
      <c r="AM58" s="3">
        <v>9</v>
      </c>
      <c r="AN58" s="3">
        <f t="shared" si="52"/>
        <v>1095.703125</v>
      </c>
      <c r="AO58" s="3">
        <v>6.2581035302459895</v>
      </c>
      <c r="AP58" s="3">
        <f t="shared" si="53"/>
        <v>1105.46875</v>
      </c>
      <c r="AQ58" s="3">
        <v>-22.570813174737395</v>
      </c>
      <c r="AR58" s="3">
        <f t="shared" si="48"/>
        <v>1100.5859375</v>
      </c>
      <c r="AS58" s="3">
        <v>-8.1243795375241916</v>
      </c>
      <c r="AT58" s="3">
        <f t="shared" si="49"/>
        <v>-50.843208264838424</v>
      </c>
      <c r="AU58" s="3">
        <f t="shared" si="50"/>
        <v>183.37385270211794</v>
      </c>
      <c r="AV58" s="3">
        <f t="shared" si="51"/>
        <v>9.765625</v>
      </c>
      <c r="BN58" s="8" t="s">
        <v>221</v>
      </c>
      <c r="BO58" s="41">
        <f>SIN(BO42)/(1+BO56) - $AY$3*COS(BO42)/($BC$5*$AY$23*(1-BO57))</f>
        <v>-4.9045674466174916E-10</v>
      </c>
      <c r="BP58" s="41"/>
      <c r="BQ58" s="3"/>
      <c r="BR58" s="8" t="s">
        <v>221</v>
      </c>
      <c r="BS58" s="41">
        <f>SIN(BS42)/(1+BS56) - $AY$3*COS(BS42)/($BC$5*$AY$24*(1-BS57))</f>
        <v>-5.3508551894898559E-9</v>
      </c>
      <c r="BT58" s="41"/>
      <c r="BV58" s="3">
        <v>20</v>
      </c>
      <c r="BW58" s="3">
        <f t="shared" si="42"/>
        <v>0.32219666555513027</v>
      </c>
      <c r="BX58" s="3">
        <v>-1.6270927683512126E-5</v>
      </c>
      <c r="BY58" s="3">
        <f t="shared" si="43"/>
        <v>0.32220199853521314</v>
      </c>
      <c r="BZ58" s="3">
        <v>2.8013040869398487E-6</v>
      </c>
      <c r="CA58" s="3">
        <f t="shared" si="30"/>
        <v>0.3221993320451717</v>
      </c>
      <c r="CB58" s="3">
        <v>-6.7347817439347701E-6</v>
      </c>
      <c r="CC58" s="3">
        <f t="shared" si="31"/>
        <v>1.0958114671980033E-10</v>
      </c>
      <c r="CD58" s="3">
        <f t="shared" si="32"/>
        <v>-1.8866171623932353E-11</v>
      </c>
      <c r="CE58" s="3">
        <f t="shared" si="33"/>
        <v>5.3329800828727514E-6</v>
      </c>
      <c r="CG58" s="3">
        <v>20</v>
      </c>
      <c r="CH58" s="3">
        <f t="shared" si="44"/>
        <v>0.28903086241967679</v>
      </c>
      <c r="CI58" s="3">
        <v>-3.0386646658053795E-6</v>
      </c>
      <c r="CJ58" s="3">
        <f t="shared" si="45"/>
        <v>0.28903619539975967</v>
      </c>
      <c r="CK58" s="3">
        <v>1.4489154059819931E-5</v>
      </c>
      <c r="CL58" s="3">
        <f t="shared" si="34"/>
        <v>0.28903352890971823</v>
      </c>
      <c r="CM58" s="3">
        <v>5.7252759425724387E-6</v>
      </c>
      <c r="CN58" s="3">
        <f t="shared" si="35"/>
        <v>-1.7397193708680457E-11</v>
      </c>
      <c r="CO58" s="3">
        <f t="shared" si="36"/>
        <v>8.2954405166912832E-11</v>
      </c>
      <c r="CP58" s="3">
        <f t="shared" si="37"/>
        <v>5.3329800828727514E-6</v>
      </c>
    </row>
    <row r="59" spans="2:94" x14ac:dyDescent="0.2">
      <c r="B59" s="51" t="s">
        <v>2</v>
      </c>
      <c r="C59" s="52"/>
      <c r="D59" s="52"/>
      <c r="AB59" s="3">
        <v>20</v>
      </c>
      <c r="AC59" s="3">
        <f t="shared" si="46"/>
        <v>0.34517765045166016</v>
      </c>
      <c r="AD59" s="3">
        <f t="shared" si="27"/>
        <v>9.10061194459022E-7</v>
      </c>
      <c r="AE59" s="3">
        <f t="shared" si="47"/>
        <v>0.34517860412597656</v>
      </c>
      <c r="AF59" s="3">
        <f t="shared" si="28"/>
        <v>-1.2069566668326814E-7</v>
      </c>
      <c r="AG59" s="3">
        <f t="shared" si="38"/>
        <v>0.34517812728881836</v>
      </c>
      <c r="AH59" s="3">
        <f t="shared" si="29"/>
        <v>3.9468271118003884E-7</v>
      </c>
      <c r="AI59" s="3">
        <f t="shared" si="39"/>
        <v>3.5918541956883135E-13</v>
      </c>
      <c r="AJ59" s="3">
        <f t="shared" si="40"/>
        <v>-4.7636492954234556E-14</v>
      </c>
      <c r="AK59" s="3">
        <f t="shared" si="41"/>
        <v>9.5367431640625E-7</v>
      </c>
      <c r="AM59" s="3">
        <v>10</v>
      </c>
      <c r="AN59" s="3">
        <f t="shared" si="52"/>
        <v>1095.703125</v>
      </c>
      <c r="AO59" s="3">
        <v>6.2581035302459895</v>
      </c>
      <c r="AP59" s="3">
        <f t="shared" si="53"/>
        <v>1100.5859375</v>
      </c>
      <c r="AQ59" s="3">
        <v>-8.1243795375241916</v>
      </c>
      <c r="AR59" s="3">
        <f t="shared" si="48"/>
        <v>1098.14453125</v>
      </c>
      <c r="AS59" s="3">
        <v>-0.92514418245878005</v>
      </c>
      <c r="AT59" s="3">
        <f t="shared" si="49"/>
        <v>-5.789648074231831</v>
      </c>
      <c r="AU59" s="3">
        <f t="shared" si="50"/>
        <v>7.5162224652276599</v>
      </c>
      <c r="AV59" s="3">
        <f t="shared" si="51"/>
        <v>4.8828125</v>
      </c>
      <c r="BN59" s="3"/>
      <c r="BO59" s="3"/>
      <c r="BP59" s="3"/>
      <c r="BQ59" s="3"/>
      <c r="BR59" s="3"/>
      <c r="BS59" s="3"/>
      <c r="BT59" s="3"/>
      <c r="BV59" s="3">
        <v>21</v>
      </c>
      <c r="BW59" s="3">
        <f t="shared" si="42"/>
        <v>0.3221993320451717</v>
      </c>
      <c r="BX59" s="3">
        <v>-6.7347817439347701E-6</v>
      </c>
      <c r="BY59" s="3">
        <f t="shared" si="43"/>
        <v>0.32220199853521314</v>
      </c>
      <c r="BZ59" s="3">
        <v>2.8013040869398487E-6</v>
      </c>
      <c r="CA59" s="3">
        <f t="shared" si="30"/>
        <v>0.32220066529019242</v>
      </c>
      <c r="CB59" s="3">
        <v>-1.9667313150631416E-6</v>
      </c>
      <c r="CC59" s="3">
        <f t="shared" si="31"/>
        <v>1.3245506155912068E-11</v>
      </c>
      <c r="CD59" s="3">
        <f t="shared" si="32"/>
        <v>-5.509412470798962E-12</v>
      </c>
      <c r="CE59" s="3">
        <f t="shared" si="33"/>
        <v>2.6664900414363757E-6</v>
      </c>
      <c r="CG59" s="3">
        <v>21</v>
      </c>
      <c r="CH59" s="3">
        <f t="shared" si="44"/>
        <v>0.28903086241967679</v>
      </c>
      <c r="CI59" s="3">
        <v>-3.0386646658053795E-6</v>
      </c>
      <c r="CJ59" s="3">
        <f t="shared" si="45"/>
        <v>0.28903352890971823</v>
      </c>
      <c r="CK59" s="3">
        <v>5.7252759425724387E-6</v>
      </c>
      <c r="CL59" s="3">
        <f t="shared" si="34"/>
        <v>0.28903219566469751</v>
      </c>
      <c r="CM59" s="3">
        <v>1.3433134499057919E-6</v>
      </c>
      <c r="CN59" s="3">
        <f t="shared" si="35"/>
        <v>-4.081879115329855E-12</v>
      </c>
      <c r="CO59" s="3">
        <f t="shared" si="36"/>
        <v>7.6908401780796169E-12</v>
      </c>
      <c r="CP59" s="3">
        <f t="shared" si="37"/>
        <v>2.6664900414363757E-6</v>
      </c>
    </row>
    <row r="60" spans="2:94" x14ac:dyDescent="0.2">
      <c r="B60" s="7" t="s">
        <v>3</v>
      </c>
      <c r="C60" s="18">
        <v>250</v>
      </c>
      <c r="D60" s="7" t="s">
        <v>4</v>
      </c>
      <c r="AB60" s="3">
        <v>21</v>
      </c>
      <c r="AC60" s="3">
        <f t="shared" si="46"/>
        <v>0.34517812728881836</v>
      </c>
      <c r="AD60" s="3">
        <f t="shared" si="27"/>
        <v>3.9468271118003884E-7</v>
      </c>
      <c r="AE60" s="3">
        <f t="shared" si="47"/>
        <v>0.34517860412597656</v>
      </c>
      <c r="AF60" s="3">
        <f t="shared" si="28"/>
        <v>-1.2069566668326814E-7</v>
      </c>
      <c r="AG60" s="3">
        <f t="shared" si="38"/>
        <v>0.34517836570739746</v>
      </c>
      <c r="AH60" s="3">
        <f t="shared" si="29"/>
        <v>1.369935090922425E-7</v>
      </c>
      <c r="AI60" s="3">
        <f t="shared" si="39"/>
        <v>5.4068969582593575E-14</v>
      </c>
      <c r="AJ60" s="3">
        <f t="shared" si="40"/>
        <v>-1.6534522911168566E-14</v>
      </c>
      <c r="AK60" s="3">
        <f t="shared" si="41"/>
        <v>4.76837158203125E-7</v>
      </c>
      <c r="AM60" s="3">
        <v>11</v>
      </c>
      <c r="AN60" s="3">
        <f t="shared" si="52"/>
        <v>1095.703125</v>
      </c>
      <c r="AO60" s="3">
        <v>6.2581035302459895</v>
      </c>
      <c r="AP60" s="3">
        <f t="shared" si="53"/>
        <v>1098.14453125</v>
      </c>
      <c r="AQ60" s="3">
        <v>-0.92514418245878005</v>
      </c>
      <c r="AR60" s="3">
        <f t="shared" si="48"/>
        <v>1096.923828125</v>
      </c>
      <c r="AS60" s="3">
        <v>2.6684781291885429</v>
      </c>
      <c r="AT60" s="3">
        <f t="shared" si="49"/>
        <v>16.699612400659035</v>
      </c>
      <c r="AU60" s="3">
        <f t="shared" si="50"/>
        <v>-2.4687270172372693</v>
      </c>
      <c r="AV60" s="3">
        <f t="shared" si="51"/>
        <v>2.44140625</v>
      </c>
      <c r="BN60" s="60" t="s">
        <v>228</v>
      </c>
      <c r="BO60" s="60"/>
      <c r="BP60" s="60"/>
      <c r="BQ60" s="3"/>
      <c r="BR60" s="60" t="s">
        <v>242</v>
      </c>
      <c r="BS60" s="60"/>
      <c r="BT60" s="60"/>
      <c r="BV60" s="3">
        <v>22</v>
      </c>
      <c r="BW60" s="3">
        <f t="shared" si="42"/>
        <v>0.32220066529019242</v>
      </c>
      <c r="BX60" s="3">
        <v>-1.9667313150631416E-6</v>
      </c>
      <c r="BY60" s="3">
        <f t="shared" si="43"/>
        <v>0.32220199853521314</v>
      </c>
      <c r="BZ60" s="3">
        <v>2.8013040869398487E-6</v>
      </c>
      <c r="CA60" s="3">
        <f t="shared" si="30"/>
        <v>0.32220133191270278</v>
      </c>
      <c r="CB60" s="3">
        <v>4.1728826447040568E-7</v>
      </c>
      <c r="CC60" s="3">
        <f t="shared" si="31"/>
        <v>-8.2069389714229701E-13</v>
      </c>
      <c r="CD60" s="3">
        <f t="shared" si="32"/>
        <v>1.1689513206929838E-12</v>
      </c>
      <c r="CE60" s="3">
        <f t="shared" si="33"/>
        <v>1.3332450207181878E-6</v>
      </c>
      <c r="CG60" s="3">
        <v>22</v>
      </c>
      <c r="CH60" s="3">
        <f t="shared" si="44"/>
        <v>0.28903086241967679</v>
      </c>
      <c r="CI60" s="3">
        <v>-3.0386646658053795E-6</v>
      </c>
      <c r="CJ60" s="3">
        <f t="shared" si="45"/>
        <v>0.28903219566469751</v>
      </c>
      <c r="CK60" s="3">
        <v>1.3433134499057919E-6</v>
      </c>
      <c r="CL60" s="3">
        <f t="shared" si="34"/>
        <v>0.28903152904218715</v>
      </c>
      <c r="CM60" s="3">
        <v>-8.4767365508137127E-7</v>
      </c>
      <c r="CN60" s="3">
        <f t="shared" si="35"/>
        <v>2.5757959838298595E-12</v>
      </c>
      <c r="CO60" s="3">
        <f t="shared" si="36"/>
        <v>-1.1386914220016091E-12</v>
      </c>
      <c r="CP60" s="3">
        <f t="shared" si="37"/>
        <v>1.3332450207181878E-6</v>
      </c>
    </row>
    <row r="61" spans="2:94" x14ac:dyDescent="0.2">
      <c r="B61" s="7" t="s">
        <v>5</v>
      </c>
      <c r="C61" s="18">
        <v>0.85</v>
      </c>
      <c r="AB61" s="3">
        <v>22</v>
      </c>
      <c r="AC61" s="3">
        <f t="shared" si="46"/>
        <v>0.34517836570739746</v>
      </c>
      <c r="AD61" s="3">
        <f t="shared" si="27"/>
        <v>1.369935090922425E-7</v>
      </c>
      <c r="AE61" s="3">
        <f t="shared" si="47"/>
        <v>0.34517860412597656</v>
      </c>
      <c r="AF61" s="3">
        <f t="shared" si="28"/>
        <v>-1.2069566668326814E-7</v>
      </c>
      <c r="AG61" s="3">
        <f t="shared" si="38"/>
        <v>0.34517848491668701</v>
      </c>
      <c r="AH61" s="3">
        <f t="shared" si="29"/>
        <v>8.148917929329258E-9</v>
      </c>
      <c r="AI61" s="3">
        <f t="shared" si="39"/>
        <v>1.1163488624435056E-15</v>
      </c>
      <c r="AJ61" s="3">
        <f t="shared" si="40"/>
        <v>-9.8353908222763174E-16</v>
      </c>
      <c r="AK61" s="3">
        <f t="shared" si="41"/>
        <v>2.384185791015625E-7</v>
      </c>
      <c r="AM61" s="3">
        <v>12</v>
      </c>
      <c r="AN61" s="3">
        <f t="shared" si="52"/>
        <v>1096.923828125</v>
      </c>
      <c r="AO61" s="3">
        <v>2.6684781291885429</v>
      </c>
      <c r="AP61" s="3">
        <f t="shared" si="53"/>
        <v>1098.14453125</v>
      </c>
      <c r="AQ61" s="3">
        <v>-0.92514418245878005</v>
      </c>
      <c r="AR61" s="3">
        <f t="shared" si="48"/>
        <v>1097.5341796875</v>
      </c>
      <c r="AS61" s="3">
        <v>0.87216658718853068</v>
      </c>
      <c r="AT61" s="3">
        <f t="shared" si="49"/>
        <v>2.3273574629216065</v>
      </c>
      <c r="AU61" s="3">
        <f t="shared" si="50"/>
        <v>-0.80687984427239756</v>
      </c>
      <c r="AV61" s="3">
        <f t="shared" si="51"/>
        <v>1.220703125</v>
      </c>
      <c r="BN61" s="29" t="s">
        <v>176</v>
      </c>
      <c r="BO61" s="30">
        <f>CA136</f>
        <v>0.23222837755492509</v>
      </c>
      <c r="BP61" s="6" t="s">
        <v>177</v>
      </c>
      <c r="BQ61" s="3"/>
      <c r="BR61" s="29" t="s">
        <v>176</v>
      </c>
      <c r="BS61" s="30">
        <f>CL136</f>
        <v>0.23776693256242959</v>
      </c>
      <c r="BT61" s="6" t="s">
        <v>177</v>
      </c>
      <c r="BV61" s="3">
        <v>23</v>
      </c>
      <c r="BW61" s="3">
        <f t="shared" si="42"/>
        <v>0.32220066529019242</v>
      </c>
      <c r="BX61" s="3">
        <v>-1.9667313150631416E-6</v>
      </c>
      <c r="BY61" s="3">
        <f t="shared" si="43"/>
        <v>0.32220133191270278</v>
      </c>
      <c r="BZ61" s="3">
        <v>4.1728826447040568E-7</v>
      </c>
      <c r="CA61" s="3">
        <f t="shared" si="30"/>
        <v>0.32220099860144757</v>
      </c>
      <c r="CB61" s="3">
        <v>-7.747210557657036E-7</v>
      </c>
      <c r="CC61" s="3">
        <f t="shared" si="31"/>
        <v>1.5236681608131877E-12</v>
      </c>
      <c r="CD61" s="3">
        <f t="shared" si="32"/>
        <v>-3.2328200480915084E-13</v>
      </c>
      <c r="CE61" s="3">
        <f t="shared" si="33"/>
        <v>6.6662251035909392E-7</v>
      </c>
      <c r="CG61" s="3">
        <v>23</v>
      </c>
      <c r="CH61" s="3">
        <f t="shared" si="44"/>
        <v>0.28903152904218715</v>
      </c>
      <c r="CI61" s="3">
        <v>-8.4767365508137127E-7</v>
      </c>
      <c r="CJ61" s="3">
        <f t="shared" si="45"/>
        <v>0.28903219566469751</v>
      </c>
      <c r="CK61" s="3">
        <v>1.3433134499057919E-6</v>
      </c>
      <c r="CL61" s="3">
        <f t="shared" si="34"/>
        <v>0.28903186235344236</v>
      </c>
      <c r="CM61" s="3">
        <v>2.4782038567094933E-7</v>
      </c>
      <c r="CN61" s="3">
        <f t="shared" si="35"/>
        <v>-2.1007081212536869E-13</v>
      </c>
      <c r="CO61" s="3">
        <f t="shared" si="36"/>
        <v>3.3290045723262684E-13</v>
      </c>
      <c r="CP61" s="3">
        <f t="shared" si="37"/>
        <v>6.6662251035909392E-7</v>
      </c>
    </row>
    <row r="62" spans="2:94" x14ac:dyDescent="0.2">
      <c r="B62" s="7" t="s">
        <v>6</v>
      </c>
      <c r="C62" s="18">
        <v>0.8</v>
      </c>
      <c r="AB62" s="3">
        <v>23</v>
      </c>
      <c r="AC62" s="3">
        <f t="shared" si="46"/>
        <v>0.34517848491668701</v>
      </c>
      <c r="AD62" s="3">
        <f t="shared" si="27"/>
        <v>8.148917929329258E-9</v>
      </c>
      <c r="AE62" s="3">
        <f t="shared" si="47"/>
        <v>0.34517860412597656</v>
      </c>
      <c r="AF62" s="3">
        <f t="shared" si="28"/>
        <v>-1.2069566668326814E-7</v>
      </c>
      <c r="AG62" s="3">
        <f t="shared" si="38"/>
        <v>0.34517854452133179</v>
      </c>
      <c r="AH62" s="3">
        <f t="shared" si="29"/>
        <v>-5.6273375181881136E-8</v>
      </c>
      <c r="AI62" s="3">
        <f t="shared" si="39"/>
        <v>-4.5856711596350327E-16</v>
      </c>
      <c r="AJ62" s="3">
        <f t="shared" si="40"/>
        <v>6.7919525340948198E-15</v>
      </c>
      <c r="AK62" s="3">
        <f t="shared" si="41"/>
        <v>1.1920928955078125E-7</v>
      </c>
      <c r="AM62" s="3">
        <v>13</v>
      </c>
      <c r="AN62" s="3">
        <f t="shared" si="52"/>
        <v>1097.5341796875</v>
      </c>
      <c r="AO62" s="3">
        <v>0.87216658718853068</v>
      </c>
      <c r="AP62" s="3">
        <f t="shared" si="53"/>
        <v>1098.14453125</v>
      </c>
      <c r="AQ62" s="3">
        <v>-0.92514418245878005</v>
      </c>
      <c r="AR62" s="3">
        <f t="shared" si="48"/>
        <v>1097.83935546875</v>
      </c>
      <c r="AS62" s="3">
        <v>-2.6363894178757619E-2</v>
      </c>
      <c r="AT62" s="3">
        <f t="shared" si="49"/>
        <v>-2.2993707610886604E-2</v>
      </c>
      <c r="AU62" s="3">
        <f t="shared" si="50"/>
        <v>2.4390403326436508E-2</v>
      </c>
      <c r="AV62" s="3">
        <f t="shared" si="51"/>
        <v>0.6103515625</v>
      </c>
      <c r="BN62" s="3" t="s">
        <v>181</v>
      </c>
      <c r="BO62" s="3">
        <f>($AY$41+$AY$5)/180*PI()</f>
        <v>0.32239503776682754</v>
      </c>
      <c r="BP62" s="3" t="s">
        <v>177</v>
      </c>
      <c r="BQ62" s="3"/>
      <c r="BR62" s="3" t="s">
        <v>181</v>
      </c>
      <c r="BS62" s="3">
        <f>($AY$42+$AY$5)/180*PI()</f>
        <v>0.29654234822166153</v>
      </c>
      <c r="BT62" s="3" t="s">
        <v>177</v>
      </c>
      <c r="BV62" s="3">
        <v>24</v>
      </c>
      <c r="BW62" s="3">
        <f t="shared" si="42"/>
        <v>0.32220099860144757</v>
      </c>
      <c r="BX62" s="3">
        <v>-7.747210557657036E-7</v>
      </c>
      <c r="BY62" s="3">
        <f t="shared" si="43"/>
        <v>0.32220133191270278</v>
      </c>
      <c r="BZ62" s="3">
        <v>4.1728826447040568E-7</v>
      </c>
      <c r="CA62" s="3">
        <f t="shared" si="30"/>
        <v>0.32220116525707521</v>
      </c>
      <c r="CB62" s="3">
        <v>-1.787162783595253E-7</v>
      </c>
      <c r="CC62" s="3">
        <f t="shared" si="31"/>
        <v>1.3845526385320881E-13</v>
      </c>
      <c r="CD62" s="3">
        <f t="shared" si="32"/>
        <v>-7.4576205629256236E-14</v>
      </c>
      <c r="CE62" s="3">
        <f t="shared" si="33"/>
        <v>3.3331125520730254E-7</v>
      </c>
      <c r="CG62" s="3">
        <v>24</v>
      </c>
      <c r="CH62" s="3">
        <f t="shared" si="44"/>
        <v>0.28903152904218715</v>
      </c>
      <c r="CI62" s="3">
        <v>-8.4767365508137127E-7</v>
      </c>
      <c r="CJ62" s="3">
        <f t="shared" si="45"/>
        <v>0.28903186235344236</v>
      </c>
      <c r="CK62" s="3">
        <v>2.4782038567094933E-7</v>
      </c>
      <c r="CL62" s="3">
        <f t="shared" si="34"/>
        <v>0.28903169569781473</v>
      </c>
      <c r="CM62" s="3">
        <v>-2.9992651266741444E-7</v>
      </c>
      <c r="CN62" s="3">
        <f t="shared" si="35"/>
        <v>2.5423980324859638E-13</v>
      </c>
      <c r="CO62" s="3">
        <f t="shared" si="36"/>
        <v>-7.4327904042181512E-14</v>
      </c>
      <c r="CP62" s="3">
        <f t="shared" si="37"/>
        <v>3.3331125520730254E-7</v>
      </c>
    </row>
    <row r="63" spans="2:94" x14ac:dyDescent="0.2">
      <c r="AB63" s="3">
        <v>24</v>
      </c>
      <c r="AC63" s="3">
        <f t="shared" si="46"/>
        <v>0.34517848491668701</v>
      </c>
      <c r="AD63" s="3">
        <f t="shared" si="27"/>
        <v>8.148917929329258E-9</v>
      </c>
      <c r="AE63" s="3">
        <f t="shared" si="47"/>
        <v>0.34517854452133179</v>
      </c>
      <c r="AF63" s="3">
        <f t="shared" si="28"/>
        <v>-5.6273375181881136E-8</v>
      </c>
      <c r="AG63" s="3">
        <f t="shared" si="38"/>
        <v>0.3451785147190094</v>
      </c>
      <c r="AH63" s="3">
        <f t="shared" si="29"/>
        <v>-2.4062228820564968E-8</v>
      </c>
      <c r="AI63" s="3">
        <f t="shared" si="39"/>
        <v>-1.9608112785552508E-16</v>
      </c>
      <c r="AJ63" s="3">
        <f t="shared" si="40"/>
        <v>1.3540628301319256E-15</v>
      </c>
      <c r="AK63" s="3">
        <f t="shared" si="41"/>
        <v>5.9604644775390625E-8</v>
      </c>
      <c r="AM63" s="3">
        <v>14</v>
      </c>
      <c r="AN63" s="3">
        <f t="shared" si="52"/>
        <v>1097.5341796875</v>
      </c>
      <c r="AO63" s="3">
        <v>0.87216658718853068</v>
      </c>
      <c r="AP63" s="3">
        <f t="shared" si="53"/>
        <v>1097.83935546875</v>
      </c>
      <c r="AQ63" s="3">
        <v>-2.6363894178757619E-2</v>
      </c>
      <c r="AR63" s="3">
        <f t="shared" si="48"/>
        <v>1097.686767578125</v>
      </c>
      <c r="AS63" s="3">
        <v>0.42293257236860882</v>
      </c>
      <c r="AT63" s="3">
        <f t="shared" si="49"/>
        <v>0.3688676582535958</v>
      </c>
      <c r="AU63" s="3">
        <f t="shared" si="50"/>
        <v>-1.1150149582675751E-2</v>
      </c>
      <c r="AV63" s="3">
        <f t="shared" si="51"/>
        <v>0.30517578125</v>
      </c>
      <c r="BN63" s="3" t="s">
        <v>29</v>
      </c>
      <c r="BO63" s="3">
        <f>BO62-BO61</f>
        <v>9.016666021190245E-2</v>
      </c>
      <c r="BP63" s="3" t="s">
        <v>177</v>
      </c>
      <c r="BQ63" s="3"/>
      <c r="BR63" s="3" t="s">
        <v>29</v>
      </c>
      <c r="BS63" s="3">
        <f>BS62-BS61</f>
        <v>5.8775415659231944E-2</v>
      </c>
      <c r="BT63" s="3" t="s">
        <v>177</v>
      </c>
      <c r="BV63" s="3">
        <v>25</v>
      </c>
      <c r="BW63" s="3">
        <f t="shared" si="42"/>
        <v>0.32220116525707521</v>
      </c>
      <c r="BX63" s="3">
        <v>-1.787162783595253E-7</v>
      </c>
      <c r="BY63" s="3">
        <f t="shared" si="43"/>
        <v>0.32220133191270278</v>
      </c>
      <c r="BZ63" s="3">
        <v>4.1728826447040568E-7</v>
      </c>
      <c r="CA63" s="3">
        <f t="shared" si="30"/>
        <v>0.32220124858488897</v>
      </c>
      <c r="CB63" s="3">
        <v>1.1928602227512242E-7</v>
      </c>
      <c r="CC63" s="3">
        <f t="shared" si="31"/>
        <v>-2.1318353961321314E-14</v>
      </c>
      <c r="CD63" s="3">
        <f t="shared" si="32"/>
        <v>4.9776657210763988E-14</v>
      </c>
      <c r="CE63" s="3">
        <f t="shared" si="33"/>
        <v>1.6665562757589569E-7</v>
      </c>
      <c r="CG63" s="3">
        <v>25</v>
      </c>
      <c r="CH63" s="3">
        <f t="shared" si="44"/>
        <v>0.28903169569781473</v>
      </c>
      <c r="CI63" s="3">
        <v>-2.9992651266741444E-7</v>
      </c>
      <c r="CJ63" s="3">
        <f t="shared" si="45"/>
        <v>0.28903186235344236</v>
      </c>
      <c r="CK63" s="3">
        <v>2.4782038567094933E-7</v>
      </c>
      <c r="CL63" s="3">
        <f t="shared" si="34"/>
        <v>0.28903177902562854</v>
      </c>
      <c r="CM63" s="3">
        <v>-2.605303297403827E-8</v>
      </c>
      <c r="CN63" s="3">
        <f t="shared" si="35"/>
        <v>7.8139953243124553E-15</v>
      </c>
      <c r="CO63" s="3">
        <f t="shared" si="36"/>
        <v>-6.4564726795241245E-15</v>
      </c>
      <c r="CP63" s="3">
        <f t="shared" si="37"/>
        <v>1.6665562763140684E-7</v>
      </c>
    </row>
    <row r="64" spans="2:94" x14ac:dyDescent="0.2">
      <c r="B64" s="53" t="s">
        <v>75</v>
      </c>
      <c r="C64" s="53"/>
      <c r="D64" s="53"/>
      <c r="AB64" s="3">
        <v>25</v>
      </c>
      <c r="AC64" s="3">
        <f t="shared" si="46"/>
        <v>0.34517848491668701</v>
      </c>
      <c r="AD64" s="3">
        <f t="shared" si="27"/>
        <v>8.148917929329258E-9</v>
      </c>
      <c r="AE64" s="3">
        <f t="shared" si="47"/>
        <v>0.3451785147190094</v>
      </c>
      <c r="AF64" s="3">
        <f t="shared" si="28"/>
        <v>-2.4062228820564968E-8</v>
      </c>
      <c r="AG64" s="3">
        <f t="shared" si="38"/>
        <v>0.34517849981784821</v>
      </c>
      <c r="AH64" s="3">
        <f t="shared" si="29"/>
        <v>-7.9566555011290063E-9</v>
      </c>
      <c r="AI64" s="3">
        <f t="shared" si="39"/>
        <v>-6.4838132670646428E-17</v>
      </c>
      <c r="AJ64" s="3">
        <f t="shared" si="40"/>
        <v>1.9145486531457317E-16</v>
      </c>
      <c r="AK64" s="3">
        <f t="shared" si="41"/>
        <v>2.9802322387695312E-8</v>
      </c>
      <c r="AM64" s="3">
        <v>15</v>
      </c>
      <c r="AN64" s="3">
        <f t="shared" si="52"/>
        <v>1097.686767578125</v>
      </c>
      <c r="AO64" s="3">
        <v>0.42293257236860882</v>
      </c>
      <c r="AP64" s="3">
        <f t="shared" si="53"/>
        <v>1097.83935546875</v>
      </c>
      <c r="AQ64" s="3">
        <v>-2.6363894178757619E-2</v>
      </c>
      <c r="AR64" s="3">
        <f t="shared" si="48"/>
        <v>1097.7630615234375</v>
      </c>
      <c r="AS64" s="3">
        <v>0.19829214556057195</v>
      </c>
      <c r="AT64" s="3">
        <f t="shared" si="49"/>
        <v>8.386420720242331E-2</v>
      </c>
      <c r="AU64" s="3">
        <f t="shared" si="50"/>
        <v>-5.2277531420377209E-3</v>
      </c>
      <c r="AV64" s="3">
        <f t="shared" si="51"/>
        <v>0.152587890625</v>
      </c>
      <c r="BN64" s="3" t="s">
        <v>190</v>
      </c>
      <c r="BO64" s="3">
        <f>BO63/PI()*180</f>
        <v>5.1661690829321758</v>
      </c>
      <c r="BP64" s="3" t="s">
        <v>44</v>
      </c>
      <c r="BQ64" s="3"/>
      <c r="BR64" s="3" t="s">
        <v>190</v>
      </c>
      <c r="BS64" s="3">
        <f>BS63/PI()*180</f>
        <v>3.3675832564011197</v>
      </c>
      <c r="BT64" s="3" t="s">
        <v>44</v>
      </c>
      <c r="BV64" s="3">
        <v>26</v>
      </c>
      <c r="BW64" s="3">
        <f t="shared" si="42"/>
        <v>0.32220116525707521</v>
      </c>
      <c r="BX64" s="3">
        <v>-1.787162783595253E-7</v>
      </c>
      <c r="BY64" s="3">
        <f t="shared" si="43"/>
        <v>0.32220124858488897</v>
      </c>
      <c r="BZ64" s="3">
        <v>1.1928602227512242E-7</v>
      </c>
      <c r="CA64" s="3">
        <f t="shared" si="30"/>
        <v>0.32220120692098209</v>
      </c>
      <c r="CB64" s="3">
        <v>-2.9715120586359944E-8</v>
      </c>
      <c r="CC64" s="3">
        <f t="shared" si="31"/>
        <v>5.3105757621987648E-15</v>
      </c>
      <c r="CD64" s="3">
        <f t="shared" si="32"/>
        <v>-3.5445985361724811E-15</v>
      </c>
      <c r="CE64" s="3">
        <f t="shared" si="33"/>
        <v>8.3327813760192271E-8</v>
      </c>
      <c r="CG64" s="3">
        <v>26</v>
      </c>
      <c r="CH64" s="3">
        <f t="shared" si="44"/>
        <v>0.28903177902562854</v>
      </c>
      <c r="CI64" s="3">
        <v>-2.605303297403827E-8</v>
      </c>
      <c r="CJ64" s="3">
        <f t="shared" si="45"/>
        <v>0.28903186235344236</v>
      </c>
      <c r="CK64" s="3">
        <v>2.4782038567094933E-7</v>
      </c>
      <c r="CL64" s="3">
        <f t="shared" si="34"/>
        <v>0.28903182068953548</v>
      </c>
      <c r="CM64" s="3">
        <v>1.1088368408879168E-7</v>
      </c>
      <c r="CN64" s="3">
        <f t="shared" si="35"/>
        <v>-2.8888562778481323E-15</v>
      </c>
      <c r="CO64" s="3">
        <f t="shared" si="36"/>
        <v>2.7479237355500061E-14</v>
      </c>
      <c r="CP64" s="3">
        <f t="shared" si="37"/>
        <v>8.3327813815703422E-8</v>
      </c>
    </row>
    <row r="65" spans="2:94" x14ac:dyDescent="0.2">
      <c r="B65" s="7" t="s">
        <v>15</v>
      </c>
      <c r="C65" s="18">
        <v>1.2250000000000001</v>
      </c>
      <c r="D65" s="7" t="s">
        <v>16</v>
      </c>
      <c r="AB65" s="3">
        <v>26</v>
      </c>
      <c r="AC65" s="3">
        <f t="shared" si="46"/>
        <v>0.34517848491668701</v>
      </c>
      <c r="AD65" s="3">
        <f t="shared" si="27"/>
        <v>8.148917929329258E-9</v>
      </c>
      <c r="AE65" s="3">
        <f t="shared" si="47"/>
        <v>0.34517849981784821</v>
      </c>
      <c r="AF65" s="3">
        <f t="shared" si="28"/>
        <v>-7.9566555011290063E-9</v>
      </c>
      <c r="AG65" s="3">
        <f t="shared" si="38"/>
        <v>0.34517849236726761</v>
      </c>
      <c r="AH65" s="3">
        <f t="shared" si="29"/>
        <v>9.6131214100125817E-11</v>
      </c>
      <c r="AI65" s="3">
        <f t="shared" si="39"/>
        <v>7.8336537414870484E-19</v>
      </c>
      <c r="AJ65" s="3">
        <f t="shared" si="40"/>
        <v>-7.6488295349997638E-19</v>
      </c>
      <c r="AK65" s="3">
        <f t="shared" si="41"/>
        <v>1.4901161193847656E-8</v>
      </c>
      <c r="AM65" s="3">
        <v>16</v>
      </c>
      <c r="AN65" s="3">
        <f t="shared" si="52"/>
        <v>1097.7630615234375</v>
      </c>
      <c r="AO65" s="3">
        <v>0.19829214556057195</v>
      </c>
      <c r="AP65" s="3">
        <f t="shared" si="53"/>
        <v>1097.83935546875</v>
      </c>
      <c r="AQ65" s="3">
        <v>-2.6363894178757619E-2</v>
      </c>
      <c r="AR65" s="3">
        <f t="shared" si="48"/>
        <v>1097.8012084960938</v>
      </c>
      <c r="AS65" s="3">
        <v>8.5966077307148225E-2</v>
      </c>
      <c r="AT65" s="3">
        <f t="shared" si="49"/>
        <v>1.7046397914660418E-2</v>
      </c>
      <c r="AU65" s="3">
        <f t="shared" si="50"/>
        <v>-2.2664005650885524E-3</v>
      </c>
      <c r="AV65" s="3">
        <f t="shared" si="51"/>
        <v>7.62939453125E-2</v>
      </c>
      <c r="AX65" s="3"/>
      <c r="AY65" s="3"/>
      <c r="AZ65" s="27"/>
      <c r="BN65" s="3" t="s">
        <v>193</v>
      </c>
      <c r="BO65" s="3">
        <f xml:space="preserve"> $AY$8*$AY$33 / (2*PI()*$AY$25)</f>
        <v>0.16580624184935924</v>
      </c>
      <c r="BP65" s="3"/>
      <c r="BQ65" s="3"/>
      <c r="BR65" s="3" t="s">
        <v>193</v>
      </c>
      <c r="BS65" s="3">
        <f xml:space="preserve"> $AY$8*$AY$34 / (2*PI()*$AY$26)</f>
        <v>0.14274781591970584</v>
      </c>
      <c r="BT65" s="3"/>
      <c r="BV65" s="3">
        <v>27</v>
      </c>
      <c r="BW65" s="3">
        <f t="shared" si="42"/>
        <v>0.32220120692098209</v>
      </c>
      <c r="BX65" s="3">
        <v>-2.9715120586359944E-8</v>
      </c>
      <c r="BY65" s="3">
        <f t="shared" si="43"/>
        <v>0.32220124858488897</v>
      </c>
      <c r="BZ65" s="3">
        <v>1.1928602227512242E-7</v>
      </c>
      <c r="CA65" s="3">
        <f t="shared" si="30"/>
        <v>0.32220122775293553</v>
      </c>
      <c r="CB65" s="3">
        <v>4.4785452645024204E-8</v>
      </c>
      <c r="CC65" s="3">
        <f t="shared" si="31"/>
        <v>-1.3308051258616072E-15</v>
      </c>
      <c r="CD65" s="3">
        <f t="shared" si="32"/>
        <v>5.3422785018157976E-15</v>
      </c>
      <c r="CE65" s="3">
        <f t="shared" si="33"/>
        <v>4.1663906880096135E-8</v>
      </c>
      <c r="CG65" s="3">
        <v>27</v>
      </c>
      <c r="CH65" s="3">
        <f t="shared" si="44"/>
        <v>0.28903177902562854</v>
      </c>
      <c r="CI65" s="3">
        <v>-2.605303297403827E-8</v>
      </c>
      <c r="CJ65" s="3">
        <f t="shared" si="45"/>
        <v>0.28903182068953548</v>
      </c>
      <c r="CK65" s="3">
        <v>1.1088368408879168E-7</v>
      </c>
      <c r="CL65" s="3">
        <f t="shared" si="34"/>
        <v>0.28903179985758198</v>
      </c>
      <c r="CM65" s="3">
        <v>4.2415327333733543E-8</v>
      </c>
      <c r="CN65" s="3">
        <f t="shared" si="35"/>
        <v>-1.1050479216303868E-15</v>
      </c>
      <c r="CO65" s="3">
        <f t="shared" si="36"/>
        <v>4.7031677565964011E-15</v>
      </c>
      <c r="CP65" s="3">
        <f t="shared" si="37"/>
        <v>4.1663906935607287E-8</v>
      </c>
    </row>
    <row r="66" spans="2:94" x14ac:dyDescent="0.2">
      <c r="B66" s="7" t="s">
        <v>236</v>
      </c>
      <c r="C66" s="18">
        <v>1.7893802780775801E-5</v>
      </c>
      <c r="D66" s="7" t="s">
        <v>16</v>
      </c>
      <c r="AB66" s="3">
        <v>27</v>
      </c>
      <c r="AC66" s="3">
        <f t="shared" si="46"/>
        <v>0.34517849236726761</v>
      </c>
      <c r="AD66" s="3">
        <f t="shared" si="27"/>
        <v>9.6131214100125817E-11</v>
      </c>
      <c r="AE66" s="3">
        <f t="shared" si="47"/>
        <v>0.34517849981784821</v>
      </c>
      <c r="AF66" s="3">
        <f t="shared" si="28"/>
        <v>-7.9566555011290063E-9</v>
      </c>
      <c r="AG66" s="3">
        <f t="shared" si="38"/>
        <v>0.34517849609255791</v>
      </c>
      <c r="AH66" s="3">
        <f t="shared" si="29"/>
        <v>-3.9302621712700159E-9</v>
      </c>
      <c r="AI66" s="3">
        <f t="shared" si="39"/>
        <v>-3.7782087425598326E-19</v>
      </c>
      <c r="AJ66" s="3">
        <f t="shared" si="40"/>
        <v>3.1271742125914808E-17</v>
      </c>
      <c r="AK66" s="3">
        <f t="shared" si="41"/>
        <v>7.4505805969238281E-9</v>
      </c>
      <c r="AM66" s="3">
        <v>17</v>
      </c>
      <c r="AN66" s="3">
        <f t="shared" si="52"/>
        <v>1097.8012084960938</v>
      </c>
      <c r="AO66" s="3">
        <v>8.5966077307148225E-2</v>
      </c>
      <c r="AP66" s="3">
        <f t="shared" si="53"/>
        <v>1097.83935546875</v>
      </c>
      <c r="AQ66" s="3">
        <v>-2.6363894178757619E-2</v>
      </c>
      <c r="AR66" s="3">
        <f t="shared" si="48"/>
        <v>1097.8202819824219</v>
      </c>
      <c r="AS66" s="3">
        <v>2.9801579468085038E-2</v>
      </c>
      <c r="AT66" s="3">
        <f t="shared" si="49"/>
        <v>2.5619248844285197E-3</v>
      </c>
      <c r="AU66" s="3">
        <f t="shared" si="50"/>
        <v>-7.8568568745642972E-4</v>
      </c>
      <c r="AV66" s="3">
        <f t="shared" si="51"/>
        <v>3.814697265625E-2</v>
      </c>
      <c r="BN66" s="3" t="s">
        <v>197</v>
      </c>
      <c r="BO66" s="3">
        <f>IF(-$AY$8*($BC$3-$AY$25)/(2*$AY$25*SIN(BO61))&gt;500, 1, 2*ACOS(MIN(1, EXP(-$AY$8*($BC$3-$AY$25)/(2*$AY$25*SIN(BO61)))))/PI() )</f>
        <v>0.68867747734098184</v>
      </c>
      <c r="BP66" s="3"/>
      <c r="BQ66" s="3"/>
      <c r="BR66" s="3" t="s">
        <v>197</v>
      </c>
      <c r="BS66" s="3">
        <f>IF(-$AY$8*($BC$3-$AY$26)/(2*$AY$26*SIN(BS61))&gt;500, 1, 2*ACOS(MIN(1, EXP(-$AY$8*($BC$3-$AY$26)/(2*$AY$26*SIN(BS61)))))/PI() )</f>
        <v>0.40742964011880645</v>
      </c>
      <c r="BT66" s="3"/>
      <c r="BV66" s="3">
        <v>28</v>
      </c>
      <c r="BW66" s="3">
        <f t="shared" si="42"/>
        <v>0.32220120692098209</v>
      </c>
      <c r="BX66" s="3">
        <v>-2.9715120586359944E-8</v>
      </c>
      <c r="BY66" s="3">
        <f t="shared" si="43"/>
        <v>0.32220122775293553</v>
      </c>
      <c r="BZ66" s="3">
        <v>4.4785452645024204E-8</v>
      </c>
      <c r="CA66" s="3">
        <f t="shared" si="30"/>
        <v>0.32220121733695883</v>
      </c>
      <c r="CB66" s="3">
        <v>7.5351665532186196E-9</v>
      </c>
      <c r="CC66" s="3">
        <f t="shared" si="31"/>
        <v>-2.2390838276719751E-16</v>
      </c>
      <c r="CD66" s="3">
        <f t="shared" si="32"/>
        <v>3.3746584484154274E-16</v>
      </c>
      <c r="CE66" s="3">
        <f t="shared" si="33"/>
        <v>2.0831953440048068E-8</v>
      </c>
      <c r="CG66" s="3">
        <v>28</v>
      </c>
      <c r="CH66" s="3">
        <f t="shared" si="44"/>
        <v>0.28903177902562854</v>
      </c>
      <c r="CI66" s="3">
        <v>-2.605303297403827E-8</v>
      </c>
      <c r="CJ66" s="3">
        <f t="shared" si="45"/>
        <v>0.28903179985758198</v>
      </c>
      <c r="CK66" s="3">
        <v>4.2415327333733543E-8</v>
      </c>
      <c r="CL66" s="3">
        <f t="shared" si="34"/>
        <v>0.28903178944160524</v>
      </c>
      <c r="CM66" s="3">
        <v>8.1811475718951421E-9</v>
      </c>
      <c r="CN66" s="3">
        <f t="shared" si="35"/>
        <v>-2.1314370745605726E-16</v>
      </c>
      <c r="CO66" s="3">
        <f t="shared" si="36"/>
        <v>3.4700605222751183E-16</v>
      </c>
      <c r="CP66" s="3">
        <f t="shared" si="37"/>
        <v>2.0831953440048068E-8</v>
      </c>
    </row>
    <row r="67" spans="2:94" x14ac:dyDescent="0.2">
      <c r="B67" s="7" t="s">
        <v>153</v>
      </c>
      <c r="C67" s="18">
        <v>340.416</v>
      </c>
      <c r="D67" s="7" t="s">
        <v>10</v>
      </c>
      <c r="AB67" s="3">
        <v>28</v>
      </c>
      <c r="AC67" s="3">
        <f t="shared" si="46"/>
        <v>0.34517849236726761</v>
      </c>
      <c r="AD67" s="3">
        <f t="shared" si="27"/>
        <v>9.6131214100125817E-11</v>
      </c>
      <c r="AE67" s="3">
        <f t="shared" si="47"/>
        <v>0.34517849609255791</v>
      </c>
      <c r="AF67" s="3">
        <f t="shared" si="28"/>
        <v>-3.9302621712700159E-9</v>
      </c>
      <c r="AG67" s="3">
        <f t="shared" si="38"/>
        <v>0.34517849422991276</v>
      </c>
      <c r="AH67" s="3">
        <f t="shared" si="29"/>
        <v>-1.9170655063405206E-9</v>
      </c>
      <c r="AI67" s="3">
        <f t="shared" si="39"/>
        <v>-1.842898346339867E-19</v>
      </c>
      <c r="AJ67" s="3">
        <f t="shared" si="40"/>
        <v>7.534570039416747E-18</v>
      </c>
      <c r="AK67" s="3">
        <f t="shared" si="41"/>
        <v>3.7252902984619141E-9</v>
      </c>
      <c r="AM67" s="3">
        <v>18</v>
      </c>
      <c r="AN67" s="3">
        <f t="shared" si="52"/>
        <v>1097.8202819824219</v>
      </c>
      <c r="AO67" s="3">
        <v>2.9801579468085038E-2</v>
      </c>
      <c r="AP67" s="3">
        <f t="shared" si="53"/>
        <v>1097.83935546875</v>
      </c>
      <c r="AQ67" s="3">
        <v>-2.6363894178757619E-2</v>
      </c>
      <c r="AR67" s="3">
        <f t="shared" si="48"/>
        <v>1097.8298187255859</v>
      </c>
      <c r="AS67" s="3">
        <v>1.7189646205224562E-3</v>
      </c>
      <c r="AT67" s="3">
        <f t="shared" si="49"/>
        <v>5.1227860741326619E-5</v>
      </c>
      <c r="AU67" s="3">
        <f t="shared" si="50"/>
        <v>-4.5318601352482284E-5</v>
      </c>
      <c r="AV67" s="3">
        <f t="shared" si="51"/>
        <v>1.9073486328125E-2</v>
      </c>
      <c r="BN67" s="3" t="s">
        <v>202</v>
      </c>
      <c r="BO67" s="3">
        <f>IF(-$AY$8*($AY$25-$AY$10)/(2*$AY$25*SIN(BO61))&gt;500, 1, 2*ACOS(MIN(1, EXP(-$AY$8*($AY$25-$AY$10)/(2*$AY$25*SIN(BO61)))))/PI() )</f>
        <v>0.97589359639594664</v>
      </c>
      <c r="BP67" s="3"/>
      <c r="BQ67" s="3"/>
      <c r="BR67" s="3" t="s">
        <v>202</v>
      </c>
      <c r="BS67" s="3">
        <f>IF(-$AY$8*($AY$26-$AY$10)/(2*$AY$26*SIN(BS61))&gt;500, 1, 2*ACOS(MIN(1, EXP(-$AY$8*($AY$26-$AY$10)/(2*$AY$26*SIN(BS61)))))/PI() )</f>
        <v>0.97669635548619449</v>
      </c>
      <c r="BT67" s="3"/>
      <c r="BV67" s="3">
        <v>29</v>
      </c>
      <c r="BW67" s="3">
        <f t="shared" si="42"/>
        <v>0.32220120692098209</v>
      </c>
      <c r="BX67" s="3">
        <v>-2.9715120586359944E-8</v>
      </c>
      <c r="BY67" s="3">
        <f t="shared" si="43"/>
        <v>0.32220121733695883</v>
      </c>
      <c r="BZ67" s="3">
        <v>7.5351665532186196E-9</v>
      </c>
      <c r="CA67" s="3">
        <f t="shared" si="30"/>
        <v>0.32220121212897046</v>
      </c>
      <c r="CB67" s="3">
        <v>-1.1089976922895595E-8</v>
      </c>
      <c r="CC67" s="3">
        <f t="shared" si="31"/>
        <v>3.2954000156379159E-16</v>
      </c>
      <c r="CD67" s="3">
        <f t="shared" si="32"/>
        <v>-8.3564823185369235E-17</v>
      </c>
      <c r="CE67" s="3">
        <f t="shared" si="33"/>
        <v>1.0415976747779609E-8</v>
      </c>
      <c r="CG67" s="3">
        <v>29</v>
      </c>
      <c r="CH67" s="3">
        <f t="shared" si="44"/>
        <v>0.28903177902562854</v>
      </c>
      <c r="CI67" s="3">
        <v>-2.605303297403827E-8</v>
      </c>
      <c r="CJ67" s="3">
        <f t="shared" si="45"/>
        <v>0.28903178944160524</v>
      </c>
      <c r="CK67" s="3">
        <v>8.1811475718951421E-9</v>
      </c>
      <c r="CL67" s="3">
        <f t="shared" si="34"/>
        <v>0.28903178423361686</v>
      </c>
      <c r="CM67" s="3">
        <v>-8.9359425761714739E-9</v>
      </c>
      <c r="CN67" s="3">
        <f t="shared" si="35"/>
        <v>2.3280840659110791E-16</v>
      </c>
      <c r="CO67" s="3">
        <f t="shared" si="36"/>
        <v>-7.3106264909639669E-17</v>
      </c>
      <c r="CP67" s="3">
        <f t="shared" si="37"/>
        <v>1.0415976692268458E-8</v>
      </c>
    </row>
    <row r="68" spans="2:94" x14ac:dyDescent="0.2">
      <c r="B68" s="7" t="s">
        <v>17</v>
      </c>
      <c r="C68" s="18">
        <v>9.8066499999999994</v>
      </c>
      <c r="D68" s="7" t="s">
        <v>18</v>
      </c>
      <c r="AB68" s="3">
        <v>29</v>
      </c>
      <c r="AC68" s="3">
        <f t="shared" si="46"/>
        <v>0.34517849236726761</v>
      </c>
      <c r="AD68" s="3">
        <f t="shared" si="27"/>
        <v>9.6131214100125817E-11</v>
      </c>
      <c r="AE68" s="3">
        <f t="shared" si="47"/>
        <v>0.34517849422991276</v>
      </c>
      <c r="AF68" s="3">
        <f t="shared" si="28"/>
        <v>-1.9170655063405206E-9</v>
      </c>
      <c r="AG68" s="3">
        <f t="shared" si="38"/>
        <v>0.34517849329859018</v>
      </c>
      <c r="AH68" s="3">
        <f t="shared" si="29"/>
        <v>-9.1046714612019741E-10</v>
      </c>
      <c r="AI68" s="3">
        <f t="shared" si="39"/>
        <v>-8.7524312154811234E-20</v>
      </c>
      <c r="AJ68" s="3">
        <f t="shared" si="40"/>
        <v>1.745425160483325E-18</v>
      </c>
      <c r="AK68" s="3">
        <f t="shared" si="41"/>
        <v>1.862645149230957E-9</v>
      </c>
      <c r="AM68" s="3">
        <v>19</v>
      </c>
      <c r="AN68" s="3">
        <f t="shared" si="52"/>
        <v>1097.8298187255859</v>
      </c>
      <c r="AO68" s="3">
        <v>1.7189646205224562E-3</v>
      </c>
      <c r="AP68" s="3">
        <f t="shared" si="53"/>
        <v>1097.83935546875</v>
      </c>
      <c r="AQ68" s="3">
        <v>-2.6363894178757619E-2</v>
      </c>
      <c r="AR68" s="3">
        <f t="shared" si="48"/>
        <v>1097.834587097168</v>
      </c>
      <c r="AS68" s="3">
        <v>-1.2322434285351846E-2</v>
      </c>
      <c r="AT68" s="3">
        <f t="shared" si="49"/>
        <v>-2.118182857523274E-5</v>
      </c>
      <c r="AU68" s="3">
        <f t="shared" si="50"/>
        <v>3.2486735352371085E-4</v>
      </c>
      <c r="AV68" s="3">
        <f t="shared" si="51"/>
        <v>9.5367431640625E-3</v>
      </c>
      <c r="BN68" s="3" t="s">
        <v>205</v>
      </c>
      <c r="BO68" s="3">
        <f>IF(BO61=0,1,BO66*BO67)</f>
        <v>0.67207594011917882</v>
      </c>
      <c r="BP68" s="3"/>
      <c r="BQ68" s="3"/>
      <c r="BR68" s="3" t="s">
        <v>205</v>
      </c>
      <c r="BS68" s="3">
        <f>IF(BS61=0,1,BS66*BS67)</f>
        <v>0.39793504462109008</v>
      </c>
      <c r="BT68" s="3"/>
      <c r="BV68" s="3">
        <v>30</v>
      </c>
      <c r="BW68" s="3">
        <f t="shared" si="42"/>
        <v>0.32220121212897046</v>
      </c>
      <c r="BX68" s="3">
        <v>-1.1089976922895595E-8</v>
      </c>
      <c r="BY68" s="3">
        <f t="shared" si="43"/>
        <v>0.32220121733695883</v>
      </c>
      <c r="BZ68" s="3">
        <v>7.5351665532186196E-9</v>
      </c>
      <c r="CA68" s="6">
        <f t="shared" si="30"/>
        <v>0.32220121473296465</v>
      </c>
      <c r="CB68" s="3">
        <v>-1.7774052021857223E-9</v>
      </c>
      <c r="CC68" s="3">
        <f t="shared" si="31"/>
        <v>1.971138267487424E-17</v>
      </c>
      <c r="CD68" s="3">
        <f t="shared" si="32"/>
        <v>-1.3393044231026633E-17</v>
      </c>
      <c r="CE68" s="3">
        <f t="shared" si="33"/>
        <v>5.2079883738898047E-9</v>
      </c>
      <c r="CG68" s="3">
        <v>30</v>
      </c>
      <c r="CH68" s="3">
        <f t="shared" si="44"/>
        <v>0.28903178423361686</v>
      </c>
      <c r="CI68" s="3">
        <v>-8.9359425761714739E-9</v>
      </c>
      <c r="CJ68" s="3">
        <f t="shared" si="45"/>
        <v>0.28903178944160524</v>
      </c>
      <c r="CK68" s="3">
        <v>8.1811475718951421E-9</v>
      </c>
      <c r="CL68" s="6">
        <f t="shared" si="34"/>
        <v>0.28903178683761105</v>
      </c>
      <c r="CM68" s="3">
        <v>-3.7739750907705982E-10</v>
      </c>
      <c r="CN68" s="3">
        <f t="shared" si="35"/>
        <v>3.3724024695027593E-18</v>
      </c>
      <c r="CO68" s="3">
        <f t="shared" si="36"/>
        <v>-3.087544715025063E-18</v>
      </c>
      <c r="CP68" s="3">
        <f t="shared" si="37"/>
        <v>5.2079883738898047E-9</v>
      </c>
    </row>
    <row r="69" spans="2:94" x14ac:dyDescent="0.2">
      <c r="B69" s="7" t="s">
        <v>284</v>
      </c>
      <c r="C69" s="18">
        <v>5</v>
      </c>
      <c r="D69" s="7" t="s">
        <v>44</v>
      </c>
      <c r="AB69" s="3">
        <v>30</v>
      </c>
      <c r="AC69" s="3">
        <f t="shared" si="46"/>
        <v>0.34517849236726761</v>
      </c>
      <c r="AD69" s="3">
        <f t="shared" si="27"/>
        <v>9.6131214100125817E-11</v>
      </c>
      <c r="AE69" s="3">
        <f t="shared" si="47"/>
        <v>0.34517849329859018</v>
      </c>
      <c r="AF69" s="3">
        <f t="shared" si="28"/>
        <v>-9.1046714612019741E-10</v>
      </c>
      <c r="AG69" s="3">
        <f t="shared" si="38"/>
        <v>0.3451784928329289</v>
      </c>
      <c r="AH69" s="3">
        <f t="shared" si="29"/>
        <v>-4.071679660100358E-10</v>
      </c>
      <c r="AI69" s="3">
        <f t="shared" si="39"/>
        <v>-3.9141550915223503E-20</v>
      </c>
      <c r="AJ69" s="3">
        <f t="shared" si="40"/>
        <v>3.7071305600472284E-19</v>
      </c>
      <c r="AK69" s="3">
        <f t="shared" si="41"/>
        <v>9.3132257461547852E-10</v>
      </c>
      <c r="AM69" s="3">
        <v>20</v>
      </c>
      <c r="AN69" s="3">
        <f t="shared" si="52"/>
        <v>1097.8298187255859</v>
      </c>
      <c r="AO69" s="3">
        <v>1.7189646205224562E-3</v>
      </c>
      <c r="AP69" s="3">
        <f t="shared" si="53"/>
        <v>1097.834587097168</v>
      </c>
      <c r="AQ69" s="3">
        <v>-1.2322434285351846E-2</v>
      </c>
      <c r="AR69" s="3">
        <f t="shared" si="48"/>
        <v>1097.832202911377</v>
      </c>
      <c r="AS69" s="3">
        <v>-5.301727208916418E-3</v>
      </c>
      <c r="AT69" s="3">
        <f t="shared" si="49"/>
        <v>-9.1134814997885919E-6</v>
      </c>
      <c r="AU69" s="3">
        <f t="shared" si="50"/>
        <v>6.5330185130734418E-5</v>
      </c>
      <c r="AV69" s="3">
        <f t="shared" si="51"/>
        <v>4.76837158203125E-3</v>
      </c>
      <c r="BN69" s="3" t="s">
        <v>209</v>
      </c>
      <c r="BO69" s="3">
        <f>IF(BO64&lt;$BH$43, $BC$44*BO64^2 + $BD$44*BO64 + $BE$44, IF(BO64&gt;$BI$43, $BJ$44*BO64^2 + $BK$44*BO64 + $BL$44, $BF$44*BO64^3 + $BG$44*BO64^2 + $BH$44*BO64 + $BI$44))</f>
        <v>0.7817908677679033</v>
      </c>
      <c r="BP69" s="3"/>
      <c r="BQ69" s="3"/>
      <c r="BR69" s="3" t="s">
        <v>209</v>
      </c>
      <c r="BS69" s="3">
        <f>IF(BS64&lt;$BH$43, $BC$44*BS64^2 + $BD$44*BS64 + $BE$44, IF(BS64&gt;$BI$43, $BJ$44*BS64^2 + $BK$44*BS64 + $BL$44, $BF$44*BS64^3 + $BG$44*BS64^2 + $BH$44*BS64 + $BI$44))</f>
        <v>0.57285966829272617</v>
      </c>
      <c r="BT69" s="3"/>
    </row>
    <row r="70" spans="2:94" x14ac:dyDescent="0.2">
      <c r="B70" s="7" t="s">
        <v>82</v>
      </c>
      <c r="C70" s="18">
        <v>0.8</v>
      </c>
      <c r="AM70" s="3">
        <v>21</v>
      </c>
      <c r="AN70" s="3">
        <f t="shared" si="52"/>
        <v>1097.8298187255859</v>
      </c>
      <c r="AO70" s="3">
        <v>1.7189646205224562E-3</v>
      </c>
      <c r="AP70" s="3">
        <f t="shared" si="53"/>
        <v>1097.832202911377</v>
      </c>
      <c r="AQ70" s="3">
        <v>-5.301727208916418E-3</v>
      </c>
      <c r="AR70" s="3">
        <f t="shared" si="48"/>
        <v>1097.8310108184814</v>
      </c>
      <c r="AS70" s="3">
        <v>-1.791379388578207E-3</v>
      </c>
      <c r="AT70" s="3">
        <f t="shared" si="49"/>
        <v>-3.0793177908990872E-6</v>
      </c>
      <c r="AU70" s="3">
        <f t="shared" si="50"/>
        <v>9.4974048459171364E-6</v>
      </c>
      <c r="AV70" s="3">
        <f t="shared" si="51"/>
        <v>2.384185791015625E-3</v>
      </c>
      <c r="BN70" s="3" t="s">
        <v>210</v>
      </c>
      <c r="BO70" s="3">
        <f>IF(BO64&lt;$BH$43, $BC$45*BO64^2 + $BD$45*BO64 + $BE$45, IF(BO64&gt;$BI$43, $BJ$45*BO64^2 + $BK$45*BO64 + $BL$45, $BF$45*BO64^3 + $BG$45*BO64^2 + $BH$45*BO64 + $BI$45))</f>
        <v>4.2031039129841324E-3</v>
      </c>
      <c r="BP70" s="3"/>
      <c r="BQ70" s="3"/>
      <c r="BR70" s="3" t="s">
        <v>210</v>
      </c>
      <c r="BS70" s="3">
        <f>IF(BS64&lt;$BH$43, $BC$45*BS64^2 + $BD$45*BS64 + $BE$45, IF(BS64&gt;$BI$43, $BJ$45*BS64^2 + $BK$45*BS64 + $BL$45, $BF$45*BS64^3 + $BG$45*BS64^2 + $BH$45*BS64 + $BI$45))</f>
        <v>2.8510951918182051E-3</v>
      </c>
      <c r="BT70" s="3"/>
      <c r="BV70" s="59" t="s">
        <v>233</v>
      </c>
      <c r="BW70" s="59"/>
      <c r="BX70" s="59"/>
      <c r="BY70" s="59"/>
      <c r="BZ70" s="59"/>
      <c r="CA70" s="59"/>
      <c r="CB70" s="59"/>
      <c r="CC70" s="59"/>
      <c r="CD70" s="59"/>
      <c r="CE70" s="59"/>
      <c r="CG70" s="59" t="s">
        <v>234</v>
      </c>
      <c r="CH70" s="59"/>
      <c r="CI70" s="59"/>
      <c r="CJ70" s="59"/>
      <c r="CK70" s="59"/>
      <c r="CL70" s="59"/>
      <c r="CM70" s="59"/>
      <c r="CN70" s="59"/>
      <c r="CO70" s="59"/>
      <c r="CP70" s="59"/>
    </row>
    <row r="71" spans="2:94" x14ac:dyDescent="0.2">
      <c r="AM71" s="3">
        <v>22</v>
      </c>
      <c r="AN71" s="3">
        <f t="shared" si="52"/>
        <v>1097.8298187255859</v>
      </c>
      <c r="AO71" s="3">
        <v>1.7189646205224562E-3</v>
      </c>
      <c r="AP71" s="3">
        <f t="shared" si="53"/>
        <v>1097.8310108184814</v>
      </c>
      <c r="AQ71" s="3">
        <v>-1.791379388578207E-3</v>
      </c>
      <c r="AR71" s="3">
        <f t="shared" si="48"/>
        <v>1097.8304147720337</v>
      </c>
      <c r="AS71" s="3">
        <v>-3.6206907225277973E-5</v>
      </c>
      <c r="AT71" s="3">
        <f t="shared" si="49"/>
        <v>-6.2238392538791726E-8</v>
      </c>
      <c r="AU71" s="3">
        <f t="shared" si="50"/>
        <v>6.4860307327526321E-8</v>
      </c>
      <c r="AV71" s="3">
        <f t="shared" si="51"/>
        <v>1.1920928955078125E-3</v>
      </c>
      <c r="BN71" s="3" t="s">
        <v>212</v>
      </c>
      <c r="BO71" s="3">
        <f xml:space="preserve"> BO69*COS(BO61) - BO70*SIN(BO61)</f>
        <v>0.75983711056814007</v>
      </c>
      <c r="BP71" s="3"/>
      <c r="BQ71" s="3"/>
      <c r="BR71" s="3" t="s">
        <v>212</v>
      </c>
      <c r="BS71" s="3">
        <f xml:space="preserve"> BS69*COS(BS61) - BS70*SIN(BS61)</f>
        <v>0.5560715128728696</v>
      </c>
      <c r="BT71" s="3"/>
      <c r="BV71" s="8" t="s">
        <v>45</v>
      </c>
      <c r="BW71" s="8" t="s">
        <v>46</v>
      </c>
      <c r="BX71" s="8" t="s">
        <v>47</v>
      </c>
      <c r="BY71" s="8" t="s">
        <v>48</v>
      </c>
      <c r="BZ71" s="8" t="s">
        <v>49</v>
      </c>
      <c r="CA71" s="8" t="s">
        <v>50</v>
      </c>
      <c r="CB71" s="8" t="s">
        <v>51</v>
      </c>
      <c r="CC71" s="8" t="s">
        <v>52</v>
      </c>
      <c r="CD71" s="8" t="s">
        <v>53</v>
      </c>
      <c r="CE71" s="8" t="s">
        <v>54</v>
      </c>
      <c r="CG71" s="8" t="s">
        <v>45</v>
      </c>
      <c r="CH71" s="8" t="s">
        <v>46</v>
      </c>
      <c r="CI71" s="8" t="s">
        <v>47</v>
      </c>
      <c r="CJ71" s="8" t="s">
        <v>48</v>
      </c>
      <c r="CK71" s="8" t="s">
        <v>49</v>
      </c>
      <c r="CL71" s="8" t="s">
        <v>50</v>
      </c>
      <c r="CM71" s="8" t="s">
        <v>51</v>
      </c>
      <c r="CN71" s="8" t="s">
        <v>52</v>
      </c>
      <c r="CO71" s="8" t="s">
        <v>53</v>
      </c>
      <c r="CP71" s="8" t="s">
        <v>54</v>
      </c>
    </row>
    <row r="72" spans="2:94" x14ac:dyDescent="0.2">
      <c r="B72" s="53" t="s">
        <v>19</v>
      </c>
      <c r="C72" s="53"/>
      <c r="D72" s="53"/>
      <c r="AB72" s="17" t="s">
        <v>115</v>
      </c>
      <c r="AM72" s="3">
        <v>23</v>
      </c>
      <c r="AN72" s="3">
        <f t="shared" si="52"/>
        <v>1097.8298187255859</v>
      </c>
      <c r="AO72" s="3">
        <v>1.7189646205224562E-3</v>
      </c>
      <c r="AP72" s="3">
        <f t="shared" si="53"/>
        <v>1097.8304147720337</v>
      </c>
      <c r="AQ72" s="3">
        <v>-3.6206907225277973E-5</v>
      </c>
      <c r="AR72" s="3">
        <f t="shared" si="48"/>
        <v>1097.8301167488098</v>
      </c>
      <c r="AS72" s="3">
        <v>8.4137897556502139E-4</v>
      </c>
      <c r="AT72" s="3">
        <f t="shared" si="49"/>
        <v>1.4463006914477E-6</v>
      </c>
      <c r="AU72" s="3">
        <f t="shared" si="50"/>
        <v>-3.0463730509582155E-8</v>
      </c>
      <c r="AV72" s="3">
        <f t="shared" si="51"/>
        <v>5.9604644775390625E-4</v>
      </c>
      <c r="BN72" s="3" t="s">
        <v>214</v>
      </c>
      <c r="BO72" s="3">
        <f xml:space="preserve"> BO69*SIN(BO61) + BO70*COS(BO61)</f>
        <v>0.18401682643512463</v>
      </c>
      <c r="BP72" s="3"/>
      <c r="BQ72" s="3"/>
      <c r="BR72" s="3" t="s">
        <v>214</v>
      </c>
      <c r="BS72" s="3">
        <f xml:space="preserve"> BS69*SIN(BS61) + BS70*COS(BS61)</f>
        <v>0.1376982239229074</v>
      </c>
      <c r="BT72" s="3"/>
      <c r="BV72" s="31">
        <v>0</v>
      </c>
      <c r="BW72" s="31"/>
      <c r="BX72" s="31">
        <f>$BO$58</f>
        <v>-4.9045674466174916E-10</v>
      </c>
      <c r="BY72" s="31"/>
      <c r="BZ72" s="31">
        <f>$BO$58</f>
        <v>-4.9045674466174916E-10</v>
      </c>
      <c r="CA72" s="31"/>
      <c r="CB72" s="31">
        <f>$BO$58</f>
        <v>-4.9045674466174916E-10</v>
      </c>
      <c r="CC72" s="31"/>
      <c r="CD72" s="31"/>
      <c r="CE72" s="31"/>
      <c r="CG72" s="31">
        <v>0</v>
      </c>
      <c r="CH72" s="31"/>
      <c r="CI72" s="31">
        <f>$BS$58</f>
        <v>-5.3508551894898559E-9</v>
      </c>
      <c r="CJ72" s="31"/>
      <c r="CK72" s="31">
        <f>$BS$58</f>
        <v>-5.3508551894898559E-9</v>
      </c>
      <c r="CL72" s="31"/>
      <c r="CM72" s="31">
        <f>$BS$58</f>
        <v>-5.3508551894898559E-9</v>
      </c>
      <c r="CN72" s="31"/>
      <c r="CO72" s="31"/>
      <c r="CP72" s="31"/>
    </row>
    <row r="73" spans="2:94" x14ac:dyDescent="0.2">
      <c r="B73" s="7" t="s">
        <v>20</v>
      </c>
      <c r="C73" s="18">
        <v>30</v>
      </c>
      <c r="AB73" s="8" t="s">
        <v>45</v>
      </c>
      <c r="AC73" s="8" t="s">
        <v>46</v>
      </c>
      <c r="AD73" s="8" t="s">
        <v>47</v>
      </c>
      <c r="AE73" s="8" t="s">
        <v>48</v>
      </c>
      <c r="AF73" s="8" t="s">
        <v>49</v>
      </c>
      <c r="AG73" s="8" t="s">
        <v>50</v>
      </c>
      <c r="AH73" s="8" t="s">
        <v>51</v>
      </c>
      <c r="AI73" s="8" t="s">
        <v>52</v>
      </c>
      <c r="AJ73" s="8" t="s">
        <v>53</v>
      </c>
      <c r="AK73" s="8" t="s">
        <v>54</v>
      </c>
      <c r="AM73" s="3">
        <v>24</v>
      </c>
      <c r="AN73" s="3">
        <f t="shared" si="52"/>
        <v>1097.8301167488098</v>
      </c>
      <c r="AO73" s="3">
        <v>8.4137897556502139E-4</v>
      </c>
      <c r="AP73" s="3">
        <f t="shared" si="53"/>
        <v>1097.8304147720337</v>
      </c>
      <c r="AQ73" s="3">
        <v>-3.6206907225277973E-5</v>
      </c>
      <c r="AR73" s="3">
        <f t="shared" si="48"/>
        <v>1097.8302657604218</v>
      </c>
      <c r="AS73" s="3">
        <v>4.0258606418319687E-4</v>
      </c>
      <c r="AT73" s="3">
        <f t="shared" si="49"/>
        <v>3.3872745025921212E-7</v>
      </c>
      <c r="AU73" s="3">
        <f t="shared" si="50"/>
        <v>-1.4576396276070813E-8</v>
      </c>
      <c r="AV73" s="3">
        <f t="shared" si="51"/>
        <v>2.9802322387695312E-4</v>
      </c>
      <c r="BN73" s="3" t="s">
        <v>39</v>
      </c>
      <c r="BO73" s="3">
        <f xml:space="preserve"> 4*BO68*SIN(BO61)*SIN(BO61) / (BO65*BO71)</f>
        <v>1.1302285830210135</v>
      </c>
      <c r="BP73" s="3"/>
      <c r="BQ73" s="3"/>
      <c r="BR73" s="3" t="s">
        <v>39</v>
      </c>
      <c r="BS73" s="3">
        <f xml:space="preserve"> 4*BS68*SIN(BS61)*SIN(BS61) / (BS65*BS71)</f>
        <v>1.1124371536835624</v>
      </c>
      <c r="BT73" s="3"/>
      <c r="BV73" s="3">
        <v>1</v>
      </c>
      <c r="BW73" s="4">
        <f>0.01*PI()</f>
        <v>3.1415926535897934E-2</v>
      </c>
      <c r="BX73" s="3">
        <f t="dataTable" ref="BX73:BX102" dt2D="0" dtr="0" r1="BO42"/>
        <v>-2.2560789652564419</v>
      </c>
      <c r="BY73" s="4">
        <f>0.9*PI()</f>
        <v>2.8274333882308138</v>
      </c>
      <c r="BZ73" s="3">
        <f t="dataTable" ref="BZ73:BZ102" dt2D="0" dtr="0" r1="BO42" ca="1"/>
        <v>0.35530355207980585</v>
      </c>
      <c r="CA73" s="3">
        <f t="shared" ref="CA73:CA102" si="54">(BW73+BY73)/2</f>
        <v>1.4294246573833558</v>
      </c>
      <c r="CB73" s="3">
        <f t="dataTable" ref="CB73:CB102" dt2D="0" dtr="0" r1="BO42" ca="1"/>
        <v>1.135718810575453</v>
      </c>
      <c r="CC73" s="3">
        <f t="shared" ref="CC73:CC102" si="55">BX73*CB73</f>
        <v>-2.5622713189853448</v>
      </c>
      <c r="CD73" s="3">
        <f t="shared" ref="CD73:CD102" si="56">BZ73*CB73</f>
        <v>0.40352492756131064</v>
      </c>
      <c r="CE73" s="3">
        <f t="shared" ref="CE73:CE102" si="57">BY73-BW73</f>
        <v>2.7960174616949161</v>
      </c>
      <c r="CG73" s="3">
        <v>1</v>
      </c>
      <c r="CH73" s="4">
        <f>0.01*PI()</f>
        <v>3.1415926535897934E-2</v>
      </c>
      <c r="CI73" s="3">
        <f t="dataTable" ref="CI73:CI102" dt2D="0" dtr="0" r1="BS42" ca="1"/>
        <v>-2.1585954397076712</v>
      </c>
      <c r="CJ73" s="4">
        <f>0.9*PI()</f>
        <v>2.8274333882308138</v>
      </c>
      <c r="CK73" s="3">
        <f t="dataTable" ref="CK73:CK102" dt2D="0" dtr="0" r1="BS42"/>
        <v>0.34656556202851385</v>
      </c>
      <c r="CL73" s="3">
        <f t="shared" ref="CL73:CL102" si="58">(CH73+CJ73)/2</f>
        <v>1.4294246573833558</v>
      </c>
      <c r="CM73" s="3">
        <f t="dataTable" ref="CM73:CM102" dt2D="0" dtr="0" r1="BS42" ca="1"/>
        <v>1.1388889451295652</v>
      </c>
      <c r="CN73" s="3">
        <f t="shared" ref="CN73:CN102" si="59">CI73*CM73</f>
        <v>-2.4584004832901596</v>
      </c>
      <c r="CO73" s="3">
        <f t="shared" ref="CO73:CO102" si="60">CK73*CM73</f>
        <v>0.39469968735688904</v>
      </c>
      <c r="CP73" s="3">
        <f t="shared" ref="CP73:CP102" si="61">CJ73-CH73</f>
        <v>2.7960174616949161</v>
      </c>
    </row>
    <row r="74" spans="2:94" x14ac:dyDescent="0.2">
      <c r="AB74" s="3">
        <v>0</v>
      </c>
      <c r="AC74" s="4">
        <v>0</v>
      </c>
      <c r="AD74" s="3">
        <f xml:space="preserve"> $W$22 * TAN($W$19/180*PI()) + $W$23 / (2 * SQRT($W$22^2 + AC74^2)) - AC74</f>
        <v>0.453624770468533</v>
      </c>
      <c r="AE74" s="4">
        <v>1</v>
      </c>
      <c r="AF74" s="3">
        <f xml:space="preserve"> $W$22 * TAN($W$19/180*PI()) + $W$23 / (2 * SQRT($W$22^2 + AE74^2)) - AE74</f>
        <v>-0.67911525432524134</v>
      </c>
      <c r="AG74" s="3">
        <f xml:space="preserve"> (AC74 + AE74)/2</f>
        <v>0.5</v>
      </c>
      <c r="AH74" s="3">
        <f xml:space="preserve"> $W$22 * TAN($W$19/180*PI()) + $W$23 / (2 * SQRT($W$22^2 + AG74^2)) - AG74</f>
        <v>-0.17533784976014</v>
      </c>
      <c r="AI74" s="3">
        <f>AD74*AH74</f>
        <v>-7.9537591851889633E-2</v>
      </c>
      <c r="AJ74" s="3">
        <f>AF74*AH74</f>
        <v>0.11907460843269843</v>
      </c>
      <c r="AK74" s="3">
        <f>AE74-AC74</f>
        <v>1</v>
      </c>
      <c r="AM74" s="3">
        <v>25</v>
      </c>
      <c r="AN74" s="3">
        <f t="shared" si="52"/>
        <v>1097.8302657604218</v>
      </c>
      <c r="AO74" s="3">
        <v>4.0258606418319687E-4</v>
      </c>
      <c r="AP74" s="3">
        <f t="shared" si="53"/>
        <v>1097.8304147720337</v>
      </c>
      <c r="AQ74" s="3">
        <v>-3.6206907225277973E-5</v>
      </c>
      <c r="AR74" s="3">
        <f t="shared" si="48"/>
        <v>1097.8303402662277</v>
      </c>
      <c r="AS74" s="3">
        <v>1.8318958609597757E-4</v>
      </c>
      <c r="AT74" s="3">
        <f t="shared" si="49"/>
        <v>7.3749574465728491E-8</v>
      </c>
      <c r="AU74" s="3">
        <f t="shared" si="50"/>
        <v>-6.6327283484141318E-9</v>
      </c>
      <c r="AV74" s="3">
        <f t="shared" si="51"/>
        <v>1.4901161193847656E-4</v>
      </c>
      <c r="BN74" s="3" t="s">
        <v>216</v>
      </c>
      <c r="BO74" s="3">
        <f xml:space="preserve"> 4*BO68*SIN(BO61)*COS(BO61) / (BO65*BO72)</f>
        <v>19.733632438907172</v>
      </c>
      <c r="BP74" s="3"/>
      <c r="BQ74" s="3"/>
      <c r="BR74" s="3" t="s">
        <v>216</v>
      </c>
      <c r="BS74" s="3">
        <f xml:space="preserve"> 4*BS68*SIN(BS61)*COS(BS61) / (BS65*BS72)</f>
        <v>18.536708907302955</v>
      </c>
      <c r="BT74" s="3"/>
      <c r="BV74" s="3">
        <v>2</v>
      </c>
      <c r="BW74" s="3">
        <f t="shared" ref="BW74:BW102" si="62">IF(CC73&gt;0,CA73,BW73)</f>
        <v>3.1415926535897934E-2</v>
      </c>
      <c r="BX74" s="3">
        <v>-2.2560789652564419</v>
      </c>
      <c r="BY74" s="3">
        <f t="shared" ref="BY74:BY102" si="63">IF(CD73&gt;0,CA73,BY73)</f>
        <v>1.4294246573833558</v>
      </c>
      <c r="BZ74" s="3">
        <v>1.135718810575453</v>
      </c>
      <c r="CA74" s="3">
        <f t="shared" si="54"/>
        <v>0.73042029195962688</v>
      </c>
      <c r="CB74" s="3">
        <v>0.73124081187482892</v>
      </c>
      <c r="CC74" s="3">
        <f t="shared" si="55"/>
        <v>-1.6497370142078445</v>
      </c>
      <c r="CD74" s="3">
        <f t="shared" si="56"/>
        <v>0.83048394510670931</v>
      </c>
      <c r="CE74" s="3">
        <f t="shared" si="57"/>
        <v>1.3980087308474578</v>
      </c>
      <c r="CG74" s="3">
        <v>2</v>
      </c>
      <c r="CH74" s="3">
        <f t="shared" ref="CH74:CH102" si="64">IF(CN73&gt;0,CL73,CH73)</f>
        <v>3.1415926535897934E-2</v>
      </c>
      <c r="CI74" s="3">
        <v>-2.1585954397076712</v>
      </c>
      <c r="CJ74" s="3">
        <f t="shared" ref="CJ74:CJ102" si="65">IF(CO73&gt;0,CL73,CJ73)</f>
        <v>1.4294246573833558</v>
      </c>
      <c r="CK74" s="3">
        <v>1.1388889451295652</v>
      </c>
      <c r="CL74" s="3">
        <f t="shared" si="58"/>
        <v>0.73042029195962688</v>
      </c>
      <c r="CM74" s="3">
        <v>0.73571106952662546</v>
      </c>
      <c r="CN74" s="3">
        <f t="shared" si="59"/>
        <v>-1.5881025596226273</v>
      </c>
      <c r="CO74" s="3">
        <f t="shared" si="60"/>
        <v>0.83789320389332267</v>
      </c>
      <c r="CP74" s="3">
        <f t="shared" si="61"/>
        <v>1.3980087308474578</v>
      </c>
    </row>
    <row r="75" spans="2:94" x14ac:dyDescent="0.2">
      <c r="AB75" s="3">
        <v>1</v>
      </c>
      <c r="AC75" s="3">
        <f>IF(AI74&gt;0, AG74, AC74)</f>
        <v>0</v>
      </c>
      <c r="AD75" s="3">
        <f t="shared" ref="AD75:AD104" si="66" xml:space="preserve"> $W$22 * TAN($W$19/180*PI()) + $W$23 / (2 * SQRT($W$22^2 + AC75^2)) - AC75</f>
        <v>0.453624770468533</v>
      </c>
      <c r="AE75" s="3">
        <f>IF(AJ74&gt;0, AG74, AE74)</f>
        <v>0.5</v>
      </c>
      <c r="AF75" s="3">
        <f t="shared" ref="AF75:AF104" si="67" xml:space="preserve"> $W$22 * TAN($W$19/180*PI()) + $W$23 / (2 * SQRT($W$22^2 + AE75^2)) - AE75</f>
        <v>-0.17533784976014</v>
      </c>
      <c r="AG75" s="3">
        <f t="shared" ref="AG75:AG104" si="68" xml:space="preserve"> (AC75 + AE75)/2</f>
        <v>0.25</v>
      </c>
      <c r="AH75" s="3">
        <f t="shared" ref="AH75:AH104" si="69" xml:space="preserve"> $W$22 * TAN($W$19/180*PI()) + $W$23 / (2 * SQRT($W$22^2 + AG75^2)) - AG75</f>
        <v>8.2156516074635311E-2</v>
      </c>
      <c r="AI75" s="3">
        <f t="shared" ref="AI75:AI104" si="70">AD75*AH75</f>
        <v>3.7268230746850782E-2</v>
      </c>
      <c r="AJ75" s="3">
        <f t="shared" ref="AJ75:AJ104" si="71">AF75*AH75</f>
        <v>-1.4405146872310932E-2</v>
      </c>
      <c r="AK75" s="3">
        <f t="shared" ref="AK75:AK104" si="72">AE75-AC75</f>
        <v>0.5</v>
      </c>
      <c r="AM75" s="3">
        <v>26</v>
      </c>
      <c r="AN75" s="3">
        <f t="shared" si="52"/>
        <v>1097.8303402662277</v>
      </c>
      <c r="AO75" s="3">
        <v>1.8318958609597757E-4</v>
      </c>
      <c r="AP75" s="3">
        <f t="shared" si="53"/>
        <v>1097.8304147720337</v>
      </c>
      <c r="AQ75" s="3">
        <v>-3.6206907225277973E-5</v>
      </c>
      <c r="AR75" s="3">
        <f t="shared" si="48"/>
        <v>1097.8303775191307</v>
      </c>
      <c r="AS75" s="3">
        <v>7.3491341254339204E-5</v>
      </c>
      <c r="AT75" s="3">
        <f t="shared" si="49"/>
        <v>1.346284838602064E-8</v>
      </c>
      <c r="AU75" s="3">
        <f t="shared" si="50"/>
        <v>-2.6608941746571034E-9</v>
      </c>
      <c r="AV75" s="3">
        <f t="shared" si="51"/>
        <v>7.4505805969238281E-5</v>
      </c>
      <c r="BN75" s="3" t="s">
        <v>46</v>
      </c>
      <c r="BO75" s="3">
        <f>1/(BO73-1)</f>
        <v>7.6788058105388552</v>
      </c>
      <c r="BP75" s="3"/>
      <c r="BQ75" s="3"/>
      <c r="BR75" s="3" t="s">
        <v>46</v>
      </c>
      <c r="BS75" s="3">
        <f>1/(BS73-1)</f>
        <v>8.8938572992905041</v>
      </c>
      <c r="BT75" s="3"/>
      <c r="BV75" s="3">
        <v>3</v>
      </c>
      <c r="BW75" s="3">
        <f t="shared" si="62"/>
        <v>3.1415926535897934E-2</v>
      </c>
      <c r="BX75" s="3">
        <v>-2.2560789652564419</v>
      </c>
      <c r="BY75" s="3">
        <f t="shared" si="63"/>
        <v>0.73042029195962688</v>
      </c>
      <c r="BZ75" s="3">
        <v>0.73124081187482892</v>
      </c>
      <c r="CA75" s="3">
        <f t="shared" si="54"/>
        <v>0.38091810924776243</v>
      </c>
      <c r="CB75" s="3">
        <v>0.31596699583708293</v>
      </c>
      <c r="CC75" s="3">
        <f t="shared" si="55"/>
        <v>-0.7128464930233126</v>
      </c>
      <c r="CD75" s="3">
        <f t="shared" si="56"/>
        <v>0.23104796256155921</v>
      </c>
      <c r="CE75" s="3">
        <f t="shared" si="57"/>
        <v>0.6990043654237289</v>
      </c>
      <c r="CG75" s="3">
        <v>3</v>
      </c>
      <c r="CH75" s="3">
        <f t="shared" si="64"/>
        <v>3.1415926535897934E-2</v>
      </c>
      <c r="CI75" s="3">
        <v>-2.1585954397076712</v>
      </c>
      <c r="CJ75" s="3">
        <f t="shared" si="65"/>
        <v>0.73042029195962688</v>
      </c>
      <c r="CK75" s="3">
        <v>0.73571106952662546</v>
      </c>
      <c r="CL75" s="3">
        <f t="shared" si="58"/>
        <v>0.38091810924776243</v>
      </c>
      <c r="CM75" s="3">
        <v>0.35222250793885246</v>
      </c>
      <c r="CN75" s="3">
        <f t="shared" si="59"/>
        <v>-0.7603058993992059</v>
      </c>
      <c r="CO75" s="3">
        <f t="shared" si="60"/>
        <v>0.25913399802704346</v>
      </c>
      <c r="CP75" s="3">
        <f t="shared" si="61"/>
        <v>0.6990043654237289</v>
      </c>
    </row>
    <row r="76" spans="2:94" x14ac:dyDescent="0.2">
      <c r="AB76" s="3">
        <v>2</v>
      </c>
      <c r="AC76" s="3">
        <f t="shared" ref="AC76:AC104" si="73">IF(AI75&gt;0, AG75, AC75)</f>
        <v>0.25</v>
      </c>
      <c r="AD76" s="3">
        <f t="shared" si="66"/>
        <v>8.2156516074635311E-2</v>
      </c>
      <c r="AE76" s="3">
        <f t="shared" ref="AE76:AE104" si="74">IF(AJ75&gt;0, AG75, AE75)</f>
        <v>0.5</v>
      </c>
      <c r="AF76" s="3">
        <f t="shared" si="67"/>
        <v>-0.17533784976014</v>
      </c>
      <c r="AG76" s="3">
        <f t="shared" si="68"/>
        <v>0.375</v>
      </c>
      <c r="AH76" s="3">
        <f t="shared" si="69"/>
        <v>-4.7828688490779092E-2</v>
      </c>
      <c r="AI76" s="3">
        <f t="shared" si="70"/>
        <v>-3.9294384148214172E-3</v>
      </c>
      <c r="AJ76" s="3">
        <f t="shared" si="71"/>
        <v>8.3861793968207608E-3</v>
      </c>
      <c r="AK76" s="3">
        <f t="shared" si="72"/>
        <v>0.25</v>
      </c>
      <c r="AM76" s="3">
        <v>27</v>
      </c>
      <c r="AN76" s="3">
        <f t="shared" si="52"/>
        <v>1097.8303775191307</v>
      </c>
      <c r="AO76" s="3">
        <v>7.3491341254339204E-5</v>
      </c>
      <c r="AP76" s="3">
        <f t="shared" si="53"/>
        <v>1097.8304147720337</v>
      </c>
      <c r="AQ76" s="3">
        <v>-3.6206907225277973E-5</v>
      </c>
      <c r="AR76" s="3">
        <f t="shared" si="48"/>
        <v>1097.8303961455822</v>
      </c>
      <c r="AS76" s="3">
        <v>1.8642217128217453E-5</v>
      </c>
      <c r="AT76" s="3">
        <f t="shared" si="49"/>
        <v>1.3700415407073161E-9</v>
      </c>
      <c r="AU76" s="3">
        <f t="shared" si="50"/>
        <v>-6.7497702603485729E-10</v>
      </c>
      <c r="AV76" s="3">
        <f t="shared" si="51"/>
        <v>3.7252902984619141E-5</v>
      </c>
      <c r="BN76" s="3" t="s">
        <v>219</v>
      </c>
      <c r="BO76" s="3">
        <f>1/(BO74+1)</f>
        <v>4.8230815461138173E-2</v>
      </c>
      <c r="BP76" s="3"/>
      <c r="BR76" s="3" t="s">
        <v>219</v>
      </c>
      <c r="BS76" s="3">
        <f>1/(BS74+1)</f>
        <v>5.1185693800566028E-2</v>
      </c>
      <c r="BT76" s="3"/>
      <c r="BV76" s="3">
        <v>4</v>
      </c>
      <c r="BW76" s="3">
        <f t="shared" si="62"/>
        <v>3.1415926535897934E-2</v>
      </c>
      <c r="BX76" s="3">
        <v>-2.2560789652564419</v>
      </c>
      <c r="BY76" s="3">
        <f t="shared" si="63"/>
        <v>0.38091810924776243</v>
      </c>
      <c r="BZ76" s="3">
        <v>0.31596699583708293</v>
      </c>
      <c r="CA76" s="3">
        <f t="shared" si="54"/>
        <v>0.20616701789183017</v>
      </c>
      <c r="CB76" s="3">
        <v>-0.19650920972693217</v>
      </c>
      <c r="CC76" s="3">
        <f t="shared" si="55"/>
        <v>0.44334029454409829</v>
      </c>
      <c r="CD76" s="3">
        <f t="shared" si="56"/>
        <v>-6.2090424651738037E-2</v>
      </c>
      <c r="CE76" s="3">
        <f t="shared" si="57"/>
        <v>0.34950218271186451</v>
      </c>
      <c r="CG76" s="3">
        <v>4</v>
      </c>
      <c r="CH76" s="3">
        <f t="shared" si="64"/>
        <v>3.1415926535897934E-2</v>
      </c>
      <c r="CI76" s="3">
        <v>-2.1585954397076712</v>
      </c>
      <c r="CJ76" s="3">
        <f t="shared" si="65"/>
        <v>0.38091810924776243</v>
      </c>
      <c r="CK76" s="3">
        <v>0.35222250793885246</v>
      </c>
      <c r="CL76" s="3">
        <f t="shared" si="58"/>
        <v>0.20616701789183017</v>
      </c>
      <c r="CM76" s="3">
        <v>-0.12361414773125856</v>
      </c>
      <c r="CN76" s="3">
        <f t="shared" si="59"/>
        <v>0.26683293557604509</v>
      </c>
      <c r="CO76" s="3">
        <f t="shared" si="60"/>
        <v>-4.3539685130627698E-2</v>
      </c>
      <c r="CP76" s="3">
        <f t="shared" si="61"/>
        <v>0.34950218271186451</v>
      </c>
    </row>
    <row r="77" spans="2:94" x14ac:dyDescent="0.2">
      <c r="AB77" s="3">
        <v>3</v>
      </c>
      <c r="AC77" s="3">
        <f t="shared" si="73"/>
        <v>0.25</v>
      </c>
      <c r="AD77" s="3">
        <f t="shared" si="66"/>
        <v>8.2156516074635311E-2</v>
      </c>
      <c r="AE77" s="3">
        <f t="shared" si="74"/>
        <v>0.375</v>
      </c>
      <c r="AF77" s="3">
        <f t="shared" si="67"/>
        <v>-4.7828688490779092E-2</v>
      </c>
      <c r="AG77" s="3">
        <f t="shared" si="68"/>
        <v>0.3125</v>
      </c>
      <c r="AH77" s="3">
        <f t="shared" si="69"/>
        <v>1.66714008949434E-2</v>
      </c>
      <c r="AI77" s="3">
        <f t="shared" si="70"/>
        <v>1.369664215612107E-3</v>
      </c>
      <c r="AJ77" s="3">
        <f t="shared" si="71"/>
        <v>-7.9737124010914367E-4</v>
      </c>
      <c r="AK77" s="3">
        <f t="shared" si="72"/>
        <v>0.125</v>
      </c>
      <c r="AM77" s="3">
        <v>28</v>
      </c>
      <c r="AN77" s="3">
        <f t="shared" si="52"/>
        <v>1097.8303961455822</v>
      </c>
      <c r="AO77" s="3">
        <v>1.8642217128217453E-5</v>
      </c>
      <c r="AP77" s="3">
        <f t="shared" si="53"/>
        <v>1097.8304147720337</v>
      </c>
      <c r="AQ77" s="3">
        <v>-3.6206907225277973E-5</v>
      </c>
      <c r="AR77" s="3">
        <f t="shared" si="48"/>
        <v>1097.8304054588079</v>
      </c>
      <c r="AS77" s="3">
        <v>-8.7823450485302601E-6</v>
      </c>
      <c r="AT77" s="3">
        <f t="shared" si="49"/>
        <v>-1.6372238328962655E-10</v>
      </c>
      <c r="AU77" s="3">
        <f t="shared" si="50"/>
        <v>3.1798155239251451E-10</v>
      </c>
      <c r="AV77" s="3">
        <f t="shared" si="51"/>
        <v>1.862645149230957E-5</v>
      </c>
      <c r="BN77" s="8" t="s">
        <v>221</v>
      </c>
      <c r="BO77" s="41">
        <f>SIN(BO61)/(1+BO75) - $AY$3*COS(BO61)/($BC$5*$AY$25*(1-BO76))</f>
        <v>-5.3385459247712319E-9</v>
      </c>
      <c r="BP77" s="41"/>
      <c r="BR77" s="8" t="s">
        <v>221</v>
      </c>
      <c r="BS77" s="41">
        <f>SIN(BS61)/(1+BS75) - $AY$3*COS(BS61)/($BC$5*$AY$26*(1-BS76))</f>
        <v>7.2606175308131959E-9</v>
      </c>
      <c r="BT77" s="41"/>
      <c r="BV77" s="3">
        <v>5</v>
      </c>
      <c r="BW77" s="3">
        <f t="shared" si="62"/>
        <v>0.20616701789183017</v>
      </c>
      <c r="BX77" s="3">
        <v>-0.19650920972693217</v>
      </c>
      <c r="BY77" s="3">
        <f t="shared" si="63"/>
        <v>0.38091810924776243</v>
      </c>
      <c r="BZ77" s="3">
        <v>0.31596699583708293</v>
      </c>
      <c r="CA77" s="3">
        <f t="shared" si="54"/>
        <v>0.2935425635697963</v>
      </c>
      <c r="CB77" s="3">
        <v>9.1227177850013663E-2</v>
      </c>
      <c r="CC77" s="3">
        <f t="shared" si="55"/>
        <v>-1.7926980624924475E-2</v>
      </c>
      <c r="CD77" s="3">
        <f t="shared" si="56"/>
        <v>2.8824777323964091E-2</v>
      </c>
      <c r="CE77" s="3">
        <f t="shared" si="57"/>
        <v>0.17475109135593225</v>
      </c>
      <c r="CG77" s="3">
        <v>5</v>
      </c>
      <c r="CH77" s="3">
        <f t="shared" si="64"/>
        <v>0.20616701789183017</v>
      </c>
      <c r="CI77" s="3">
        <v>-0.12361414773125856</v>
      </c>
      <c r="CJ77" s="3">
        <f t="shared" si="65"/>
        <v>0.38091810924776243</v>
      </c>
      <c r="CK77" s="3">
        <v>0.35222250793885246</v>
      </c>
      <c r="CL77" s="3">
        <f t="shared" si="58"/>
        <v>0.2935425635697963</v>
      </c>
      <c r="CM77" s="3">
        <v>0.14312902691510854</v>
      </c>
      <c r="CN77" s="3">
        <f t="shared" si="59"/>
        <v>-1.7692772677715511E-2</v>
      </c>
      <c r="CO77" s="3">
        <f t="shared" si="60"/>
        <v>5.0413264818887041E-2</v>
      </c>
      <c r="CP77" s="3">
        <f t="shared" si="61"/>
        <v>0.17475109135593225</v>
      </c>
    </row>
    <row r="78" spans="2:94" x14ac:dyDescent="0.2">
      <c r="AB78" s="3">
        <v>4</v>
      </c>
      <c r="AC78" s="3">
        <f t="shared" si="73"/>
        <v>0.3125</v>
      </c>
      <c r="AD78" s="3">
        <f t="shared" si="66"/>
        <v>1.66714008949434E-2</v>
      </c>
      <c r="AE78" s="3">
        <f t="shared" si="74"/>
        <v>0.375</v>
      </c>
      <c r="AF78" s="3">
        <f t="shared" si="67"/>
        <v>-4.7828688490779092E-2</v>
      </c>
      <c r="AG78" s="3">
        <f t="shared" si="68"/>
        <v>0.34375</v>
      </c>
      <c r="AH78" s="3">
        <f t="shared" si="69"/>
        <v>-1.5668669620382103E-2</v>
      </c>
      <c r="AI78" s="3">
        <f t="shared" si="70"/>
        <v>-2.6121867273181065E-4</v>
      </c>
      <c r="AJ78" s="3">
        <f t="shared" si="71"/>
        <v>7.4941191833818952E-4</v>
      </c>
      <c r="AK78" s="3">
        <f t="shared" si="72"/>
        <v>6.25E-2</v>
      </c>
      <c r="AM78" s="3">
        <v>29</v>
      </c>
      <c r="AN78" s="3">
        <f t="shared" si="52"/>
        <v>1097.8303961455822</v>
      </c>
      <c r="AO78" s="3">
        <v>1.8642217128217453E-5</v>
      </c>
      <c r="AP78" s="3">
        <f t="shared" si="53"/>
        <v>1097.8304054588079</v>
      </c>
      <c r="AQ78" s="3">
        <v>-8.7823450485302601E-6</v>
      </c>
      <c r="AR78" s="3">
        <f t="shared" si="48"/>
        <v>1097.8304008021951</v>
      </c>
      <c r="AS78" s="3">
        <v>4.9299360398435965E-6</v>
      </c>
      <c r="AT78" s="3">
        <f t="shared" si="49"/>
        <v>9.1904938082988816E-11</v>
      </c>
      <c r="AU78" s="3">
        <f t="shared" si="50"/>
        <v>-4.3296399369091289E-11</v>
      </c>
      <c r="AV78" s="3">
        <f t="shared" si="51"/>
        <v>9.3132257461547852E-6</v>
      </c>
      <c r="BV78" s="3">
        <v>6</v>
      </c>
      <c r="BW78" s="3">
        <f t="shared" si="62"/>
        <v>0.20616701789183017</v>
      </c>
      <c r="BX78" s="3">
        <v>-0.19650920972693217</v>
      </c>
      <c r="BY78" s="3">
        <f t="shared" si="63"/>
        <v>0.2935425635697963</v>
      </c>
      <c r="BZ78" s="3">
        <v>9.1227177850013663E-2</v>
      </c>
      <c r="CA78" s="3">
        <f t="shared" si="54"/>
        <v>0.24985479073081324</v>
      </c>
      <c r="CB78" s="3">
        <v>-4.2597256501246766E-2</v>
      </c>
      <c r="CC78" s="3">
        <f t="shared" si="55"/>
        <v>8.3707532115954251E-3</v>
      </c>
      <c r="CD78" s="3">
        <f t="shared" si="56"/>
        <v>-3.8860274947618897E-3</v>
      </c>
      <c r="CE78" s="3">
        <f t="shared" si="57"/>
        <v>8.7375545677966127E-2</v>
      </c>
      <c r="CG78" s="3">
        <v>6</v>
      </c>
      <c r="CH78" s="3">
        <f t="shared" si="64"/>
        <v>0.20616701789183017</v>
      </c>
      <c r="CI78" s="3">
        <v>-0.12361414773125856</v>
      </c>
      <c r="CJ78" s="3">
        <f t="shared" si="65"/>
        <v>0.2935425635697963</v>
      </c>
      <c r="CK78" s="3">
        <v>0.14312902691510854</v>
      </c>
      <c r="CL78" s="3">
        <f t="shared" si="58"/>
        <v>0.24985479073081324</v>
      </c>
      <c r="CM78" s="3">
        <v>1.8462188876464031E-2</v>
      </c>
      <c r="CN78" s="3">
        <f t="shared" si="59"/>
        <v>-2.2821877432176231E-3</v>
      </c>
      <c r="CO78" s="3">
        <f t="shared" si="60"/>
        <v>2.6424751286112376E-3</v>
      </c>
      <c r="CP78" s="3">
        <f t="shared" si="61"/>
        <v>8.7375545677966127E-2</v>
      </c>
    </row>
    <row r="79" spans="2:94" x14ac:dyDescent="0.2">
      <c r="AB79" s="3">
        <v>5</v>
      </c>
      <c r="AC79" s="3">
        <f t="shared" si="73"/>
        <v>0.3125</v>
      </c>
      <c r="AD79" s="3">
        <f t="shared" si="66"/>
        <v>1.66714008949434E-2</v>
      </c>
      <c r="AE79" s="3">
        <f t="shared" si="74"/>
        <v>0.34375</v>
      </c>
      <c r="AF79" s="3">
        <f t="shared" si="67"/>
        <v>-1.5668669620382103E-2</v>
      </c>
      <c r="AG79" s="3">
        <f t="shared" si="68"/>
        <v>0.328125</v>
      </c>
      <c r="AH79" s="3">
        <f t="shared" si="69"/>
        <v>4.756883140109025E-4</v>
      </c>
      <c r="AI79" s="3">
        <f t="shared" si="70"/>
        <v>7.9303905839154763E-6</v>
      </c>
      <c r="AJ79" s="3">
        <f t="shared" si="71"/>
        <v>-7.4534030345134107E-6</v>
      </c>
      <c r="AK79" s="3">
        <f t="shared" si="72"/>
        <v>3.125E-2</v>
      </c>
      <c r="AM79" s="3">
        <v>30</v>
      </c>
      <c r="AN79" s="3">
        <f t="shared" si="52"/>
        <v>1097.8304008021951</v>
      </c>
      <c r="AO79" s="3">
        <v>4.9299360398435965E-6</v>
      </c>
      <c r="AP79" s="3">
        <f t="shared" si="53"/>
        <v>1097.8304054588079</v>
      </c>
      <c r="AQ79" s="3">
        <v>-8.7823450485302601E-6</v>
      </c>
      <c r="AR79" s="6">
        <f t="shared" si="48"/>
        <v>1097.8304031305015</v>
      </c>
      <c r="AS79" s="3">
        <v>-1.9262047317170072E-6</v>
      </c>
      <c r="AT79" s="3">
        <f t="shared" si="49"/>
        <v>-9.4960661270089399E-12</v>
      </c>
      <c r="AU79" s="3">
        <f t="shared" si="50"/>
        <v>1.6916594588050417E-11</v>
      </c>
      <c r="AV79" s="3">
        <f t="shared" si="51"/>
        <v>4.6566128730773926E-6</v>
      </c>
      <c r="BV79" s="3">
        <v>7</v>
      </c>
      <c r="BW79" s="3">
        <f t="shared" si="62"/>
        <v>0.24985479073081324</v>
      </c>
      <c r="BX79" s="3">
        <v>-4.2597256501246766E-2</v>
      </c>
      <c r="BY79" s="3">
        <f t="shared" si="63"/>
        <v>0.2935425635697963</v>
      </c>
      <c r="BZ79" s="3">
        <v>9.1227177850013663E-2</v>
      </c>
      <c r="CA79" s="3">
        <f t="shared" si="54"/>
        <v>0.27169867715030477</v>
      </c>
      <c r="CB79" s="3">
        <v>2.6381460438926065E-2</v>
      </c>
      <c r="CC79" s="3">
        <f t="shared" si="55"/>
        <v>-1.1237778371944278E-3</v>
      </c>
      <c r="CD79" s="3">
        <f t="shared" si="56"/>
        <v>2.4067061834050075E-3</v>
      </c>
      <c r="CE79" s="3">
        <f t="shared" si="57"/>
        <v>4.3687772838983063E-2</v>
      </c>
      <c r="CG79" s="3">
        <v>7</v>
      </c>
      <c r="CH79" s="3">
        <f t="shared" si="64"/>
        <v>0.20616701789183017</v>
      </c>
      <c r="CI79" s="3">
        <v>-0.12361414773125856</v>
      </c>
      <c r="CJ79" s="3">
        <f t="shared" si="65"/>
        <v>0.24985479073081324</v>
      </c>
      <c r="CK79" s="3">
        <v>1.8462188876464031E-2</v>
      </c>
      <c r="CL79" s="3">
        <f t="shared" si="58"/>
        <v>0.2280109043113217</v>
      </c>
      <c r="CM79" s="3">
        <v>-4.997384309435976E-2</v>
      </c>
      <c r="CN79" s="3">
        <f t="shared" si="59"/>
        <v>6.177474022964923E-3</v>
      </c>
      <c r="CO79" s="3">
        <f t="shared" si="60"/>
        <v>-9.2262653009084759E-4</v>
      </c>
      <c r="CP79" s="3">
        <f t="shared" si="61"/>
        <v>4.3687772838983063E-2</v>
      </c>
    </row>
    <row r="80" spans="2:94" x14ac:dyDescent="0.2">
      <c r="AB80" s="3">
        <v>6</v>
      </c>
      <c r="AC80" s="3">
        <f t="shared" si="73"/>
        <v>0.328125</v>
      </c>
      <c r="AD80" s="3">
        <f t="shared" si="66"/>
        <v>4.756883140109025E-4</v>
      </c>
      <c r="AE80" s="3">
        <f t="shared" si="74"/>
        <v>0.34375</v>
      </c>
      <c r="AF80" s="3">
        <f t="shared" si="67"/>
        <v>-1.5668669620382103E-2</v>
      </c>
      <c r="AG80" s="3">
        <f t="shared" si="68"/>
        <v>0.3359375</v>
      </c>
      <c r="AH80" s="3">
        <f t="shared" si="69"/>
        <v>-7.6024683173592789E-3</v>
      </c>
      <c r="AI80" s="3">
        <f t="shared" si="70"/>
        <v>-3.6164053362059384E-6</v>
      </c>
      <c r="AJ80" s="3">
        <f t="shared" si="71"/>
        <v>1.1912056436412478E-4</v>
      </c>
      <c r="AK80" s="3">
        <f t="shared" si="72"/>
        <v>1.5625E-2</v>
      </c>
      <c r="BV80" s="3">
        <v>8</v>
      </c>
      <c r="BW80" s="3">
        <f t="shared" si="62"/>
        <v>0.24985479073081324</v>
      </c>
      <c r="BX80" s="3">
        <v>-4.2597256501246766E-2</v>
      </c>
      <c r="BY80" s="3">
        <f t="shared" si="63"/>
        <v>0.27169867715030477</v>
      </c>
      <c r="BZ80" s="3">
        <v>2.6381460438926065E-2</v>
      </c>
      <c r="CA80" s="3">
        <f t="shared" si="54"/>
        <v>0.260776733940559</v>
      </c>
      <c r="CB80" s="3">
        <v>-7.5514969237253579E-3</v>
      </c>
      <c r="CC80" s="3">
        <f t="shared" si="55"/>
        <v>3.2167305142830494E-4</v>
      </c>
      <c r="CD80" s="3">
        <f t="shared" si="56"/>
        <v>-1.9921951734793242E-4</v>
      </c>
      <c r="CE80" s="3">
        <f t="shared" si="57"/>
        <v>2.1843886419491532E-2</v>
      </c>
      <c r="CG80" s="3">
        <v>8</v>
      </c>
      <c r="CH80" s="3">
        <f t="shared" si="64"/>
        <v>0.2280109043113217</v>
      </c>
      <c r="CI80" s="3">
        <v>-4.997384309435976E-2</v>
      </c>
      <c r="CJ80" s="3">
        <f t="shared" si="65"/>
        <v>0.24985479073081324</v>
      </c>
      <c r="CK80" s="3">
        <v>1.8462188876464031E-2</v>
      </c>
      <c r="CL80" s="3">
        <f t="shared" si="58"/>
        <v>0.23893284752106747</v>
      </c>
      <c r="CM80" s="3">
        <v>-1.5175703296695053E-2</v>
      </c>
      <c r="CN80" s="3">
        <f t="shared" si="59"/>
        <v>7.5838821539559668E-4</v>
      </c>
      <c r="CO80" s="3">
        <f t="shared" si="60"/>
        <v>-2.801767005967619E-4</v>
      </c>
      <c r="CP80" s="3">
        <f t="shared" si="61"/>
        <v>2.1843886419491532E-2</v>
      </c>
    </row>
    <row r="81" spans="28:94" x14ac:dyDescent="0.2">
      <c r="AB81" s="3">
        <v>7</v>
      </c>
      <c r="AC81" s="3">
        <f t="shared" si="73"/>
        <v>0.328125</v>
      </c>
      <c r="AD81" s="3">
        <f t="shared" si="66"/>
        <v>4.756883140109025E-4</v>
      </c>
      <c r="AE81" s="3">
        <f t="shared" si="74"/>
        <v>0.3359375</v>
      </c>
      <c r="AF81" s="3">
        <f t="shared" si="67"/>
        <v>-7.6024683173592789E-3</v>
      </c>
      <c r="AG81" s="3">
        <f t="shared" si="68"/>
        <v>0.33203125</v>
      </c>
      <c r="AH81" s="3">
        <f t="shared" si="69"/>
        <v>-3.564936435412891E-3</v>
      </c>
      <c r="AI81" s="3">
        <f t="shared" si="70"/>
        <v>-1.6957986025175947E-6</v>
      </c>
      <c r="AJ81" s="3">
        <f t="shared" si="71"/>
        <v>2.7102316303626228E-5</v>
      </c>
      <c r="AK81" s="3">
        <f t="shared" si="72"/>
        <v>7.8125E-3</v>
      </c>
      <c r="BV81" s="3">
        <v>9</v>
      </c>
      <c r="BW81" s="3">
        <f t="shared" si="62"/>
        <v>0.260776733940559</v>
      </c>
      <c r="BX81" s="3">
        <v>-7.5514969237253579E-3</v>
      </c>
      <c r="BY81" s="3">
        <f t="shared" si="63"/>
        <v>0.27169867715030477</v>
      </c>
      <c r="BZ81" s="3">
        <v>2.6381460438926065E-2</v>
      </c>
      <c r="CA81" s="3">
        <f t="shared" si="54"/>
        <v>0.26623770554543191</v>
      </c>
      <c r="CB81" s="3">
        <v>9.5483396761921469E-3</v>
      </c>
      <c r="CC81" s="3">
        <f t="shared" si="55"/>
        <v>-7.2104257691449775E-5</v>
      </c>
      <c r="CD81" s="3">
        <f t="shared" si="56"/>
        <v>2.5189914542489124E-4</v>
      </c>
      <c r="CE81" s="3">
        <f t="shared" si="57"/>
        <v>1.0921943209745766E-2</v>
      </c>
      <c r="CG81" s="3">
        <v>9</v>
      </c>
      <c r="CH81" s="3">
        <f t="shared" si="64"/>
        <v>0.23893284752106747</v>
      </c>
      <c r="CI81" s="3">
        <v>-1.5175703296695053E-2</v>
      </c>
      <c r="CJ81" s="3">
        <f t="shared" si="65"/>
        <v>0.24985479073081324</v>
      </c>
      <c r="CK81" s="3">
        <v>1.8462188876464031E-2</v>
      </c>
      <c r="CL81" s="3">
        <f t="shared" si="58"/>
        <v>0.24439381912594035</v>
      </c>
      <c r="CM81" s="3">
        <v>1.7812790271297049E-3</v>
      </c>
      <c r="CN81" s="3">
        <f t="shared" si="59"/>
        <v>-2.7032162004346019E-5</v>
      </c>
      <c r="CO81" s="3">
        <f t="shared" si="60"/>
        <v>3.2886309840552707E-5</v>
      </c>
      <c r="CP81" s="3">
        <f t="shared" si="61"/>
        <v>1.0921943209745766E-2</v>
      </c>
    </row>
    <row r="82" spans="28:94" x14ac:dyDescent="0.2">
      <c r="AB82" s="3">
        <v>8</v>
      </c>
      <c r="AC82" s="3">
        <f t="shared" si="73"/>
        <v>0.328125</v>
      </c>
      <c r="AD82" s="3">
        <f t="shared" si="66"/>
        <v>4.756883140109025E-4</v>
      </c>
      <c r="AE82" s="3">
        <f t="shared" si="74"/>
        <v>0.33203125</v>
      </c>
      <c r="AF82" s="3">
        <f t="shared" si="67"/>
        <v>-3.564936435412891E-3</v>
      </c>
      <c r="AG82" s="3">
        <f t="shared" si="68"/>
        <v>0.330078125</v>
      </c>
      <c r="AH82" s="3">
        <f t="shared" si="69"/>
        <v>-1.5450174359767366E-3</v>
      </c>
      <c r="AI82" s="3">
        <f t="shared" si="70"/>
        <v>-7.3494673923722129E-7</v>
      </c>
      <c r="AJ82" s="3">
        <f t="shared" si="71"/>
        <v>5.5078889508616715E-6</v>
      </c>
      <c r="AK82" s="3">
        <f t="shared" si="72"/>
        <v>3.90625E-3</v>
      </c>
      <c r="BV82" s="3">
        <v>10</v>
      </c>
      <c r="BW82" s="3">
        <f t="shared" si="62"/>
        <v>0.260776733940559</v>
      </c>
      <c r="BX82" s="3">
        <v>-7.5514969237253579E-3</v>
      </c>
      <c r="BY82" s="3">
        <f t="shared" si="63"/>
        <v>0.26623770554543191</v>
      </c>
      <c r="BZ82" s="3">
        <v>9.5483396761921469E-3</v>
      </c>
      <c r="CA82" s="3">
        <f t="shared" si="54"/>
        <v>0.26350721974299546</v>
      </c>
      <c r="CB82" s="3">
        <v>1.0324251078208113E-3</v>
      </c>
      <c r="CC82" s="3">
        <f t="shared" si="55"/>
        <v>-7.7963550256856768E-6</v>
      </c>
      <c r="CD82" s="3">
        <f t="shared" si="56"/>
        <v>9.8579456197024085E-6</v>
      </c>
      <c r="CE82" s="3">
        <f t="shared" si="57"/>
        <v>5.4609716048729107E-3</v>
      </c>
      <c r="CG82" s="3">
        <v>10</v>
      </c>
      <c r="CH82" s="3">
        <f t="shared" si="64"/>
        <v>0.23893284752106747</v>
      </c>
      <c r="CI82" s="3">
        <v>-1.5175703296695053E-2</v>
      </c>
      <c r="CJ82" s="3">
        <f t="shared" si="65"/>
        <v>0.24439381912594035</v>
      </c>
      <c r="CK82" s="3">
        <v>1.7812790271297049E-3</v>
      </c>
      <c r="CL82" s="3">
        <f t="shared" si="58"/>
        <v>0.24166333332350393</v>
      </c>
      <c r="CM82" s="3">
        <v>-6.6618975074031368E-3</v>
      </c>
      <c r="CN82" s="3">
        <f t="shared" si="59"/>
        <v>1.0109897996534234E-4</v>
      </c>
      <c r="CO82" s="3">
        <f t="shared" si="60"/>
        <v>-1.1866698310824866E-5</v>
      </c>
      <c r="CP82" s="3">
        <f t="shared" si="61"/>
        <v>5.4609716048728829E-3</v>
      </c>
    </row>
    <row r="83" spans="28:94" x14ac:dyDescent="0.2">
      <c r="AB83" s="3">
        <v>9</v>
      </c>
      <c r="AC83" s="3">
        <f t="shared" si="73"/>
        <v>0.328125</v>
      </c>
      <c r="AD83" s="3">
        <f t="shared" si="66"/>
        <v>4.756883140109025E-4</v>
      </c>
      <c r="AE83" s="3">
        <f t="shared" si="74"/>
        <v>0.330078125</v>
      </c>
      <c r="AF83" s="3">
        <f t="shared" si="67"/>
        <v>-1.5450174359767366E-3</v>
      </c>
      <c r="AG83" s="3">
        <f t="shared" si="68"/>
        <v>0.3291015625</v>
      </c>
      <c r="AH83" s="3">
        <f t="shared" si="69"/>
        <v>-5.3476376791694591E-4</v>
      </c>
      <c r="AI83" s="3">
        <f t="shared" si="70"/>
        <v>-2.5438087515452954E-7</v>
      </c>
      <c r="AJ83" s="3">
        <f t="shared" si="71"/>
        <v>8.2621934556029843E-7</v>
      </c>
      <c r="AK83" s="3">
        <f t="shared" si="72"/>
        <v>1.953125E-3</v>
      </c>
      <c r="BV83" s="3">
        <v>11</v>
      </c>
      <c r="BW83" s="3">
        <f t="shared" si="62"/>
        <v>0.260776733940559</v>
      </c>
      <c r="BX83" s="3">
        <v>-7.5514969237253579E-3</v>
      </c>
      <c r="BY83" s="3">
        <f t="shared" si="63"/>
        <v>0.26350721974299546</v>
      </c>
      <c r="BZ83" s="3">
        <v>1.0324251078208113E-3</v>
      </c>
      <c r="CA83" s="3">
        <f t="shared" si="54"/>
        <v>0.2621419768417772</v>
      </c>
      <c r="CB83" s="3">
        <v>-3.2509474729823309E-3</v>
      </c>
      <c r="CC83" s="3">
        <f t="shared" si="55"/>
        <v>2.4549519841418797E-5</v>
      </c>
      <c r="CD83" s="3">
        <f t="shared" si="56"/>
        <v>-3.3563597953135772E-6</v>
      </c>
      <c r="CE83" s="3">
        <f t="shared" si="57"/>
        <v>2.7304858024364553E-3</v>
      </c>
      <c r="CG83" s="3">
        <v>11</v>
      </c>
      <c r="CH83" s="3">
        <f t="shared" si="64"/>
        <v>0.24166333332350393</v>
      </c>
      <c r="CI83" s="3">
        <v>-6.6618975074031368E-3</v>
      </c>
      <c r="CJ83" s="3">
        <f t="shared" si="65"/>
        <v>0.24439381912594035</v>
      </c>
      <c r="CK83" s="3">
        <v>1.7812790271297049E-3</v>
      </c>
      <c r="CL83" s="3">
        <f t="shared" si="58"/>
        <v>0.24302857622472213</v>
      </c>
      <c r="CM83" s="3">
        <v>-2.4315853101197493E-3</v>
      </c>
      <c r="CN83" s="3">
        <f t="shared" si="59"/>
        <v>1.6198972116524841E-5</v>
      </c>
      <c r="CO83" s="3">
        <f t="shared" si="60"/>
        <v>-4.3313319155929893E-6</v>
      </c>
      <c r="CP83" s="3">
        <f t="shared" si="61"/>
        <v>2.7304858024364276E-3</v>
      </c>
    </row>
    <row r="84" spans="28:94" x14ac:dyDescent="0.2">
      <c r="AB84" s="3">
        <v>10</v>
      </c>
      <c r="AC84" s="3">
        <f t="shared" si="73"/>
        <v>0.328125</v>
      </c>
      <c r="AD84" s="3">
        <f t="shared" si="66"/>
        <v>4.756883140109025E-4</v>
      </c>
      <c r="AE84" s="3">
        <f t="shared" si="74"/>
        <v>0.3291015625</v>
      </c>
      <c r="AF84" s="3">
        <f t="shared" si="67"/>
        <v>-5.3476376791694591E-4</v>
      </c>
      <c r="AG84" s="3">
        <f t="shared" si="68"/>
        <v>0.32861328125</v>
      </c>
      <c r="AH84" s="3">
        <f t="shared" si="69"/>
        <v>-2.9562637678171022E-5</v>
      </c>
      <c r="AI84" s="3">
        <f t="shared" si="70"/>
        <v>-1.4062601274844354E-8</v>
      </c>
      <c r="AJ84" s="3">
        <f t="shared" si="71"/>
        <v>1.580902751434221E-8</v>
      </c>
      <c r="AK84" s="3">
        <f t="shared" si="72"/>
        <v>9.765625E-4</v>
      </c>
      <c r="BV84" s="3">
        <v>12</v>
      </c>
      <c r="BW84" s="3">
        <f t="shared" si="62"/>
        <v>0.2621419768417772</v>
      </c>
      <c r="BX84" s="3">
        <v>-3.2509474729823309E-3</v>
      </c>
      <c r="BY84" s="3">
        <f t="shared" si="63"/>
        <v>0.26350721974299546</v>
      </c>
      <c r="BZ84" s="3">
        <v>1.0324251078208113E-3</v>
      </c>
      <c r="CA84" s="3">
        <f t="shared" si="54"/>
        <v>0.26282459829238636</v>
      </c>
      <c r="CB84" s="3">
        <v>-1.1071252177768942E-3</v>
      </c>
      <c r="CC84" s="3">
        <f t="shared" si="55"/>
        <v>3.5992059290068072E-6</v>
      </c>
      <c r="CD84" s="3">
        <f t="shared" si="56"/>
        <v>-1.1430238723344492E-6</v>
      </c>
      <c r="CE84" s="3">
        <f t="shared" si="57"/>
        <v>1.3652429012182554E-3</v>
      </c>
      <c r="CG84" s="3">
        <v>12</v>
      </c>
      <c r="CH84" s="3">
        <f t="shared" si="64"/>
        <v>0.24302857622472213</v>
      </c>
      <c r="CI84" s="3">
        <v>-2.4315853101197493E-3</v>
      </c>
      <c r="CJ84" s="3">
        <f t="shared" si="65"/>
        <v>0.24439381912594035</v>
      </c>
      <c r="CK84" s="3">
        <v>1.7812790271297049E-3</v>
      </c>
      <c r="CL84" s="3">
        <f t="shared" si="58"/>
        <v>0.24371119767533123</v>
      </c>
      <c r="CM84" s="3">
        <v>-3.2298488817950055E-4</v>
      </c>
      <c r="CN84" s="3">
        <f t="shared" si="59"/>
        <v>7.8536530948794336E-7</v>
      </c>
      <c r="CO84" s="3">
        <f t="shared" si="60"/>
        <v>-5.7532620739397727E-7</v>
      </c>
      <c r="CP84" s="3">
        <f t="shared" si="61"/>
        <v>1.3652429012182277E-3</v>
      </c>
    </row>
    <row r="85" spans="28:94" x14ac:dyDescent="0.2">
      <c r="AB85" s="3">
        <v>11</v>
      </c>
      <c r="AC85" s="3">
        <f t="shared" si="73"/>
        <v>0.328125</v>
      </c>
      <c r="AD85" s="3">
        <f t="shared" si="66"/>
        <v>4.756883140109025E-4</v>
      </c>
      <c r="AE85" s="3">
        <f t="shared" si="74"/>
        <v>0.32861328125</v>
      </c>
      <c r="AF85" s="3">
        <f t="shared" si="67"/>
        <v>-2.9562637678171022E-5</v>
      </c>
      <c r="AG85" s="3">
        <f t="shared" si="68"/>
        <v>0.328369140625</v>
      </c>
      <c r="AH85" s="3">
        <f t="shared" si="69"/>
        <v>2.2305659679144885E-4</v>
      </c>
      <c r="AI85" s="3">
        <f t="shared" si="70"/>
        <v>1.0610541645673399E-7</v>
      </c>
      <c r="AJ85" s="3">
        <f t="shared" si="71"/>
        <v>-6.5941413526714871E-9</v>
      </c>
      <c r="AK85" s="3">
        <f t="shared" si="72"/>
        <v>4.8828125E-4</v>
      </c>
      <c r="BV85" s="3">
        <v>13</v>
      </c>
      <c r="BW85" s="3">
        <f t="shared" si="62"/>
        <v>0.26282459829238636</v>
      </c>
      <c r="BX85" s="3">
        <v>-1.1071252177768942E-3</v>
      </c>
      <c r="BY85" s="3">
        <f t="shared" si="63"/>
        <v>0.26350721974299546</v>
      </c>
      <c r="BZ85" s="3">
        <v>1.0324251078208113E-3</v>
      </c>
      <c r="CA85" s="3">
        <f t="shared" si="54"/>
        <v>0.26316590901769088</v>
      </c>
      <c r="CB85" s="3">
        <v>-3.6817438522990242E-5</v>
      </c>
      <c r="CC85" s="3">
        <f t="shared" si="55"/>
        <v>4.0761514642752988E-8</v>
      </c>
      <c r="CD85" s="3">
        <f t="shared" si="56"/>
        <v>-3.8011247936784292E-8</v>
      </c>
      <c r="CE85" s="3">
        <f t="shared" si="57"/>
        <v>6.8262145060909996E-4</v>
      </c>
      <c r="CG85" s="3">
        <v>13</v>
      </c>
      <c r="CH85" s="3">
        <f t="shared" si="64"/>
        <v>0.24371119767533123</v>
      </c>
      <c r="CI85" s="3">
        <v>-3.2298488817950055E-4</v>
      </c>
      <c r="CJ85" s="3">
        <f t="shared" si="65"/>
        <v>0.24439381912594035</v>
      </c>
      <c r="CK85" s="3">
        <v>1.7812790271297049E-3</v>
      </c>
      <c r="CL85" s="3">
        <f t="shared" si="58"/>
        <v>0.2440525084006358</v>
      </c>
      <c r="CM85" s="3">
        <v>7.2968756378156627E-4</v>
      </c>
      <c r="CN85" s="3">
        <f t="shared" si="59"/>
        <v>-2.3567805619396135E-7</v>
      </c>
      <c r="CO85" s="3">
        <f t="shared" si="60"/>
        <v>1.2997771537214729E-6</v>
      </c>
      <c r="CP85" s="3">
        <f t="shared" si="61"/>
        <v>6.8262145060912771E-4</v>
      </c>
    </row>
    <row r="86" spans="28:94" x14ac:dyDescent="0.2">
      <c r="AB86" s="3">
        <v>12</v>
      </c>
      <c r="AC86" s="3">
        <f t="shared" si="73"/>
        <v>0.328369140625</v>
      </c>
      <c r="AD86" s="3">
        <f t="shared" si="66"/>
        <v>2.2305659679144885E-4</v>
      </c>
      <c r="AE86" s="3">
        <f t="shared" si="74"/>
        <v>0.32861328125</v>
      </c>
      <c r="AF86" s="3">
        <f t="shared" si="67"/>
        <v>-2.9562637678171022E-5</v>
      </c>
      <c r="AG86" s="3">
        <f t="shared" si="68"/>
        <v>0.3284912109375</v>
      </c>
      <c r="AH86" s="3">
        <f t="shared" si="69"/>
        <v>9.6745420927746295E-5</v>
      </c>
      <c r="AI86" s="3">
        <f t="shared" si="70"/>
        <v>2.1579704347299301E-8</v>
      </c>
      <c r="AJ86" s="3">
        <f t="shared" si="71"/>
        <v>-2.8600498259091081E-9</v>
      </c>
      <c r="AK86" s="3">
        <f t="shared" si="72"/>
        <v>2.44140625E-4</v>
      </c>
      <c r="BV86" s="3">
        <v>14</v>
      </c>
      <c r="BW86" s="3">
        <f t="shared" si="62"/>
        <v>0.26316590901769088</v>
      </c>
      <c r="BX86" s="3">
        <v>-3.6817438522990242E-5</v>
      </c>
      <c r="BY86" s="3">
        <f t="shared" si="63"/>
        <v>0.26350721974299546</v>
      </c>
      <c r="BZ86" s="3">
        <v>1.0324251078208113E-3</v>
      </c>
      <c r="CA86" s="3">
        <f t="shared" si="54"/>
        <v>0.26333656438034314</v>
      </c>
      <c r="CB86" s="3">
        <v>4.97936818049112E-4</v>
      </c>
      <c r="CC86" s="3">
        <f t="shared" si="55"/>
        <v>-1.8332758186856558E-8</v>
      </c>
      <c r="CD86" s="3">
        <f t="shared" si="56"/>
        <v>5.1408247306230619E-7</v>
      </c>
      <c r="CE86" s="3">
        <f t="shared" si="57"/>
        <v>3.4131072530457773E-4</v>
      </c>
      <c r="CG86" s="3">
        <v>14</v>
      </c>
      <c r="CH86" s="3">
        <f t="shared" si="64"/>
        <v>0.24371119767533123</v>
      </c>
      <c r="CI86" s="3">
        <v>-3.2298488817950055E-4</v>
      </c>
      <c r="CJ86" s="3">
        <f t="shared" si="65"/>
        <v>0.2440525084006358</v>
      </c>
      <c r="CK86" s="3">
        <v>7.2968756378156627E-4</v>
      </c>
      <c r="CL86" s="3">
        <f t="shared" si="58"/>
        <v>0.24388185303798351</v>
      </c>
      <c r="CM86" s="3">
        <v>2.0348665652675929E-4</v>
      </c>
      <c r="CN86" s="3">
        <f t="shared" si="59"/>
        <v>-6.5723115004315784E-8</v>
      </c>
      <c r="CO86" s="3">
        <f t="shared" si="60"/>
        <v>1.4848168266306735E-7</v>
      </c>
      <c r="CP86" s="3">
        <f t="shared" si="61"/>
        <v>3.4131072530457773E-4</v>
      </c>
    </row>
    <row r="87" spans="28:94" x14ac:dyDescent="0.2">
      <c r="AB87" s="3">
        <v>13</v>
      </c>
      <c r="AC87" s="3">
        <f t="shared" si="73"/>
        <v>0.3284912109375</v>
      </c>
      <c r="AD87" s="3">
        <f t="shared" si="66"/>
        <v>9.6745420927746295E-5</v>
      </c>
      <c r="AE87" s="3">
        <f t="shared" si="74"/>
        <v>0.32861328125</v>
      </c>
      <c r="AF87" s="3">
        <f t="shared" si="67"/>
        <v>-2.9562637678171022E-5</v>
      </c>
      <c r="AG87" s="3">
        <f t="shared" si="68"/>
        <v>0.32855224609375</v>
      </c>
      <c r="AH87" s="3">
        <f t="shared" si="69"/>
        <v>3.3591002181643237E-5</v>
      </c>
      <c r="AI87" s="3">
        <f t="shared" si="70"/>
        <v>3.249775645447919E-9</v>
      </c>
      <c r="AJ87" s="3">
        <f t="shared" si="71"/>
        <v>-9.9303862674257145E-10</v>
      </c>
      <c r="AK87" s="3">
        <f t="shared" si="72"/>
        <v>1.220703125E-4</v>
      </c>
      <c r="BV87" s="3">
        <v>15</v>
      </c>
      <c r="BW87" s="3">
        <f t="shared" si="62"/>
        <v>0.26316590901769088</v>
      </c>
      <c r="BX87" s="3">
        <v>-3.6817438522990242E-5</v>
      </c>
      <c r="BY87" s="3">
        <f t="shared" si="63"/>
        <v>0.26333656438034314</v>
      </c>
      <c r="BZ87" s="3">
        <v>4.97936818049112E-4</v>
      </c>
      <c r="CA87" s="3">
        <f t="shared" si="54"/>
        <v>0.26325123669901701</v>
      </c>
      <c r="CB87" s="3">
        <v>2.3059295690202458E-4</v>
      </c>
      <c r="CC87" s="3">
        <f t="shared" si="55"/>
        <v>-8.4898420145748293E-9</v>
      </c>
      <c r="CD87" s="3">
        <f t="shared" si="56"/>
        <v>1.1482072322433013E-7</v>
      </c>
      <c r="CE87" s="3">
        <f t="shared" si="57"/>
        <v>1.7065536265226111E-4</v>
      </c>
      <c r="CG87" s="3">
        <v>15</v>
      </c>
      <c r="CH87" s="3">
        <f t="shared" si="64"/>
        <v>0.24371119767533123</v>
      </c>
      <c r="CI87" s="3">
        <v>-3.2298488817950055E-4</v>
      </c>
      <c r="CJ87" s="3">
        <f t="shared" si="65"/>
        <v>0.24388185303798351</v>
      </c>
      <c r="CK87" s="3">
        <v>2.0348665652675929E-4</v>
      </c>
      <c r="CL87" s="3">
        <f t="shared" si="58"/>
        <v>0.24379652535665736</v>
      </c>
      <c r="CM87" s="3">
        <v>-5.9715261665992808E-5</v>
      </c>
      <c r="CN87" s="3">
        <f t="shared" si="59"/>
        <v>1.9287127111800302E-8</v>
      </c>
      <c r="CO87" s="3">
        <f t="shared" si="60"/>
        <v>-1.2151258940033435E-8</v>
      </c>
      <c r="CP87" s="3">
        <f t="shared" si="61"/>
        <v>1.7065536265228887E-4</v>
      </c>
    </row>
    <row r="88" spans="28:94" x14ac:dyDescent="0.2">
      <c r="AB88" s="3">
        <v>14</v>
      </c>
      <c r="AC88" s="3">
        <f t="shared" si="73"/>
        <v>0.32855224609375</v>
      </c>
      <c r="AD88" s="3">
        <f t="shared" si="66"/>
        <v>3.3591002181643237E-5</v>
      </c>
      <c r="AE88" s="3">
        <f t="shared" si="74"/>
        <v>0.32861328125</v>
      </c>
      <c r="AF88" s="3">
        <f t="shared" si="67"/>
        <v>-2.9562637678171022E-5</v>
      </c>
      <c r="AG88" s="3">
        <f t="shared" si="68"/>
        <v>0.328582763671875</v>
      </c>
      <c r="AH88" s="3">
        <f t="shared" si="69"/>
        <v>2.0140849176786269E-6</v>
      </c>
      <c r="AI88" s="3">
        <f t="shared" si="70"/>
        <v>6.7655130863757488E-11</v>
      </c>
      <c r="AJ88" s="3">
        <f t="shared" si="71"/>
        <v>-5.9541662674402161E-11</v>
      </c>
      <c r="AK88" s="3">
        <f t="shared" si="72"/>
        <v>6.103515625E-5</v>
      </c>
      <c r="BV88" s="3">
        <v>16</v>
      </c>
      <c r="BW88" s="3">
        <f t="shared" si="62"/>
        <v>0.26316590901769088</v>
      </c>
      <c r="BX88" s="3">
        <v>-3.6817438522990242E-5</v>
      </c>
      <c r="BY88" s="3">
        <f t="shared" si="63"/>
        <v>0.26325123669901701</v>
      </c>
      <c r="BZ88" s="3">
        <v>2.3059295690202458E-4</v>
      </c>
      <c r="CA88" s="3">
        <f t="shared" si="54"/>
        <v>0.26320857285835397</v>
      </c>
      <c r="CB88" s="3">
        <v>9.6896078639947814E-5</v>
      </c>
      <c r="CC88" s="3">
        <f t="shared" si="55"/>
        <v>-3.5674654184451066E-9</v>
      </c>
      <c r="CD88" s="3">
        <f t="shared" si="56"/>
        <v>2.234355328579667E-8</v>
      </c>
      <c r="CE88" s="3">
        <f t="shared" si="57"/>
        <v>8.5327681326130556E-5</v>
      </c>
      <c r="CG88" s="3">
        <v>16</v>
      </c>
      <c r="CH88" s="3">
        <f t="shared" si="64"/>
        <v>0.24379652535665736</v>
      </c>
      <c r="CI88" s="3">
        <v>-5.9715261665992808E-5</v>
      </c>
      <c r="CJ88" s="3">
        <f t="shared" si="65"/>
        <v>0.24388185303798351</v>
      </c>
      <c r="CK88" s="3">
        <v>2.0348665652675929E-4</v>
      </c>
      <c r="CL88" s="3">
        <f t="shared" si="58"/>
        <v>0.24383918919732045</v>
      </c>
      <c r="CM88" s="3">
        <v>7.1894157906822465E-5</v>
      </c>
      <c r="CN88" s="3">
        <f t="shared" si="59"/>
        <v>-4.2931784516621092E-9</v>
      </c>
      <c r="CO88" s="3">
        <f t="shared" si="60"/>
        <v>1.4629501816266179E-8</v>
      </c>
      <c r="CP88" s="3">
        <f t="shared" si="61"/>
        <v>8.5327681326158311E-5</v>
      </c>
    </row>
    <row r="89" spans="28:94" x14ac:dyDescent="0.2">
      <c r="AB89" s="3">
        <v>15</v>
      </c>
      <c r="AC89" s="3">
        <f t="shared" si="73"/>
        <v>0.328582763671875</v>
      </c>
      <c r="AD89" s="3">
        <f t="shared" si="66"/>
        <v>2.0140849176786269E-6</v>
      </c>
      <c r="AE89" s="3">
        <f t="shared" si="74"/>
        <v>0.32861328125</v>
      </c>
      <c r="AF89" s="3">
        <f t="shared" si="67"/>
        <v>-2.9562637678171022E-5</v>
      </c>
      <c r="AG89" s="3">
        <f t="shared" si="68"/>
        <v>0.3285980224609375</v>
      </c>
      <c r="AH89" s="3">
        <f t="shared" si="69"/>
        <v>-1.377430071042296E-5</v>
      </c>
      <c r="AI89" s="3">
        <f t="shared" si="70"/>
        <v>-2.7742611312432878E-11</v>
      </c>
      <c r="AJ89" s="3">
        <f t="shared" si="71"/>
        <v>4.0720466117240767E-10</v>
      </c>
      <c r="AK89" s="3">
        <f t="shared" si="72"/>
        <v>3.0517578125E-5</v>
      </c>
      <c r="BV89" s="3">
        <v>17</v>
      </c>
      <c r="BW89" s="3">
        <f t="shared" si="62"/>
        <v>0.26316590901769088</v>
      </c>
      <c r="BX89" s="3">
        <v>-3.6817438522990242E-5</v>
      </c>
      <c r="BY89" s="3">
        <f t="shared" si="63"/>
        <v>0.26320857285835397</v>
      </c>
      <c r="BZ89" s="3">
        <v>9.6896078639947814E-5</v>
      </c>
      <c r="CA89" s="3">
        <f t="shared" si="54"/>
        <v>0.26318724093802243</v>
      </c>
      <c r="CB89" s="3">
        <v>3.0041400254587902E-5</v>
      </c>
      <c r="CC89" s="3">
        <f t="shared" si="55"/>
        <v>-1.1060474070178335E-9</v>
      </c>
      <c r="CD89" s="3">
        <f t="shared" si="56"/>
        <v>2.9108938815226976E-9</v>
      </c>
      <c r="CE89" s="3">
        <f t="shared" si="57"/>
        <v>4.2663840663093033E-5</v>
      </c>
      <c r="CG89" s="3">
        <v>17</v>
      </c>
      <c r="CH89" s="3">
        <f t="shared" si="64"/>
        <v>0.24379652535665736</v>
      </c>
      <c r="CI89" s="3">
        <v>-5.9715261665992808E-5</v>
      </c>
      <c r="CJ89" s="3">
        <f t="shared" si="65"/>
        <v>0.24383918919732045</v>
      </c>
      <c r="CK89" s="3">
        <v>7.1894157906822465E-5</v>
      </c>
      <c r="CL89" s="3">
        <f t="shared" si="58"/>
        <v>0.2438178572769889</v>
      </c>
      <c r="CM89" s="3">
        <v>6.0915636222180769E-6</v>
      </c>
      <c r="CN89" s="3">
        <f t="shared" si="59"/>
        <v>-3.637593156557954E-10</v>
      </c>
      <c r="CO89" s="3">
        <f t="shared" si="60"/>
        <v>4.3794783695520185E-10</v>
      </c>
      <c r="CP89" s="3">
        <f t="shared" si="61"/>
        <v>4.2663840663093033E-5</v>
      </c>
    </row>
    <row r="90" spans="28:94" x14ac:dyDescent="0.2">
      <c r="AB90" s="3">
        <v>16</v>
      </c>
      <c r="AC90" s="3">
        <f t="shared" si="73"/>
        <v>0.328582763671875</v>
      </c>
      <c r="AD90" s="3">
        <f t="shared" si="66"/>
        <v>2.0140849176786269E-6</v>
      </c>
      <c r="AE90" s="3">
        <f t="shared" si="74"/>
        <v>0.3285980224609375</v>
      </c>
      <c r="AF90" s="3">
        <f t="shared" si="67"/>
        <v>-1.377430071042296E-5</v>
      </c>
      <c r="AG90" s="3">
        <f t="shared" si="68"/>
        <v>0.32859039306640625</v>
      </c>
      <c r="AH90" s="3">
        <f t="shared" si="69"/>
        <v>-5.8801139793396295E-6</v>
      </c>
      <c r="AI90" s="3">
        <f t="shared" si="70"/>
        <v>-1.1843048880019201E-11</v>
      </c>
      <c r="AJ90" s="3">
        <f t="shared" si="71"/>
        <v>8.099445816298583E-11</v>
      </c>
      <c r="AK90" s="3">
        <f t="shared" si="72"/>
        <v>1.52587890625E-5</v>
      </c>
      <c r="BV90" s="3">
        <v>18</v>
      </c>
      <c r="BW90" s="3">
        <f t="shared" si="62"/>
        <v>0.26316590901769088</v>
      </c>
      <c r="BX90" s="3">
        <v>-3.6817438522990242E-5</v>
      </c>
      <c r="BY90" s="3">
        <f t="shared" si="63"/>
        <v>0.26318724093802243</v>
      </c>
      <c r="BZ90" s="3">
        <v>3.0041400254587902E-5</v>
      </c>
      <c r="CA90" s="3">
        <f t="shared" si="54"/>
        <v>0.26317657497785663</v>
      </c>
      <c r="CB90" s="3">
        <v>-3.3874990435847629E-6</v>
      </c>
      <c r="CC90" s="3">
        <f t="shared" si="55"/>
        <v>1.2471903778387025E-10</v>
      </c>
      <c r="CD90" s="3">
        <f t="shared" si="56"/>
        <v>-1.0176521463036358E-10</v>
      </c>
      <c r="CE90" s="3">
        <f t="shared" si="57"/>
        <v>2.1331920331546517E-5</v>
      </c>
      <c r="CG90" s="3">
        <v>18</v>
      </c>
      <c r="CH90" s="3">
        <f t="shared" si="64"/>
        <v>0.24379652535665736</v>
      </c>
      <c r="CI90" s="3">
        <v>-5.9715261665992808E-5</v>
      </c>
      <c r="CJ90" s="3">
        <f t="shared" si="65"/>
        <v>0.2438178572769889</v>
      </c>
      <c r="CK90" s="3">
        <v>6.0915636222180769E-6</v>
      </c>
      <c r="CL90" s="3">
        <f t="shared" si="58"/>
        <v>0.24380719131682313</v>
      </c>
      <c r="CM90" s="3">
        <v>-2.6811320098539537E-5</v>
      </c>
      <c r="CN90" s="3">
        <f t="shared" si="59"/>
        <v>1.6010449952949806E-9</v>
      </c>
      <c r="CO90" s="3">
        <f t="shared" si="60"/>
        <v>-1.6332286217590784E-10</v>
      </c>
      <c r="CP90" s="3">
        <f t="shared" si="61"/>
        <v>2.1331920331546517E-5</v>
      </c>
    </row>
    <row r="91" spans="28:94" x14ac:dyDescent="0.2">
      <c r="AB91" s="3">
        <v>17</v>
      </c>
      <c r="AC91" s="3">
        <f t="shared" si="73"/>
        <v>0.328582763671875</v>
      </c>
      <c r="AD91" s="3">
        <f t="shared" si="66"/>
        <v>2.0140849176786269E-6</v>
      </c>
      <c r="AE91" s="3">
        <f t="shared" si="74"/>
        <v>0.32859039306640625</v>
      </c>
      <c r="AF91" s="3">
        <f t="shared" si="67"/>
        <v>-5.8801139793396295E-6</v>
      </c>
      <c r="AG91" s="3">
        <f t="shared" si="68"/>
        <v>0.32858657836914062</v>
      </c>
      <c r="AH91" s="3">
        <f t="shared" si="69"/>
        <v>-1.9330160516140005E-6</v>
      </c>
      <c r="AI91" s="3">
        <f t="shared" si="70"/>
        <v>-3.8932584751864487E-12</v>
      </c>
      <c r="AJ91" s="3">
        <f t="shared" si="71"/>
        <v>1.136635470738338E-11</v>
      </c>
      <c r="AK91" s="3">
        <f t="shared" si="72"/>
        <v>7.62939453125E-6</v>
      </c>
      <c r="BV91" s="3">
        <v>19</v>
      </c>
      <c r="BW91" s="3">
        <f t="shared" si="62"/>
        <v>0.26317657497785663</v>
      </c>
      <c r="BX91" s="3">
        <v>-3.3874990435847629E-6</v>
      </c>
      <c r="BY91" s="3">
        <f t="shared" si="63"/>
        <v>0.26318724093802243</v>
      </c>
      <c r="BZ91" s="3">
        <v>3.0041400254587902E-5</v>
      </c>
      <c r="CA91" s="3">
        <f t="shared" si="54"/>
        <v>0.2631819079579395</v>
      </c>
      <c r="CB91" s="3">
        <v>1.3327080622752008E-5</v>
      </c>
      <c r="CC91" s="3">
        <f t="shared" si="55"/>
        <v>-4.5145472863349451E-11</v>
      </c>
      <c r="CD91" s="3">
        <f t="shared" si="56"/>
        <v>4.0036416321325565E-10</v>
      </c>
      <c r="CE91" s="3">
        <f t="shared" si="57"/>
        <v>1.0665960165801014E-5</v>
      </c>
      <c r="CG91" s="3">
        <v>19</v>
      </c>
      <c r="CH91" s="3">
        <f t="shared" si="64"/>
        <v>0.24380719131682313</v>
      </c>
      <c r="CI91" s="3">
        <v>-2.6811320098539537E-5</v>
      </c>
      <c r="CJ91" s="3">
        <f t="shared" si="65"/>
        <v>0.2438178572769889</v>
      </c>
      <c r="CK91" s="3">
        <v>6.0915636222180769E-6</v>
      </c>
      <c r="CL91" s="3">
        <f t="shared" si="58"/>
        <v>0.24381252429690603</v>
      </c>
      <c r="CM91" s="3">
        <v>-1.0359746013228338E-5</v>
      </c>
      <c r="CN91" s="3">
        <f t="shared" si="59"/>
        <v>2.7775846650023376E-10</v>
      </c>
      <c r="CO91" s="3">
        <f t="shared" si="60"/>
        <v>-6.3107051949600499E-11</v>
      </c>
      <c r="CP91" s="3">
        <f t="shared" si="61"/>
        <v>1.0665960165773258E-5</v>
      </c>
    </row>
    <row r="92" spans="28:94" x14ac:dyDescent="0.2">
      <c r="AB92" s="3">
        <v>18</v>
      </c>
      <c r="AC92" s="3">
        <f t="shared" si="73"/>
        <v>0.328582763671875</v>
      </c>
      <c r="AD92" s="3">
        <f t="shared" si="66"/>
        <v>2.0140849176786269E-6</v>
      </c>
      <c r="AE92" s="3">
        <f t="shared" si="74"/>
        <v>0.32858657836914062</v>
      </c>
      <c r="AF92" s="3">
        <f t="shared" si="67"/>
        <v>-1.9330160516140005E-6</v>
      </c>
      <c r="AG92" s="3">
        <f t="shared" si="68"/>
        <v>0.32858467102050781</v>
      </c>
      <c r="AH92" s="3">
        <f t="shared" si="69"/>
        <v>4.0534052836438406E-8</v>
      </c>
      <c r="AI92" s="3">
        <f t="shared" si="70"/>
        <v>8.1639024470259163E-14</v>
      </c>
      <c r="AJ92" s="3">
        <f t="shared" si="71"/>
        <v>-7.8352974769805443E-14</v>
      </c>
      <c r="AK92" s="3">
        <f t="shared" si="72"/>
        <v>3.814697265625E-6</v>
      </c>
      <c r="BV92" s="3">
        <v>20</v>
      </c>
      <c r="BW92" s="3">
        <f t="shared" si="62"/>
        <v>0.26317657497785663</v>
      </c>
      <c r="BX92" s="3">
        <v>-3.3874990435847629E-6</v>
      </c>
      <c r="BY92" s="3">
        <f t="shared" si="63"/>
        <v>0.2631819079579395</v>
      </c>
      <c r="BZ92" s="3">
        <v>1.3327080622752008E-5</v>
      </c>
      <c r="CA92" s="3">
        <f t="shared" si="54"/>
        <v>0.26317924146789806</v>
      </c>
      <c r="CB92" s="3">
        <v>4.969823294752318E-6</v>
      </c>
      <c r="CC92" s="3">
        <f t="shared" si="55"/>
        <v>-1.6835271657758753E-11</v>
      </c>
      <c r="CD92" s="3">
        <f t="shared" si="56"/>
        <v>6.6233235729995163E-11</v>
      </c>
      <c r="CE92" s="3">
        <f t="shared" si="57"/>
        <v>5.3329800828727514E-6</v>
      </c>
      <c r="CG92" s="3">
        <v>20</v>
      </c>
      <c r="CH92" s="3">
        <f t="shared" si="64"/>
        <v>0.24381252429690603</v>
      </c>
      <c r="CI92" s="3">
        <v>-1.0359746013228338E-5</v>
      </c>
      <c r="CJ92" s="3">
        <f t="shared" si="65"/>
        <v>0.2438178572769889</v>
      </c>
      <c r="CK92" s="3">
        <v>6.0915636222180769E-6</v>
      </c>
      <c r="CL92" s="3">
        <f t="shared" si="58"/>
        <v>0.24381519078694747</v>
      </c>
      <c r="CM92" s="3">
        <v>-2.1340581400006164E-6</v>
      </c>
      <c r="CN92" s="3">
        <f t="shared" si="59"/>
        <v>2.2108300307868869E-11</v>
      </c>
      <c r="CO92" s="3">
        <f t="shared" si="60"/>
        <v>-1.2999750933326127E-11</v>
      </c>
      <c r="CP92" s="3">
        <f t="shared" si="61"/>
        <v>5.3329800828727514E-6</v>
      </c>
    </row>
    <row r="93" spans="28:94" x14ac:dyDescent="0.2">
      <c r="AB93" s="3">
        <v>19</v>
      </c>
      <c r="AC93" s="3">
        <f t="shared" si="73"/>
        <v>0.32858467102050781</v>
      </c>
      <c r="AD93" s="3">
        <f t="shared" si="66"/>
        <v>4.0534052836438406E-8</v>
      </c>
      <c r="AE93" s="3">
        <f t="shared" si="74"/>
        <v>0.32858657836914062</v>
      </c>
      <c r="AF93" s="3">
        <f t="shared" si="67"/>
        <v>-1.9330160516140005E-6</v>
      </c>
      <c r="AG93" s="3">
        <f t="shared" si="68"/>
        <v>0.32858562469482422</v>
      </c>
      <c r="AH93" s="3">
        <f t="shared" si="69"/>
        <v>-9.4624109442387194E-7</v>
      </c>
      <c r="AI93" s="3">
        <f t="shared" si="70"/>
        <v>-3.8354986517386529E-14</v>
      </c>
      <c r="AJ93" s="3">
        <f t="shared" si="71"/>
        <v>1.8290992242181434E-12</v>
      </c>
      <c r="AK93" s="3">
        <f t="shared" si="72"/>
        <v>1.9073486328125E-6</v>
      </c>
      <c r="BV93" s="3">
        <v>21</v>
      </c>
      <c r="BW93" s="3">
        <f t="shared" si="62"/>
        <v>0.26317657497785663</v>
      </c>
      <c r="BX93" s="3">
        <v>-3.3874990435847629E-6</v>
      </c>
      <c r="BY93" s="3">
        <f t="shared" si="63"/>
        <v>0.26317924146789806</v>
      </c>
      <c r="BZ93" s="3">
        <v>4.969823294752318E-6</v>
      </c>
      <c r="CA93" s="3">
        <f t="shared" si="54"/>
        <v>0.26317790822287734</v>
      </c>
      <c r="CB93" s="3">
        <v>7.9117025186814516E-7</v>
      </c>
      <c r="CC93" s="3">
        <f t="shared" si="55"/>
        <v>-2.6800884715160579E-12</v>
      </c>
      <c r="CD93" s="3">
        <f t="shared" si="56"/>
        <v>3.9319763478493666E-12</v>
      </c>
      <c r="CE93" s="3">
        <f t="shared" si="57"/>
        <v>2.6664900414363757E-6</v>
      </c>
      <c r="CG93" s="3">
        <v>21</v>
      </c>
      <c r="CH93" s="3">
        <f t="shared" si="64"/>
        <v>0.24381519078694747</v>
      </c>
      <c r="CI93" s="3">
        <v>-2.1340581400006164E-6</v>
      </c>
      <c r="CJ93" s="3">
        <f t="shared" si="65"/>
        <v>0.2438178572769889</v>
      </c>
      <c r="CK93" s="3">
        <v>6.0915636222180769E-6</v>
      </c>
      <c r="CL93" s="3">
        <f t="shared" si="58"/>
        <v>0.24381652403196818</v>
      </c>
      <c r="CM93" s="3">
        <v>1.9787610048421778E-6</v>
      </c>
      <c r="CN93" s="3">
        <f t="shared" si="59"/>
        <v>-4.2227910294992484E-12</v>
      </c>
      <c r="CO93" s="3">
        <f t="shared" si="60"/>
        <v>1.2053748554160297E-11</v>
      </c>
      <c r="CP93" s="3">
        <f t="shared" si="61"/>
        <v>2.6664900414363757E-6</v>
      </c>
    </row>
    <row r="94" spans="28:94" x14ac:dyDescent="0.2">
      <c r="AB94" s="3">
        <v>20</v>
      </c>
      <c r="AC94" s="3">
        <f t="shared" si="73"/>
        <v>0.32858467102050781</v>
      </c>
      <c r="AD94" s="3">
        <f t="shared" si="66"/>
        <v>4.0534052836438406E-8</v>
      </c>
      <c r="AE94" s="3">
        <f t="shared" si="74"/>
        <v>0.32858562469482422</v>
      </c>
      <c r="AF94" s="3">
        <f t="shared" si="67"/>
        <v>-9.4624109442387194E-7</v>
      </c>
      <c r="AG94" s="3">
        <f t="shared" si="68"/>
        <v>0.32858514785766602</v>
      </c>
      <c r="AH94" s="3">
        <f t="shared" si="69"/>
        <v>-4.528535445524895E-7</v>
      </c>
      <c r="AI94" s="3">
        <f t="shared" si="70"/>
        <v>-1.8355989502059021E-14</v>
      </c>
      <c r="AJ94" s="3">
        <f t="shared" si="71"/>
        <v>4.2850863361107733E-13</v>
      </c>
      <c r="AK94" s="3">
        <f t="shared" si="72"/>
        <v>9.5367431640625E-7</v>
      </c>
      <c r="BV94" s="3">
        <v>22</v>
      </c>
      <c r="BW94" s="3">
        <f t="shared" si="62"/>
        <v>0.26317657497785663</v>
      </c>
      <c r="BX94" s="3">
        <v>-3.3874990435847629E-6</v>
      </c>
      <c r="BY94" s="3">
        <f t="shared" si="63"/>
        <v>0.26317790822287734</v>
      </c>
      <c r="BZ94" s="3">
        <v>7.9117025186814516E-7</v>
      </c>
      <c r="CA94" s="3">
        <f t="shared" si="54"/>
        <v>0.26317724160036698</v>
      </c>
      <c r="CB94" s="3">
        <v>-1.2981623642854823E-6</v>
      </c>
      <c r="CC94" s="3">
        <f t="shared" si="55"/>
        <v>4.3975237674348058E-12</v>
      </c>
      <c r="CD94" s="3">
        <f t="shared" si="56"/>
        <v>-1.0270674447174919E-12</v>
      </c>
      <c r="CE94" s="3">
        <f t="shared" si="57"/>
        <v>1.3332450207181878E-6</v>
      </c>
      <c r="CG94" s="3">
        <v>22</v>
      </c>
      <c r="CH94" s="3">
        <f t="shared" si="64"/>
        <v>0.24381519078694747</v>
      </c>
      <c r="CI94" s="3">
        <v>-2.1340581400006164E-6</v>
      </c>
      <c r="CJ94" s="3">
        <f t="shared" si="65"/>
        <v>0.24381652403196818</v>
      </c>
      <c r="CK94" s="3">
        <v>1.9787610048421778E-6</v>
      </c>
      <c r="CL94" s="3">
        <f t="shared" si="58"/>
        <v>0.24381585740945783</v>
      </c>
      <c r="CM94" s="3">
        <v>-7.7646501582540051E-8</v>
      </c>
      <c r="CN94" s="3">
        <f t="shared" si="59"/>
        <v>1.6570214874479035E-13</v>
      </c>
      <c r="CO94" s="3">
        <f t="shared" si="60"/>
        <v>-1.536438694939467E-13</v>
      </c>
      <c r="CP94" s="3">
        <f t="shared" si="61"/>
        <v>1.3332450207181878E-6</v>
      </c>
    </row>
    <row r="95" spans="28:94" x14ac:dyDescent="0.2">
      <c r="AB95" s="3">
        <v>21</v>
      </c>
      <c r="AC95" s="3">
        <f t="shared" si="73"/>
        <v>0.32858467102050781</v>
      </c>
      <c r="AD95" s="3">
        <f t="shared" si="66"/>
        <v>4.0534052836438406E-8</v>
      </c>
      <c r="AE95" s="3">
        <f t="shared" si="74"/>
        <v>0.32858514785766602</v>
      </c>
      <c r="AF95" s="3">
        <f t="shared" si="67"/>
        <v>-4.528535445524895E-7</v>
      </c>
      <c r="AG95" s="3">
        <f t="shared" si="68"/>
        <v>0.32858490943908691</v>
      </c>
      <c r="AH95" s="3">
        <f t="shared" si="69"/>
        <v>-2.061597518254743E-7</v>
      </c>
      <c r="AI95" s="3">
        <f t="shared" si="70"/>
        <v>-8.3564902732408041E-15</v>
      </c>
      <c r="AJ95" s="3">
        <f t="shared" si="71"/>
        <v>9.3360174358227606E-14</v>
      </c>
      <c r="AK95" s="3">
        <f t="shared" si="72"/>
        <v>4.76837158203125E-7</v>
      </c>
      <c r="BV95" s="3">
        <v>23</v>
      </c>
      <c r="BW95" s="3">
        <f t="shared" si="62"/>
        <v>0.26317724160036698</v>
      </c>
      <c r="BX95" s="3">
        <v>-1.2981623642854823E-6</v>
      </c>
      <c r="BY95" s="3">
        <f t="shared" si="63"/>
        <v>0.26317790822287734</v>
      </c>
      <c r="BZ95" s="3">
        <v>7.9117025186814516E-7</v>
      </c>
      <c r="CA95" s="3">
        <f t="shared" si="54"/>
        <v>0.26317757491162219</v>
      </c>
      <c r="CB95" s="3">
        <v>-2.5349554822612363E-7</v>
      </c>
      <c r="CC95" s="3">
        <f t="shared" si="55"/>
        <v>3.2907838022106913E-13</v>
      </c>
      <c r="CD95" s="3">
        <f t="shared" si="56"/>
        <v>-2.0055813673751577E-13</v>
      </c>
      <c r="CE95" s="3">
        <f t="shared" si="57"/>
        <v>6.6662251035909392E-7</v>
      </c>
      <c r="CG95" s="3">
        <v>23</v>
      </c>
      <c r="CH95" s="3">
        <f t="shared" si="64"/>
        <v>0.24381585740945783</v>
      </c>
      <c r="CI95" s="3">
        <v>-7.7646501582540051E-8</v>
      </c>
      <c r="CJ95" s="3">
        <f t="shared" si="65"/>
        <v>0.24381652403196818</v>
      </c>
      <c r="CK95" s="3">
        <v>1.9787610048421778E-6</v>
      </c>
      <c r="CL95" s="3">
        <f t="shared" si="58"/>
        <v>0.24381619072071301</v>
      </c>
      <c r="CM95" s="3">
        <v>9.5055776816108106E-7</v>
      </c>
      <c r="CN95" s="3">
        <f t="shared" si="59"/>
        <v>-7.3807485249815116E-14</v>
      </c>
      <c r="CO95" s="3">
        <f t="shared" si="60"/>
        <v>1.8809266444869586E-12</v>
      </c>
      <c r="CP95" s="3">
        <f t="shared" si="61"/>
        <v>6.6662251035909392E-7</v>
      </c>
    </row>
    <row r="96" spans="28:94" x14ac:dyDescent="0.2">
      <c r="AB96" s="3">
        <v>22</v>
      </c>
      <c r="AC96" s="3">
        <f t="shared" si="73"/>
        <v>0.32858467102050781</v>
      </c>
      <c r="AD96" s="3">
        <f t="shared" si="66"/>
        <v>4.0534052836438406E-8</v>
      </c>
      <c r="AE96" s="3">
        <f t="shared" si="74"/>
        <v>0.32858490943908691</v>
      </c>
      <c r="AF96" s="3">
        <f t="shared" si="67"/>
        <v>-2.061597518254743E-7</v>
      </c>
      <c r="AG96" s="3">
        <f t="shared" si="68"/>
        <v>0.32858479022979736</v>
      </c>
      <c r="AH96" s="3">
        <f t="shared" si="69"/>
        <v>-8.2812850965563456E-8</v>
      </c>
      <c r="AI96" s="3">
        <f t="shared" si="70"/>
        <v>-3.3567404765742482E-15</v>
      </c>
      <c r="AJ96" s="3">
        <f t="shared" si="71"/>
        <v>1.7072676803020553E-14</v>
      </c>
      <c r="AK96" s="3">
        <f t="shared" si="72"/>
        <v>2.384185791015625E-7</v>
      </c>
      <c r="BV96" s="3">
        <v>24</v>
      </c>
      <c r="BW96" s="3">
        <f t="shared" si="62"/>
        <v>0.26317757491162219</v>
      </c>
      <c r="BX96" s="3">
        <v>-2.5349554822612363E-7</v>
      </c>
      <c r="BY96" s="3">
        <f t="shared" si="63"/>
        <v>0.26317790822287734</v>
      </c>
      <c r="BZ96" s="3">
        <v>7.9117025186814516E-7</v>
      </c>
      <c r="CA96" s="3">
        <f t="shared" si="54"/>
        <v>0.26317774156724977</v>
      </c>
      <c r="CB96" s="3">
        <v>2.688374787507275E-7</v>
      </c>
      <c r="CC96" s="3">
        <f t="shared" si="55"/>
        <v>-6.8149104059644526E-14</v>
      </c>
      <c r="CD96" s="3">
        <f t="shared" si="56"/>
        <v>2.1269621577481019E-13</v>
      </c>
      <c r="CE96" s="3">
        <f t="shared" si="57"/>
        <v>3.3331125515179139E-7</v>
      </c>
      <c r="CG96" s="3">
        <v>24</v>
      </c>
      <c r="CH96" s="3">
        <f t="shared" si="64"/>
        <v>0.24381585740945783</v>
      </c>
      <c r="CI96" s="3">
        <v>-7.7646501582540051E-8</v>
      </c>
      <c r="CJ96" s="3">
        <f t="shared" si="65"/>
        <v>0.24381619072071301</v>
      </c>
      <c r="CK96" s="3">
        <v>9.5055776816108106E-7</v>
      </c>
      <c r="CL96" s="3">
        <f t="shared" si="58"/>
        <v>0.2438160240650854</v>
      </c>
      <c r="CM96" s="3">
        <v>4.3645576237524852E-7</v>
      </c>
      <c r="CN96" s="3">
        <f t="shared" si="59"/>
        <v>-3.388926304397846E-14</v>
      </c>
      <c r="CO96" s="3">
        <f t="shared" si="60"/>
        <v>4.1487641538445937E-13</v>
      </c>
      <c r="CP96" s="3">
        <f t="shared" si="61"/>
        <v>3.3331125517954696E-7</v>
      </c>
    </row>
    <row r="97" spans="28:94" x14ac:dyDescent="0.2">
      <c r="AB97" s="3">
        <v>23</v>
      </c>
      <c r="AC97" s="3">
        <f t="shared" si="73"/>
        <v>0.32858467102050781</v>
      </c>
      <c r="AD97" s="3">
        <f t="shared" si="66"/>
        <v>4.0534052836438406E-8</v>
      </c>
      <c r="AE97" s="3">
        <f t="shared" si="74"/>
        <v>0.32858479022979736</v>
      </c>
      <c r="AF97" s="3">
        <f t="shared" si="67"/>
        <v>-8.2812850965563456E-8</v>
      </c>
      <c r="AG97" s="3">
        <f t="shared" si="68"/>
        <v>0.32858473062515259</v>
      </c>
      <c r="AH97" s="3">
        <f t="shared" si="69"/>
        <v>-2.1139399453140584E-8</v>
      </c>
      <c r="AI97" s="3">
        <f t="shared" si="70"/>
        <v>-8.5686553436417759E-16</v>
      </c>
      <c r="AJ97" s="3">
        <f t="shared" si="71"/>
        <v>1.7506139364144447E-15</v>
      </c>
      <c r="AK97" s="3">
        <f t="shared" si="72"/>
        <v>1.1920928955078125E-7</v>
      </c>
      <c r="BV97" s="3">
        <v>25</v>
      </c>
      <c r="BW97" s="3">
        <f t="shared" si="62"/>
        <v>0.26317757491162219</v>
      </c>
      <c r="BX97" s="3">
        <v>-2.5349554822612363E-7</v>
      </c>
      <c r="BY97" s="3">
        <f t="shared" si="63"/>
        <v>0.26317774156724977</v>
      </c>
      <c r="BZ97" s="3">
        <v>2.688374787507275E-7</v>
      </c>
      <c r="CA97" s="3">
        <f t="shared" si="54"/>
        <v>0.26317765823943595</v>
      </c>
      <c r="CB97" s="3">
        <v>7.6709969210053686E-9</v>
      </c>
      <c r="CC97" s="3">
        <f t="shared" si="55"/>
        <v>-1.9445635699311624E-15</v>
      </c>
      <c r="CD97" s="3">
        <f t="shared" si="56"/>
        <v>2.0622514717476768E-15</v>
      </c>
      <c r="CE97" s="3">
        <f t="shared" si="57"/>
        <v>1.6665562757589569E-7</v>
      </c>
      <c r="CG97" s="3">
        <v>25</v>
      </c>
      <c r="CH97" s="3">
        <f t="shared" si="64"/>
        <v>0.24381585740945783</v>
      </c>
      <c r="CI97" s="3">
        <v>-7.7646501582540051E-8</v>
      </c>
      <c r="CJ97" s="3">
        <f t="shared" si="65"/>
        <v>0.2438160240650854</v>
      </c>
      <c r="CK97" s="3">
        <v>4.3645576237524852E-7</v>
      </c>
      <c r="CL97" s="3">
        <f t="shared" si="58"/>
        <v>0.24381594073727161</v>
      </c>
      <c r="CM97" s="3">
        <v>1.7940466263965948E-7</v>
      </c>
      <c r="CN97" s="3">
        <f t="shared" si="59"/>
        <v>-1.3930144421565384E-14</v>
      </c>
      <c r="CO97" s="3">
        <f t="shared" si="60"/>
        <v>7.8302198806066845E-14</v>
      </c>
      <c r="CP97" s="3">
        <f t="shared" si="61"/>
        <v>1.6665562757589569E-7</v>
      </c>
    </row>
    <row r="98" spans="28:94" x14ac:dyDescent="0.2">
      <c r="AB98" s="3">
        <v>24</v>
      </c>
      <c r="AC98" s="3">
        <f t="shared" si="73"/>
        <v>0.32858467102050781</v>
      </c>
      <c r="AD98" s="3">
        <f t="shared" si="66"/>
        <v>4.0534052836438406E-8</v>
      </c>
      <c r="AE98" s="3">
        <f t="shared" si="74"/>
        <v>0.32858473062515259</v>
      </c>
      <c r="AF98" s="3">
        <f t="shared" si="67"/>
        <v>-2.1139399453140584E-8</v>
      </c>
      <c r="AG98" s="3">
        <f t="shared" si="68"/>
        <v>0.3285847008228302</v>
      </c>
      <c r="AH98" s="3">
        <f t="shared" si="69"/>
        <v>9.6973266083821841E-9</v>
      </c>
      <c r="AI98" s="3">
        <f t="shared" si="70"/>
        <v>3.9307194911636351E-16</v>
      </c>
      <c r="AJ98" s="3">
        <f t="shared" si="71"/>
        <v>-2.0499566080215999E-16</v>
      </c>
      <c r="AK98" s="3">
        <f t="shared" si="72"/>
        <v>5.9604644775390625E-8</v>
      </c>
      <c r="BV98" s="3">
        <v>26</v>
      </c>
      <c r="BW98" s="3">
        <f t="shared" si="62"/>
        <v>0.26317757491162219</v>
      </c>
      <c r="BX98" s="3">
        <v>-2.5349554822612363E-7</v>
      </c>
      <c r="BY98" s="3">
        <f t="shared" si="63"/>
        <v>0.26317765823943595</v>
      </c>
      <c r="BZ98" s="3">
        <v>7.6709969210053686E-9</v>
      </c>
      <c r="CA98" s="3">
        <f t="shared" si="54"/>
        <v>0.26317761657552907</v>
      </c>
      <c r="CB98" s="3">
        <v>-1.2291226781507847E-7</v>
      </c>
      <c r="CC98" s="3">
        <f t="shared" si="55"/>
        <v>3.115771271349945E-14</v>
      </c>
      <c r="CD98" s="3">
        <f t="shared" si="56"/>
        <v>-9.428596279632542E-16</v>
      </c>
      <c r="CE98" s="3">
        <f t="shared" si="57"/>
        <v>8.3327813760192271E-8</v>
      </c>
      <c r="CG98" s="3">
        <v>26</v>
      </c>
      <c r="CH98" s="3">
        <f t="shared" si="64"/>
        <v>0.24381585740945783</v>
      </c>
      <c r="CI98" s="3">
        <v>-7.7646501582540051E-8</v>
      </c>
      <c r="CJ98" s="3">
        <f t="shared" si="65"/>
        <v>0.24381594073727161</v>
      </c>
      <c r="CK98" s="3">
        <v>1.7940466263965948E-7</v>
      </c>
      <c r="CL98" s="3">
        <f t="shared" si="58"/>
        <v>0.24381589907336471</v>
      </c>
      <c r="CM98" s="3">
        <v>5.0879088577676645E-8</v>
      </c>
      <c r="CN98" s="3">
        <f t="shared" si="59"/>
        <v>-3.9505832317647653E-15</v>
      </c>
      <c r="CO98" s="3">
        <f t="shared" si="60"/>
        <v>9.1279457216914301E-15</v>
      </c>
      <c r="CP98" s="3">
        <f t="shared" si="61"/>
        <v>8.3327813787947846E-8</v>
      </c>
    </row>
    <row r="99" spans="28:94" x14ac:dyDescent="0.2">
      <c r="AB99" s="3">
        <v>25</v>
      </c>
      <c r="AC99" s="3">
        <f t="shared" si="73"/>
        <v>0.3285847008228302</v>
      </c>
      <c r="AD99" s="3">
        <f t="shared" si="66"/>
        <v>9.6973266083821841E-9</v>
      </c>
      <c r="AE99" s="3">
        <f t="shared" si="74"/>
        <v>0.32858473062515259</v>
      </c>
      <c r="AF99" s="3">
        <f t="shared" si="67"/>
        <v>-2.1139399453140584E-8</v>
      </c>
      <c r="AG99" s="3">
        <f t="shared" si="68"/>
        <v>0.32858471572399139</v>
      </c>
      <c r="AH99" s="3">
        <f t="shared" si="69"/>
        <v>-5.7210364223791998E-9</v>
      </c>
      <c r="AI99" s="3">
        <f t="shared" si="70"/>
        <v>-5.547875872626143E-17</v>
      </c>
      <c r="AJ99" s="3">
        <f t="shared" si="71"/>
        <v>1.2093927421864021E-16</v>
      </c>
      <c r="AK99" s="3">
        <f t="shared" si="72"/>
        <v>2.9802322387695312E-8</v>
      </c>
      <c r="BV99" s="3">
        <v>27</v>
      </c>
      <c r="BW99" s="3">
        <f t="shared" si="62"/>
        <v>0.26317761657552907</v>
      </c>
      <c r="BX99" s="3">
        <v>-1.2291226781507847E-7</v>
      </c>
      <c r="BY99" s="3">
        <f t="shared" si="63"/>
        <v>0.26317765823943595</v>
      </c>
      <c r="BZ99" s="3">
        <v>7.6709969210053686E-9</v>
      </c>
      <c r="CA99" s="3">
        <f t="shared" si="54"/>
        <v>0.26317763740748251</v>
      </c>
      <c r="CB99" s="3">
        <v>-5.7620633382715614E-8</v>
      </c>
      <c r="CC99" s="3">
        <f t="shared" si="55"/>
        <v>7.0822827220107921E-15</v>
      </c>
      <c r="CD99" s="3">
        <f t="shared" si="56"/>
        <v>-4.4200770126519063E-16</v>
      </c>
      <c r="CE99" s="3">
        <f t="shared" si="57"/>
        <v>4.1663906880096135E-8</v>
      </c>
      <c r="CG99" s="3">
        <v>27</v>
      </c>
      <c r="CH99" s="3">
        <f t="shared" si="64"/>
        <v>0.24381585740945783</v>
      </c>
      <c r="CI99" s="3">
        <v>-7.7646501582540051E-8</v>
      </c>
      <c r="CJ99" s="3">
        <f t="shared" si="65"/>
        <v>0.24381589907336471</v>
      </c>
      <c r="CK99" s="3">
        <v>5.0879088577676645E-8</v>
      </c>
      <c r="CL99" s="3">
        <f t="shared" si="58"/>
        <v>0.24381587824141127</v>
      </c>
      <c r="CM99" s="3">
        <v>-1.3383704502295535E-8</v>
      </c>
      <c r="CN99" s="3">
        <f t="shared" si="59"/>
        <v>1.0391978328177386E-15</v>
      </c>
      <c r="CO99" s="3">
        <f t="shared" si="60"/>
        <v>-6.8095068686974424E-16</v>
      </c>
      <c r="CP99" s="3">
        <f t="shared" si="61"/>
        <v>4.1663906880096135E-8</v>
      </c>
    </row>
    <row r="100" spans="28:94" x14ac:dyDescent="0.2">
      <c r="AB100" s="3">
        <v>26</v>
      </c>
      <c r="AC100" s="3">
        <f t="shared" si="73"/>
        <v>0.3285847008228302</v>
      </c>
      <c r="AD100" s="3">
        <f t="shared" si="66"/>
        <v>9.6973266083821841E-9</v>
      </c>
      <c r="AE100" s="3">
        <f t="shared" si="74"/>
        <v>0.32858471572399139</v>
      </c>
      <c r="AF100" s="3">
        <f t="shared" si="67"/>
        <v>-5.7210364223791998E-9</v>
      </c>
      <c r="AG100" s="3">
        <f t="shared" si="68"/>
        <v>0.3285847082734108</v>
      </c>
      <c r="AH100" s="3">
        <f t="shared" si="69"/>
        <v>1.9881450930014921E-9</v>
      </c>
      <c r="AI100" s="3">
        <f t="shared" si="70"/>
        <v>1.9279692311687841E-17</v>
      </c>
      <c r="AJ100" s="3">
        <f t="shared" si="71"/>
        <v>-1.1374250490036018E-17</v>
      </c>
      <c r="AK100" s="3">
        <f t="shared" si="72"/>
        <v>1.4901161193847656E-8</v>
      </c>
      <c r="BV100" s="3">
        <v>28</v>
      </c>
      <c r="BW100" s="3">
        <f t="shared" si="62"/>
        <v>0.26317763740748251</v>
      </c>
      <c r="BX100" s="3">
        <v>-5.7620633382715614E-8</v>
      </c>
      <c r="BY100" s="3">
        <f t="shared" si="63"/>
        <v>0.26317765823943595</v>
      </c>
      <c r="BZ100" s="3">
        <v>7.6709969210053686E-9</v>
      </c>
      <c r="CA100" s="3">
        <f t="shared" si="54"/>
        <v>0.2631776478234592</v>
      </c>
      <c r="CB100" s="3">
        <v>-2.4974817935952132E-8</v>
      </c>
      <c r="CC100" s="3">
        <f t="shared" si="55"/>
        <v>1.4390648280875681E-15</v>
      </c>
      <c r="CD100" s="3">
        <f t="shared" si="56"/>
        <v>-1.9158175148935845E-16</v>
      </c>
      <c r="CE100" s="3">
        <f t="shared" si="57"/>
        <v>2.0831953440048068E-8</v>
      </c>
      <c r="CG100" s="3">
        <v>28</v>
      </c>
      <c r="CH100" s="3">
        <f t="shared" si="64"/>
        <v>0.24381587824141127</v>
      </c>
      <c r="CI100" s="3">
        <v>-1.3383704502295535E-8</v>
      </c>
      <c r="CJ100" s="3">
        <f t="shared" si="65"/>
        <v>0.24381589907336471</v>
      </c>
      <c r="CK100" s="3">
        <v>5.0879088577676645E-8</v>
      </c>
      <c r="CL100" s="3">
        <f t="shared" si="58"/>
        <v>0.24381588865738799</v>
      </c>
      <c r="CM100" s="3">
        <v>1.8747692499127E-8</v>
      </c>
      <c r="CN100" s="3">
        <f t="shared" si="59"/>
        <v>-2.5091357650821825E-16</v>
      </c>
      <c r="CO100" s="3">
        <f t="shared" si="60"/>
        <v>9.5386550729012659E-16</v>
      </c>
      <c r="CP100" s="3">
        <f t="shared" si="61"/>
        <v>2.0831953440048068E-8</v>
      </c>
    </row>
    <row r="101" spans="28:94" x14ac:dyDescent="0.2">
      <c r="AB101" s="3">
        <v>27</v>
      </c>
      <c r="AC101" s="3">
        <f t="shared" si="73"/>
        <v>0.3285847082734108</v>
      </c>
      <c r="AD101" s="3">
        <f t="shared" si="66"/>
        <v>1.9881450930014921E-9</v>
      </c>
      <c r="AE101" s="3">
        <f t="shared" si="74"/>
        <v>0.32858471572399139</v>
      </c>
      <c r="AF101" s="3">
        <f t="shared" si="67"/>
        <v>-5.7210364223791998E-9</v>
      </c>
      <c r="AG101" s="3">
        <f t="shared" si="68"/>
        <v>0.3285847119987011</v>
      </c>
      <c r="AH101" s="3">
        <f t="shared" si="69"/>
        <v>-1.8664456646888539E-9</v>
      </c>
      <c r="AI101" s="3">
        <f t="shared" si="70"/>
        <v>-3.7107647896050531E-18</v>
      </c>
      <c r="AJ101" s="3">
        <f t="shared" si="71"/>
        <v>1.0678003628076688E-17</v>
      </c>
      <c r="AK101" s="3">
        <f t="shared" si="72"/>
        <v>7.4505805969238281E-9</v>
      </c>
      <c r="BV101" s="3">
        <v>29</v>
      </c>
      <c r="BW101" s="3">
        <f t="shared" si="62"/>
        <v>0.2631776478234592</v>
      </c>
      <c r="BX101" s="3">
        <v>-2.4974817935952132E-8</v>
      </c>
      <c r="BY101" s="3">
        <f t="shared" si="63"/>
        <v>0.26317765823943595</v>
      </c>
      <c r="BZ101" s="3">
        <v>7.6709969210053686E-9</v>
      </c>
      <c r="CA101" s="3">
        <f t="shared" si="54"/>
        <v>0.26317765303144758</v>
      </c>
      <c r="CB101" s="3">
        <v>-8.6519102507343071E-9</v>
      </c>
      <c r="CC101" s="3">
        <f t="shared" si="55"/>
        <v>2.1607988331028728E-16</v>
      </c>
      <c r="CD101" s="3">
        <f t="shared" si="56"/>
        <v>-6.636877689419765E-17</v>
      </c>
      <c r="CE101" s="3">
        <f t="shared" si="57"/>
        <v>1.0415976747779609E-8</v>
      </c>
      <c r="CG101" s="3">
        <v>29</v>
      </c>
      <c r="CH101" s="3">
        <f t="shared" si="64"/>
        <v>0.24381587824141127</v>
      </c>
      <c r="CI101" s="3">
        <v>-1.3383704502295535E-8</v>
      </c>
      <c r="CJ101" s="3">
        <f t="shared" si="65"/>
        <v>0.24381588865738799</v>
      </c>
      <c r="CK101" s="3">
        <v>1.8747692499127E-8</v>
      </c>
      <c r="CL101" s="3">
        <f t="shared" si="58"/>
        <v>0.24381588344939964</v>
      </c>
      <c r="CM101" s="3">
        <v>2.6819940990296942E-9</v>
      </c>
      <c r="CN101" s="3">
        <f t="shared" si="59"/>
        <v>-3.5895016498313777E-17</v>
      </c>
      <c r="CO101" s="3">
        <f t="shared" si="60"/>
        <v>5.0281200653081877E-17</v>
      </c>
      <c r="CP101" s="3">
        <f t="shared" si="61"/>
        <v>1.0415976720024034E-8</v>
      </c>
    </row>
    <row r="102" spans="28:94" x14ac:dyDescent="0.2">
      <c r="AB102" s="3">
        <v>28</v>
      </c>
      <c r="AC102" s="3">
        <f t="shared" si="73"/>
        <v>0.3285847082734108</v>
      </c>
      <c r="AD102" s="3">
        <f t="shared" si="66"/>
        <v>1.9881450930014921E-9</v>
      </c>
      <c r="AE102" s="3">
        <f t="shared" si="74"/>
        <v>0.3285847119987011</v>
      </c>
      <c r="AF102" s="3">
        <f t="shared" si="67"/>
        <v>-1.8664456646888539E-9</v>
      </c>
      <c r="AG102" s="3">
        <f t="shared" si="68"/>
        <v>0.32858471013605595</v>
      </c>
      <c r="AH102" s="3">
        <f t="shared" si="69"/>
        <v>6.0849714156319124E-11</v>
      </c>
      <c r="AI102" s="3">
        <f t="shared" si="70"/>
        <v>1.209780606104293E-19</v>
      </c>
      <c r="AJ102" s="3">
        <f t="shared" si="71"/>
        <v>-1.1357268518461781E-19</v>
      </c>
      <c r="AK102" s="3">
        <f t="shared" si="72"/>
        <v>3.7252902984619141E-9</v>
      </c>
      <c r="BV102" s="3">
        <v>30</v>
      </c>
      <c r="BW102" s="3">
        <f t="shared" si="62"/>
        <v>0.26317765303144758</v>
      </c>
      <c r="BX102" s="3">
        <v>-8.6519102507343071E-9</v>
      </c>
      <c r="BY102" s="3">
        <f t="shared" si="63"/>
        <v>0.26317765823943595</v>
      </c>
      <c r="BZ102" s="3">
        <v>7.6709969210053686E-9</v>
      </c>
      <c r="CA102" s="6">
        <f t="shared" si="54"/>
        <v>0.26317765563544177</v>
      </c>
      <c r="CB102" s="3">
        <v>-4.9045674466174916E-10</v>
      </c>
      <c r="CC102" s="3">
        <f t="shared" si="55"/>
        <v>4.2433877366807665E-18</v>
      </c>
      <c r="CD102" s="3">
        <f t="shared" si="56"/>
        <v>-3.7622921781865944E-18</v>
      </c>
      <c r="CE102" s="3">
        <f t="shared" si="57"/>
        <v>5.2079883738898047E-9</v>
      </c>
      <c r="CG102" s="3">
        <v>30</v>
      </c>
      <c r="CH102" s="3">
        <f t="shared" si="64"/>
        <v>0.24381587824141127</v>
      </c>
      <c r="CI102" s="3">
        <v>-1.3383704502295535E-8</v>
      </c>
      <c r="CJ102" s="3">
        <f t="shared" si="65"/>
        <v>0.24381588344939964</v>
      </c>
      <c r="CK102" s="3">
        <v>2.6819940990296942E-9</v>
      </c>
      <c r="CL102" s="6">
        <f t="shared" si="58"/>
        <v>0.24381588084540545</v>
      </c>
      <c r="CM102" s="3">
        <v>-5.3508551894898559E-9</v>
      </c>
      <c r="CN102" s="3">
        <f t="shared" si="59"/>
        <v>7.1614264690706809E-17</v>
      </c>
      <c r="CO102" s="3">
        <f t="shared" si="60"/>
        <v>-1.4350962042974209E-17</v>
      </c>
      <c r="CP102" s="3">
        <f t="shared" si="61"/>
        <v>5.2079883738898047E-9</v>
      </c>
    </row>
    <row r="103" spans="28:94" x14ac:dyDescent="0.2">
      <c r="AB103" s="3">
        <v>29</v>
      </c>
      <c r="AC103" s="3">
        <f t="shared" si="73"/>
        <v>0.32858471013605595</v>
      </c>
      <c r="AD103" s="3">
        <f t="shared" si="66"/>
        <v>6.0849714156319124E-11</v>
      </c>
      <c r="AE103" s="3">
        <f t="shared" si="74"/>
        <v>0.3285847119987011</v>
      </c>
      <c r="AF103" s="3">
        <f t="shared" si="67"/>
        <v>-1.8664456646888539E-9</v>
      </c>
      <c r="AG103" s="3">
        <f t="shared" si="68"/>
        <v>0.32858471106737852</v>
      </c>
      <c r="AH103" s="3">
        <f t="shared" si="69"/>
        <v>-9.0279800302184299E-10</v>
      </c>
      <c r="AI103" s="3">
        <f t="shared" si="70"/>
        <v>-5.4935000424774874E-20</v>
      </c>
      <c r="AJ103" s="3">
        <f t="shared" si="71"/>
        <v>1.6850234188298736E-18</v>
      </c>
      <c r="AK103" s="3">
        <f t="shared" si="72"/>
        <v>1.862645149230957E-9</v>
      </c>
    </row>
    <row r="104" spans="28:94" x14ac:dyDescent="0.2">
      <c r="AB104" s="3">
        <v>30</v>
      </c>
      <c r="AC104" s="3">
        <f t="shared" si="73"/>
        <v>0.32858471013605595</v>
      </c>
      <c r="AD104" s="3">
        <f t="shared" si="66"/>
        <v>6.0849714156319124E-11</v>
      </c>
      <c r="AE104" s="3">
        <f t="shared" si="74"/>
        <v>0.32858471106737852</v>
      </c>
      <c r="AF104" s="3">
        <f t="shared" si="67"/>
        <v>-9.0279800302184299E-10</v>
      </c>
      <c r="AG104" s="3">
        <f t="shared" si="68"/>
        <v>0.32858471060171723</v>
      </c>
      <c r="AH104" s="3">
        <f t="shared" si="69"/>
        <v>-4.2097414443276193E-10</v>
      </c>
      <c r="AI104" s="3">
        <f t="shared" si="70"/>
        <v>-2.5616156355934565E-20</v>
      </c>
      <c r="AJ104" s="3">
        <f t="shared" si="71"/>
        <v>3.8005461691772637E-19</v>
      </c>
      <c r="AK104" s="3">
        <f t="shared" si="72"/>
        <v>9.3132257461547852E-10</v>
      </c>
      <c r="BV104" s="59" t="s">
        <v>235</v>
      </c>
      <c r="BW104" s="59"/>
      <c r="BX104" s="59"/>
      <c r="BY104" s="59"/>
      <c r="BZ104" s="59"/>
      <c r="CA104" s="59"/>
      <c r="CB104" s="59"/>
      <c r="CC104" s="59"/>
      <c r="CD104" s="59"/>
      <c r="CE104" s="59"/>
      <c r="CG104" s="59" t="s">
        <v>243</v>
      </c>
      <c r="CH104" s="59"/>
      <c r="CI104" s="59"/>
      <c r="CJ104" s="59"/>
      <c r="CK104" s="59"/>
      <c r="CL104" s="59"/>
      <c r="CM104" s="59"/>
      <c r="CN104" s="59"/>
      <c r="CO104" s="59"/>
      <c r="CP104" s="59"/>
    </row>
    <row r="105" spans="28:94" x14ac:dyDescent="0.2">
      <c r="BV105" s="8" t="s">
        <v>45</v>
      </c>
      <c r="BW105" s="8" t="s">
        <v>46</v>
      </c>
      <c r="BX105" s="8" t="s">
        <v>47</v>
      </c>
      <c r="BY105" s="8" t="s">
        <v>48</v>
      </c>
      <c r="BZ105" s="8" t="s">
        <v>49</v>
      </c>
      <c r="CA105" s="8" t="s">
        <v>50</v>
      </c>
      <c r="CB105" s="8" t="s">
        <v>51</v>
      </c>
      <c r="CC105" s="8" t="s">
        <v>52</v>
      </c>
      <c r="CD105" s="8" t="s">
        <v>53</v>
      </c>
      <c r="CE105" s="8" t="s">
        <v>54</v>
      </c>
      <c r="CG105" s="8" t="s">
        <v>45</v>
      </c>
      <c r="CH105" s="8" t="s">
        <v>46</v>
      </c>
      <c r="CI105" s="8" t="s">
        <v>47</v>
      </c>
      <c r="CJ105" s="8" t="s">
        <v>48</v>
      </c>
      <c r="CK105" s="8" t="s">
        <v>49</v>
      </c>
      <c r="CL105" s="8" t="s">
        <v>50</v>
      </c>
      <c r="CM105" s="8" t="s">
        <v>51</v>
      </c>
      <c r="CN105" s="8" t="s">
        <v>52</v>
      </c>
      <c r="CO105" s="8" t="s">
        <v>53</v>
      </c>
      <c r="CP105" s="8" t="s">
        <v>54</v>
      </c>
    </row>
    <row r="106" spans="28:94" x14ac:dyDescent="0.2">
      <c r="BV106" s="31">
        <v>0</v>
      </c>
      <c r="BW106" s="31"/>
      <c r="BX106" s="31">
        <f>$BO$77</f>
        <v>-5.3385459247712319E-9</v>
      </c>
      <c r="BY106" s="31"/>
      <c r="BZ106" s="31">
        <f>$BO$77</f>
        <v>-5.3385459247712319E-9</v>
      </c>
      <c r="CA106" s="31"/>
      <c r="CB106" s="31">
        <f>$BO$77</f>
        <v>-5.3385459247712319E-9</v>
      </c>
      <c r="CC106" s="31"/>
      <c r="CD106" s="31"/>
      <c r="CE106" s="31"/>
      <c r="CG106" s="31">
        <v>0</v>
      </c>
      <c r="CH106" s="31"/>
      <c r="CI106" s="31">
        <f>$BS$77</f>
        <v>7.2606175308131959E-9</v>
      </c>
      <c r="CJ106" s="31"/>
      <c r="CK106" s="31">
        <f>$BS$77</f>
        <v>7.2606175308131959E-9</v>
      </c>
      <c r="CL106" s="31"/>
      <c r="CM106" s="31">
        <f>$BS$77</f>
        <v>7.2606175308131959E-9</v>
      </c>
      <c r="CN106" s="31"/>
      <c r="CO106" s="31"/>
      <c r="CP106" s="31"/>
    </row>
    <row r="107" spans="28:94" x14ac:dyDescent="0.2">
      <c r="BV107" s="3">
        <v>1</v>
      </c>
      <c r="BW107" s="4">
        <f>0.01*PI()</f>
        <v>3.1415926535897934E-2</v>
      </c>
      <c r="BX107" s="3">
        <f t="dataTable" ref="BX107:BX136" dt2D="0" dtr="0" r1="BO61" ca="1"/>
        <v>-1.9196841455773623</v>
      </c>
      <c r="BY107" s="4">
        <f>0.9*PI()</f>
        <v>2.8274333882308138</v>
      </c>
      <c r="BZ107" s="3">
        <f t="dataTable" ref="BZ107:BZ136" dt2D="0" dtr="0" r1="BO61" ca="1"/>
        <v>0.34010306158108233</v>
      </c>
      <c r="CA107" s="3">
        <f t="shared" ref="CA107:CA136" si="75">(BW107+BY107)/2</f>
        <v>1.4294246573833558</v>
      </c>
      <c r="CB107" s="3">
        <f t="dataTable" ref="CB107:CB136" dt2D="0" dtr="0" r1="BO61"/>
        <v>1.1597598841771282</v>
      </c>
      <c r="CC107" s="3">
        <f t="shared" ref="CC107:CC136" si="76">BX107*CB107</f>
        <v>-2.226372662331471</v>
      </c>
      <c r="CD107" s="3">
        <f t="shared" ref="CD107:CD136" si="77">BZ107*CB107</f>
        <v>0.39443788730756274</v>
      </c>
      <c r="CE107" s="3">
        <f t="shared" ref="CE107:CE136" si="78">BY107-BW107</f>
        <v>2.7960174616949161</v>
      </c>
      <c r="CG107" s="3">
        <v>1</v>
      </c>
      <c r="CH107" s="4">
        <f>0.01*PI()</f>
        <v>3.1415926535897934E-2</v>
      </c>
      <c r="CI107" s="3">
        <f t="dataTable" ref="CI107:CI136" dt2D="0" dtr="0" r1="BS61"/>
        <v>-1.8996749743242429</v>
      </c>
      <c r="CJ107" s="4">
        <f>0.9*PI()</f>
        <v>2.8274333882308138</v>
      </c>
      <c r="CK107" s="3">
        <f t="dataTable" ref="CK107:CK136" dt2D="0" dtr="0" r1="BS61" ca="1"/>
        <v>0.33496199463905368</v>
      </c>
      <c r="CL107" s="3">
        <f t="shared" ref="CL107:CL136" si="79">(CH107+CJ107)/2</f>
        <v>1.4294246573833558</v>
      </c>
      <c r="CM107" s="3">
        <f t="dataTable" ref="CM107:CM136" dt2D="0" dtr="0" r1="BS61" ca="1"/>
        <v>1.2541545010126172</v>
      </c>
      <c r="CN107" s="3">
        <f t="shared" ref="CN107:CN136" si="80">CI107*CM107</f>
        <v>-2.3824859195097772</v>
      </c>
      <c r="CO107" s="3">
        <f t="shared" ref="CO107:CO136" si="81">CK107*CM107</f>
        <v>0.42009409324473329</v>
      </c>
      <c r="CP107" s="3">
        <f t="shared" ref="CP107:CP136" si="82">CJ107-CH107</f>
        <v>2.7960174616949161</v>
      </c>
    </row>
    <row r="108" spans="28:94" x14ac:dyDescent="0.2">
      <c r="BV108" s="3">
        <v>2</v>
      </c>
      <c r="BW108" s="3">
        <f t="shared" ref="BW108:BW136" si="83">IF(CC107&gt;0,CA107,BW107)</f>
        <v>3.1415926535897934E-2</v>
      </c>
      <c r="BX108" s="3">
        <v>-1.9196841455773623</v>
      </c>
      <c r="BY108" s="3">
        <f t="shared" ref="BY108:BY136" si="84">IF(CD107&gt;0,CA107,BY107)</f>
        <v>1.4294246573833558</v>
      </c>
      <c r="BZ108" s="3">
        <v>1.1597598841771282</v>
      </c>
      <c r="CA108" s="3">
        <f t="shared" si="75"/>
        <v>0.73042029195962688</v>
      </c>
      <c r="CB108" s="3">
        <v>0.75022945150556586</v>
      </c>
      <c r="CC108" s="3">
        <f t="shared" si="76"/>
        <v>-1.4402035836004354</v>
      </c>
      <c r="CD108" s="3">
        <f t="shared" si="77"/>
        <v>0.87008602178436545</v>
      </c>
      <c r="CE108" s="3">
        <f t="shared" si="78"/>
        <v>1.3980087308474578</v>
      </c>
      <c r="CG108" s="3">
        <v>2</v>
      </c>
      <c r="CH108" s="3">
        <f t="shared" ref="CH108:CH136" si="85">IF(CN107&gt;0,CL107,CH107)</f>
        <v>3.1415926535897934E-2</v>
      </c>
      <c r="CI108" s="3">
        <v>-1.8996749743242429</v>
      </c>
      <c r="CJ108" s="3">
        <f t="shared" ref="CJ108:CJ136" si="86">IF(CO107&gt;0,CL107,CJ107)</f>
        <v>1.4294246573833558</v>
      </c>
      <c r="CK108" s="3">
        <v>1.2541545010126172</v>
      </c>
      <c r="CL108" s="3">
        <f t="shared" si="79"/>
        <v>0.73042029195962688</v>
      </c>
      <c r="CM108" s="3">
        <v>0.8079979138395379</v>
      </c>
      <c r="CN108" s="3">
        <f t="shared" si="80"/>
        <v>-1.5349334162271659</v>
      </c>
      <c r="CO108" s="3">
        <f t="shared" si="81"/>
        <v>1.0133542204506614</v>
      </c>
      <c r="CP108" s="3">
        <f t="shared" si="82"/>
        <v>1.3980087308474578</v>
      </c>
    </row>
    <row r="109" spans="28:94" x14ac:dyDescent="0.2">
      <c r="BV109" s="3">
        <v>3</v>
      </c>
      <c r="BW109" s="3">
        <f t="shared" si="83"/>
        <v>3.1415926535897934E-2</v>
      </c>
      <c r="BX109" s="3">
        <v>-1.9196841455773623</v>
      </c>
      <c r="BY109" s="3">
        <f t="shared" si="84"/>
        <v>0.73042029195962688</v>
      </c>
      <c r="BZ109" s="3">
        <v>0.75022945150556586</v>
      </c>
      <c r="CA109" s="3">
        <f t="shared" si="75"/>
        <v>0.38091810924776243</v>
      </c>
      <c r="CB109" s="3">
        <v>0.3871733373959641</v>
      </c>
      <c r="CC109" s="3">
        <f t="shared" si="76"/>
        <v>-0.74325051738930714</v>
      </c>
      <c r="CD109" s="3">
        <f t="shared" si="77"/>
        <v>0.29046884055215355</v>
      </c>
      <c r="CE109" s="3">
        <f t="shared" si="78"/>
        <v>0.6990043654237289</v>
      </c>
      <c r="CG109" s="3">
        <v>3</v>
      </c>
      <c r="CH109" s="3">
        <f t="shared" si="85"/>
        <v>3.1415926535897934E-2</v>
      </c>
      <c r="CI109" s="3">
        <v>-1.8996749743242429</v>
      </c>
      <c r="CJ109" s="3">
        <f t="shared" si="86"/>
        <v>0.73042029195962688</v>
      </c>
      <c r="CK109" s="3">
        <v>0.8079979138395379</v>
      </c>
      <c r="CL109" s="3">
        <f t="shared" si="79"/>
        <v>0.38091810924776243</v>
      </c>
      <c r="CM109" s="3">
        <v>0.44995989142841802</v>
      </c>
      <c r="CN109" s="3">
        <f t="shared" si="80"/>
        <v>-0.85477754519621918</v>
      </c>
      <c r="CO109" s="3">
        <f t="shared" si="81"/>
        <v>0.36356665358562673</v>
      </c>
      <c r="CP109" s="3">
        <f t="shared" si="82"/>
        <v>0.6990043654237289</v>
      </c>
    </row>
    <row r="110" spans="28:94" x14ac:dyDescent="0.2">
      <c r="BV110" s="3">
        <v>4</v>
      </c>
      <c r="BW110" s="3">
        <f t="shared" si="83"/>
        <v>3.1415926535897934E-2</v>
      </c>
      <c r="BX110" s="3">
        <v>-1.9196841455773623</v>
      </c>
      <c r="BY110" s="3">
        <f t="shared" si="84"/>
        <v>0.38091810924776243</v>
      </c>
      <c r="BZ110" s="3">
        <v>0.3871733373959641</v>
      </c>
      <c r="CA110" s="3">
        <f t="shared" si="75"/>
        <v>0.20616701789183017</v>
      </c>
      <c r="CB110" s="3">
        <v>-8.6735322668007681E-2</v>
      </c>
      <c r="CC110" s="3">
        <f t="shared" si="76"/>
        <v>0.16650442378731115</v>
      </c>
      <c r="CD110" s="3">
        <f t="shared" si="77"/>
        <v>-3.3581604347488352E-2</v>
      </c>
      <c r="CE110" s="3">
        <f t="shared" si="78"/>
        <v>0.34950218271186451</v>
      </c>
      <c r="CG110" s="3">
        <v>4</v>
      </c>
      <c r="CH110" s="3">
        <f t="shared" si="85"/>
        <v>3.1415926535897934E-2</v>
      </c>
      <c r="CI110" s="3">
        <v>-1.8996749743242429</v>
      </c>
      <c r="CJ110" s="3">
        <f t="shared" si="86"/>
        <v>0.38091810924776243</v>
      </c>
      <c r="CK110" s="3">
        <v>0.44995989142841802</v>
      </c>
      <c r="CL110" s="3">
        <f t="shared" si="79"/>
        <v>0.20616701789183017</v>
      </c>
      <c r="CM110" s="3">
        <v>-0.13115745229877571</v>
      </c>
      <c r="CN110" s="3">
        <f t="shared" si="80"/>
        <v>0.24915652982810985</v>
      </c>
      <c r="CO110" s="3">
        <f t="shared" si="81"/>
        <v>-5.9015592996385036E-2</v>
      </c>
      <c r="CP110" s="3">
        <f t="shared" si="82"/>
        <v>0.34950218271186451</v>
      </c>
    </row>
    <row r="111" spans="28:94" x14ac:dyDescent="0.2">
      <c r="BV111" s="3">
        <v>5</v>
      </c>
      <c r="BW111" s="3">
        <f t="shared" si="83"/>
        <v>0.20616701789183017</v>
      </c>
      <c r="BX111" s="3">
        <v>-8.6735322668007681E-2</v>
      </c>
      <c r="BY111" s="3">
        <f t="shared" si="84"/>
        <v>0.38091810924776243</v>
      </c>
      <c r="BZ111" s="3">
        <v>0.3871733373959641</v>
      </c>
      <c r="CA111" s="3">
        <f t="shared" si="75"/>
        <v>0.2935425635697963</v>
      </c>
      <c r="CB111" s="3">
        <v>0.17996073720582273</v>
      </c>
      <c r="CC111" s="3">
        <f t="shared" si="76"/>
        <v>-1.560895260911957E-2</v>
      </c>
      <c r="CD111" s="3">
        <f t="shared" si="77"/>
        <v>6.9675999224216439E-2</v>
      </c>
      <c r="CE111" s="3">
        <f t="shared" si="78"/>
        <v>0.17475109135593225</v>
      </c>
      <c r="CG111" s="3">
        <v>5</v>
      </c>
      <c r="CH111" s="3">
        <f t="shared" si="85"/>
        <v>0.20616701789183017</v>
      </c>
      <c r="CI111" s="3">
        <v>-0.13115745229877571</v>
      </c>
      <c r="CJ111" s="3">
        <f t="shared" si="86"/>
        <v>0.38091810924776243</v>
      </c>
      <c r="CK111" s="3">
        <v>0.44995989142841802</v>
      </c>
      <c r="CL111" s="3">
        <f t="shared" si="79"/>
        <v>0.2935425635697963</v>
      </c>
      <c r="CM111" s="3">
        <v>0.20267047252431589</v>
      </c>
      <c r="CN111" s="3">
        <f t="shared" si="80"/>
        <v>-2.6581742832478293E-2</v>
      </c>
      <c r="CO111" s="3">
        <f t="shared" si="81"/>
        <v>9.119358381278736E-2</v>
      </c>
      <c r="CP111" s="3">
        <f t="shared" si="82"/>
        <v>0.17475109135593225</v>
      </c>
    </row>
    <row r="112" spans="28:94" x14ac:dyDescent="0.2">
      <c r="BV112" s="3">
        <v>6</v>
      </c>
      <c r="BW112" s="3">
        <f t="shared" si="83"/>
        <v>0.20616701789183017</v>
      </c>
      <c r="BX112" s="3">
        <v>-8.6735322668007681E-2</v>
      </c>
      <c r="BY112" s="3">
        <f t="shared" si="84"/>
        <v>0.2935425635697963</v>
      </c>
      <c r="BZ112" s="3">
        <v>0.17996073720582273</v>
      </c>
      <c r="CA112" s="3">
        <f t="shared" si="75"/>
        <v>0.24985479073081324</v>
      </c>
      <c r="CB112" s="3">
        <v>5.4895729122258777E-2</v>
      </c>
      <c r="CC112" s="3">
        <f t="shared" si="76"/>
        <v>-4.7613987785146607E-3</v>
      </c>
      <c r="CD112" s="3">
        <f t="shared" si="77"/>
        <v>9.8790758822928405E-3</v>
      </c>
      <c r="CE112" s="3">
        <f t="shared" si="78"/>
        <v>8.7375545677966127E-2</v>
      </c>
      <c r="CG112" s="3">
        <v>6</v>
      </c>
      <c r="CH112" s="3">
        <f t="shared" si="85"/>
        <v>0.20616701789183017</v>
      </c>
      <c r="CI112" s="3">
        <v>-0.13115745229877571</v>
      </c>
      <c r="CJ112" s="3">
        <f t="shared" si="86"/>
        <v>0.2935425635697963</v>
      </c>
      <c r="CK112" s="3">
        <v>0.20267047252431589</v>
      </c>
      <c r="CL112" s="3">
        <f t="shared" si="79"/>
        <v>0.24985479073081324</v>
      </c>
      <c r="CM112" s="3">
        <v>4.6901604085381715E-2</v>
      </c>
      <c r="CN112" s="3">
        <f t="shared" si="80"/>
        <v>-6.1514949005645157E-3</v>
      </c>
      <c r="CO112" s="3">
        <f t="shared" si="81"/>
        <v>9.5055702621326971E-3</v>
      </c>
      <c r="CP112" s="3">
        <f t="shared" si="82"/>
        <v>8.7375545677966127E-2</v>
      </c>
    </row>
    <row r="113" spans="74:94" x14ac:dyDescent="0.2">
      <c r="BV113" s="3">
        <v>7</v>
      </c>
      <c r="BW113" s="3">
        <f t="shared" si="83"/>
        <v>0.20616701789183017</v>
      </c>
      <c r="BX113" s="3">
        <v>-8.6735322668007681E-2</v>
      </c>
      <c r="BY113" s="3">
        <f t="shared" si="84"/>
        <v>0.24985479073081324</v>
      </c>
      <c r="BZ113" s="3">
        <v>5.4895729122258777E-2</v>
      </c>
      <c r="CA113" s="3">
        <f t="shared" si="75"/>
        <v>0.2280109043113217</v>
      </c>
      <c r="CB113" s="3">
        <v>-1.3559086212232918E-2</v>
      </c>
      <c r="CC113" s="3">
        <f t="shared" si="76"/>
        <v>1.1760517177013563E-3</v>
      </c>
      <c r="CD113" s="3">
        <f t="shared" si="77"/>
        <v>-7.443359238520921E-4</v>
      </c>
      <c r="CE113" s="3">
        <f t="shared" si="78"/>
        <v>4.3687772838983063E-2</v>
      </c>
      <c r="CG113" s="3">
        <v>7</v>
      </c>
      <c r="CH113" s="3">
        <f t="shared" si="85"/>
        <v>0.20616701789183017</v>
      </c>
      <c r="CI113" s="3">
        <v>-0.13115745229877571</v>
      </c>
      <c r="CJ113" s="3">
        <f t="shared" si="86"/>
        <v>0.24985479073081324</v>
      </c>
      <c r="CK113" s="3">
        <v>4.6901604085381715E-2</v>
      </c>
      <c r="CL113" s="3">
        <f t="shared" si="79"/>
        <v>0.2280109043113217</v>
      </c>
      <c r="CM113" s="3">
        <v>-3.9126667157678076E-2</v>
      </c>
      <c r="CN113" s="3">
        <f t="shared" si="80"/>
        <v>5.131753981343236E-3</v>
      </c>
      <c r="CO113" s="3">
        <f t="shared" si="81"/>
        <v>-1.8351034522099247E-3</v>
      </c>
      <c r="CP113" s="3">
        <f t="shared" si="82"/>
        <v>4.3687772838983063E-2</v>
      </c>
    </row>
    <row r="114" spans="74:94" x14ac:dyDescent="0.2">
      <c r="BV114" s="3">
        <v>8</v>
      </c>
      <c r="BW114" s="3">
        <f t="shared" si="83"/>
        <v>0.2280109043113217</v>
      </c>
      <c r="BX114" s="3">
        <v>-1.3559086212232918E-2</v>
      </c>
      <c r="BY114" s="3">
        <f t="shared" si="84"/>
        <v>0.24985479073081324</v>
      </c>
      <c r="BZ114" s="3">
        <v>5.4895729122258777E-2</v>
      </c>
      <c r="CA114" s="3">
        <f t="shared" si="75"/>
        <v>0.23893284752106747</v>
      </c>
      <c r="CB114" s="3">
        <v>2.1209072909884996E-2</v>
      </c>
      <c r="CC114" s="3">
        <f t="shared" si="76"/>
        <v>-2.8757564806666434E-4</v>
      </c>
      <c r="CD114" s="3">
        <f t="shared" si="77"/>
        <v>1.1642875213952835E-3</v>
      </c>
      <c r="CE114" s="3">
        <f t="shared" si="78"/>
        <v>2.1843886419491532E-2</v>
      </c>
      <c r="CG114" s="3">
        <v>8</v>
      </c>
      <c r="CH114" s="3">
        <f t="shared" si="85"/>
        <v>0.2280109043113217</v>
      </c>
      <c r="CI114" s="3">
        <v>-3.9126667157678076E-2</v>
      </c>
      <c r="CJ114" s="3">
        <f t="shared" si="86"/>
        <v>0.24985479073081324</v>
      </c>
      <c r="CK114" s="3">
        <v>4.6901604085381715E-2</v>
      </c>
      <c r="CL114" s="3">
        <f t="shared" si="79"/>
        <v>0.23893284752106747</v>
      </c>
      <c r="CM114" s="3">
        <v>4.5987898444781183E-3</v>
      </c>
      <c r="CN114" s="3">
        <f t="shared" si="80"/>
        <v>-1.7993531957300545E-4</v>
      </c>
      <c r="CO114" s="3">
        <f t="shared" si="81"/>
        <v>2.1569062055758686E-4</v>
      </c>
      <c r="CP114" s="3">
        <f t="shared" si="82"/>
        <v>2.1843886419491532E-2</v>
      </c>
    </row>
    <row r="115" spans="74:94" x14ac:dyDescent="0.2">
      <c r="BV115" s="3">
        <v>9</v>
      </c>
      <c r="BW115" s="3">
        <f t="shared" si="83"/>
        <v>0.2280109043113217</v>
      </c>
      <c r="BX115" s="3">
        <v>-1.3559086212232918E-2</v>
      </c>
      <c r="BY115" s="3">
        <f t="shared" si="84"/>
        <v>0.23893284752106747</v>
      </c>
      <c r="BZ115" s="3">
        <v>2.1209072909884996E-2</v>
      </c>
      <c r="CA115" s="3">
        <f t="shared" si="75"/>
        <v>0.23347187591619459</v>
      </c>
      <c r="CB115" s="3">
        <v>3.9653247262110662E-3</v>
      </c>
      <c r="CC115" s="3">
        <f t="shared" si="76"/>
        <v>-5.3766179822194739E-5</v>
      </c>
      <c r="CD115" s="3">
        <f t="shared" si="77"/>
        <v>8.4100861229580271E-5</v>
      </c>
      <c r="CE115" s="3">
        <f t="shared" si="78"/>
        <v>1.0921943209745766E-2</v>
      </c>
      <c r="CG115" s="3">
        <v>9</v>
      </c>
      <c r="CH115" s="3">
        <f t="shared" si="85"/>
        <v>0.2280109043113217</v>
      </c>
      <c r="CI115" s="3">
        <v>-3.9126667157678076E-2</v>
      </c>
      <c r="CJ115" s="3">
        <f t="shared" si="86"/>
        <v>0.23893284752106747</v>
      </c>
      <c r="CK115" s="3">
        <v>4.5987898444781183E-3</v>
      </c>
      <c r="CL115" s="3">
        <f t="shared" si="79"/>
        <v>0.23347187591619459</v>
      </c>
      <c r="CM115" s="3">
        <v>-1.708216799972298E-2</v>
      </c>
      <c r="CN115" s="3">
        <f t="shared" si="80"/>
        <v>6.6836830165670051E-4</v>
      </c>
      <c r="CO115" s="3">
        <f t="shared" si="81"/>
        <v>-7.8557300718795135E-5</v>
      </c>
      <c r="CP115" s="3">
        <f t="shared" si="82"/>
        <v>1.0921943209745766E-2</v>
      </c>
    </row>
    <row r="116" spans="74:94" x14ac:dyDescent="0.2">
      <c r="BV116" s="3">
        <v>10</v>
      </c>
      <c r="BW116" s="3">
        <f t="shared" si="83"/>
        <v>0.2280109043113217</v>
      </c>
      <c r="BX116" s="3">
        <v>-1.3559086212232918E-2</v>
      </c>
      <c r="BY116" s="3">
        <f t="shared" si="84"/>
        <v>0.23347187591619459</v>
      </c>
      <c r="BZ116" s="3">
        <v>3.9653247262110662E-3</v>
      </c>
      <c r="CA116" s="3">
        <f t="shared" si="75"/>
        <v>0.23074139011375816</v>
      </c>
      <c r="CB116" s="3">
        <v>-4.7610739783856063E-3</v>
      </c>
      <c r="CC116" s="3">
        <f t="shared" si="76"/>
        <v>6.4555812535749195E-5</v>
      </c>
      <c r="CD116" s="3">
        <f t="shared" si="77"/>
        <v>-1.8879204369812536E-5</v>
      </c>
      <c r="CE116" s="3">
        <f t="shared" si="78"/>
        <v>5.4609716048728829E-3</v>
      </c>
      <c r="CG116" s="3">
        <v>10</v>
      </c>
      <c r="CH116" s="3">
        <f t="shared" si="85"/>
        <v>0.23347187591619459</v>
      </c>
      <c r="CI116" s="3">
        <v>-1.708216799972298E-2</v>
      </c>
      <c r="CJ116" s="3">
        <f t="shared" si="86"/>
        <v>0.23893284752106747</v>
      </c>
      <c r="CK116" s="3">
        <v>4.5987898444781183E-3</v>
      </c>
      <c r="CL116" s="3">
        <f t="shared" si="79"/>
        <v>0.23620236171863102</v>
      </c>
      <c r="CM116" s="3">
        <v>-6.1967906334391663E-3</v>
      </c>
      <c r="CN116" s="3">
        <f t="shared" si="80"/>
        <v>1.0585461865951762E-4</v>
      </c>
      <c r="CO116" s="3">
        <f t="shared" si="81"/>
        <v>-2.8497737833417165E-5</v>
      </c>
      <c r="CP116" s="3">
        <f t="shared" si="82"/>
        <v>5.4609716048728829E-3</v>
      </c>
    </row>
    <row r="117" spans="74:94" x14ac:dyDescent="0.2">
      <c r="BV117" s="3">
        <v>11</v>
      </c>
      <c r="BW117" s="3">
        <f t="shared" si="83"/>
        <v>0.23074139011375816</v>
      </c>
      <c r="BX117" s="3">
        <v>-4.7610739783856063E-3</v>
      </c>
      <c r="BY117" s="3">
        <f t="shared" si="84"/>
        <v>0.23347187591619459</v>
      </c>
      <c r="BZ117" s="3">
        <v>3.9653247262110662E-3</v>
      </c>
      <c r="CA117" s="3">
        <f t="shared" si="75"/>
        <v>0.23210663301497636</v>
      </c>
      <c r="CB117" s="3">
        <v>-3.8901731440089959E-4</v>
      </c>
      <c r="CC117" s="3">
        <f t="shared" si="76"/>
        <v>1.8521402127355753E-6</v>
      </c>
      <c r="CD117" s="3">
        <f t="shared" si="77"/>
        <v>-1.5425799757181115E-6</v>
      </c>
      <c r="CE117" s="3">
        <f t="shared" si="78"/>
        <v>2.7304858024364276E-3</v>
      </c>
      <c r="CG117" s="3">
        <v>11</v>
      </c>
      <c r="CH117" s="3">
        <f t="shared" si="85"/>
        <v>0.23620236171863102</v>
      </c>
      <c r="CI117" s="3">
        <v>-6.1967906334391663E-3</v>
      </c>
      <c r="CJ117" s="3">
        <f t="shared" si="86"/>
        <v>0.23893284752106747</v>
      </c>
      <c r="CK117" s="3">
        <v>4.5987898444781183E-3</v>
      </c>
      <c r="CL117" s="3">
        <f t="shared" si="79"/>
        <v>0.23756760461984924</v>
      </c>
      <c r="CM117" s="3">
        <v>-7.8783907787901078E-4</v>
      </c>
      <c r="CN117" s="3">
        <f t="shared" si="80"/>
        <v>4.8820738184580042E-6</v>
      </c>
      <c r="CO117" s="3">
        <f t="shared" si="81"/>
        <v>-3.6231063504330003E-6</v>
      </c>
      <c r="CP117" s="3">
        <f t="shared" si="82"/>
        <v>2.7304858024364553E-3</v>
      </c>
    </row>
    <row r="118" spans="74:94" x14ac:dyDescent="0.2">
      <c r="BV118" s="3">
        <v>12</v>
      </c>
      <c r="BW118" s="3">
        <f t="shared" si="83"/>
        <v>0.23210663301497636</v>
      </c>
      <c r="BX118" s="3">
        <v>-3.8901731440089959E-4</v>
      </c>
      <c r="BY118" s="3">
        <f t="shared" si="84"/>
        <v>0.23347187591619459</v>
      </c>
      <c r="BZ118" s="3">
        <v>3.9653247262110662E-3</v>
      </c>
      <c r="CA118" s="3">
        <f t="shared" si="75"/>
        <v>0.23278925446558546</v>
      </c>
      <c r="CB118" s="3">
        <v>1.7903565856222901E-3</v>
      </c>
      <c r="CC118" s="3">
        <f t="shared" si="76"/>
        <v>-6.9647971075874756E-7</v>
      </c>
      <c r="CD118" s="3">
        <f t="shared" si="77"/>
        <v>7.099345237702887E-6</v>
      </c>
      <c r="CE118" s="3">
        <f t="shared" si="78"/>
        <v>1.3652429012182277E-3</v>
      </c>
      <c r="CG118" s="3">
        <v>12</v>
      </c>
      <c r="CH118" s="3">
        <f t="shared" si="85"/>
        <v>0.23756760461984924</v>
      </c>
      <c r="CI118" s="3">
        <v>-7.8783907787901078E-4</v>
      </c>
      <c r="CJ118" s="3">
        <f t="shared" si="86"/>
        <v>0.23893284752106747</v>
      </c>
      <c r="CK118" s="3">
        <v>4.5987898444781183E-3</v>
      </c>
      <c r="CL118" s="3">
        <f t="shared" si="79"/>
        <v>0.23825022607045837</v>
      </c>
      <c r="CM118" s="3">
        <v>1.9082580850017308E-3</v>
      </c>
      <c r="CN118" s="3">
        <f t="shared" si="80"/>
        <v>-1.5034002900429307E-6</v>
      </c>
      <c r="CO118" s="3">
        <f t="shared" si="81"/>
        <v>8.7756779019492223E-6</v>
      </c>
      <c r="CP118" s="3">
        <f t="shared" si="82"/>
        <v>1.3652429012182277E-3</v>
      </c>
    </row>
    <row r="119" spans="74:94" x14ac:dyDescent="0.2">
      <c r="BV119" s="3">
        <v>13</v>
      </c>
      <c r="BW119" s="3">
        <f t="shared" si="83"/>
        <v>0.23210663301497636</v>
      </c>
      <c r="BX119" s="3">
        <v>-3.8901731440089959E-4</v>
      </c>
      <c r="BY119" s="3">
        <f t="shared" si="84"/>
        <v>0.23278925446558546</v>
      </c>
      <c r="BZ119" s="3">
        <v>1.7903565856222901E-3</v>
      </c>
      <c r="CA119" s="3">
        <f t="shared" si="75"/>
        <v>0.23244794374028091</v>
      </c>
      <c r="CB119" s="3">
        <v>7.0122177126985541E-4</v>
      </c>
      <c r="CC119" s="3">
        <f t="shared" si="76"/>
        <v>-2.7278741025884106E-7</v>
      </c>
      <c r="CD119" s="3">
        <f t="shared" si="77"/>
        <v>1.2554370161747129E-6</v>
      </c>
      <c r="CE119" s="3">
        <f t="shared" si="78"/>
        <v>6.8262145060909996E-4</v>
      </c>
      <c r="CG119" s="3">
        <v>13</v>
      </c>
      <c r="CH119" s="3">
        <f t="shared" si="85"/>
        <v>0.23756760461984924</v>
      </c>
      <c r="CI119" s="3">
        <v>-7.8783907787901078E-4</v>
      </c>
      <c r="CJ119" s="3">
        <f t="shared" si="86"/>
        <v>0.23825022607045837</v>
      </c>
      <c r="CK119" s="3">
        <v>1.9082580850017308E-3</v>
      </c>
      <c r="CL119" s="3">
        <f t="shared" si="79"/>
        <v>0.23790891534515379</v>
      </c>
      <c r="CM119" s="3">
        <v>5.6090611993683467E-4</v>
      </c>
      <c r="CN119" s="3">
        <f t="shared" si="80"/>
        <v>-4.4190376030772965E-7</v>
      </c>
      <c r="CO119" s="3">
        <f t="shared" si="81"/>
        <v>1.0703536382964153E-6</v>
      </c>
      <c r="CP119" s="3">
        <f t="shared" si="82"/>
        <v>6.8262145060912771E-4</v>
      </c>
    </row>
    <row r="120" spans="74:94" x14ac:dyDescent="0.2">
      <c r="BV120" s="3">
        <v>14</v>
      </c>
      <c r="BW120" s="3">
        <f t="shared" si="83"/>
        <v>0.23210663301497636</v>
      </c>
      <c r="BX120" s="3">
        <v>-3.8901731440089959E-4</v>
      </c>
      <c r="BY120" s="3">
        <f t="shared" si="84"/>
        <v>0.23244794374028091</v>
      </c>
      <c r="BZ120" s="3">
        <v>7.0122177126985541E-4</v>
      </c>
      <c r="CA120" s="3">
        <f t="shared" si="75"/>
        <v>0.23227728837762862</v>
      </c>
      <c r="CB120" s="3">
        <v>1.5624044064499118E-4</v>
      </c>
      <c r="CC120" s="3">
        <f t="shared" si="76"/>
        <v>-6.078023662052763E-8</v>
      </c>
      <c r="CD120" s="3">
        <f t="shared" si="77"/>
        <v>1.0955919853306343E-7</v>
      </c>
      <c r="CE120" s="3">
        <f t="shared" si="78"/>
        <v>3.4131072530454998E-4</v>
      </c>
      <c r="CG120" s="3">
        <v>14</v>
      </c>
      <c r="CH120" s="3">
        <f t="shared" si="85"/>
        <v>0.23756760461984924</v>
      </c>
      <c r="CI120" s="3">
        <v>-7.8783907787901078E-4</v>
      </c>
      <c r="CJ120" s="3">
        <f t="shared" si="86"/>
        <v>0.23790891534515379</v>
      </c>
      <c r="CK120" s="3">
        <v>5.6090611993683467E-4</v>
      </c>
      <c r="CL120" s="3">
        <f t="shared" si="79"/>
        <v>0.23773825998250153</v>
      </c>
      <c r="CM120" s="3">
        <v>-1.1329220617257996E-4</v>
      </c>
      <c r="CN120" s="3">
        <f t="shared" si="80"/>
        <v>8.9256027241884162E-8</v>
      </c>
      <c r="CO120" s="3">
        <f t="shared" si="81"/>
        <v>-6.3546291783345733E-8</v>
      </c>
      <c r="CP120" s="3">
        <f t="shared" si="82"/>
        <v>3.4131072530454998E-4</v>
      </c>
    </row>
    <row r="121" spans="74:94" x14ac:dyDescent="0.2">
      <c r="BV121" s="3">
        <v>15</v>
      </c>
      <c r="BW121" s="3">
        <f t="shared" si="83"/>
        <v>0.23210663301497636</v>
      </c>
      <c r="BX121" s="3">
        <v>-3.8901731440089959E-4</v>
      </c>
      <c r="BY121" s="3">
        <f t="shared" si="84"/>
        <v>0.23227728837762862</v>
      </c>
      <c r="BZ121" s="3">
        <v>1.5624044064499118E-4</v>
      </c>
      <c r="CA121" s="3">
        <f t="shared" si="75"/>
        <v>0.23219196069630249</v>
      </c>
      <c r="CB121" s="3">
        <v>-1.1635386145467108E-4</v>
      </c>
      <c r="CC121" s="3">
        <f t="shared" si="76"/>
        <v>4.5263666703270492E-8</v>
      </c>
      <c r="CD121" s="3">
        <f t="shared" si="77"/>
        <v>-1.8179178584424064E-8</v>
      </c>
      <c r="CE121" s="3">
        <f t="shared" si="78"/>
        <v>1.7065536265226111E-4</v>
      </c>
      <c r="CG121" s="3">
        <v>15</v>
      </c>
      <c r="CH121" s="3">
        <f t="shared" si="85"/>
        <v>0.23773825998250153</v>
      </c>
      <c r="CI121" s="3">
        <v>-1.1329220617257996E-4</v>
      </c>
      <c r="CJ121" s="3">
        <f t="shared" si="86"/>
        <v>0.23790891534515379</v>
      </c>
      <c r="CK121" s="3">
        <v>5.6090611993683467E-4</v>
      </c>
      <c r="CL121" s="3">
        <f t="shared" si="79"/>
        <v>0.23782358766382766</v>
      </c>
      <c r="CM121" s="3">
        <v>2.2385051019501237E-4</v>
      </c>
      <c r="CN121" s="3">
        <f t="shared" si="80"/>
        <v>-2.5360518152850553E-8</v>
      </c>
      <c r="CO121" s="3">
        <f t="shared" si="81"/>
        <v>1.2555912111936524E-7</v>
      </c>
      <c r="CP121" s="3">
        <f t="shared" si="82"/>
        <v>1.7065536265226111E-4</v>
      </c>
    </row>
    <row r="122" spans="74:94" x14ac:dyDescent="0.2">
      <c r="BV122" s="3">
        <v>16</v>
      </c>
      <c r="BW122" s="3">
        <f t="shared" si="83"/>
        <v>0.23219196069630249</v>
      </c>
      <c r="BX122" s="3">
        <v>-1.1635386145467108E-4</v>
      </c>
      <c r="BY122" s="3">
        <f t="shared" si="84"/>
        <v>0.23227728837762862</v>
      </c>
      <c r="BZ122" s="3">
        <v>1.5624044064499118E-4</v>
      </c>
      <c r="CA122" s="3">
        <f t="shared" si="75"/>
        <v>0.23223462453696556</v>
      </c>
      <c r="CB122" s="3">
        <v>1.9951930650945887E-5</v>
      </c>
      <c r="CC122" s="3">
        <f t="shared" si="76"/>
        <v>-2.3214841747133631E-9</v>
      </c>
      <c r="CD122" s="3">
        <f t="shared" si="77"/>
        <v>3.117298436622091E-9</v>
      </c>
      <c r="CE122" s="3">
        <f t="shared" si="78"/>
        <v>8.5327681326130556E-5</v>
      </c>
      <c r="CG122" s="3">
        <v>16</v>
      </c>
      <c r="CH122" s="3">
        <f t="shared" si="85"/>
        <v>0.23773825998250153</v>
      </c>
      <c r="CI122" s="3">
        <v>-1.1329220617257996E-4</v>
      </c>
      <c r="CJ122" s="3">
        <f t="shared" si="86"/>
        <v>0.23782358766382766</v>
      </c>
      <c r="CK122" s="3">
        <v>2.2385051019501237E-4</v>
      </c>
      <c r="CL122" s="3">
        <f t="shared" si="79"/>
        <v>0.2377809238231646</v>
      </c>
      <c r="CM122" s="3">
        <v>5.529004219720357E-5</v>
      </c>
      <c r="CN122" s="3">
        <f t="shared" si="80"/>
        <v>-6.2639308598962327E-9</v>
      </c>
      <c r="CO122" s="3">
        <f t="shared" si="81"/>
        <v>1.2376704154547783E-8</v>
      </c>
      <c r="CP122" s="3">
        <f t="shared" si="82"/>
        <v>8.5327681326130556E-5</v>
      </c>
    </row>
    <row r="123" spans="74:94" x14ac:dyDescent="0.2">
      <c r="BV123" s="3">
        <v>17</v>
      </c>
      <c r="BW123" s="3">
        <f t="shared" si="83"/>
        <v>0.23219196069630249</v>
      </c>
      <c r="BX123" s="3">
        <v>-1.1635386145467108E-4</v>
      </c>
      <c r="BY123" s="3">
        <f t="shared" si="84"/>
        <v>0.23223462453696556</v>
      </c>
      <c r="BZ123" s="3">
        <v>1.9951930650945887E-5</v>
      </c>
      <c r="CA123" s="3">
        <f t="shared" si="75"/>
        <v>0.23221329261663404</v>
      </c>
      <c r="CB123" s="3">
        <v>-4.8198804788152083E-5</v>
      </c>
      <c r="CC123" s="3">
        <f t="shared" si="76"/>
        <v>5.6081170546013846E-9</v>
      </c>
      <c r="CD123" s="3">
        <f t="shared" si="77"/>
        <v>-9.6165921059168887E-10</v>
      </c>
      <c r="CE123" s="3">
        <f t="shared" si="78"/>
        <v>4.2663840663065278E-5</v>
      </c>
      <c r="CG123" s="3">
        <v>17</v>
      </c>
      <c r="CH123" s="3">
        <f t="shared" si="85"/>
        <v>0.23773825998250153</v>
      </c>
      <c r="CI123" s="3">
        <v>-1.1329220617257996E-4</v>
      </c>
      <c r="CJ123" s="3">
        <f t="shared" si="86"/>
        <v>0.2377809238231646</v>
      </c>
      <c r="CK123" s="3">
        <v>5.529004219720357E-5</v>
      </c>
      <c r="CL123" s="3">
        <f t="shared" si="79"/>
        <v>0.23775959190283308</v>
      </c>
      <c r="CM123" s="3">
        <v>-2.8998359208675523E-5</v>
      </c>
      <c r="CN123" s="3">
        <f t="shared" si="80"/>
        <v>3.2852880901357998E-9</v>
      </c>
      <c r="CO123" s="3">
        <f t="shared" si="81"/>
        <v>-1.6033205042973364E-9</v>
      </c>
      <c r="CP123" s="3">
        <f t="shared" si="82"/>
        <v>4.2663840663065278E-5</v>
      </c>
    </row>
    <row r="124" spans="74:94" x14ac:dyDescent="0.2">
      <c r="BV124" s="3">
        <v>18</v>
      </c>
      <c r="BW124" s="3">
        <f t="shared" si="83"/>
        <v>0.23221329261663404</v>
      </c>
      <c r="BX124" s="3">
        <v>-4.8198804788152083E-5</v>
      </c>
      <c r="BY124" s="3">
        <f t="shared" si="84"/>
        <v>0.23223462453696556</v>
      </c>
      <c r="BZ124" s="3">
        <v>1.9951930650945887E-5</v>
      </c>
      <c r="CA124" s="3">
        <f t="shared" si="75"/>
        <v>0.23222395857679978</v>
      </c>
      <c r="CB124" s="3">
        <v>-1.4122896958967263E-5</v>
      </c>
      <c r="CC124" s="3">
        <f t="shared" si="76"/>
        <v>6.8070675356844984E-10</v>
      </c>
      <c r="CD124" s="3">
        <f t="shared" si="77"/>
        <v>-2.817790607157694E-10</v>
      </c>
      <c r="CE124" s="3">
        <f t="shared" si="78"/>
        <v>2.1331920331518761E-5</v>
      </c>
      <c r="CG124" s="3">
        <v>18</v>
      </c>
      <c r="CH124" s="3">
        <f t="shared" si="85"/>
        <v>0.23775959190283308</v>
      </c>
      <c r="CI124" s="3">
        <v>-2.8998359208675523E-5</v>
      </c>
      <c r="CJ124" s="3">
        <f t="shared" si="86"/>
        <v>0.2377809238231646</v>
      </c>
      <c r="CK124" s="3">
        <v>5.529004219720357E-5</v>
      </c>
      <c r="CL124" s="3">
        <f t="shared" si="79"/>
        <v>0.23777025786299882</v>
      </c>
      <c r="CM124" s="3">
        <v>1.3146522159879909E-5</v>
      </c>
      <c r="CN124" s="3">
        <f t="shared" si="80"/>
        <v>-3.8122757193701036E-10</v>
      </c>
      <c r="CO124" s="3">
        <f t="shared" si="81"/>
        <v>7.26871764966232E-10</v>
      </c>
      <c r="CP124" s="3">
        <f t="shared" si="82"/>
        <v>2.1331920331518761E-5</v>
      </c>
    </row>
    <row r="125" spans="74:94" x14ac:dyDescent="0.2">
      <c r="BV125" s="3">
        <v>19</v>
      </c>
      <c r="BW125" s="3">
        <f t="shared" si="83"/>
        <v>0.23222395857679978</v>
      </c>
      <c r="BX125" s="3">
        <v>-1.4122896958967263E-5</v>
      </c>
      <c r="BY125" s="3">
        <f t="shared" si="84"/>
        <v>0.23223462453696556</v>
      </c>
      <c r="BZ125" s="3">
        <v>1.9951930650945887E-5</v>
      </c>
      <c r="CA125" s="3">
        <f t="shared" si="75"/>
        <v>0.23222929155688266</v>
      </c>
      <c r="CB125" s="3">
        <v>2.914651867927387E-6</v>
      </c>
      <c r="CC125" s="3">
        <f t="shared" si="76"/>
        <v>-4.1163328001999947E-11</v>
      </c>
      <c r="CD125" s="3">
        <f t="shared" si="77"/>
        <v>5.8152931940537114E-11</v>
      </c>
      <c r="CE125" s="3">
        <f t="shared" si="78"/>
        <v>1.0665960165773258E-5</v>
      </c>
      <c r="CG125" s="3">
        <v>19</v>
      </c>
      <c r="CH125" s="3">
        <f t="shared" si="85"/>
        <v>0.23775959190283308</v>
      </c>
      <c r="CI125" s="3">
        <v>-2.8998359208675523E-5</v>
      </c>
      <c r="CJ125" s="3">
        <f t="shared" si="86"/>
        <v>0.23777025786299882</v>
      </c>
      <c r="CK125" s="3">
        <v>1.3146522159879909E-5</v>
      </c>
      <c r="CL125" s="3">
        <f t="shared" si="79"/>
        <v>0.23776492488291595</v>
      </c>
      <c r="CM125" s="3">
        <v>-7.9257483543357377E-6</v>
      </c>
      <c r="CN125" s="3">
        <f t="shared" si="80"/>
        <v>2.2983369777659661E-10</v>
      </c>
      <c r="CO125" s="3">
        <f t="shared" si="81"/>
        <v>-1.0419602637390649E-10</v>
      </c>
      <c r="CP125" s="3">
        <f t="shared" si="82"/>
        <v>1.0665960165745503E-5</v>
      </c>
    </row>
    <row r="126" spans="74:94" x14ac:dyDescent="0.2">
      <c r="BV126" s="3">
        <v>20</v>
      </c>
      <c r="BW126" s="3">
        <f t="shared" si="83"/>
        <v>0.23222395857679978</v>
      </c>
      <c r="BX126" s="3">
        <v>-1.4122896958967263E-5</v>
      </c>
      <c r="BY126" s="3">
        <f t="shared" si="84"/>
        <v>0.23222929155688266</v>
      </c>
      <c r="BZ126" s="3">
        <v>2.914651867927387E-6</v>
      </c>
      <c r="CA126" s="3">
        <f t="shared" si="75"/>
        <v>0.23222662506684122</v>
      </c>
      <c r="CB126" s="3">
        <v>-5.6040887894369396E-6</v>
      </c>
      <c r="CC126" s="3">
        <f t="shared" si="76"/>
        <v>7.9145968522121487E-11</v>
      </c>
      <c r="CD126" s="3">
        <f t="shared" si="77"/>
        <v>-1.6333967858163305E-11</v>
      </c>
      <c r="CE126" s="3">
        <f t="shared" si="78"/>
        <v>5.3329800828727514E-6</v>
      </c>
      <c r="CG126" s="3">
        <v>20</v>
      </c>
      <c r="CH126" s="3">
        <f t="shared" si="85"/>
        <v>0.23776492488291595</v>
      </c>
      <c r="CI126" s="3">
        <v>-7.9257483543357377E-6</v>
      </c>
      <c r="CJ126" s="3">
        <f t="shared" si="86"/>
        <v>0.23777025786299882</v>
      </c>
      <c r="CK126" s="3">
        <v>1.3146522159879909E-5</v>
      </c>
      <c r="CL126" s="3">
        <f t="shared" si="79"/>
        <v>0.23776759137295739</v>
      </c>
      <c r="CM126" s="3">
        <v>2.6104294448096865E-6</v>
      </c>
      <c r="CN126" s="3">
        <f t="shared" si="80"/>
        <v>-2.0689606876309926E-11</v>
      </c>
      <c r="CO126" s="3">
        <f t="shared" si="81"/>
        <v>3.431806854299355E-11</v>
      </c>
      <c r="CP126" s="3">
        <f t="shared" si="82"/>
        <v>5.3329800828727514E-6</v>
      </c>
    </row>
    <row r="127" spans="74:94" x14ac:dyDescent="0.2">
      <c r="BV127" s="3">
        <v>21</v>
      </c>
      <c r="BW127" s="3">
        <f t="shared" si="83"/>
        <v>0.23222662506684122</v>
      </c>
      <c r="BX127" s="3">
        <v>-5.6040887894369396E-6</v>
      </c>
      <c r="BY127" s="3">
        <f t="shared" si="84"/>
        <v>0.23222929155688266</v>
      </c>
      <c r="BZ127" s="3">
        <v>2.914651867927387E-6</v>
      </c>
      <c r="CA127" s="3">
        <f t="shared" si="75"/>
        <v>0.23222795831186194</v>
      </c>
      <c r="CB127" s="3">
        <v>-1.344710021812523E-6</v>
      </c>
      <c r="CC127" s="3">
        <f t="shared" si="76"/>
        <v>7.5358743582830623E-12</v>
      </c>
      <c r="CD127" s="3">
        <f t="shared" si="77"/>
        <v>-3.9193615768965475E-12</v>
      </c>
      <c r="CE127" s="3">
        <f t="shared" si="78"/>
        <v>2.6664900414363757E-6</v>
      </c>
      <c r="CG127" s="3">
        <v>21</v>
      </c>
      <c r="CH127" s="3">
        <f t="shared" si="85"/>
        <v>0.23776492488291595</v>
      </c>
      <c r="CI127" s="3">
        <v>-7.9257483543357377E-6</v>
      </c>
      <c r="CJ127" s="3">
        <f t="shared" si="86"/>
        <v>0.23776759137295739</v>
      </c>
      <c r="CK127" s="3">
        <v>2.6104294448096865E-6</v>
      </c>
      <c r="CL127" s="3">
        <f t="shared" si="79"/>
        <v>0.23776625812793667</v>
      </c>
      <c r="CM127" s="3">
        <v>-2.6576488191404346E-6</v>
      </c>
      <c r="CN127" s="3">
        <f t="shared" si="80"/>
        <v>2.1063855754704616E-11</v>
      </c>
      <c r="CO127" s="3">
        <f t="shared" si="81"/>
        <v>-6.9376047314478835E-12</v>
      </c>
      <c r="CP127" s="3">
        <f t="shared" si="82"/>
        <v>2.6664900414363757E-6</v>
      </c>
    </row>
    <row r="128" spans="74:94" x14ac:dyDescent="0.2">
      <c r="BV128" s="3">
        <v>22</v>
      </c>
      <c r="BW128" s="3">
        <f t="shared" si="83"/>
        <v>0.23222795831186194</v>
      </c>
      <c r="BX128" s="3">
        <v>-1.344710021812523E-6</v>
      </c>
      <c r="BY128" s="3">
        <f t="shared" si="84"/>
        <v>0.23222929155688266</v>
      </c>
      <c r="BZ128" s="3">
        <v>2.914651867927387E-6</v>
      </c>
      <c r="CA128" s="3">
        <f t="shared" si="75"/>
        <v>0.2322286249343723</v>
      </c>
      <c r="CB128" s="3">
        <v>7.8497303279689845E-7</v>
      </c>
      <c r="CC128" s="3">
        <f t="shared" si="76"/>
        <v>-1.0555611040545597E-12</v>
      </c>
      <c r="CD128" s="3">
        <f t="shared" si="77"/>
        <v>2.287923116314106E-12</v>
      </c>
      <c r="CE128" s="3">
        <f t="shared" si="78"/>
        <v>1.3332450207181878E-6</v>
      </c>
      <c r="CG128" s="3">
        <v>22</v>
      </c>
      <c r="CH128" s="3">
        <f t="shared" si="85"/>
        <v>0.23776625812793667</v>
      </c>
      <c r="CI128" s="3">
        <v>-2.6576488191404346E-6</v>
      </c>
      <c r="CJ128" s="3">
        <f t="shared" si="86"/>
        <v>0.23776759137295739</v>
      </c>
      <c r="CK128" s="3">
        <v>2.6104294448096865E-6</v>
      </c>
      <c r="CL128" s="3">
        <f t="shared" si="79"/>
        <v>0.23776692475044703</v>
      </c>
      <c r="CM128" s="3">
        <v>-2.3607028366845473E-8</v>
      </c>
      <c r="CN128" s="3">
        <f t="shared" si="80"/>
        <v>6.2739191062561611E-14</v>
      </c>
      <c r="CO128" s="3">
        <f t="shared" si="81"/>
        <v>-6.1624481953270954E-14</v>
      </c>
      <c r="CP128" s="3">
        <f t="shared" si="82"/>
        <v>1.3332450207181878E-6</v>
      </c>
    </row>
    <row r="129" spans="74:94" x14ac:dyDescent="0.2">
      <c r="BV129" s="3">
        <v>23</v>
      </c>
      <c r="BW129" s="3">
        <f t="shared" si="83"/>
        <v>0.23222795831186194</v>
      </c>
      <c r="BX129" s="3">
        <v>-1.344710021812523E-6</v>
      </c>
      <c r="BY129" s="3">
        <f t="shared" si="84"/>
        <v>0.2322286249343723</v>
      </c>
      <c r="BZ129" s="3">
        <v>7.8497303279689845E-7</v>
      </c>
      <c r="CA129" s="3">
        <f t="shared" si="75"/>
        <v>0.23222829162311712</v>
      </c>
      <c r="CB129" s="3">
        <v>-2.7986796705473105E-7</v>
      </c>
      <c r="CC129" s="3">
        <f t="shared" si="76"/>
        <v>3.7634126008279383E-13</v>
      </c>
      <c r="CD129" s="3">
        <f t="shared" si="77"/>
        <v>-2.196888068816547E-13</v>
      </c>
      <c r="CE129" s="3">
        <f t="shared" si="78"/>
        <v>6.6662251035909392E-7</v>
      </c>
      <c r="CG129" s="3">
        <v>23</v>
      </c>
      <c r="CH129" s="3">
        <f t="shared" si="85"/>
        <v>0.23776692475044703</v>
      </c>
      <c r="CI129" s="3">
        <v>-2.3607028366845473E-8</v>
      </c>
      <c r="CJ129" s="3">
        <f t="shared" si="86"/>
        <v>0.23776759137295739</v>
      </c>
      <c r="CK129" s="3">
        <v>2.6104294448096865E-6</v>
      </c>
      <c r="CL129" s="3">
        <f t="shared" si="79"/>
        <v>0.23776725806170221</v>
      </c>
      <c r="CM129" s="3">
        <v>1.2934118730038857E-6</v>
      </c>
      <c r="CN129" s="3">
        <f t="shared" si="80"/>
        <v>-3.0533610776017464E-14</v>
      </c>
      <c r="CO129" s="3">
        <f t="shared" si="81"/>
        <v>3.3763604375557901E-12</v>
      </c>
      <c r="CP129" s="3">
        <f t="shared" si="82"/>
        <v>6.6662251035909392E-7</v>
      </c>
    </row>
    <row r="130" spans="74:94" x14ac:dyDescent="0.2">
      <c r="BV130" s="3">
        <v>24</v>
      </c>
      <c r="BW130" s="3">
        <f t="shared" si="83"/>
        <v>0.23222829162311712</v>
      </c>
      <c r="BX130" s="3">
        <v>-2.7986796705473105E-7</v>
      </c>
      <c r="BY130" s="3">
        <f t="shared" si="84"/>
        <v>0.2322286249343723</v>
      </c>
      <c r="BZ130" s="3">
        <v>7.8497303279689845E-7</v>
      </c>
      <c r="CA130" s="3">
        <f t="shared" si="75"/>
        <v>0.23222845827874472</v>
      </c>
      <c r="CB130" s="3">
        <v>2.5255266466323034E-7</v>
      </c>
      <c r="CC130" s="3">
        <f t="shared" si="76"/>
        <v>-7.0681400833553494E-14</v>
      </c>
      <c r="CD130" s="3">
        <f t="shared" si="77"/>
        <v>1.9824703112163399E-13</v>
      </c>
      <c r="CE130" s="3">
        <f t="shared" si="78"/>
        <v>3.3331125517954696E-7</v>
      </c>
      <c r="CG130" s="3">
        <v>24</v>
      </c>
      <c r="CH130" s="3">
        <f t="shared" si="85"/>
        <v>0.23776692475044703</v>
      </c>
      <c r="CI130" s="3">
        <v>-2.3607028366845473E-8</v>
      </c>
      <c r="CJ130" s="3">
        <f t="shared" si="86"/>
        <v>0.23776725806170221</v>
      </c>
      <c r="CK130" s="3">
        <v>1.2934118730038857E-6</v>
      </c>
      <c r="CL130" s="3">
        <f t="shared" si="79"/>
        <v>0.2377670914060746</v>
      </c>
      <c r="CM130" s="3">
        <v>6.3490258849982495E-7</v>
      </c>
      <c r="CN130" s="3">
        <f t="shared" si="80"/>
        <v>-1.4988163416898985E-14</v>
      </c>
      <c r="CO130" s="3">
        <f t="shared" si="81"/>
        <v>8.211905461665739E-13</v>
      </c>
      <c r="CP130" s="3">
        <f t="shared" si="82"/>
        <v>3.3331125517954696E-7</v>
      </c>
    </row>
    <row r="131" spans="74:94" x14ac:dyDescent="0.2">
      <c r="BV131" s="3">
        <v>25</v>
      </c>
      <c r="BW131" s="3">
        <f t="shared" si="83"/>
        <v>0.23222829162311712</v>
      </c>
      <c r="BX131" s="3">
        <v>-2.7986796705473105E-7</v>
      </c>
      <c r="BY131" s="3">
        <f t="shared" si="84"/>
        <v>0.23222845827874472</v>
      </c>
      <c r="BZ131" s="3">
        <v>2.5255266466323034E-7</v>
      </c>
      <c r="CA131" s="3">
        <f t="shared" si="75"/>
        <v>0.2322283749509309</v>
      </c>
      <c r="CB131" s="3">
        <v>-1.3657618230800139E-8</v>
      </c>
      <c r="CC131" s="3">
        <f t="shared" si="76"/>
        <v>3.8223298490636678E-15</v>
      </c>
      <c r="CD131" s="3">
        <f t="shared" si="77"/>
        <v>-3.4492678771416889E-15</v>
      </c>
      <c r="CE131" s="3">
        <f t="shared" si="78"/>
        <v>1.6665562760365127E-7</v>
      </c>
      <c r="CG131" s="3">
        <v>25</v>
      </c>
      <c r="CH131" s="3">
        <f t="shared" si="85"/>
        <v>0.23776692475044703</v>
      </c>
      <c r="CI131" s="3">
        <v>-2.3607028366845473E-8</v>
      </c>
      <c r="CJ131" s="3">
        <f t="shared" si="86"/>
        <v>0.2377670914060746</v>
      </c>
      <c r="CK131" s="3">
        <v>6.3490258849982495E-7</v>
      </c>
      <c r="CL131" s="3">
        <f t="shared" si="79"/>
        <v>0.23776700807826082</v>
      </c>
      <c r="CM131" s="3">
        <v>3.0564782162179061E-7</v>
      </c>
      <c r="CN131" s="3">
        <f t="shared" si="80"/>
        <v>-7.2154367952901353E-15</v>
      </c>
      <c r="CO131" s="3">
        <f t="shared" si="81"/>
        <v>1.9405659311700762E-13</v>
      </c>
      <c r="CP131" s="3">
        <f t="shared" si="82"/>
        <v>1.6665562757589569E-7</v>
      </c>
    </row>
    <row r="132" spans="74:94" x14ac:dyDescent="0.2">
      <c r="BV132" s="3">
        <v>26</v>
      </c>
      <c r="BW132" s="3">
        <f t="shared" si="83"/>
        <v>0.2322283749509309</v>
      </c>
      <c r="BX132" s="3">
        <v>-1.3657618230800139E-8</v>
      </c>
      <c r="BY132" s="3">
        <f t="shared" si="84"/>
        <v>0.23222845827874472</v>
      </c>
      <c r="BZ132" s="3">
        <v>2.5255266466323034E-7</v>
      </c>
      <c r="CA132" s="3">
        <f t="shared" si="75"/>
        <v>0.23222841661483781</v>
      </c>
      <c r="CB132" s="3">
        <v>1.1944753147349885E-7</v>
      </c>
      <c r="CC132" s="3">
        <f t="shared" si="76"/>
        <v>-1.6313687834765313E-15</v>
      </c>
      <c r="CD132" s="3">
        <f t="shared" si="77"/>
        <v>3.0166792361077208E-14</v>
      </c>
      <c r="CE132" s="3">
        <f t="shared" si="78"/>
        <v>8.3327813815703422E-8</v>
      </c>
      <c r="CG132" s="3">
        <v>26</v>
      </c>
      <c r="CH132" s="3">
        <f t="shared" si="85"/>
        <v>0.23776692475044703</v>
      </c>
      <c r="CI132" s="3">
        <v>-2.3607028366845473E-8</v>
      </c>
      <c r="CJ132" s="3">
        <f t="shared" si="86"/>
        <v>0.23776700807826082</v>
      </c>
      <c r="CK132" s="3">
        <v>3.0564782162179061E-7</v>
      </c>
      <c r="CL132" s="3">
        <f t="shared" si="79"/>
        <v>0.23776696641435391</v>
      </c>
      <c r="CM132" s="3">
        <v>1.4102040695601614E-7</v>
      </c>
      <c r="CN132" s="3">
        <f t="shared" si="80"/>
        <v>-3.3290727473147658E-15</v>
      </c>
      <c r="CO132" s="3">
        <f t="shared" si="81"/>
        <v>4.3102580190324744E-14</v>
      </c>
      <c r="CP132" s="3">
        <f t="shared" si="82"/>
        <v>8.3327813787947846E-8</v>
      </c>
    </row>
    <row r="133" spans="74:94" x14ac:dyDescent="0.2">
      <c r="BV133" s="3">
        <v>27</v>
      </c>
      <c r="BW133" s="3">
        <f t="shared" si="83"/>
        <v>0.2322283749509309</v>
      </c>
      <c r="BX133" s="3">
        <v>-1.3657618230800139E-8</v>
      </c>
      <c r="BY133" s="3">
        <f t="shared" si="84"/>
        <v>0.23222841661483781</v>
      </c>
      <c r="BZ133" s="3">
        <v>1.1944753147349885E-7</v>
      </c>
      <c r="CA133" s="3">
        <f t="shared" si="75"/>
        <v>0.23222839578288434</v>
      </c>
      <c r="CB133" s="3">
        <v>5.2894958597199393E-8</v>
      </c>
      <c r="CC133" s="3">
        <f t="shared" si="76"/>
        <v>-7.2241915085452901E-16</v>
      </c>
      <c r="CD133" s="3">
        <f t="shared" si="77"/>
        <v>6.3181722318283929E-15</v>
      </c>
      <c r="CE133" s="3">
        <f t="shared" si="78"/>
        <v>4.1663906907851711E-8</v>
      </c>
      <c r="CG133" s="3">
        <v>27</v>
      </c>
      <c r="CH133" s="3">
        <f t="shared" si="85"/>
        <v>0.23776692475044703</v>
      </c>
      <c r="CI133" s="3">
        <v>-2.3607028366845473E-8</v>
      </c>
      <c r="CJ133" s="3">
        <f t="shared" si="86"/>
        <v>0.23776696641435391</v>
      </c>
      <c r="CK133" s="3">
        <v>1.4102040695601614E-7</v>
      </c>
      <c r="CL133" s="3">
        <f t="shared" si="79"/>
        <v>0.23776694558240047</v>
      </c>
      <c r="CM133" s="3">
        <v>5.87066919521817E-8</v>
      </c>
      <c r="CN133" s="3">
        <f t="shared" si="80"/>
        <v>-1.3858905422388121E-15</v>
      </c>
      <c r="CO133" s="3">
        <f t="shared" si="81"/>
        <v>8.2788415901381413E-15</v>
      </c>
      <c r="CP133" s="3">
        <f t="shared" si="82"/>
        <v>4.1663906880096135E-8</v>
      </c>
    </row>
    <row r="134" spans="74:94" x14ac:dyDescent="0.2">
      <c r="BV134" s="3">
        <v>28</v>
      </c>
      <c r="BW134" s="3">
        <f t="shared" si="83"/>
        <v>0.2322283749509309</v>
      </c>
      <c r="BX134" s="3">
        <v>-1.3657618230800139E-8</v>
      </c>
      <c r="BY134" s="3">
        <f t="shared" si="84"/>
        <v>0.23222839578288434</v>
      </c>
      <c r="BZ134" s="3">
        <v>5.2894958597199393E-8</v>
      </c>
      <c r="CA134" s="3">
        <f t="shared" si="75"/>
        <v>0.23222838536690762</v>
      </c>
      <c r="CB134" s="3">
        <v>1.961867070882084E-8</v>
      </c>
      <c r="CC134" s="3">
        <f t="shared" si="76"/>
        <v>-2.679443147368562E-16</v>
      </c>
      <c r="CD134" s="3">
        <f t="shared" si="77"/>
        <v>1.0377287748751667E-15</v>
      </c>
      <c r="CE134" s="3">
        <f t="shared" si="78"/>
        <v>2.0831953440048068E-8</v>
      </c>
      <c r="CG134" s="3">
        <v>28</v>
      </c>
      <c r="CH134" s="3">
        <f t="shared" si="85"/>
        <v>0.23776692475044703</v>
      </c>
      <c r="CI134" s="3">
        <v>-2.3607028366845473E-8</v>
      </c>
      <c r="CJ134" s="3">
        <f t="shared" si="86"/>
        <v>0.23776694558240047</v>
      </c>
      <c r="CK134" s="3">
        <v>5.87066919521817E-8</v>
      </c>
      <c r="CL134" s="3">
        <f t="shared" si="79"/>
        <v>0.23776693516642375</v>
      </c>
      <c r="CM134" s="3">
        <v>1.7549832542068655E-8</v>
      </c>
      <c r="CN134" s="3">
        <f t="shared" si="80"/>
        <v>-4.1429939465400256E-16</v>
      </c>
      <c r="CO134" s="3">
        <f t="shared" si="81"/>
        <v>1.0302926128595984E-15</v>
      </c>
      <c r="CP134" s="3">
        <f t="shared" si="82"/>
        <v>2.0831953440048068E-8</v>
      </c>
    </row>
    <row r="135" spans="74:94" x14ac:dyDescent="0.2">
      <c r="BV135" s="3">
        <v>29</v>
      </c>
      <c r="BW135" s="3">
        <f t="shared" si="83"/>
        <v>0.2322283749509309</v>
      </c>
      <c r="BX135" s="3">
        <v>-1.3657618230800139E-8</v>
      </c>
      <c r="BY135" s="3">
        <f t="shared" si="84"/>
        <v>0.23222838536690762</v>
      </c>
      <c r="BZ135" s="3">
        <v>1.961867070882084E-8</v>
      </c>
      <c r="CA135" s="3">
        <f t="shared" si="75"/>
        <v>0.23222838015891928</v>
      </c>
      <c r="CB135" s="3">
        <v>2.9805264055438041E-9</v>
      </c>
      <c r="CC135" s="3">
        <f t="shared" si="76"/>
        <v>-4.0706891773736266E-17</v>
      </c>
      <c r="CD135" s="3">
        <f t="shared" si="77"/>
        <v>5.8473966089309297E-17</v>
      </c>
      <c r="CE135" s="3">
        <f t="shared" si="78"/>
        <v>1.0415976720024034E-8</v>
      </c>
      <c r="CG135" s="3">
        <v>29</v>
      </c>
      <c r="CH135" s="3">
        <f t="shared" si="85"/>
        <v>0.23776692475044703</v>
      </c>
      <c r="CI135" s="3">
        <v>-2.3607028366845473E-8</v>
      </c>
      <c r="CJ135" s="3">
        <f t="shared" si="86"/>
        <v>0.23776693516642375</v>
      </c>
      <c r="CK135" s="3">
        <v>1.7549832542068655E-8</v>
      </c>
      <c r="CL135" s="3">
        <f t="shared" si="79"/>
        <v>0.2377669299584354</v>
      </c>
      <c r="CM135" s="3">
        <v>-3.0285977441202316E-9</v>
      </c>
      <c r="CN135" s="3">
        <f t="shared" si="80"/>
        <v>7.1496192857210514E-17</v>
      </c>
      <c r="CO135" s="3">
        <f t="shared" si="81"/>
        <v>-5.3151383246596957E-17</v>
      </c>
      <c r="CP135" s="3">
        <f t="shared" si="82"/>
        <v>1.0415976720024034E-8</v>
      </c>
    </row>
    <row r="136" spans="74:94" x14ac:dyDescent="0.2">
      <c r="BV136" s="3">
        <v>30</v>
      </c>
      <c r="BW136" s="3">
        <f t="shared" si="83"/>
        <v>0.2322283749509309</v>
      </c>
      <c r="BX136" s="3">
        <v>-1.3657618230800139E-8</v>
      </c>
      <c r="BY136" s="3">
        <f t="shared" si="84"/>
        <v>0.23222838015891928</v>
      </c>
      <c r="BZ136" s="3">
        <v>2.9805264055438041E-9</v>
      </c>
      <c r="CA136" s="6">
        <f t="shared" si="75"/>
        <v>0.23222837755492509</v>
      </c>
      <c r="CB136" s="3">
        <v>-5.3385459247712319E-9</v>
      </c>
      <c r="CC136" s="3">
        <f t="shared" si="76"/>
        <v>7.2911822148119364E-17</v>
      </c>
      <c r="CD136" s="3">
        <f t="shared" si="77"/>
        <v>-1.5911677095988923E-17</v>
      </c>
      <c r="CE136" s="3">
        <f t="shared" si="78"/>
        <v>5.2079883738898047E-9</v>
      </c>
      <c r="CG136" s="3">
        <v>30</v>
      </c>
      <c r="CH136" s="3">
        <f t="shared" si="85"/>
        <v>0.2377669299584354</v>
      </c>
      <c r="CI136" s="3">
        <v>-3.0285977441202316E-9</v>
      </c>
      <c r="CJ136" s="3">
        <f t="shared" si="86"/>
        <v>0.23776693516642375</v>
      </c>
      <c r="CK136" s="3">
        <v>1.7549832542068655E-8</v>
      </c>
      <c r="CL136" s="6">
        <f t="shared" si="79"/>
        <v>0.23776693256242959</v>
      </c>
      <c r="CM136" s="3">
        <v>7.2606175308131959E-9</v>
      </c>
      <c r="CN136" s="3">
        <f t="shared" si="80"/>
        <v>-2.1989489874740651E-17</v>
      </c>
      <c r="CO136" s="3">
        <f t="shared" si="81"/>
        <v>1.2742262181777958E-16</v>
      </c>
      <c r="CP136" s="3">
        <f t="shared" si="82"/>
        <v>5.2079883461342291E-9</v>
      </c>
    </row>
  </sheetData>
  <mergeCells count="79">
    <mergeCell ref="B1:D1"/>
    <mergeCell ref="B3:D3"/>
    <mergeCell ref="F3:H3"/>
    <mergeCell ref="J3:L3"/>
    <mergeCell ref="N3:P3"/>
    <mergeCell ref="V3:X3"/>
    <mergeCell ref="J10:L10"/>
    <mergeCell ref="F15:H15"/>
    <mergeCell ref="B16:D16"/>
    <mergeCell ref="N18:P18"/>
    <mergeCell ref="R18:T18"/>
    <mergeCell ref="V18:X18"/>
    <mergeCell ref="R3:T3"/>
    <mergeCell ref="F28:H28"/>
    <mergeCell ref="B27:D27"/>
    <mergeCell ref="F35:H35"/>
    <mergeCell ref="B34:D34"/>
    <mergeCell ref="B39:D39"/>
    <mergeCell ref="AX7:AZ7"/>
    <mergeCell ref="B72:D72"/>
    <mergeCell ref="AX2:AZ2"/>
    <mergeCell ref="BB2:BD2"/>
    <mergeCell ref="BF2:BL2"/>
    <mergeCell ref="BB9:BD9"/>
    <mergeCell ref="AX11:AX18"/>
    <mergeCell ref="BF12:BH12"/>
    <mergeCell ref="BJ12:BL12"/>
    <mergeCell ref="J43:L43"/>
    <mergeCell ref="B45:D45"/>
    <mergeCell ref="F48:H48"/>
    <mergeCell ref="B48:D48"/>
    <mergeCell ref="B53:D53"/>
    <mergeCell ref="B59:D59"/>
    <mergeCell ref="B20:D20"/>
    <mergeCell ref="CG2:CP2"/>
    <mergeCell ref="BF3:BH3"/>
    <mergeCell ref="BJ3:BL3"/>
    <mergeCell ref="BN3:BP3"/>
    <mergeCell ref="BR3:BT3"/>
    <mergeCell ref="BN2:BT2"/>
    <mergeCell ref="BV2:CE2"/>
    <mergeCell ref="BB14:BD14"/>
    <mergeCell ref="AX19:AX26"/>
    <mergeCell ref="BF21:BH21"/>
    <mergeCell ref="BJ21:BL21"/>
    <mergeCell ref="BB22:BD22"/>
    <mergeCell ref="BR22:BT22"/>
    <mergeCell ref="BB23:BB29"/>
    <mergeCell ref="BC23:BD23"/>
    <mergeCell ref="BC24:BD24"/>
    <mergeCell ref="BC25:BD25"/>
    <mergeCell ref="BC26:BD26"/>
    <mergeCell ref="BN22:BP22"/>
    <mergeCell ref="BJ30:BL30"/>
    <mergeCell ref="AX35:AX42"/>
    <mergeCell ref="BV36:CE36"/>
    <mergeCell ref="CG36:CP36"/>
    <mergeCell ref="BC41:BD41"/>
    <mergeCell ref="BN41:BP41"/>
    <mergeCell ref="BR41:BT41"/>
    <mergeCell ref="BC42:BE42"/>
    <mergeCell ref="BF42:BI42"/>
    <mergeCell ref="BJ42:BL42"/>
    <mergeCell ref="AX27:AX34"/>
    <mergeCell ref="BC27:BD27"/>
    <mergeCell ref="BC28:BD28"/>
    <mergeCell ref="BC29:BD29"/>
    <mergeCell ref="BC30:BD30"/>
    <mergeCell ref="BF30:BH30"/>
    <mergeCell ref="BV104:CE104"/>
    <mergeCell ref="CG104:CP104"/>
    <mergeCell ref="B64:D64"/>
    <mergeCell ref="AM47:AP47"/>
    <mergeCell ref="BF43:BG43"/>
    <mergeCell ref="AX44:AZ44"/>
    <mergeCell ref="BN60:BP60"/>
    <mergeCell ref="BR60:BT60"/>
    <mergeCell ref="BV70:CE70"/>
    <mergeCell ref="CG70:CP70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3">
    <cfRule type="containsText" dxfId="5" priority="7" operator="containsText" text="FALSE">
      <formula>NOT(ISERROR(SEARCH("FALSE",K33)))</formula>
    </cfRule>
    <cfRule type="containsText" dxfId="4" priority="8" operator="containsText" text="TRUE">
      <formula>NOT(ISERROR(SEARCH("TRUE",K33)))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NOT(ISERROR(SEARCH("YES",K33)))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2025-01-09T14:02:47Z</dcterms:modified>
</cp:coreProperties>
</file>