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37231E84-FE78-7A41-A837-09362BA76784}" xr6:coauthVersionLast="47" xr6:coauthVersionMax="47" xr10:uidLastSave="{00000000-0000-0000-0000-000000000000}"/>
  <bookViews>
    <workbookView xWindow="0" yWindow="760" windowWidth="30240" windowHeight="17180" activeTab="2" xr2:uid="{843CD013-835A-1741-B375-CD508AE79BD2}"/>
  </bookViews>
  <sheets>
    <sheet name="multirotor" sheetId="3" r:id="rId1"/>
    <sheet name="lift+cruise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1" i="4" l="1"/>
  <c r="S21" i="4"/>
  <c r="R21" i="4"/>
  <c r="Q21" i="4"/>
  <c r="P21" i="4"/>
  <c r="O21" i="4"/>
  <c r="N21" i="4"/>
  <c r="M21" i="4"/>
  <c r="L21" i="4"/>
  <c r="E36" i="4"/>
  <c r="D36" i="4"/>
  <c r="E35" i="4"/>
  <c r="D35" i="4"/>
  <c r="C9" i="4"/>
  <c r="G25" i="4"/>
  <c r="G15" i="4"/>
  <c r="F9" i="4"/>
  <c r="F15" i="4" s="1"/>
  <c r="F25" i="4" s="1"/>
  <c r="E9" i="4"/>
  <c r="E15" i="4" s="1"/>
  <c r="E25" i="4" s="1"/>
  <c r="C15" i="4"/>
  <c r="C25" i="4" s="1"/>
  <c r="E8" i="4"/>
  <c r="E14" i="4" s="1"/>
  <c r="E10" i="4"/>
  <c r="G8" i="4"/>
  <c r="G14" i="4" s="1"/>
  <c r="F8" i="4"/>
  <c r="F14" i="4" s="1"/>
  <c r="C8" i="4"/>
  <c r="C14" i="4" s="1"/>
  <c r="D8" i="4"/>
  <c r="D14" i="4" s="1"/>
  <c r="C10" i="4"/>
  <c r="G11" i="4"/>
  <c r="G9" i="4" s="1"/>
  <c r="G10" i="4"/>
  <c r="F11" i="4"/>
  <c r="F10" i="4"/>
  <c r="E11" i="4"/>
  <c r="D11" i="4"/>
  <c r="D16" i="4" s="1"/>
  <c r="D10" i="4"/>
  <c r="C11" i="4"/>
  <c r="D6" i="4"/>
  <c r="G6" i="4"/>
  <c r="F6" i="4"/>
  <c r="E6" i="4"/>
  <c r="C6" i="4"/>
  <c r="C7" i="4"/>
  <c r="E7" i="4"/>
  <c r="F7" i="4"/>
  <c r="G7" i="4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5" i="3"/>
  <c r="AJ5" i="3"/>
  <c r="AF5" i="3"/>
  <c r="G13" i="3"/>
  <c r="K4" i="3"/>
  <c r="Y4" i="3"/>
  <c r="U4" i="3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F5" i="1"/>
  <c r="AJ5" i="1"/>
  <c r="AI5" i="1"/>
  <c r="AH5" i="1"/>
  <c r="C16" i="4" l="1"/>
  <c r="E16" i="4"/>
  <c r="D9" i="4"/>
  <c r="D15" i="4" s="1"/>
  <c r="D25" i="4" s="1"/>
  <c r="F16" i="4"/>
  <c r="G16" i="4"/>
  <c r="AD6" i="3"/>
  <c r="AB6" i="3"/>
  <c r="AB6" i="1"/>
  <c r="AD6" i="1"/>
  <c r="AJ6" i="3" l="1"/>
  <c r="AF6" i="3"/>
  <c r="AD7" i="3" s="1"/>
  <c r="AJ6" i="1"/>
  <c r="AF6" i="1"/>
  <c r="AD7" i="1" s="1"/>
  <c r="AB7" i="3" l="1"/>
  <c r="AB7" i="1"/>
  <c r="AF7" i="1" s="1"/>
  <c r="AF7" i="3" l="1"/>
  <c r="AJ7" i="3"/>
  <c r="AD8" i="1"/>
  <c r="AB8" i="1"/>
  <c r="AJ7" i="1"/>
  <c r="AD8" i="3" l="1"/>
  <c r="AB8" i="3"/>
  <c r="AF8" i="1"/>
  <c r="AJ8" i="1"/>
  <c r="AJ8" i="3" l="1"/>
  <c r="AF8" i="3"/>
  <c r="AD9" i="1"/>
  <c r="AB9" i="1"/>
  <c r="AB9" i="3" l="1"/>
  <c r="AD9" i="3"/>
  <c r="AF9" i="1"/>
  <c r="AJ9" i="1"/>
  <c r="AJ9" i="3" l="1"/>
  <c r="AF9" i="3"/>
  <c r="AB10" i="1"/>
  <c r="AD10" i="1"/>
  <c r="AB10" i="3" l="1"/>
  <c r="AD10" i="3"/>
  <c r="AJ10" i="1"/>
  <c r="AF10" i="1"/>
  <c r="AJ10" i="3" l="1"/>
  <c r="AF10" i="3"/>
  <c r="AB11" i="1"/>
  <c r="AD11" i="1"/>
  <c r="AD11" i="3" l="1"/>
  <c r="AB11" i="3"/>
  <c r="AJ11" i="1"/>
  <c r="AF11" i="1"/>
  <c r="AJ11" i="3" l="1"/>
  <c r="AF11" i="3"/>
  <c r="AB12" i="1"/>
  <c r="AD12" i="1"/>
  <c r="AB12" i="3" l="1"/>
  <c r="AD12" i="3"/>
  <c r="AJ12" i="1"/>
  <c r="AF12" i="1"/>
  <c r="AF12" i="3" l="1"/>
  <c r="AB13" i="3" s="1"/>
  <c r="AJ12" i="3"/>
  <c r="AB13" i="1"/>
  <c r="AD13" i="1"/>
  <c r="AD13" i="3" l="1"/>
  <c r="AF13" i="3" s="1"/>
  <c r="AB14" i="3" s="1"/>
  <c r="AF13" i="1"/>
  <c r="AJ13" i="1"/>
  <c r="AJ13" i="3" l="1"/>
  <c r="AD14" i="3"/>
  <c r="AJ14" i="3" s="1"/>
  <c r="AB14" i="1"/>
  <c r="AD14" i="1"/>
  <c r="AF14" i="3" l="1"/>
  <c r="AD15" i="3" s="1"/>
  <c r="AJ14" i="1"/>
  <c r="AF14" i="1"/>
  <c r="AB15" i="3" l="1"/>
  <c r="AJ15" i="3" s="1"/>
  <c r="AD15" i="1"/>
  <c r="AB15" i="1"/>
  <c r="AF15" i="3" l="1"/>
  <c r="AD16" i="3" s="1"/>
  <c r="AF15" i="1"/>
  <c r="AJ15" i="1"/>
  <c r="AB16" i="3" l="1"/>
  <c r="AF16" i="3" s="1"/>
  <c r="AD17" i="3" s="1"/>
  <c r="AD16" i="1"/>
  <c r="AB16" i="1"/>
  <c r="AJ16" i="3" l="1"/>
  <c r="AB17" i="3"/>
  <c r="AJ17" i="3" s="1"/>
  <c r="AF16" i="1"/>
  <c r="AB17" i="1" s="1"/>
  <c r="AJ16" i="1"/>
  <c r="AF17" i="3" l="1"/>
  <c r="AB18" i="3" s="1"/>
  <c r="AD17" i="1"/>
  <c r="AF17" i="1" s="1"/>
  <c r="AD18" i="1" s="1"/>
  <c r="AD18" i="3" l="1"/>
  <c r="AJ18" i="3" s="1"/>
  <c r="AJ17" i="1"/>
  <c r="AB18" i="1"/>
  <c r="AJ18" i="1" s="1"/>
  <c r="AF18" i="3" l="1"/>
  <c r="AB19" i="3" s="1"/>
  <c r="AF18" i="1"/>
  <c r="AD19" i="1" s="1"/>
  <c r="AD19" i="3" l="1"/>
  <c r="AF19" i="3" s="1"/>
  <c r="AB19" i="1"/>
  <c r="AF19" i="1" s="1"/>
  <c r="AB20" i="3" l="1"/>
  <c r="AD20" i="3"/>
  <c r="AJ19" i="3"/>
  <c r="AJ19" i="1"/>
  <c r="AB20" i="1"/>
  <c r="AD20" i="1"/>
  <c r="AJ20" i="3" l="1"/>
  <c r="AF20" i="3"/>
  <c r="AB21" i="3" s="1"/>
  <c r="AF20" i="1"/>
  <c r="AD21" i="1" s="1"/>
  <c r="AJ20" i="1"/>
  <c r="AD21" i="3" l="1"/>
  <c r="AJ21" i="3" s="1"/>
  <c r="AB21" i="1"/>
  <c r="AF21" i="1" s="1"/>
  <c r="AB22" i="1" s="1"/>
  <c r="AF21" i="3" l="1"/>
  <c r="AD22" i="3" s="1"/>
  <c r="AD22" i="1"/>
  <c r="AF22" i="1" s="1"/>
  <c r="AD23" i="1" s="1"/>
  <c r="AJ21" i="1"/>
  <c r="AB22" i="3" l="1"/>
  <c r="AJ22" i="3" s="1"/>
  <c r="AB23" i="1"/>
  <c r="AF23" i="1" s="1"/>
  <c r="AD24" i="1" s="1"/>
  <c r="AJ22" i="1"/>
  <c r="AF22" i="3" l="1"/>
  <c r="AD23" i="3" s="1"/>
  <c r="AJ23" i="1"/>
  <c r="AB24" i="1"/>
  <c r="AJ24" i="1" s="1"/>
  <c r="AB23" i="3" l="1"/>
  <c r="AJ23" i="3" s="1"/>
  <c r="AF24" i="1"/>
  <c r="AD25" i="1" s="1"/>
  <c r="AF23" i="3" l="1"/>
  <c r="AD24" i="3" s="1"/>
  <c r="AB25" i="1"/>
  <c r="AF25" i="1" s="1"/>
  <c r="AB26" i="1" s="1"/>
  <c r="AB24" i="3" l="1"/>
  <c r="AF24" i="3" s="1"/>
  <c r="AD25" i="3" s="1"/>
  <c r="AD26" i="1"/>
  <c r="AF26" i="1" s="1"/>
  <c r="AB27" i="1" s="1"/>
  <c r="AJ25" i="1"/>
  <c r="AJ24" i="3" l="1"/>
  <c r="AB25" i="3"/>
  <c r="AJ25" i="3" s="1"/>
  <c r="AD27" i="1"/>
  <c r="AF27" i="1" s="1"/>
  <c r="AD28" i="1" s="1"/>
  <c r="AJ26" i="1"/>
  <c r="AF25" i="3" l="1"/>
  <c r="AB26" i="3" s="1"/>
  <c r="AJ27" i="1"/>
  <c r="AB28" i="1"/>
  <c r="AJ28" i="1" s="1"/>
  <c r="AD26" i="3" l="1"/>
  <c r="AJ26" i="3" s="1"/>
  <c r="AF28" i="1"/>
  <c r="AB29" i="1" s="1"/>
  <c r="AF26" i="3" l="1"/>
  <c r="AB27" i="3" s="1"/>
  <c r="AD29" i="1"/>
  <c r="AF29" i="1" s="1"/>
  <c r="AD27" i="3" l="1"/>
  <c r="AF27" i="3" s="1"/>
  <c r="AB28" i="3" s="1"/>
  <c r="AJ29" i="1"/>
  <c r="AB30" i="1"/>
  <c r="AD30" i="1"/>
  <c r="AD28" i="3" l="1"/>
  <c r="AF28" i="3" s="1"/>
  <c r="AB29" i="3" s="1"/>
  <c r="AJ27" i="3"/>
  <c r="AJ30" i="1"/>
  <c r="AF30" i="1"/>
  <c r="AJ28" i="3" l="1"/>
  <c r="AD29" i="3"/>
  <c r="AJ29" i="3" s="1"/>
  <c r="AD31" i="1"/>
  <c r="AB31" i="1"/>
  <c r="AF29" i="3" l="1"/>
  <c r="AB30" i="3" s="1"/>
  <c r="AF31" i="1"/>
  <c r="AD32" i="1" s="1"/>
  <c r="AJ31" i="1"/>
  <c r="AD30" i="3" l="1"/>
  <c r="AF30" i="3" s="1"/>
  <c r="AB32" i="1"/>
  <c r="AF32" i="1" s="1"/>
  <c r="AB33" i="1" s="1"/>
  <c r="AJ30" i="3" l="1"/>
  <c r="AD31" i="3"/>
  <c r="AB31" i="3"/>
  <c r="AD33" i="1"/>
  <c r="AF33" i="1" s="1"/>
  <c r="AB34" i="1" s="1"/>
  <c r="AJ32" i="1"/>
  <c r="AF31" i="3" l="1"/>
  <c r="AD32" i="3" s="1"/>
  <c r="AJ31" i="3"/>
  <c r="AJ33" i="1"/>
  <c r="AD34" i="1"/>
  <c r="AF34" i="1" s="1"/>
  <c r="AB32" i="3" l="1"/>
  <c r="AF32" i="3" s="1"/>
  <c r="AB33" i="3" s="1"/>
  <c r="AJ34" i="1"/>
  <c r="AB35" i="1"/>
  <c r="AD35" i="1"/>
  <c r="AJ32" i="3" l="1"/>
  <c r="AD33" i="3"/>
  <c r="AJ33" i="3" s="1"/>
  <c r="AF35" i="1"/>
  <c r="AJ35" i="1"/>
  <c r="AF33" i="3" l="1"/>
  <c r="AB34" i="3" s="1"/>
  <c r="AB36" i="1"/>
  <c r="AD36" i="1"/>
  <c r="AD34" i="3" l="1"/>
  <c r="AF34" i="3" s="1"/>
  <c r="AF36" i="1"/>
  <c r="AJ36" i="1"/>
  <c r="AJ34" i="3" l="1"/>
  <c r="AB35" i="3"/>
  <c r="AD35" i="3"/>
  <c r="AB37" i="1"/>
  <c r="AD37" i="1"/>
  <c r="G13" i="1"/>
  <c r="Y4" i="1"/>
  <c r="U4" i="1"/>
  <c r="K19" i="1"/>
  <c r="K17" i="1"/>
  <c r="K9" i="1"/>
  <c r="K5" i="1"/>
  <c r="AJ35" i="3" l="1"/>
  <c r="AF35" i="3"/>
  <c r="AD36" i="3" s="1"/>
  <c r="AF37" i="1"/>
  <c r="AJ37" i="1"/>
  <c r="K20" i="1"/>
  <c r="K23" i="1" s="1"/>
  <c r="AB36" i="3" l="1"/>
  <c r="AF36" i="3" s="1"/>
  <c r="AD38" i="1"/>
  <c r="AB38" i="1"/>
  <c r="AD37" i="3" l="1"/>
  <c r="AB37" i="3"/>
  <c r="AJ36" i="3"/>
  <c r="AF38" i="1"/>
  <c r="AB39" i="1" s="1"/>
  <c r="AJ38" i="1"/>
  <c r="AJ37" i="3" l="1"/>
  <c r="AF37" i="3"/>
  <c r="AD39" i="1"/>
  <c r="AF39" i="1" s="1"/>
  <c r="AB38" i="3" l="1"/>
  <c r="AD38" i="3"/>
  <c r="AJ39" i="1"/>
  <c r="AB40" i="1"/>
  <c r="AD40" i="1"/>
  <c r="AF38" i="3" l="1"/>
  <c r="AJ38" i="3"/>
  <c r="AJ40" i="1"/>
  <c r="AF40" i="1"/>
  <c r="AB39" i="3" l="1"/>
  <c r="AD39" i="3"/>
  <c r="AD41" i="1"/>
  <c r="AB41" i="1"/>
  <c r="AJ39" i="3" l="1"/>
  <c r="AF39" i="3"/>
  <c r="AD40" i="3" s="1"/>
  <c r="AF41" i="1"/>
  <c r="AB42" i="1" s="1"/>
  <c r="AJ41" i="1"/>
  <c r="AB40" i="3" l="1"/>
  <c r="AF40" i="3" s="1"/>
  <c r="AB41" i="3" s="1"/>
  <c r="AD42" i="1"/>
  <c r="AJ42" i="1" s="1"/>
  <c r="AD41" i="3" l="1"/>
  <c r="AF41" i="3" s="1"/>
  <c r="AJ40" i="3"/>
  <c r="AF42" i="1"/>
  <c r="AD43" i="1" s="1"/>
  <c r="AJ41" i="3" l="1"/>
  <c r="AB42" i="3"/>
  <c r="AD42" i="3"/>
  <c r="AB43" i="1"/>
  <c r="AJ43" i="1" s="1"/>
  <c r="AJ42" i="3" l="1"/>
  <c r="AF42" i="3"/>
  <c r="AF43" i="1"/>
  <c r="AB44" i="1" s="1"/>
  <c r="AB43" i="3" l="1"/>
  <c r="AD43" i="3"/>
  <c r="AD44" i="1"/>
  <c r="AJ44" i="1" s="1"/>
  <c r="AF43" i="3" l="1"/>
  <c r="AJ43" i="3"/>
  <c r="AF44" i="1"/>
  <c r="AD44" i="3" l="1"/>
  <c r="AB44" i="3"/>
  <c r="C20" i="1"/>
  <c r="K6" i="1" l="1"/>
  <c r="G16" i="1"/>
  <c r="AF44" i="3"/>
  <c r="C15" i="3" s="1"/>
  <c r="AJ44" i="3"/>
  <c r="G5" i="1"/>
  <c r="G29" i="1"/>
  <c r="G27" i="1"/>
  <c r="G28" i="1"/>
  <c r="G23" i="1"/>
  <c r="K4" i="1"/>
  <c r="K10" i="1" s="1"/>
  <c r="G22" i="1"/>
  <c r="G35" i="1"/>
  <c r="G26" i="1"/>
  <c r="G21" i="1"/>
  <c r="G16" i="3" l="1"/>
  <c r="G34" i="3"/>
  <c r="K5" i="3"/>
  <c r="K7" i="3" s="1"/>
  <c r="K8" i="3" s="1"/>
  <c r="K12" i="3" s="1"/>
  <c r="G21" i="3"/>
  <c r="G28" i="3"/>
  <c r="G26" i="3"/>
  <c r="G25" i="3"/>
  <c r="G4" i="3"/>
  <c r="G19" i="3" s="1"/>
  <c r="G22" i="3"/>
  <c r="G5" i="3"/>
  <c r="G27" i="3"/>
  <c r="K7" i="1"/>
  <c r="K8" i="1" s="1"/>
  <c r="G39" i="1"/>
  <c r="G38" i="1"/>
  <c r="G20" i="3" l="1"/>
  <c r="G37" i="3"/>
  <c r="K6" i="3"/>
  <c r="G38" i="3"/>
  <c r="G18" i="3"/>
  <c r="K18" i="3"/>
  <c r="K13" i="3"/>
  <c r="K17" i="3" s="1"/>
  <c r="K11" i="1"/>
  <c r="G36" i="3" l="1"/>
  <c r="K19" i="3"/>
  <c r="K22" i="3" s="1"/>
  <c r="K25" i="3" s="1"/>
  <c r="K27" i="3" s="1"/>
  <c r="K12" i="1"/>
  <c r="K18" i="1" s="1"/>
  <c r="K21" i="1" s="1"/>
  <c r="T4" i="1" s="1"/>
  <c r="K13" i="1"/>
  <c r="K20" i="3" l="1"/>
  <c r="T4" i="3" s="1"/>
  <c r="V4" i="1"/>
  <c r="X4" i="1" s="1"/>
  <c r="S5" i="1" s="1"/>
  <c r="T5" i="1" s="1"/>
  <c r="R4" i="1"/>
  <c r="K26" i="1"/>
  <c r="K28" i="1" s="1"/>
  <c r="V4" i="3" l="1"/>
  <c r="X4" i="3" s="1"/>
  <c r="S5" i="3" s="1"/>
  <c r="R4" i="3"/>
  <c r="W4" i="1"/>
  <c r="Q5" i="1" s="1"/>
  <c r="U5" i="1" s="1"/>
  <c r="V5" i="1" s="1"/>
  <c r="X5" i="1" s="1"/>
  <c r="S6" i="1" s="1"/>
  <c r="T6" i="1" s="1"/>
  <c r="W4" i="3" l="1"/>
  <c r="Q5" i="3" s="1"/>
  <c r="R5" i="3" s="1"/>
  <c r="T5" i="3"/>
  <c r="R5" i="1"/>
  <c r="W5" i="1" s="1"/>
  <c r="Q6" i="1" s="1"/>
  <c r="Y5" i="1"/>
  <c r="Y5" i="3" l="1"/>
  <c r="U5" i="3"/>
  <c r="V5" i="3" s="1"/>
  <c r="W5" i="3" s="1"/>
  <c r="Q6" i="3" s="1"/>
  <c r="R6" i="3" s="1"/>
  <c r="R6" i="1"/>
  <c r="Y6" i="1"/>
  <c r="U6" i="1"/>
  <c r="V6" i="1" s="1"/>
  <c r="X5" i="3" l="1"/>
  <c r="S6" i="3" s="1"/>
  <c r="U6" i="3" s="1"/>
  <c r="V6" i="3" s="1"/>
  <c r="W6" i="3" s="1"/>
  <c r="Q7" i="3" s="1"/>
  <c r="R7" i="3" s="1"/>
  <c r="W6" i="1"/>
  <c r="Q7" i="1" s="1"/>
  <c r="R7" i="1" s="1"/>
  <c r="X6" i="1"/>
  <c r="S7" i="1" s="1"/>
  <c r="T7" i="1" s="1"/>
  <c r="T6" i="3" l="1"/>
  <c r="X6" i="3" s="1"/>
  <c r="S7" i="3" s="1"/>
  <c r="Y6" i="3"/>
  <c r="U7" i="1"/>
  <c r="V7" i="1" s="1"/>
  <c r="W7" i="1" s="1"/>
  <c r="Q8" i="1" s="1"/>
  <c r="R8" i="1" s="1"/>
  <c r="Y7" i="1"/>
  <c r="U7" i="3" l="1"/>
  <c r="V7" i="3" s="1"/>
  <c r="W7" i="3" s="1"/>
  <c r="Q8" i="3" s="1"/>
  <c r="R8" i="3" s="1"/>
  <c r="Y7" i="3"/>
  <c r="T7" i="3"/>
  <c r="X7" i="1"/>
  <c r="S8" i="1" s="1"/>
  <c r="T8" i="1" s="1"/>
  <c r="X7" i="3" l="1"/>
  <c r="S8" i="3" s="1"/>
  <c r="Y8" i="3" s="1"/>
  <c r="Y8" i="1"/>
  <c r="U8" i="1"/>
  <c r="V8" i="1" s="1"/>
  <c r="X8" i="1" s="1"/>
  <c r="S9" i="1" s="1"/>
  <c r="T9" i="1" s="1"/>
  <c r="U8" i="3" l="1"/>
  <c r="V8" i="3" s="1"/>
  <c r="W8" i="3" s="1"/>
  <c r="Q9" i="3" s="1"/>
  <c r="R9" i="3" s="1"/>
  <c r="T8" i="3"/>
  <c r="W8" i="1"/>
  <c r="Q9" i="1" s="1"/>
  <c r="R9" i="1" s="1"/>
  <c r="X8" i="3" l="1"/>
  <c r="S9" i="3" s="1"/>
  <c r="U9" i="3" s="1"/>
  <c r="V9" i="3" s="1"/>
  <c r="W9" i="3" s="1"/>
  <c r="Q10" i="3" s="1"/>
  <c r="R10" i="3" s="1"/>
  <c r="Y9" i="1"/>
  <c r="U9" i="1"/>
  <c r="V9" i="1" s="1"/>
  <c r="W9" i="1" s="1"/>
  <c r="Q10" i="1" s="1"/>
  <c r="R10" i="1" s="1"/>
  <c r="Y9" i="3" l="1"/>
  <c r="T9" i="3"/>
  <c r="X9" i="3" s="1"/>
  <c r="S10" i="3" s="1"/>
  <c r="T10" i="3" s="1"/>
  <c r="X9" i="1"/>
  <c r="S10" i="1" s="1"/>
  <c r="U10" i="1" s="1"/>
  <c r="V10" i="1" s="1"/>
  <c r="W10" i="1" s="1"/>
  <c r="Q11" i="1" s="1"/>
  <c r="R11" i="1" s="1"/>
  <c r="Y10" i="3" l="1"/>
  <c r="U10" i="3"/>
  <c r="V10" i="3" s="1"/>
  <c r="W10" i="3" s="1"/>
  <c r="Q11" i="3" s="1"/>
  <c r="R11" i="3" s="1"/>
  <c r="T10" i="1"/>
  <c r="X10" i="1" s="1"/>
  <c r="S11" i="1" s="1"/>
  <c r="U11" i="1" s="1"/>
  <c r="V11" i="1" s="1"/>
  <c r="W11" i="1" s="1"/>
  <c r="Q12" i="1" s="1"/>
  <c r="Y10" i="1"/>
  <c r="X10" i="3" l="1"/>
  <c r="S11" i="3" s="1"/>
  <c r="T11" i="3" s="1"/>
  <c r="T11" i="1"/>
  <c r="X11" i="1" s="1"/>
  <c r="S12" i="1" s="1"/>
  <c r="T12" i="1" s="1"/>
  <c r="Y11" i="1"/>
  <c r="R12" i="1"/>
  <c r="Y11" i="3" l="1"/>
  <c r="U11" i="3"/>
  <c r="V11" i="3" s="1"/>
  <c r="W11" i="3" s="1"/>
  <c r="Q12" i="3" s="1"/>
  <c r="R12" i="3" s="1"/>
  <c r="U12" i="1"/>
  <c r="V12" i="1" s="1"/>
  <c r="X12" i="1" s="1"/>
  <c r="S13" i="1" s="1"/>
  <c r="Y12" i="1"/>
  <c r="X11" i="3" l="1"/>
  <c r="S12" i="3" s="1"/>
  <c r="T12" i="3" s="1"/>
  <c r="T13" i="1"/>
  <c r="W12" i="1"/>
  <c r="Q13" i="1" s="1"/>
  <c r="Y13" i="1" s="1"/>
  <c r="U12" i="3" l="1"/>
  <c r="V12" i="3" s="1"/>
  <c r="W12" i="3" s="1"/>
  <c r="Q13" i="3" s="1"/>
  <c r="R13" i="3" s="1"/>
  <c r="Y12" i="3"/>
  <c r="R13" i="1"/>
  <c r="U13" i="1"/>
  <c r="V13" i="1" s="1"/>
  <c r="X13" i="1" s="1"/>
  <c r="S14" i="1" s="1"/>
  <c r="X12" i="3" l="1"/>
  <c r="S13" i="3" s="1"/>
  <c r="T13" i="3" s="1"/>
  <c r="T14" i="1"/>
  <c r="W13" i="1"/>
  <c r="Q14" i="1" s="1"/>
  <c r="U13" i="3" l="1"/>
  <c r="V13" i="3" s="1"/>
  <c r="X13" i="3" s="1"/>
  <c r="S14" i="3" s="1"/>
  <c r="T14" i="3" s="1"/>
  <c r="Y13" i="3"/>
  <c r="U14" i="1"/>
  <c r="V14" i="1" s="1"/>
  <c r="X14" i="1" s="1"/>
  <c r="S15" i="1" s="1"/>
  <c r="R14" i="1"/>
  <c r="Y14" i="1"/>
  <c r="W13" i="3" l="1"/>
  <c r="Q14" i="3" s="1"/>
  <c r="Y14" i="3" s="1"/>
  <c r="W14" i="1"/>
  <c r="Q15" i="1" s="1"/>
  <c r="Y15" i="1" s="1"/>
  <c r="T15" i="1"/>
  <c r="U14" i="3" l="1"/>
  <c r="V14" i="3" s="1"/>
  <c r="X14" i="3" s="1"/>
  <c r="S15" i="3" s="1"/>
  <c r="T15" i="3" s="1"/>
  <c r="R14" i="3"/>
  <c r="U15" i="1"/>
  <c r="V15" i="1" s="1"/>
  <c r="X15" i="1" s="1"/>
  <c r="S16" i="1" s="1"/>
  <c r="R15" i="1"/>
  <c r="W14" i="3" l="1"/>
  <c r="Q15" i="3" s="1"/>
  <c r="R15" i="3" s="1"/>
  <c r="T16" i="1"/>
  <c r="W15" i="1"/>
  <c r="Q16" i="1" s="1"/>
  <c r="Y15" i="3" l="1"/>
  <c r="U15" i="3"/>
  <c r="V15" i="3" s="1"/>
  <c r="W15" i="3" s="1"/>
  <c r="Q16" i="3" s="1"/>
  <c r="R16" i="3" s="1"/>
  <c r="R16" i="1"/>
  <c r="U16" i="1"/>
  <c r="V16" i="1" s="1"/>
  <c r="X16" i="1" s="1"/>
  <c r="S17" i="1" s="1"/>
  <c r="Y16" i="1"/>
  <c r="X15" i="3" l="1"/>
  <c r="S16" i="3" s="1"/>
  <c r="Y16" i="3" s="1"/>
  <c r="T17" i="1"/>
  <c r="W16" i="1"/>
  <c r="Q17" i="1" s="1"/>
  <c r="T16" i="3" l="1"/>
  <c r="U16" i="3"/>
  <c r="V16" i="3" s="1"/>
  <c r="W16" i="3" s="1"/>
  <c r="Q17" i="3" s="1"/>
  <c r="R17" i="1"/>
  <c r="U17" i="1"/>
  <c r="V17" i="1" s="1"/>
  <c r="Y17" i="1"/>
  <c r="R17" i="3" l="1"/>
  <c r="X16" i="3"/>
  <c r="S17" i="3" s="1"/>
  <c r="W17" i="1"/>
  <c r="Q18" i="1" s="1"/>
  <c r="R18" i="1" s="1"/>
  <c r="X17" i="1"/>
  <c r="S18" i="1" s="1"/>
  <c r="T17" i="3" l="1"/>
  <c r="Y17" i="3"/>
  <c r="U17" i="3"/>
  <c r="T18" i="1"/>
  <c r="Y18" i="1"/>
  <c r="U18" i="1"/>
  <c r="V18" i="1" s="1"/>
  <c r="W18" i="1" s="1"/>
  <c r="Q19" i="1" s="1"/>
  <c r="V17" i="3" l="1"/>
  <c r="W17" i="3" s="1"/>
  <c r="Q18" i="3" s="1"/>
  <c r="X18" i="1"/>
  <c r="S19" i="1" s="1"/>
  <c r="U19" i="1" s="1"/>
  <c r="V19" i="1" s="1"/>
  <c r="R19" i="1"/>
  <c r="X17" i="3" l="1"/>
  <c r="S18" i="3" s="1"/>
  <c r="U18" i="3" s="1"/>
  <c r="R18" i="3"/>
  <c r="T19" i="1"/>
  <c r="X19" i="1" s="1"/>
  <c r="S20" i="1" s="1"/>
  <c r="T20" i="1" s="1"/>
  <c r="Y19" i="1"/>
  <c r="W19" i="1"/>
  <c r="Q20" i="1" s="1"/>
  <c r="Y18" i="3" l="1"/>
  <c r="T18" i="3"/>
  <c r="V18" i="3"/>
  <c r="R20" i="1"/>
  <c r="U20" i="1"/>
  <c r="V20" i="1" s="1"/>
  <c r="Y20" i="1"/>
  <c r="X18" i="3" l="1"/>
  <c r="S19" i="3" s="1"/>
  <c r="T19" i="3" s="1"/>
  <c r="W18" i="3"/>
  <c r="Q19" i="3" s="1"/>
  <c r="W20" i="1"/>
  <c r="Q21" i="1" s="1"/>
  <c r="R21" i="1" s="1"/>
  <c r="X20" i="1"/>
  <c r="S21" i="1" s="1"/>
  <c r="R19" i="3" l="1"/>
  <c r="U19" i="3"/>
  <c r="Y19" i="3"/>
  <c r="U21" i="1"/>
  <c r="V21" i="1" s="1"/>
  <c r="W21" i="1" s="1"/>
  <c r="Q22" i="1" s="1"/>
  <c r="R22" i="1" s="1"/>
  <c r="T21" i="1"/>
  <c r="Y21" i="1"/>
  <c r="V19" i="3" l="1"/>
  <c r="X19" i="3" s="1"/>
  <c r="S20" i="3" s="1"/>
  <c r="X21" i="1"/>
  <c r="S22" i="1" s="1"/>
  <c r="Y22" i="1" s="1"/>
  <c r="G4" i="1"/>
  <c r="W19" i="3" l="1"/>
  <c r="Q20" i="3" s="1"/>
  <c r="Y20" i="3" s="1"/>
  <c r="T20" i="3"/>
  <c r="U22" i="1"/>
  <c r="V22" i="1" s="1"/>
  <c r="W22" i="1" s="1"/>
  <c r="Q23" i="1" s="1"/>
  <c r="R23" i="1" s="1"/>
  <c r="T22" i="1"/>
  <c r="U20" i="3" l="1"/>
  <c r="V20" i="3" s="1"/>
  <c r="R20" i="3"/>
  <c r="X22" i="1"/>
  <c r="S23" i="1" s="1"/>
  <c r="Y23" i="1" s="1"/>
  <c r="W20" i="3" l="1"/>
  <c r="Q21" i="3" s="1"/>
  <c r="R21" i="3" s="1"/>
  <c r="X20" i="3"/>
  <c r="S21" i="3" s="1"/>
  <c r="T21" i="3" s="1"/>
  <c r="U23" i="1"/>
  <c r="V23" i="1" s="1"/>
  <c r="W23" i="1" s="1"/>
  <c r="Q24" i="1" s="1"/>
  <c r="R24" i="1" s="1"/>
  <c r="T23" i="1"/>
  <c r="U21" i="3" l="1"/>
  <c r="V21" i="3" s="1"/>
  <c r="W21" i="3" s="1"/>
  <c r="Q22" i="3" s="1"/>
  <c r="Y21" i="3"/>
  <c r="X23" i="1"/>
  <c r="S24" i="1" s="1"/>
  <c r="Y24" i="1" s="1"/>
  <c r="R22" i="3" l="1"/>
  <c r="X21" i="3"/>
  <c r="S22" i="3" s="1"/>
  <c r="U22" i="3" s="1"/>
  <c r="V22" i="3" s="1"/>
  <c r="U24" i="1"/>
  <c r="V24" i="1" s="1"/>
  <c r="W24" i="1" s="1"/>
  <c r="Q25" i="1" s="1"/>
  <c r="R25" i="1" s="1"/>
  <c r="T24" i="1"/>
  <c r="T22" i="3" l="1"/>
  <c r="X22" i="3" s="1"/>
  <c r="S23" i="3" s="1"/>
  <c r="Y22" i="3"/>
  <c r="W22" i="3"/>
  <c r="Q23" i="3" s="1"/>
  <c r="X24" i="1"/>
  <c r="S25" i="1" s="1"/>
  <c r="T25" i="1" s="1"/>
  <c r="R23" i="3" l="1"/>
  <c r="U23" i="3"/>
  <c r="T23" i="3"/>
  <c r="Y23" i="3"/>
  <c r="U25" i="1"/>
  <c r="V25" i="1" s="1"/>
  <c r="W25" i="1" s="1"/>
  <c r="Q26" i="1" s="1"/>
  <c r="R26" i="1" s="1"/>
  <c r="Y25" i="1"/>
  <c r="V23" i="3" l="1"/>
  <c r="X23" i="3" s="1"/>
  <c r="S24" i="3" s="1"/>
  <c r="X25" i="1"/>
  <c r="S26" i="1" s="1"/>
  <c r="U26" i="1" s="1"/>
  <c r="V26" i="1" s="1"/>
  <c r="W26" i="1" s="1"/>
  <c r="Q27" i="1" s="1"/>
  <c r="T24" i="3" l="1"/>
  <c r="W23" i="3"/>
  <c r="Q24" i="3" s="1"/>
  <c r="Y24" i="3" s="1"/>
  <c r="T26" i="1"/>
  <c r="X26" i="1" s="1"/>
  <c r="S27" i="1" s="1"/>
  <c r="U27" i="1" s="1"/>
  <c r="V27" i="1" s="1"/>
  <c r="Y26" i="1"/>
  <c r="R27" i="1"/>
  <c r="R24" i="3" l="1"/>
  <c r="U24" i="3"/>
  <c r="W27" i="1"/>
  <c r="Q28" i="1" s="1"/>
  <c r="R28" i="1" s="1"/>
  <c r="T27" i="1"/>
  <c r="X27" i="1" s="1"/>
  <c r="S28" i="1" s="1"/>
  <c r="Y27" i="1"/>
  <c r="V24" i="3" l="1"/>
  <c r="X24" i="3" s="1"/>
  <c r="S25" i="3" s="1"/>
  <c r="T28" i="1"/>
  <c r="Y28" i="1"/>
  <c r="U28" i="1"/>
  <c r="V28" i="1" s="1"/>
  <c r="W28" i="1" s="1"/>
  <c r="Q29" i="1" s="1"/>
  <c r="R29" i="1" s="1"/>
  <c r="T25" i="3" l="1"/>
  <c r="W24" i="3"/>
  <c r="Q25" i="3" s="1"/>
  <c r="X28" i="1"/>
  <c r="S29" i="1" s="1"/>
  <c r="R25" i="3" l="1"/>
  <c r="U25" i="3"/>
  <c r="Y25" i="3"/>
  <c r="Y29" i="1"/>
  <c r="T29" i="1"/>
  <c r="U29" i="1"/>
  <c r="V29" i="1" s="1"/>
  <c r="W29" i="1" s="1"/>
  <c r="Q30" i="1" s="1"/>
  <c r="R30" i="1" s="1"/>
  <c r="V25" i="3" l="1"/>
  <c r="X25" i="3" s="1"/>
  <c r="S26" i="3" s="1"/>
  <c r="X29" i="1"/>
  <c r="S30" i="1" s="1"/>
  <c r="T26" i="3" l="1"/>
  <c r="W25" i="3"/>
  <c r="Q26" i="3" s="1"/>
  <c r="T30" i="1"/>
  <c r="Y30" i="1"/>
  <c r="U30" i="1"/>
  <c r="V30" i="1" s="1"/>
  <c r="R26" i="3" l="1"/>
  <c r="U26" i="3"/>
  <c r="V26" i="3" s="1"/>
  <c r="X26" i="3" s="1"/>
  <c r="S27" i="3" s="1"/>
  <c r="Y26" i="3"/>
  <c r="X30" i="1"/>
  <c r="S31" i="1" s="1"/>
  <c r="W30" i="1"/>
  <c r="Q31" i="1" s="1"/>
  <c r="T27" i="3" l="1"/>
  <c r="W26" i="3"/>
  <c r="Q27" i="3" s="1"/>
  <c r="R31" i="1"/>
  <c r="U31" i="1"/>
  <c r="V31" i="1" s="1"/>
  <c r="T31" i="1"/>
  <c r="Y31" i="1"/>
  <c r="R27" i="3" l="1"/>
  <c r="U27" i="3"/>
  <c r="Y27" i="3"/>
  <c r="X31" i="1"/>
  <c r="S32" i="1" s="1"/>
  <c r="T32" i="1" s="1"/>
  <c r="W31" i="1"/>
  <c r="Q32" i="1" s="1"/>
  <c r="V27" i="3" l="1"/>
  <c r="X27" i="3" s="1"/>
  <c r="S28" i="3" s="1"/>
  <c r="R32" i="1"/>
  <c r="U32" i="1"/>
  <c r="V32" i="1" s="1"/>
  <c r="X32" i="1" s="1"/>
  <c r="S33" i="1" s="1"/>
  <c r="T33" i="1" s="1"/>
  <c r="Y32" i="1"/>
  <c r="T28" i="3" l="1"/>
  <c r="W27" i="3"/>
  <c r="Q28" i="3" s="1"/>
  <c r="Y28" i="3" s="1"/>
  <c r="W32" i="1"/>
  <c r="Q33" i="1" s="1"/>
  <c r="R28" i="3" l="1"/>
  <c r="U28" i="3"/>
  <c r="R33" i="1"/>
  <c r="U33" i="1"/>
  <c r="V33" i="1" s="1"/>
  <c r="X33" i="1" s="1"/>
  <c r="S34" i="1" s="1"/>
  <c r="T34" i="1" s="1"/>
  <c r="Y33" i="1"/>
  <c r="V28" i="3" l="1"/>
  <c r="X28" i="3" s="1"/>
  <c r="S29" i="3" s="1"/>
  <c r="W33" i="1"/>
  <c r="Q34" i="1" s="1"/>
  <c r="T29" i="3" l="1"/>
  <c r="W28" i="3"/>
  <c r="Q29" i="3" s="1"/>
  <c r="Y29" i="3" s="1"/>
  <c r="R34" i="1"/>
  <c r="U34" i="1"/>
  <c r="Y34" i="1"/>
  <c r="R29" i="3" l="1"/>
  <c r="U29" i="3"/>
  <c r="K24" i="1"/>
  <c r="K25" i="1" s="1"/>
  <c r="G8" i="1" s="1"/>
  <c r="V34" i="1"/>
  <c r="G9" i="1" l="1"/>
  <c r="G12" i="1" s="1"/>
  <c r="G17" i="1" s="1"/>
  <c r="G20" i="1"/>
  <c r="V29" i="3"/>
  <c r="X29" i="3" s="1"/>
  <c r="S30" i="3" s="1"/>
  <c r="W34" i="1"/>
  <c r="X34" i="1"/>
  <c r="G19" i="1" l="1"/>
  <c r="G18" i="1"/>
  <c r="T30" i="3"/>
  <c r="W29" i="3"/>
  <c r="Q30" i="3" s="1"/>
  <c r="G36" i="1"/>
  <c r="G37" i="1" l="1"/>
  <c r="G40" i="1" s="1"/>
  <c r="G30" i="1"/>
  <c r="AG4" i="1" s="1"/>
  <c r="R30" i="3"/>
  <c r="U30" i="3"/>
  <c r="Y30" i="3"/>
  <c r="G31" i="1" l="1"/>
  <c r="AC4" i="1"/>
  <c r="AE4" i="1"/>
  <c r="V30" i="3"/>
  <c r="X30" i="3" s="1"/>
  <c r="S31" i="3" s="1"/>
  <c r="T31" i="3" l="1"/>
  <c r="W30" i="3"/>
  <c r="Q31" i="3" s="1"/>
  <c r="R31" i="3" l="1"/>
  <c r="U31" i="3"/>
  <c r="Y31" i="3"/>
  <c r="V31" i="3" l="1"/>
  <c r="X31" i="3" s="1"/>
  <c r="S32" i="3" s="1"/>
  <c r="T32" i="3" l="1"/>
  <c r="W31" i="3"/>
  <c r="Q32" i="3" s="1"/>
  <c r="R32" i="3" l="1"/>
  <c r="U32" i="3"/>
  <c r="Y32" i="3"/>
  <c r="V32" i="3" l="1"/>
  <c r="X32" i="3" s="1"/>
  <c r="S33" i="3" s="1"/>
  <c r="T33" i="3" l="1"/>
  <c r="W32" i="3"/>
  <c r="Q33" i="3" s="1"/>
  <c r="R33" i="3" l="1"/>
  <c r="U33" i="3"/>
  <c r="Y33" i="3"/>
  <c r="V33" i="3" l="1"/>
  <c r="X33" i="3" s="1"/>
  <c r="S34" i="3" s="1"/>
  <c r="T34" i="3" l="1"/>
  <c r="W33" i="3"/>
  <c r="Q34" i="3" s="1"/>
  <c r="R34" i="3" l="1"/>
  <c r="U34" i="3"/>
  <c r="K23" i="3" s="1"/>
  <c r="K24" i="3" s="1"/>
  <c r="G8" i="3" s="1"/>
  <c r="G9" i="3" s="1"/>
  <c r="Y34" i="3"/>
  <c r="V34" i="3" l="1"/>
  <c r="X34" i="3" s="1"/>
  <c r="W34" i="3" l="1"/>
  <c r="G12" i="3" l="1"/>
  <c r="G17" i="3" s="1"/>
  <c r="G35" i="3" l="1"/>
  <c r="G39" i="3" s="1"/>
  <c r="G29" i="3"/>
  <c r="AG4" i="3" l="1"/>
  <c r="AE4" i="3"/>
  <c r="AC4" i="3"/>
  <c r="G30" i="3"/>
</calcChain>
</file>

<file path=xl/sharedStrings.xml><?xml version="1.0" encoding="utf-8"?>
<sst xmlns="http://schemas.openxmlformats.org/spreadsheetml/2006/main" count="354" uniqueCount="156">
  <si>
    <t>!!! Press F9 to recalculate !!!</t>
  </si>
  <si>
    <t>lift+cruise</t>
  </si>
  <si>
    <t>rotor_lift_solidity</t>
  </si>
  <si>
    <t>rotor_cruise_solidity</t>
  </si>
  <si>
    <t>hover_FM</t>
  </si>
  <si>
    <t>Wing parameters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</si>
  <si>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</si>
  <si>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</si>
  <si>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</si>
  <si>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</si>
  <si>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</si>
  <si>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</si>
  <si>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</si>
  <si>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</si>
  <si>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</si>
  <si>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</si>
  <si>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</si>
  <si>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</si>
  <si>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</si>
  <si>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</si>
  <si>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</si>
  <si>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</si>
  <si>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</si>
  <si>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</si>
  <si>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</si>
  <si>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</si>
  <si>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</si>
  <si>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</si>
  <si>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</si>
  <si>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</si>
  <si>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</si>
  <si>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</si>
  <si>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</si>
  <si>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Hover segment modeling</t>
  </si>
  <si>
    <t>power_hover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</si>
  <si>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</si>
  <si>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</si>
  <si>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</si>
  <si>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</si>
  <si>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</si>
  <si>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</si>
  <si>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</si>
  <si>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</si>
  <si>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</si>
  <si>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</si>
  <si>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</si>
  <si>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</si>
  <si>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</si>
  <si>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</si>
  <si>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</si>
  <si>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</si>
  <si>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</si>
  <si>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</si>
  <si>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</si>
  <si>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</si>
  <si>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</si>
  <si>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</si>
  <si>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</si>
  <si>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</si>
  <si>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</si>
  <si>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</si>
  <si>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</si>
  <si>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</si>
  <si>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</si>
  <si>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</si>
  <si>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</si>
  <si>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</si>
  <si>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</si>
  <si>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</si>
  <si>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</si>
  <si>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</si>
  <si>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</si>
  <si>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</si>
  <si>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</si>
  <si>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</si>
  <si>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</si>
  <si>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</si>
  <si>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</si>
  <si>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</si>
  <si>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</si>
  <si>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</si>
  <si>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</si>
  <si>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</si>
  <si>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</si>
  <si>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</si>
  <si>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</si>
  <si>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</si>
  <si>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</si>
  <si>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</si>
  <si>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</si>
  <si>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</si>
  <si>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</si>
  <si>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</si>
  <si>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</si>
  <si>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</si>
  <si>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</si>
  <si>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</si>
  <si>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</si>
  <si>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</si>
  <si>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</si>
  <si>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</si>
  <si>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</si>
  <si>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</si>
  <si>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</si>
  <si>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</si>
  <si>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</si>
  <si>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</si>
  <si>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</si>
  <si>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</si>
  <si>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</si>
  <si>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</si>
  <si>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</si>
  <si>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</si>
  <si>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</si>
  <si>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</si>
  <si>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</si>
  <si>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</si>
  <si>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</si>
  <si>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torque</t>
  </si>
  <si>
    <t>Nm</t>
  </si>
  <si>
    <t>n_rotor</t>
  </si>
  <si>
    <t>kW</t>
  </si>
  <si>
    <t>W_rotor+hubs</t>
  </si>
  <si>
    <t>W_motor</t>
  </si>
  <si>
    <t>W_motor_controller</t>
  </si>
  <si>
    <t>lb</t>
  </si>
  <si>
    <t>technology_factor</t>
  </si>
  <si>
    <t>helicopter</t>
  </si>
  <si>
    <t>tiltrotor</t>
  </si>
  <si>
    <t>tiltwing</t>
  </si>
  <si>
    <t>Gross weight</t>
  </si>
  <si>
    <t>ft2</t>
  </si>
  <si>
    <t>Eqv flat plat area (f)</t>
  </si>
  <si>
    <t>K_eqv</t>
  </si>
  <si>
    <t>Eqv_flat_plat_calc</t>
  </si>
  <si>
    <t>L/D</t>
  </si>
  <si>
    <t>P_hover</t>
  </si>
  <si>
    <t>P_cruise</t>
  </si>
  <si>
    <t>hp-to-kW</t>
  </si>
  <si>
    <t>W_controllers</t>
  </si>
  <si>
    <t>W_propulsion</t>
  </si>
  <si>
    <t>g</t>
  </si>
  <si>
    <t>lb to kg</t>
  </si>
  <si>
    <t>thrust of each rotor</t>
  </si>
  <si>
    <t>Init values for</t>
  </si>
  <si>
    <t>optimize_multirotor.py</t>
  </si>
  <si>
    <t>Design values for</t>
  </si>
  <si>
    <t>mtow_multirotor.py</t>
  </si>
  <si>
    <t>estimate_</t>
  </si>
  <si>
    <t>optimize_liftcruise.py</t>
  </si>
  <si>
    <t>mtow_liftcruise.py</t>
  </si>
  <si>
    <t>Optimal design</t>
  </si>
  <si>
    <t>W_takeoff</t>
  </si>
  <si>
    <t>CP [kW]</t>
  </si>
  <si>
    <t>CT [Nm]</t>
  </si>
  <si>
    <t>omega [RPM]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</si>
</sst>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multirotor!$F$34:$F$38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multirotor!$G$34:$G$38</c:f>
              <c:numCache>
                <c:formatCode>General</c:formatCode>
                <c:ptCount val="5"/>
                <c:pt idx="0">
                  <c:v>37.78</c:v>
                </c:pt>
                <c:pt idx="1">
                  <c:v>28.86</c:v>
                </c:pt>
                <c:pt idx="2">
                  <c:v>11.57</c:v>
                </c:pt>
                <c:pt idx="3">
                  <c:v>15.94</c:v>
                </c:pt>
                <c:pt idx="4">
                  <c:v>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'lift+cruise'!$F$35:$F$39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'lift+cruise'!$G$35:$G$39</c:f>
              <c:numCache>
                <c:formatCode>General</c:formatCode>
                <c:ptCount val="5"/>
                <c:pt idx="0">
                  <c:v>32.26</c:v>
                </c:pt>
                <c:pt idx="1">
                  <c:v>16.14</c:v>
                </c:pt>
                <c:pt idx="2">
                  <c:v>15.94</c:v>
                </c:pt>
                <c:pt idx="3">
                  <c:v>29.79</c:v>
                </c:pt>
                <c:pt idx="4">
                  <c:v>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28</xdr:row>
      <xdr:rowOff>165100</xdr:rowOff>
    </xdr:from>
    <xdr:to>
      <xdr:col>14</xdr:col>
      <xdr:colOff>165100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29</xdr:row>
      <xdr:rowOff>114300</xdr:rowOff>
    </xdr:from>
    <xdr:to>
      <xdr:col>14</xdr:col>
      <xdr:colOff>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431800</xdr:colOff>
      <xdr:row>7</xdr:row>
      <xdr:rowOff>25400</xdr:rowOff>
    </xdr:from>
    <xdr:to>
      <xdr:col>17</xdr:col>
      <xdr:colOff>774700</xdr:colOff>
      <xdr:row>14</xdr:row>
      <xdr:rowOff>196807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A8D17E-899A-88A6-D765-799A1C4F2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8400" y="1447800"/>
          <a:ext cx="7772400" cy="1593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J57"/>
  <sheetViews>
    <sheetView workbookViewId="0">
      <selection activeCell="G45" sqref="G45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4" t="s">
        <v>0</v>
      </c>
      <c r="C1" s="24"/>
      <c r="D1" s="24"/>
    </row>
    <row r="2" spans="2:36" x14ac:dyDescent="0.2">
      <c r="P2" s="6" t="s">
        <v>75</v>
      </c>
      <c r="AA2" s="6" t="s">
        <v>117</v>
      </c>
    </row>
    <row r="3" spans="2:36" x14ac:dyDescent="0.2">
      <c r="B3" s="21" t="s">
        <v>111</v>
      </c>
      <c r="C3" s="23"/>
      <c r="D3" s="23"/>
      <c r="F3" s="21" t="s">
        <v>33</v>
      </c>
      <c r="G3" s="23"/>
      <c r="H3" s="23"/>
      <c r="J3" s="19" t="s">
        <v>45</v>
      </c>
      <c r="K3" s="19"/>
      <c r="L3" s="19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112</v>
      </c>
      <c r="F4" t="s">
        <v>34</v>
      </c>
      <c r="G4">
        <f xml:space="preserve"> 1/$C$7 * SQRT( ($C$15*$C$27)^3 / (2 * $C$26 * PI() * $C$16^2* $C$5) )</f>
        <v>192253.98362120942</v>
      </c>
      <c r="H4" t="s">
        <v>35</v>
      </c>
      <c r="J4" t="s">
        <v>47</v>
      </c>
      <c r="K4">
        <f xml:space="preserve"> 0.5 * $C$26 * $C$17^2</f>
        <v>551.25</v>
      </c>
      <c r="L4" t="s">
        <v>48</v>
      </c>
      <c r="P4" s="8">
        <v>0</v>
      </c>
      <c r="Q4" s="9">
        <v>0</v>
      </c>
      <c r="R4" s="8">
        <f xml:space="preserve"> $C$18 * TAN($K$17) + $K$20 / (2 * SQRT($C$18^2 + Q4^2)) - Q4</f>
        <v>0.11497969558616483</v>
      </c>
      <c r="S4" s="9">
        <v>1</v>
      </c>
      <c r="T4" s="8">
        <f xml:space="preserve"> $C$18 * TAN($K$17) + $K$20 / (2 * SQRT($C$18^2 + S4^2)) - S4</f>
        <v>-0.93259633323594415</v>
      </c>
      <c r="U4" s="8">
        <f xml:space="preserve"> (Q4 + S4)/2</f>
        <v>0.5</v>
      </c>
      <c r="V4" s="8">
        <f xml:space="preserve"> $C$18 * TAN($K$17) + $K$20 / (2 * SQRT($C$18^2 + U4^2)) - U4</f>
        <v>-0.41743214108030258</v>
      </c>
      <c r="W4" s="8">
        <f>R4*V4</f>
        <v>-4.7996220509294203E-2</v>
      </c>
      <c r="X4" s="8">
        <f>T4*V4</f>
        <v>0.38929568414631949</v>
      </c>
      <c r="Y4" s="8">
        <f>S4-Q4</f>
        <v>1</v>
      </c>
      <c r="AA4" s="8">
        <v>0</v>
      </c>
      <c r="AB4" s="8"/>
      <c r="AC4" s="8">
        <f>G29</f>
        <v>6.7961991589982063E-10</v>
      </c>
      <c r="AD4" s="8"/>
      <c r="AE4" s="8">
        <f>G29</f>
        <v>6.7961991589982063E-10</v>
      </c>
      <c r="AF4" s="8"/>
      <c r="AG4" s="8">
        <f>G29</f>
        <v>6.7961991589982063E-10</v>
      </c>
      <c r="AH4" s="8"/>
      <c r="AI4" s="8"/>
      <c r="AJ4" s="8"/>
    </row>
    <row r="5" spans="2:36" x14ac:dyDescent="0.2">
      <c r="B5" t="s">
        <v>63</v>
      </c>
      <c r="C5" s="1">
        <v>7</v>
      </c>
      <c r="F5" t="s">
        <v>36</v>
      </c>
      <c r="G5">
        <f xml:space="preserve"> $C$15 * $C$27 / $C$5</f>
        <v>1483.6485377299193</v>
      </c>
      <c r="H5" t="s">
        <v>37</v>
      </c>
      <c r="J5" t="s">
        <v>67</v>
      </c>
      <c r="K5">
        <f xml:space="preserve"> 0.0327 * ($C$15*2.20462)^0.8903 * 0.3048^2</f>
        <v>3.0282490920191445</v>
      </c>
      <c r="L5" t="s">
        <v>21</v>
      </c>
      <c r="P5" s="8">
        <v>1</v>
      </c>
      <c r="Q5" s="8">
        <f>IF(W4&gt;0, U4, Q4)</f>
        <v>0</v>
      </c>
      <c r="R5" s="8">
        <f t="shared" ref="R5:R34" si="0" xml:space="preserve"> $C$18 * TAN($K$17) + $K$20 / (2 * SQRT($C$18^2 + Q5^2)) - Q5</f>
        <v>0.11497969558616483</v>
      </c>
      <c r="S5" s="8">
        <f>IF(X4&gt;0, U4, S4)</f>
        <v>0.5</v>
      </c>
      <c r="T5" s="8">
        <f t="shared" ref="T5:T34" si="1" xml:space="preserve"> $C$18 * TAN($K$17) + $K$20 / (2 * SQRT($C$18^2 + S5^2)) - S5</f>
        <v>-0.41743214108030258</v>
      </c>
      <c r="U5" s="8">
        <f t="shared" ref="U5:U34" si="2" xml:space="preserve"> (Q5 + S5)/2</f>
        <v>0.25</v>
      </c>
      <c r="V5" s="8">
        <f t="shared" ref="V5:V34" si="3" xml:space="preserve"> $C$18 * TAN($K$17) + $K$20 / (2 * SQRT($C$18^2 + U5^2)) - U5</f>
        <v>-0.15049364808164992</v>
      </c>
      <c r="W5" s="8">
        <f t="shared" ref="W5:W34" si="4">R5*V5</f>
        <v>-1.7303713844079527E-2</v>
      </c>
      <c r="X5" s="8">
        <f t="shared" ref="X5:X34" si="5">T5*V5</f>
        <v>6.2820885737708693E-2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5" ca="1"/>
        <v>-229.19249747638241</v>
      </c>
      <c r="AD5" s="9">
        <v>2500</v>
      </c>
      <c r="AE5" s="8">
        <f t="dataTable" ref="AE5:AE44" dt2D="0" dtr="0" r1="C15"/>
        <v>186.96614444510101</v>
      </c>
      <c r="AF5" s="8">
        <f>(AB5+AD5)/2</f>
        <v>1500</v>
      </c>
      <c r="AG5" s="8">
        <f t="dataTable" ref="AG5:AG44" dt2D="0" dtr="0" r1="C15" ca="1"/>
        <v>114.71452141751035</v>
      </c>
      <c r="AH5" s="8">
        <f>AC5*AG5</f>
        <v>-26291.707660487158</v>
      </c>
      <c r="AI5" s="8">
        <f>AE5*AG5</f>
        <v>21447.731781296876</v>
      </c>
      <c r="AJ5" s="8">
        <f>AD5-AB5</f>
        <v>2000</v>
      </c>
    </row>
    <row r="6" spans="2:36" x14ac:dyDescent="0.2">
      <c r="B6" t="s">
        <v>2</v>
      </c>
      <c r="C6" s="1">
        <v>0.13</v>
      </c>
      <c r="J6" t="s">
        <v>68</v>
      </c>
      <c r="K6">
        <f xml:space="preserve"> K5 / ($C$5 * PI() * $C$16^2)</f>
        <v>0.13770308911668305</v>
      </c>
      <c r="P6" s="8">
        <v>2</v>
      </c>
      <c r="Q6" s="8">
        <f t="shared" ref="Q6:Q34" si="7">IF(W5&gt;0, U5, Q5)</f>
        <v>0</v>
      </c>
      <c r="R6" s="8">
        <f t="shared" si="0"/>
        <v>0.11497969558616483</v>
      </c>
      <c r="S6" s="8">
        <f t="shared" ref="S6:S34" si="8">IF(X5&gt;0, U5, S5)</f>
        <v>0.25</v>
      </c>
      <c r="T6" s="8">
        <f t="shared" si="1"/>
        <v>-0.15049364808164992</v>
      </c>
      <c r="U6" s="8">
        <f t="shared" si="2"/>
        <v>0.125</v>
      </c>
      <c r="V6" s="8">
        <f t="shared" si="3"/>
        <v>-1.5155621422872551E-2</v>
      </c>
      <c r="W6" s="8">
        <f t="shared" si="4"/>
        <v>-1.7425887376210441E-3</v>
      </c>
      <c r="X6" s="8">
        <f t="shared" si="5"/>
        <v>2.280824756872496E-3</v>
      </c>
      <c r="Y6" s="8">
        <f t="shared" si="6"/>
        <v>0.25</v>
      </c>
      <c r="AA6" s="8">
        <v>2</v>
      </c>
      <c r="AB6" s="8">
        <f>IF(AH5&gt;0, AF5, AB5)</f>
        <v>500</v>
      </c>
      <c r="AC6" s="8">
        <v>-229.19249747638241</v>
      </c>
      <c r="AD6" s="8">
        <f>IF(AI5&gt;0, AF5, AD5)</f>
        <v>1500</v>
      </c>
      <c r="AE6" s="8">
        <v>114.71452141751035</v>
      </c>
      <c r="AF6" s="8">
        <f t="shared" ref="AF6:AF44" si="9">(AB6+AD6)/2</f>
        <v>1000</v>
      </c>
      <c r="AG6" s="8">
        <v>-19.510207164513076</v>
      </c>
      <c r="AH6" s="8">
        <f t="shared" ref="AH6:AH44" si="10">AC6*AG6</f>
        <v>4471.5931063163616</v>
      </c>
      <c r="AI6" s="8">
        <f t="shared" ref="AI6:AI44" si="11">AE6*AG6</f>
        <v>-2238.1040776335994</v>
      </c>
      <c r="AJ6" s="8">
        <f t="shared" ref="AJ6:AJ44" si="12">AD6-AB6</f>
        <v>1000</v>
      </c>
    </row>
    <row r="7" spans="2:36" x14ac:dyDescent="0.2">
      <c r="B7" t="s">
        <v>4</v>
      </c>
      <c r="C7" s="1">
        <v>0.75</v>
      </c>
      <c r="F7" s="21" t="s">
        <v>38</v>
      </c>
      <c r="G7" s="23"/>
      <c r="H7" s="23"/>
      <c r="J7" t="s">
        <v>69</v>
      </c>
      <c r="K7">
        <f xml:space="preserve"> K4 * K5</f>
        <v>1669.3223119755535</v>
      </c>
      <c r="L7" t="s">
        <v>37</v>
      </c>
      <c r="P7" s="8">
        <v>3</v>
      </c>
      <c r="Q7" s="8">
        <f t="shared" si="7"/>
        <v>0</v>
      </c>
      <c r="R7" s="8">
        <f t="shared" si="0"/>
        <v>0.11497969558616483</v>
      </c>
      <c r="S7" s="8">
        <f t="shared" si="8"/>
        <v>0.125</v>
      </c>
      <c r="T7" s="8">
        <f t="shared" si="1"/>
        <v>-1.5155621422872551E-2</v>
      </c>
      <c r="U7" s="8">
        <f t="shared" si="2"/>
        <v>6.25E-2</v>
      </c>
      <c r="V7" s="8">
        <f t="shared" si="3"/>
        <v>5.1076446881588911E-2</v>
      </c>
      <c r="W7" s="8">
        <f t="shared" si="4"/>
        <v>5.8727543140680112E-3</v>
      </c>
      <c r="X7" s="8">
        <f t="shared" si="5"/>
        <v>-7.7409529256282079E-4</v>
      </c>
      <c r="Y7" s="8">
        <f t="shared" si="6"/>
        <v>0.125</v>
      </c>
      <c r="AA7" s="8">
        <v>3</v>
      </c>
      <c r="AB7" s="8">
        <f t="shared" ref="AB7:AB44" si="13">IF(AH6&gt;0, AF6, AB6)</f>
        <v>1000</v>
      </c>
      <c r="AC7" s="8">
        <v>-19.510207164513076</v>
      </c>
      <c r="AD7" s="8">
        <f t="shared" ref="AD7:AD44" si="14">IF(AI6&gt;0, AF6, AD6)</f>
        <v>1500</v>
      </c>
      <c r="AE7" s="8">
        <v>114.71452141751035</v>
      </c>
      <c r="AF7" s="8">
        <f t="shared" si="9"/>
        <v>1250</v>
      </c>
      <c r="AG7" s="8">
        <v>56.552204396811021</v>
      </c>
      <c r="AH7" s="8">
        <f t="shared" si="10"/>
        <v>-1103.3452233916703</v>
      </c>
      <c r="AI7" s="8">
        <f t="shared" si="11"/>
        <v>6487.3590624854014</v>
      </c>
      <c r="AJ7" s="8">
        <f t="shared" si="12"/>
        <v>500</v>
      </c>
    </row>
    <row r="8" spans="2:36" x14ac:dyDescent="0.2">
      <c r="F8" s="4" t="s">
        <v>39</v>
      </c>
      <c r="G8">
        <f xml:space="preserve"> K22 + K18 * (K24 * K27 + $C$17 * SIN(K17))</f>
        <v>20118.636908715685</v>
      </c>
      <c r="H8" t="s">
        <v>35</v>
      </c>
      <c r="J8" t="s">
        <v>72</v>
      </c>
      <c r="K8">
        <f xml:space="preserve"> K7</f>
        <v>1669.3223119755535</v>
      </c>
      <c r="L8" t="s">
        <v>37</v>
      </c>
      <c r="P8" s="8">
        <v>4</v>
      </c>
      <c r="Q8" s="8">
        <f t="shared" si="7"/>
        <v>6.25E-2</v>
      </c>
      <c r="R8" s="8">
        <f t="shared" si="0"/>
        <v>5.1076446881588911E-2</v>
      </c>
      <c r="S8" s="8">
        <f t="shared" si="8"/>
        <v>0.125</v>
      </c>
      <c r="T8" s="8">
        <f t="shared" si="1"/>
        <v>-1.5155621422872551E-2</v>
      </c>
      <c r="U8" s="8">
        <f t="shared" si="2"/>
        <v>9.375E-2</v>
      </c>
      <c r="V8" s="8">
        <f t="shared" si="3"/>
        <v>1.8190818926534763E-2</v>
      </c>
      <c r="W8" s="8">
        <f t="shared" si="4"/>
        <v>9.2912239663375503E-4</v>
      </c>
      <c r="X8" s="8">
        <f t="shared" si="5"/>
        <v>-2.7569316502258569E-4</v>
      </c>
      <c r="Y8" s="8">
        <f t="shared" si="6"/>
        <v>6.25E-2</v>
      </c>
      <c r="AA8" s="8">
        <v>4</v>
      </c>
      <c r="AB8" s="8">
        <f t="shared" si="13"/>
        <v>1000</v>
      </c>
      <c r="AC8" s="8">
        <v>-19.510207164513076</v>
      </c>
      <c r="AD8" s="8">
        <f t="shared" si="14"/>
        <v>1250</v>
      </c>
      <c r="AE8" s="8">
        <v>56.552204396811021</v>
      </c>
      <c r="AF8" s="8">
        <f t="shared" si="9"/>
        <v>1125</v>
      </c>
      <c r="AG8" s="8">
        <v>20.821003582932235</v>
      </c>
      <c r="AH8" s="8">
        <f t="shared" si="10"/>
        <v>-406.22209327607692</v>
      </c>
      <c r="AI8" s="8">
        <f t="shared" si="11"/>
        <v>1177.4736503687184</v>
      </c>
      <c r="AJ8" s="8">
        <f t="shared" si="12"/>
        <v>250</v>
      </c>
    </row>
    <row r="9" spans="2:36" x14ac:dyDescent="0.2">
      <c r="B9" s="21" t="s">
        <v>8</v>
      </c>
      <c r="C9" s="23"/>
      <c r="D9" s="23"/>
      <c r="F9" s="4" t="s">
        <v>40</v>
      </c>
      <c r="G9">
        <f>$C$5 * G8</f>
        <v>140830.45836100981</v>
      </c>
      <c r="H9" t="s">
        <v>35</v>
      </c>
      <c r="P9" s="8">
        <v>5</v>
      </c>
      <c r="Q9" s="8">
        <f t="shared" si="7"/>
        <v>9.375E-2</v>
      </c>
      <c r="R9" s="8">
        <f t="shared" si="0"/>
        <v>1.8190818926534763E-2</v>
      </c>
      <c r="S9" s="8">
        <f t="shared" si="8"/>
        <v>0.125</v>
      </c>
      <c r="T9" s="8">
        <f t="shared" si="1"/>
        <v>-1.5155621422872551E-2</v>
      </c>
      <c r="U9" s="8">
        <f t="shared" si="2"/>
        <v>0.109375</v>
      </c>
      <c r="V9" s="8">
        <f t="shared" si="3"/>
        <v>1.5662598879128686E-3</v>
      </c>
      <c r="W9" s="8">
        <f t="shared" si="4"/>
        <v>2.8491550012917629E-5</v>
      </c>
      <c r="X9" s="8">
        <f t="shared" si="5"/>
        <v>-2.3737641911038233E-5</v>
      </c>
      <c r="Y9" s="8">
        <f t="shared" si="6"/>
        <v>3.125E-2</v>
      </c>
      <c r="AA9" s="8">
        <v>5</v>
      </c>
      <c r="AB9" s="8">
        <f t="shared" si="13"/>
        <v>1000</v>
      </c>
      <c r="AC9" s="8">
        <v>-19.510207164513076</v>
      </c>
      <c r="AD9" s="8">
        <f t="shared" si="14"/>
        <v>1125</v>
      </c>
      <c r="AE9" s="8">
        <v>20.821003582932235</v>
      </c>
      <c r="AF9" s="8">
        <f t="shared" si="9"/>
        <v>1062.5</v>
      </c>
      <c r="AG9" s="8">
        <v>1.2382060102188461</v>
      </c>
      <c r="AH9" s="8">
        <f t="shared" si="10"/>
        <v>-24.157655771714882</v>
      </c>
      <c r="AI9" s="8">
        <f t="shared" si="11"/>
        <v>25.780691775174823</v>
      </c>
      <c r="AJ9" s="8">
        <f t="shared" si="12"/>
        <v>125</v>
      </c>
    </row>
    <row r="10" spans="2:36" x14ac:dyDescent="0.2">
      <c r="B10" t="s">
        <v>9</v>
      </c>
      <c r="C10" s="1">
        <v>250</v>
      </c>
      <c r="D10" t="s">
        <v>10</v>
      </c>
      <c r="P10" s="8">
        <v>6</v>
      </c>
      <c r="Q10" s="8">
        <f t="shared" si="7"/>
        <v>0.109375</v>
      </c>
      <c r="R10" s="8">
        <f t="shared" si="0"/>
        <v>1.5662598879128686E-3</v>
      </c>
      <c r="S10" s="8">
        <f t="shared" si="8"/>
        <v>0.125</v>
      </c>
      <c r="T10" s="8">
        <f t="shared" si="1"/>
        <v>-1.5155621422872551E-2</v>
      </c>
      <c r="U10" s="8">
        <f t="shared" si="2"/>
        <v>0.1171875</v>
      </c>
      <c r="V10" s="8">
        <f t="shared" si="3"/>
        <v>-6.7836515216387894E-3</v>
      </c>
      <c r="W10" s="8">
        <f t="shared" si="4"/>
        <v>-1.0624961271921931E-5</v>
      </c>
      <c r="X10" s="8">
        <f t="shared" si="5"/>
        <v>1.0281045432665082E-4</v>
      </c>
      <c r="Y10" s="8">
        <f t="shared" si="6"/>
        <v>1.5625E-2</v>
      </c>
      <c r="AA10" s="8">
        <v>6</v>
      </c>
      <c r="AB10" s="8">
        <f t="shared" si="13"/>
        <v>1000</v>
      </c>
      <c r="AC10" s="8">
        <v>-19.510207164513076</v>
      </c>
      <c r="AD10" s="8">
        <f t="shared" si="14"/>
        <v>1062.5</v>
      </c>
      <c r="AE10" s="8">
        <v>1.2382060102188461</v>
      </c>
      <c r="AF10" s="8">
        <f t="shared" si="9"/>
        <v>1031.25</v>
      </c>
      <c r="AG10" s="8">
        <v>-8.9893304113539898</v>
      </c>
      <c r="AH10" s="8">
        <f t="shared" si="10"/>
        <v>175.38369859577389</v>
      </c>
      <c r="AI10" s="8">
        <f t="shared" si="11"/>
        <v>-11.130642943181563</v>
      </c>
      <c r="AJ10" s="8">
        <f t="shared" si="12"/>
        <v>62.5</v>
      </c>
    </row>
    <row r="11" spans="2:36" x14ac:dyDescent="0.2">
      <c r="B11" t="s">
        <v>11</v>
      </c>
      <c r="C11" s="1">
        <v>0.85</v>
      </c>
      <c r="F11" s="21" t="s">
        <v>41</v>
      </c>
      <c r="G11" s="23"/>
      <c r="H11" s="23"/>
      <c r="J11" s="21" t="s">
        <v>114</v>
      </c>
      <c r="K11" s="22"/>
      <c r="L11" s="22"/>
      <c r="P11" s="8">
        <v>7</v>
      </c>
      <c r="Q11" s="8">
        <f t="shared" si="7"/>
        <v>0.109375</v>
      </c>
      <c r="R11" s="8">
        <f t="shared" si="0"/>
        <v>1.5662598879128686E-3</v>
      </c>
      <c r="S11" s="8">
        <f t="shared" si="8"/>
        <v>0.1171875</v>
      </c>
      <c r="T11" s="8">
        <f t="shared" si="1"/>
        <v>-6.7836515216387894E-3</v>
      </c>
      <c r="U11" s="8">
        <f t="shared" si="2"/>
        <v>0.11328125</v>
      </c>
      <c r="V11" s="8">
        <f t="shared" si="3"/>
        <v>-2.6057968385830854E-3</v>
      </c>
      <c r="W11" s="8">
        <f t="shared" si="4"/>
        <v>-4.0813550643228509E-6</v>
      </c>
      <c r="X11" s="8">
        <f t="shared" si="5"/>
        <v>1.7676817689135696E-5</v>
      </c>
      <c r="Y11" s="8">
        <f t="shared" si="6"/>
        <v>7.8125E-3</v>
      </c>
      <c r="AA11" s="8">
        <v>7</v>
      </c>
      <c r="AB11" s="8">
        <f t="shared" si="13"/>
        <v>1031.25</v>
      </c>
      <c r="AC11" s="8">
        <v>-8.9893304113539898</v>
      </c>
      <c r="AD11" s="8">
        <f t="shared" si="14"/>
        <v>1062.5</v>
      </c>
      <c r="AE11" s="8">
        <v>1.2382060102188461</v>
      </c>
      <c r="AF11" s="8">
        <f t="shared" si="9"/>
        <v>1046.875</v>
      </c>
      <c r="AG11" s="8">
        <v>-3.8390145282813819</v>
      </c>
      <c r="AH11" s="8">
        <f t="shared" si="10"/>
        <v>34.510170048709618</v>
      </c>
      <c r="AI11" s="8">
        <f t="shared" si="11"/>
        <v>-4.7534908622354752</v>
      </c>
      <c r="AJ11" s="8">
        <f t="shared" si="12"/>
        <v>31.25</v>
      </c>
    </row>
    <row r="12" spans="2:36" x14ac:dyDescent="0.2">
      <c r="B12" t="s">
        <v>12</v>
      </c>
      <c r="C12" s="1">
        <v>0.8</v>
      </c>
      <c r="F12" t="s">
        <v>42</v>
      </c>
      <c r="G12">
        <f xml:space="preserve"> (G4*$C$23 + G9*G13)/3600</f>
        <v>51936.504008361131</v>
      </c>
      <c r="H12" t="s">
        <v>43</v>
      </c>
      <c r="J12" t="s">
        <v>115</v>
      </c>
      <c r="K12">
        <f xml:space="preserve"> SQRT( ($C$15*$C$27)^2 + K8^2)</f>
        <v>10518.843718449174</v>
      </c>
      <c r="L12" t="s">
        <v>37</v>
      </c>
      <c r="P12" s="8">
        <v>8</v>
      </c>
      <c r="Q12" s="8">
        <f t="shared" si="7"/>
        <v>0.109375</v>
      </c>
      <c r="R12" s="8">
        <f t="shared" si="0"/>
        <v>1.5662598879128686E-3</v>
      </c>
      <c r="S12" s="8">
        <f t="shared" si="8"/>
        <v>0.11328125</v>
      </c>
      <c r="T12" s="8">
        <f t="shared" si="1"/>
        <v>-2.6057968385830854E-3</v>
      </c>
      <c r="U12" s="8">
        <f t="shared" si="2"/>
        <v>0.111328125</v>
      </c>
      <c r="V12" s="8">
        <f t="shared" si="3"/>
        <v>-5.1902596054387296E-4</v>
      </c>
      <c r="W12" s="8">
        <f t="shared" si="4"/>
        <v>-8.1292954278531547E-7</v>
      </c>
      <c r="X12" s="8">
        <f t="shared" si="5"/>
        <v>1.3524762071277734E-6</v>
      </c>
      <c r="Y12" s="8">
        <f t="shared" si="6"/>
        <v>3.90625E-3</v>
      </c>
      <c r="AA12" s="8">
        <v>8</v>
      </c>
      <c r="AB12" s="8">
        <f t="shared" si="13"/>
        <v>1046.875</v>
      </c>
      <c r="AC12" s="8">
        <v>-3.8390145282813819</v>
      </c>
      <c r="AD12" s="8">
        <f t="shared" si="14"/>
        <v>1062.5</v>
      </c>
      <c r="AE12" s="8">
        <v>1.2382060102188461</v>
      </c>
      <c r="AF12" s="8">
        <f t="shared" si="9"/>
        <v>1054.6875</v>
      </c>
      <c r="AG12" s="8">
        <v>-1.2912829831548152</v>
      </c>
      <c r="AH12" s="8">
        <f t="shared" si="10"/>
        <v>4.9572541324538584</v>
      </c>
      <c r="AI12" s="8">
        <f t="shared" si="11"/>
        <v>-1.5988743506356131</v>
      </c>
      <c r="AJ12" s="8">
        <f t="shared" si="12"/>
        <v>15.625</v>
      </c>
    </row>
    <row r="13" spans="2:36" x14ac:dyDescent="0.2">
      <c r="F13" t="s">
        <v>44</v>
      </c>
      <c r="G13">
        <f xml:space="preserve"> $C$22 / $C$17</f>
        <v>1000</v>
      </c>
      <c r="H13" t="s">
        <v>26</v>
      </c>
      <c r="J13" t="s">
        <v>116</v>
      </c>
      <c r="K13">
        <f>$C$15*$C$27/K12</f>
        <v>0.98732712854114046</v>
      </c>
      <c r="P13" s="8">
        <v>9</v>
      </c>
      <c r="Q13" s="8">
        <f t="shared" si="7"/>
        <v>0.109375</v>
      </c>
      <c r="R13" s="8">
        <f t="shared" si="0"/>
        <v>1.5662598879128686E-3</v>
      </c>
      <c r="S13" s="8">
        <f t="shared" si="8"/>
        <v>0.111328125</v>
      </c>
      <c r="T13" s="8">
        <f t="shared" si="1"/>
        <v>-5.1902596054387296E-4</v>
      </c>
      <c r="U13" s="8">
        <f t="shared" si="2"/>
        <v>0.1103515625</v>
      </c>
      <c r="V13" s="8">
        <f t="shared" si="3"/>
        <v>5.2380481590380557E-4</v>
      </c>
      <c r="W13" s="8">
        <f t="shared" si="4"/>
        <v>8.2041447224571525E-7</v>
      </c>
      <c r="X13" s="8">
        <f t="shared" si="5"/>
        <v>-2.7186829771197924E-7</v>
      </c>
      <c r="Y13" s="8">
        <f t="shared" si="6"/>
        <v>1.953125E-3</v>
      </c>
      <c r="AA13" s="8">
        <v>9</v>
      </c>
      <c r="AB13" s="8">
        <f t="shared" si="13"/>
        <v>1054.6875</v>
      </c>
      <c r="AC13" s="8">
        <v>-1.2912829831548152</v>
      </c>
      <c r="AD13" s="8">
        <f t="shared" si="14"/>
        <v>1062.5</v>
      </c>
      <c r="AE13" s="8">
        <v>1.2382060102188461</v>
      </c>
      <c r="AF13" s="8">
        <f t="shared" si="9"/>
        <v>1058.59375</v>
      </c>
      <c r="AG13" s="8">
        <v>-2.4260619257347571E-2</v>
      </c>
      <c r="AH13" s="8">
        <f t="shared" si="10"/>
        <v>3.1327324807810926E-2</v>
      </c>
      <c r="AI13" s="8">
        <f t="shared" si="11"/>
        <v>-3.0039644576078842E-2</v>
      </c>
      <c r="AJ13" s="8">
        <f t="shared" si="12"/>
        <v>7.8125</v>
      </c>
    </row>
    <row r="14" spans="2:36" x14ac:dyDescent="0.2">
      <c r="B14" s="19" t="s">
        <v>13</v>
      </c>
      <c r="C14" s="19"/>
      <c r="D14" s="19"/>
      <c r="P14" s="8">
        <v>10</v>
      </c>
      <c r="Q14" s="8">
        <f t="shared" si="7"/>
        <v>0.1103515625</v>
      </c>
      <c r="R14" s="8">
        <f t="shared" si="0"/>
        <v>5.2380481590380557E-4</v>
      </c>
      <c r="S14" s="8">
        <f t="shared" si="8"/>
        <v>0.111328125</v>
      </c>
      <c r="T14" s="8">
        <f t="shared" si="1"/>
        <v>-5.1902596054387296E-4</v>
      </c>
      <c r="U14" s="8">
        <f t="shared" si="2"/>
        <v>0.11083984375</v>
      </c>
      <c r="V14" s="8">
        <f t="shared" si="3"/>
        <v>2.4361127268501814E-6</v>
      </c>
      <c r="W14" s="8">
        <f t="shared" si="4"/>
        <v>1.2760475784086771E-9</v>
      </c>
      <c r="X14" s="8">
        <f t="shared" si="5"/>
        <v>-1.264405748046569E-9</v>
      </c>
      <c r="Y14" s="8">
        <f t="shared" si="6"/>
        <v>9.765625E-4</v>
      </c>
      <c r="AA14" s="8">
        <v>10</v>
      </c>
      <c r="AB14" s="8">
        <f t="shared" si="13"/>
        <v>1058.59375</v>
      </c>
      <c r="AC14" s="8">
        <v>-2.4260619257347571E-2</v>
      </c>
      <c r="AD14" s="8">
        <f t="shared" si="14"/>
        <v>1062.5</v>
      </c>
      <c r="AE14" s="8">
        <v>1.2382060102188461</v>
      </c>
      <c r="AF14" s="8">
        <f t="shared" si="9"/>
        <v>1060.546875</v>
      </c>
      <c r="AG14" s="8">
        <v>0.60754175834131274</v>
      </c>
      <c r="AH14" s="8">
        <f t="shared" si="10"/>
        <v>-1.4739339282058056E-2</v>
      </c>
      <c r="AI14" s="8">
        <f t="shared" si="11"/>
        <v>0.75226185663713918</v>
      </c>
      <c r="AJ14" s="8">
        <f t="shared" si="12"/>
        <v>3.90625</v>
      </c>
    </row>
    <row r="15" spans="2:36" x14ac:dyDescent="0.2">
      <c r="B15" s="3" t="s">
        <v>66</v>
      </c>
      <c r="C15" s="3">
        <f>AF44</f>
        <v>1058.6686813567212</v>
      </c>
      <c r="D15" s="3" t="s">
        <v>14</v>
      </c>
      <c r="F15" s="21" t="s">
        <v>86</v>
      </c>
      <c r="G15" s="21"/>
      <c r="H15" s="21"/>
      <c r="P15" s="8">
        <v>11</v>
      </c>
      <c r="Q15" s="8">
        <f t="shared" si="7"/>
        <v>0.11083984375</v>
      </c>
      <c r="R15" s="8">
        <f t="shared" si="0"/>
        <v>2.4361127268501814E-6</v>
      </c>
      <c r="S15" s="8">
        <f t="shared" si="8"/>
        <v>0.111328125</v>
      </c>
      <c r="T15" s="8">
        <f t="shared" si="1"/>
        <v>-5.1902596054387296E-4</v>
      </c>
      <c r="U15" s="8">
        <f t="shared" si="2"/>
        <v>0.111083984375</v>
      </c>
      <c r="V15" s="8">
        <f t="shared" si="3"/>
        <v>-2.5828328739285755E-4</v>
      </c>
      <c r="W15" s="8">
        <f t="shared" si="4"/>
        <v>-6.2920720355044332E-10</v>
      </c>
      <c r="X15" s="8">
        <f t="shared" si="5"/>
        <v>1.3405573133150709E-7</v>
      </c>
      <c r="Y15" s="8">
        <f t="shared" si="6"/>
        <v>4.8828125E-4</v>
      </c>
      <c r="AA15" s="8">
        <v>11</v>
      </c>
      <c r="AB15" s="8">
        <f t="shared" si="13"/>
        <v>1058.59375</v>
      </c>
      <c r="AC15" s="8">
        <v>-2.4260619257347571E-2</v>
      </c>
      <c r="AD15" s="8">
        <f t="shared" si="14"/>
        <v>1060.546875</v>
      </c>
      <c r="AE15" s="8">
        <v>0.60754175834131274</v>
      </c>
      <c r="AF15" s="8">
        <f t="shared" si="9"/>
        <v>1059.5703125</v>
      </c>
      <c r="AG15" s="8">
        <v>0.29178336235747793</v>
      </c>
      <c r="AH15" s="8">
        <f t="shared" si="10"/>
        <v>-7.0788450597834536E-3</v>
      </c>
      <c r="AI15" s="8">
        <f t="shared" si="11"/>
        <v>0.17727057702140253</v>
      </c>
      <c r="AJ15" s="8">
        <f t="shared" si="12"/>
        <v>1.953125</v>
      </c>
    </row>
    <row r="16" spans="2:36" x14ac:dyDescent="0.2">
      <c r="B16" t="s">
        <v>15</v>
      </c>
      <c r="C16" s="1">
        <v>1</v>
      </c>
      <c r="D16" t="s">
        <v>16</v>
      </c>
      <c r="F16" s="3" t="s">
        <v>152</v>
      </c>
      <c r="G16">
        <f>C15</f>
        <v>1058.6686813567212</v>
      </c>
      <c r="H16" t="s">
        <v>14</v>
      </c>
      <c r="J16" s="21" t="s">
        <v>50</v>
      </c>
      <c r="K16" s="22"/>
      <c r="L16" s="22"/>
      <c r="P16" s="8">
        <v>12</v>
      </c>
      <c r="Q16" s="8">
        <f t="shared" si="7"/>
        <v>0.11083984375</v>
      </c>
      <c r="R16" s="8">
        <f t="shared" si="0"/>
        <v>2.4361127268501814E-6</v>
      </c>
      <c r="S16" s="8">
        <f t="shared" si="8"/>
        <v>0.111083984375</v>
      </c>
      <c r="T16" s="8">
        <f t="shared" si="1"/>
        <v>-2.5828328739285755E-4</v>
      </c>
      <c r="U16" s="8">
        <f t="shared" si="2"/>
        <v>0.1109619140625</v>
      </c>
      <c r="V16" s="8">
        <f t="shared" si="3"/>
        <v>-1.2792067386108164E-4</v>
      </c>
      <c r="W16" s="8">
        <f t="shared" si="4"/>
        <v>-3.1162918162023233E-10</v>
      </c>
      <c r="X16" s="8">
        <f t="shared" si="5"/>
        <v>3.3039772170349751E-8</v>
      </c>
      <c r="Y16" s="8">
        <f t="shared" si="6"/>
        <v>2.44140625E-4</v>
      </c>
      <c r="AA16" s="8">
        <v>12</v>
      </c>
      <c r="AB16" s="8">
        <f t="shared" si="13"/>
        <v>1058.59375</v>
      </c>
      <c r="AC16" s="8">
        <v>-2.4260619257347571E-2</v>
      </c>
      <c r="AD16" s="8">
        <f t="shared" si="14"/>
        <v>1059.5703125</v>
      </c>
      <c r="AE16" s="8">
        <v>0.29178336235747793</v>
      </c>
      <c r="AF16" s="8">
        <f t="shared" si="9"/>
        <v>1059.08203125</v>
      </c>
      <c r="AG16" s="8">
        <v>0.13379757990185226</v>
      </c>
      <c r="AH16" s="8">
        <f t="shared" si="10"/>
        <v>-3.2460121435533775E-3</v>
      </c>
      <c r="AI16" s="8">
        <f t="shared" si="11"/>
        <v>3.9039907739055767E-2</v>
      </c>
      <c r="AJ16" s="8">
        <f t="shared" si="12"/>
        <v>0.9765625</v>
      </c>
    </row>
    <row r="17" spans="2:36" x14ac:dyDescent="0.2">
      <c r="B17" t="s">
        <v>18</v>
      </c>
      <c r="C17" s="1">
        <v>30</v>
      </c>
      <c r="D17" t="s">
        <v>19</v>
      </c>
      <c r="F17" s="16" t="s">
        <v>87</v>
      </c>
      <c r="G17">
        <f xml:space="preserve"> G12 / ($C$10 * $C$11 * $C$12)</f>
        <v>305.50884710800665</v>
      </c>
      <c r="H17" t="s">
        <v>14</v>
      </c>
      <c r="J17" t="s">
        <v>51</v>
      </c>
      <c r="K17">
        <f xml:space="preserve"> ACOS(K13)</f>
        <v>0.15937207554178379</v>
      </c>
      <c r="L17" t="s">
        <v>52</v>
      </c>
      <c r="P17" s="8">
        <v>13</v>
      </c>
      <c r="Q17" s="8">
        <f t="shared" si="7"/>
        <v>0.11083984375</v>
      </c>
      <c r="R17" s="8">
        <f t="shared" si="0"/>
        <v>2.4361127268501814E-6</v>
      </c>
      <c r="S17" s="8">
        <f t="shared" si="8"/>
        <v>0.1109619140625</v>
      </c>
      <c r="T17" s="8">
        <f t="shared" si="1"/>
        <v>-1.2792067386108164E-4</v>
      </c>
      <c r="U17" s="8">
        <f t="shared" si="2"/>
        <v>0.11090087890625</v>
      </c>
      <c r="V17" s="8">
        <f t="shared" si="3"/>
        <v>-6.2741551656225747E-5</v>
      </c>
      <c r="W17" s="8">
        <f t="shared" si="4"/>
        <v>-1.5284549249205961E-10</v>
      </c>
      <c r="X17" s="8">
        <f t="shared" si="5"/>
        <v>8.02594156695426E-9</v>
      </c>
      <c r="Y17" s="8">
        <f t="shared" si="6"/>
        <v>1.220703125E-4</v>
      </c>
      <c r="AA17" s="8">
        <v>13</v>
      </c>
      <c r="AB17" s="8">
        <f t="shared" si="13"/>
        <v>1058.59375</v>
      </c>
      <c r="AC17" s="8">
        <v>-2.4260619257347571E-2</v>
      </c>
      <c r="AD17" s="8">
        <f t="shared" si="14"/>
        <v>1059.08203125</v>
      </c>
      <c r="AE17" s="8">
        <v>0.13379757990185226</v>
      </c>
      <c r="AF17" s="8">
        <f t="shared" si="9"/>
        <v>1058.837890625</v>
      </c>
      <c r="AG17" s="8">
        <v>5.4776516890342464E-2</v>
      </c>
      <c r="AH17" s="8">
        <f t="shared" si="10"/>
        <v>-1.3289122205202668E-3</v>
      </c>
      <c r="AI17" s="8">
        <f t="shared" si="11"/>
        <v>7.3289653953807557E-3</v>
      </c>
      <c r="AJ17" s="8">
        <f t="shared" si="12"/>
        <v>0.48828125</v>
      </c>
    </row>
    <row r="18" spans="2:36" x14ac:dyDescent="0.2">
      <c r="B18" t="s">
        <v>113</v>
      </c>
      <c r="C18" s="1">
        <v>0.3</v>
      </c>
      <c r="F18" s="12" t="s">
        <v>88</v>
      </c>
      <c r="G18">
        <f xml:space="preserve"> $C$5 * 0.144 * (2*$C$16*3.28084 * (G4*0.00134102/$C$5) * 4^0.5)^0.782 * 0.453592</f>
        <v>57.440123562966924</v>
      </c>
      <c r="H18" t="s">
        <v>14</v>
      </c>
      <c r="J18" t="s">
        <v>36</v>
      </c>
      <c r="K18">
        <f xml:space="preserve"> K12 / $C$5</f>
        <v>1502.6919597784533</v>
      </c>
      <c r="L18" t="s">
        <v>37</v>
      </c>
      <c r="P18" s="8">
        <v>14</v>
      </c>
      <c r="Q18" s="8">
        <f t="shared" si="7"/>
        <v>0.11083984375</v>
      </c>
      <c r="R18" s="8">
        <f t="shared" si="0"/>
        <v>2.4361127268501814E-6</v>
      </c>
      <c r="S18" s="8">
        <f t="shared" si="8"/>
        <v>0.11090087890625</v>
      </c>
      <c r="T18" s="8">
        <f t="shared" si="1"/>
        <v>-6.2741551656225747E-5</v>
      </c>
      <c r="U18" s="8">
        <f t="shared" si="2"/>
        <v>0.110870361328125</v>
      </c>
      <c r="V18" s="8">
        <f t="shared" si="3"/>
        <v>-3.0152537169120253E-5</v>
      </c>
      <c r="W18" s="8">
        <f t="shared" si="4"/>
        <v>-7.3454979544516984E-11</v>
      </c>
      <c r="X18" s="8">
        <f t="shared" si="5"/>
        <v>1.8918169683626251E-9</v>
      </c>
      <c r="Y18" s="8">
        <f t="shared" si="6"/>
        <v>6.103515625E-5</v>
      </c>
      <c r="AA18" s="8">
        <v>14</v>
      </c>
      <c r="AB18" s="8">
        <f t="shared" si="13"/>
        <v>1058.59375</v>
      </c>
      <c r="AC18" s="8">
        <v>-2.4260619257347571E-2</v>
      </c>
      <c r="AD18" s="8">
        <f t="shared" si="14"/>
        <v>1058.837890625</v>
      </c>
      <c r="AE18" s="8">
        <v>5.4776516890342464E-2</v>
      </c>
      <c r="AF18" s="8">
        <f t="shared" si="9"/>
        <v>1058.7158203125</v>
      </c>
      <c r="AG18" s="8">
        <v>1.5260211967415671E-2</v>
      </c>
      <c r="AH18" s="8">
        <f t="shared" si="10"/>
        <v>-3.702221923278905E-4</v>
      </c>
      <c r="AI18" s="8">
        <f t="shared" si="11"/>
        <v>8.359012585833507E-4</v>
      </c>
      <c r="AJ18" s="8">
        <f t="shared" si="12"/>
        <v>0.244140625</v>
      </c>
    </row>
    <row r="19" spans="2:36" x14ac:dyDescent="0.2">
      <c r="F19" s="13" t="s">
        <v>89</v>
      </c>
      <c r="G19">
        <f xml:space="preserve"> 0.188 * (G4/1000) + 5.836</f>
        <v>41.979748920787365</v>
      </c>
      <c r="H19" t="s">
        <v>14</v>
      </c>
      <c r="J19" t="s">
        <v>53</v>
      </c>
      <c r="K19">
        <f xml:space="preserve"> $C$17 * COS(K17) / ($C$18 * $C$16)</f>
        <v>98.732712854114041</v>
      </c>
      <c r="L19" t="s">
        <v>54</v>
      </c>
      <c r="P19" s="8">
        <v>15</v>
      </c>
      <c r="Q19" s="8">
        <f t="shared" si="7"/>
        <v>0.11083984375</v>
      </c>
      <c r="R19" s="8">
        <f t="shared" si="0"/>
        <v>2.4361127268501814E-6</v>
      </c>
      <c r="S19" s="8">
        <f t="shared" si="8"/>
        <v>0.110870361328125</v>
      </c>
      <c r="T19" s="8">
        <f t="shared" si="1"/>
        <v>-3.0152537169120253E-5</v>
      </c>
      <c r="U19" s="8">
        <f t="shared" si="2"/>
        <v>0.1108551025390625</v>
      </c>
      <c r="V19" s="8">
        <f t="shared" si="3"/>
        <v>-1.3858166638763825E-5</v>
      </c>
      <c r="W19" s="8">
        <f t="shared" si="4"/>
        <v>-3.3760056119503153E-11</v>
      </c>
      <c r="X19" s="8">
        <f t="shared" si="5"/>
        <v>4.1785888467118851E-10</v>
      </c>
      <c r="Y19" s="8">
        <f t="shared" si="6"/>
        <v>3.0517578125E-5</v>
      </c>
      <c r="AA19" s="8">
        <v>15</v>
      </c>
      <c r="AB19" s="8">
        <f t="shared" si="13"/>
        <v>1058.59375</v>
      </c>
      <c r="AC19" s="8">
        <v>-2.4260619257347571E-2</v>
      </c>
      <c r="AD19" s="8">
        <f t="shared" si="14"/>
        <v>1058.7158203125</v>
      </c>
      <c r="AE19" s="8">
        <v>1.5260211967415671E-2</v>
      </c>
      <c r="AF19" s="8">
        <f t="shared" si="9"/>
        <v>1058.65478515625</v>
      </c>
      <c r="AG19" s="8">
        <v>-4.498622341088776E-3</v>
      </c>
      <c r="AH19" s="8">
        <f t="shared" si="10"/>
        <v>1.0913936379975237E-4</v>
      </c>
      <c r="AI19" s="8">
        <f t="shared" si="11"/>
        <v>-6.8649930486366437E-5</v>
      </c>
      <c r="AJ19" s="8">
        <f t="shared" si="12"/>
        <v>0.1220703125</v>
      </c>
    </row>
    <row r="20" spans="2:36" x14ac:dyDescent="0.2">
      <c r="B20" s="19" t="s">
        <v>23</v>
      </c>
      <c r="C20" s="19"/>
      <c r="D20" s="19"/>
      <c r="F20" s="13" t="s">
        <v>139</v>
      </c>
      <c r="G20">
        <f xml:space="preserve"> 2.20462 * (49.9/398 * (G4/$C$5/1000 - 2) + 0.1) * 0.453592 * $C$5</f>
        <v>23.048882890076268</v>
      </c>
      <c r="H20" t="s">
        <v>14</v>
      </c>
      <c r="J20" t="s">
        <v>56</v>
      </c>
      <c r="K20">
        <f xml:space="preserve"> K18 / ($C$26 * PI() * $C$16^2 * K19^2 * $C$16^2)</f>
        <v>4.0055472670491699E-2</v>
      </c>
      <c r="P20" s="8">
        <v>16</v>
      </c>
      <c r="Q20" s="8">
        <f t="shared" si="7"/>
        <v>0.11083984375</v>
      </c>
      <c r="R20" s="8">
        <f t="shared" si="0"/>
        <v>2.4361127268501814E-6</v>
      </c>
      <c r="S20" s="8">
        <f t="shared" si="8"/>
        <v>0.1108551025390625</v>
      </c>
      <c r="T20" s="8">
        <f t="shared" si="1"/>
        <v>-1.3858166638763825E-5</v>
      </c>
      <c r="U20" s="8">
        <f t="shared" si="2"/>
        <v>0.11084747314453125</v>
      </c>
      <c r="V20" s="8">
        <f t="shared" si="3"/>
        <v>-5.7110155592954293E-6</v>
      </c>
      <c r="W20" s="8">
        <f t="shared" si="4"/>
        <v>-1.3912677687239002E-11</v>
      </c>
      <c r="X20" s="8">
        <f t="shared" si="5"/>
        <v>7.9144205297289037E-11</v>
      </c>
      <c r="Y20" s="8">
        <f t="shared" si="6"/>
        <v>1.52587890625E-5</v>
      </c>
      <c r="AA20" s="8">
        <v>16</v>
      </c>
      <c r="AB20" s="8">
        <f t="shared" si="13"/>
        <v>1058.65478515625</v>
      </c>
      <c r="AC20" s="8">
        <v>-4.498622341088776E-3</v>
      </c>
      <c r="AD20" s="8">
        <f t="shared" si="14"/>
        <v>1058.7158203125</v>
      </c>
      <c r="AE20" s="8">
        <v>1.5260211967415671E-2</v>
      </c>
      <c r="AF20" s="8">
        <f t="shared" si="9"/>
        <v>1058.685302734375</v>
      </c>
      <c r="AG20" s="8">
        <v>5.3809362756283008E-3</v>
      </c>
      <c r="AH20" s="8">
        <f t="shared" si="10"/>
        <v>-2.4206800145516506E-5</v>
      </c>
      <c r="AI20" s="8">
        <f t="shared" si="11"/>
        <v>8.2114228149244106E-5</v>
      </c>
      <c r="AJ20" s="8">
        <f t="shared" si="12"/>
        <v>6.103515625E-2</v>
      </c>
    </row>
    <row r="21" spans="2:36" x14ac:dyDescent="0.2">
      <c r="B21" t="s">
        <v>105</v>
      </c>
      <c r="C21" s="1">
        <v>400</v>
      </c>
      <c r="D21" t="s">
        <v>14</v>
      </c>
      <c r="F21" s="14" t="s">
        <v>97</v>
      </c>
      <c r="G21">
        <f xml:space="preserve"> 14.86 * ($C$15*2.20462)^0.144 * (6.7/(PI()*1.8))^0.778 * (6.7*3.28084)^0.383 * 4^0.455 * 0.453592</f>
        <v>144.19078653370963</v>
      </c>
      <c r="H21" t="s">
        <v>14</v>
      </c>
      <c r="J21" t="s">
        <v>6</v>
      </c>
      <c r="K21" s="1">
        <v>1.2E-2</v>
      </c>
      <c r="P21" s="8">
        <v>17</v>
      </c>
      <c r="Q21" s="8">
        <f t="shared" si="7"/>
        <v>0.11083984375</v>
      </c>
      <c r="R21" s="8">
        <f t="shared" si="0"/>
        <v>2.4361127268501814E-6</v>
      </c>
      <c r="S21" s="8">
        <f t="shared" si="8"/>
        <v>0.11084747314453125</v>
      </c>
      <c r="T21" s="8">
        <f t="shared" si="1"/>
        <v>-5.7110155592954293E-6</v>
      </c>
      <c r="U21" s="8">
        <f t="shared" si="2"/>
        <v>0.11084365844726562</v>
      </c>
      <c r="V21" s="8">
        <f t="shared" si="3"/>
        <v>-1.6374485669323757E-6</v>
      </c>
      <c r="W21" s="8">
        <f t="shared" si="4"/>
        <v>-3.9890092934665517E-12</v>
      </c>
      <c r="X21" s="8">
        <f t="shared" si="5"/>
        <v>9.3514942432968016E-12</v>
      </c>
      <c r="Y21" s="8">
        <f t="shared" si="6"/>
        <v>7.62939453125E-6</v>
      </c>
      <c r="AA21" s="8">
        <v>17</v>
      </c>
      <c r="AB21" s="8">
        <f t="shared" si="13"/>
        <v>1058.65478515625</v>
      </c>
      <c r="AC21" s="8">
        <v>-4.498622341088776E-3</v>
      </c>
      <c r="AD21" s="8">
        <f t="shared" si="14"/>
        <v>1058.685302734375</v>
      </c>
      <c r="AE21" s="8">
        <v>5.3809362756283008E-3</v>
      </c>
      <c r="AF21" s="8">
        <f t="shared" si="9"/>
        <v>1058.6700439453125</v>
      </c>
      <c r="AG21" s="8">
        <v>4.401768042043841E-4</v>
      </c>
      <c r="AH21" s="8">
        <f t="shared" si="10"/>
        <v>-1.9801892054229022E-6</v>
      </c>
      <c r="AI21" s="8">
        <f t="shared" si="11"/>
        <v>2.3685633334335063E-6</v>
      </c>
      <c r="AJ21" s="8">
        <f t="shared" si="12"/>
        <v>3.0517578125E-2</v>
      </c>
    </row>
    <row r="22" spans="2:36" x14ac:dyDescent="0.2">
      <c r="B22" t="s">
        <v>24</v>
      </c>
      <c r="C22" s="1">
        <v>30000</v>
      </c>
      <c r="D22" t="s">
        <v>16</v>
      </c>
      <c r="F22" s="14" t="s">
        <v>98</v>
      </c>
      <c r="G22">
        <f xml:space="preserve"> 0.054 * (0.7*3.28084)^0.501 * ($C$15*2.20462*5.7)^0.684 * 0.453592</f>
        <v>24.58987613566206</v>
      </c>
      <c r="H22" t="s">
        <v>14</v>
      </c>
      <c r="J22" t="s">
        <v>57</v>
      </c>
      <c r="K22">
        <f xml:space="preserve"> ($C$6 * K21 / 8) * (1 + 4.65 *$C$18^ 2) * ( PI() * $C$26 * K19^3 *$C$16^ 5)</f>
        <v>1024.5499192485026</v>
      </c>
      <c r="L22" t="s">
        <v>35</v>
      </c>
      <c r="P22" s="8">
        <v>18</v>
      </c>
      <c r="Q22" s="8">
        <f t="shared" si="7"/>
        <v>0.11083984375</v>
      </c>
      <c r="R22" s="8">
        <f t="shared" si="0"/>
        <v>2.4361127268501814E-6</v>
      </c>
      <c r="S22" s="8">
        <f t="shared" si="8"/>
        <v>0.11084365844726562</v>
      </c>
      <c r="T22" s="8">
        <f t="shared" si="1"/>
        <v>-1.6374485669323757E-6</v>
      </c>
      <c r="U22" s="8">
        <f t="shared" si="2"/>
        <v>0.11084175109863281</v>
      </c>
      <c r="V22" s="8">
        <f t="shared" si="3"/>
        <v>3.9933279230575103E-7</v>
      </c>
      <c r="W22" s="8">
        <f t="shared" si="4"/>
        <v>9.7281969758466019E-13</v>
      </c>
      <c r="X22" s="8">
        <f t="shared" si="5"/>
        <v>-6.5388690849015604E-13</v>
      </c>
      <c r="Y22" s="8">
        <f t="shared" si="6"/>
        <v>3.814697265625E-6</v>
      </c>
      <c r="AA22" s="8">
        <v>18</v>
      </c>
      <c r="AB22" s="8">
        <f t="shared" si="13"/>
        <v>1058.65478515625</v>
      </c>
      <c r="AC22" s="8">
        <v>-4.498622341088776E-3</v>
      </c>
      <c r="AD22" s="8">
        <f t="shared" si="14"/>
        <v>1058.6700439453125</v>
      </c>
      <c r="AE22" s="8">
        <v>4.401768042043841E-4</v>
      </c>
      <c r="AF22" s="8">
        <f t="shared" si="9"/>
        <v>1058.6624145507812</v>
      </c>
      <c r="AG22" s="8">
        <v>-2.0292139231514739E-3</v>
      </c>
      <c r="AH22" s="8">
        <f t="shared" si="10"/>
        <v>9.1286670895376227E-6</v>
      </c>
      <c r="AI22" s="8">
        <f t="shared" si="11"/>
        <v>-8.9321289973985646E-7</v>
      </c>
      <c r="AJ22" s="8">
        <f t="shared" si="12"/>
        <v>1.52587890625E-2</v>
      </c>
    </row>
    <row r="23" spans="2:36" x14ac:dyDescent="0.2">
      <c r="B23" t="s">
        <v>25</v>
      </c>
      <c r="C23" s="1">
        <v>240</v>
      </c>
      <c r="D23" t="s">
        <v>26</v>
      </c>
      <c r="F23" s="14" t="s">
        <v>99</v>
      </c>
      <c r="G23">
        <v>0</v>
      </c>
      <c r="H23" t="s">
        <v>14</v>
      </c>
      <c r="J23" t="s">
        <v>58</v>
      </c>
      <c r="K23" s="5">
        <f>U34</f>
        <v>0.11084212502464652</v>
      </c>
      <c r="P23" s="8">
        <v>19</v>
      </c>
      <c r="Q23" s="8">
        <f t="shared" si="7"/>
        <v>0.11084175109863281</v>
      </c>
      <c r="R23" s="8">
        <f t="shared" si="0"/>
        <v>3.9933279230575103E-7</v>
      </c>
      <c r="S23" s="8">
        <f t="shared" si="8"/>
        <v>0.11084365844726562</v>
      </c>
      <c r="T23" s="8">
        <f t="shared" si="1"/>
        <v>-1.6374485669323757E-6</v>
      </c>
      <c r="U23" s="8">
        <f t="shared" si="2"/>
        <v>0.11084270477294922</v>
      </c>
      <c r="V23" s="8">
        <f t="shared" si="3"/>
        <v>-6.190577092335392E-7</v>
      </c>
      <c r="W23" s="8">
        <f t="shared" si="4"/>
        <v>-2.4721004362663093E-13</v>
      </c>
      <c r="X23" s="8">
        <f t="shared" si="5"/>
        <v>1.0136751588328981E-12</v>
      </c>
      <c r="Y23" s="8">
        <f t="shared" si="6"/>
        <v>1.9073486328125E-6</v>
      </c>
      <c r="AA23" s="8">
        <v>19</v>
      </c>
      <c r="AB23" s="8">
        <f t="shared" si="13"/>
        <v>1058.6624145507812</v>
      </c>
      <c r="AC23" s="8">
        <v>-2.0292139231514739E-3</v>
      </c>
      <c r="AD23" s="8">
        <f t="shared" si="14"/>
        <v>1058.6700439453125</v>
      </c>
      <c r="AE23" s="8">
        <v>4.401768042043841E-4</v>
      </c>
      <c r="AF23" s="8">
        <f t="shared" si="9"/>
        <v>1058.6662292480469</v>
      </c>
      <c r="AG23" s="8">
        <v>-7.9451634837823804E-4</v>
      </c>
      <c r="AH23" s="8">
        <f t="shared" si="10"/>
        <v>1.6122436363005875E-6</v>
      </c>
      <c r="AI23" s="8">
        <f t="shared" si="11"/>
        <v>-3.4972766711726991E-7</v>
      </c>
      <c r="AJ23" s="8">
        <f t="shared" si="12"/>
        <v>7.62939453125E-3</v>
      </c>
    </row>
    <row r="24" spans="2:36" x14ac:dyDescent="0.2">
      <c r="F24" s="14" t="s">
        <v>100</v>
      </c>
      <c r="G24">
        <v>0</v>
      </c>
      <c r="H24" t="s">
        <v>14</v>
      </c>
      <c r="J24" t="s">
        <v>59</v>
      </c>
      <c r="K24">
        <f xml:space="preserve"> K19 * $C$16 * K23 - $C$17 * SIN(K17)</f>
        <v>6.1827955695217582</v>
      </c>
      <c r="L24" t="s">
        <v>19</v>
      </c>
      <c r="P24" s="8">
        <v>20</v>
      </c>
      <c r="Q24" s="8">
        <f t="shared" si="7"/>
        <v>0.11084175109863281</v>
      </c>
      <c r="R24" s="8">
        <f t="shared" si="0"/>
        <v>3.9933279230575103E-7</v>
      </c>
      <c r="S24" s="8">
        <f t="shared" si="8"/>
        <v>0.11084270477294922</v>
      </c>
      <c r="T24" s="8">
        <f t="shared" si="1"/>
        <v>-6.190577092335392E-7</v>
      </c>
      <c r="U24" s="8">
        <f t="shared" si="2"/>
        <v>0.11084222793579102</v>
      </c>
      <c r="V24" s="8">
        <f t="shared" si="3"/>
        <v>-1.098624139439508E-7</v>
      </c>
      <c r="W24" s="8">
        <f t="shared" si="4"/>
        <v>-4.3871664529688149E-14</v>
      </c>
      <c r="X24" s="8">
        <f t="shared" si="5"/>
        <v>6.8011174307009022E-14</v>
      </c>
      <c r="Y24" s="8">
        <f t="shared" si="6"/>
        <v>9.5367431640625E-7</v>
      </c>
      <c r="AA24" s="8">
        <v>20</v>
      </c>
      <c r="AB24" s="8">
        <f t="shared" si="13"/>
        <v>1058.6662292480469</v>
      </c>
      <c r="AC24" s="8">
        <v>-7.9451634837823804E-4</v>
      </c>
      <c r="AD24" s="8">
        <f t="shared" si="14"/>
        <v>1058.6700439453125</v>
      </c>
      <c r="AE24" s="8">
        <v>4.401768042043841E-4</v>
      </c>
      <c r="AF24" s="8">
        <f t="shared" si="9"/>
        <v>1058.6681365966797</v>
      </c>
      <c r="AG24" s="8">
        <v>-1.7716921922783513E-4</v>
      </c>
      <c r="AH24" s="8">
        <f t="shared" si="10"/>
        <v>1.4076384110592309E-7</v>
      </c>
      <c r="AI24" s="8">
        <f t="shared" si="11"/>
        <v>-7.7985780723094389E-8</v>
      </c>
      <c r="AJ24" s="8">
        <f t="shared" si="12"/>
        <v>3.814697265625E-3</v>
      </c>
    </row>
    <row r="25" spans="2:36" x14ac:dyDescent="0.2">
      <c r="B25" s="19" t="s">
        <v>110</v>
      </c>
      <c r="C25" s="20"/>
      <c r="D25" s="20"/>
      <c r="F25" s="15" t="s">
        <v>101</v>
      </c>
      <c r="G25">
        <f xml:space="preserve"> 0.0268 * $C$15</f>
        <v>28.372320660360128</v>
      </c>
      <c r="H25" t="s">
        <v>14</v>
      </c>
      <c r="J25" t="s">
        <v>60</v>
      </c>
      <c r="K25">
        <f xml:space="preserve"> 1/$C$7 - K22 * SQRT( (2*$C$26*PI()*$C$16^2) / K18^3 )</f>
        <v>1.2845371158923076</v>
      </c>
      <c r="P25" s="8">
        <v>21</v>
      </c>
      <c r="Q25" s="8">
        <f t="shared" si="7"/>
        <v>0.11084175109863281</v>
      </c>
      <c r="R25" s="8">
        <f t="shared" si="0"/>
        <v>3.9933279230575103E-7</v>
      </c>
      <c r="S25" s="8">
        <f t="shared" si="8"/>
        <v>0.11084222793579102</v>
      </c>
      <c r="T25" s="8">
        <f t="shared" si="1"/>
        <v>-1.098624139439508E-7</v>
      </c>
      <c r="U25" s="8">
        <f t="shared" si="2"/>
        <v>0.11084198951721191</v>
      </c>
      <c r="V25" s="8">
        <f t="shared" si="3"/>
        <v>1.4473520029700815E-7</v>
      </c>
      <c r="W25" s="8">
        <f t="shared" si="4"/>
        <v>5.7797511679536425E-14</v>
      </c>
      <c r="X25" s="8">
        <f t="shared" si="5"/>
        <v>-1.590095848729054E-14</v>
      </c>
      <c r="Y25" s="8">
        <f t="shared" si="6"/>
        <v>4.76837158203125E-7</v>
      </c>
      <c r="AA25" s="8">
        <v>21</v>
      </c>
      <c r="AB25" s="8">
        <f t="shared" si="13"/>
        <v>1058.6681365966797</v>
      </c>
      <c r="AC25" s="8">
        <v>-1.7716921922783513E-4</v>
      </c>
      <c r="AD25" s="8">
        <f t="shared" si="14"/>
        <v>1058.6700439453125</v>
      </c>
      <c r="AE25" s="8">
        <v>4.401768042043841E-4</v>
      </c>
      <c r="AF25" s="8">
        <f t="shared" si="9"/>
        <v>1058.6690902709961</v>
      </c>
      <c r="AG25" s="8">
        <v>1.3251945881620486E-4</v>
      </c>
      <c r="AH25" s="8">
        <f t="shared" si="10"/>
        <v>-2.3478369050962269E-8</v>
      </c>
      <c r="AI25" s="8">
        <f t="shared" si="11"/>
        <v>5.8331991876611546E-8</v>
      </c>
      <c r="AJ25" s="8">
        <f t="shared" si="12"/>
        <v>1.9073486328125E-3</v>
      </c>
    </row>
    <row r="26" spans="2:36" x14ac:dyDescent="0.2">
      <c r="B26" t="s">
        <v>27</v>
      </c>
      <c r="C26" s="1">
        <v>1.2250000000000001</v>
      </c>
      <c r="D26" t="s">
        <v>28</v>
      </c>
      <c r="F26" s="15" t="s">
        <v>102</v>
      </c>
      <c r="G26">
        <f xml:space="preserve"> 11.5 * ($C$15*2.20462/1000)^0.4 * 0.453592</f>
        <v>7.3215115198772631</v>
      </c>
      <c r="H26" t="s">
        <v>14</v>
      </c>
      <c r="J26" t="s">
        <v>61</v>
      </c>
      <c r="K26" s="1">
        <v>1.1499999999999999</v>
      </c>
      <c r="P26" s="8">
        <v>22</v>
      </c>
      <c r="Q26" s="8">
        <f t="shared" si="7"/>
        <v>0.11084198951721191</v>
      </c>
      <c r="R26" s="8">
        <f t="shared" si="0"/>
        <v>1.4473520029700815E-7</v>
      </c>
      <c r="S26" s="8">
        <f t="shared" si="8"/>
        <v>0.11084222793579102</v>
      </c>
      <c r="T26" s="8">
        <f t="shared" si="1"/>
        <v>-1.098624139439508E-7</v>
      </c>
      <c r="U26" s="8">
        <f t="shared" si="2"/>
        <v>0.11084210872650146</v>
      </c>
      <c r="V26" s="8">
        <f t="shared" si="3"/>
        <v>1.7436395965964024E-8</v>
      </c>
      <c r="W26" s="8">
        <f t="shared" si="4"/>
        <v>2.5236602625917481E-15</v>
      </c>
      <c r="X26" s="8">
        <f t="shared" si="5"/>
        <v>-1.9156045513033735E-15</v>
      </c>
      <c r="Y26" s="8">
        <f t="shared" si="6"/>
        <v>2.384185791015625E-7</v>
      </c>
      <c r="AA26" s="8">
        <v>22</v>
      </c>
      <c r="AB26" s="8">
        <f t="shared" si="13"/>
        <v>1058.6681365966797</v>
      </c>
      <c r="AC26" s="8">
        <v>-1.7716921922783513E-4</v>
      </c>
      <c r="AD26" s="8">
        <f t="shared" si="14"/>
        <v>1058.6690902709961</v>
      </c>
      <c r="AE26" s="8">
        <v>1.3251945881620486E-4</v>
      </c>
      <c r="AF26" s="8">
        <f t="shared" si="9"/>
        <v>1058.6686134338379</v>
      </c>
      <c r="AG26" s="8">
        <v>-2.1309318299245206E-5</v>
      </c>
      <c r="AH26" s="8">
        <f t="shared" si="10"/>
        <v>3.7753552853546926E-9</v>
      </c>
      <c r="AI26" s="8">
        <f t="shared" si="11"/>
        <v>-2.8238993287582256E-9</v>
      </c>
      <c r="AJ26" s="8">
        <f t="shared" si="12"/>
        <v>9.5367431640625E-4</v>
      </c>
    </row>
    <row r="27" spans="2:36" x14ac:dyDescent="0.2">
      <c r="B27" t="s">
        <v>29</v>
      </c>
      <c r="C27" s="1">
        <v>9.81</v>
      </c>
      <c r="D27" t="s">
        <v>30</v>
      </c>
      <c r="F27" s="15" t="s">
        <v>103</v>
      </c>
      <c r="G27">
        <f xml:space="preserve"> 8 * ($C$15/1000)</f>
        <v>8.4693494508537697</v>
      </c>
      <c r="H27" t="s">
        <v>14</v>
      </c>
      <c r="J27" t="s">
        <v>62</v>
      </c>
      <c r="K27">
        <f xml:space="preserve"> 1/$C$30 * LN( EXP($C$30 * K25) + EXP($C$30 * K26) )</f>
        <v>1.2851208415088495</v>
      </c>
      <c r="P27" s="8">
        <v>23</v>
      </c>
      <c r="Q27" s="8">
        <f t="shared" si="7"/>
        <v>0.11084210872650146</v>
      </c>
      <c r="R27" s="8">
        <f t="shared" si="0"/>
        <v>1.7436395965964024E-8</v>
      </c>
      <c r="S27" s="8">
        <f t="shared" si="8"/>
        <v>0.11084222793579102</v>
      </c>
      <c r="T27" s="8">
        <f t="shared" si="1"/>
        <v>-1.098624139439508E-7</v>
      </c>
      <c r="U27" s="8">
        <f t="shared" si="2"/>
        <v>0.11084216833114624</v>
      </c>
      <c r="V27" s="8">
        <f t="shared" si="3"/>
        <v>-4.6213008281226209E-8</v>
      </c>
      <c r="W27" s="8">
        <f t="shared" si="4"/>
        <v>-8.0578831116983471E-16</v>
      </c>
      <c r="X27" s="8">
        <f t="shared" si="5"/>
        <v>5.0770726453872997E-15</v>
      </c>
      <c r="Y27" s="8">
        <f t="shared" si="6"/>
        <v>1.1920928955078125E-7</v>
      </c>
      <c r="AA27" s="8">
        <v>23</v>
      </c>
      <c r="AB27" s="8">
        <f t="shared" si="13"/>
        <v>1058.6686134338379</v>
      </c>
      <c r="AC27" s="8">
        <v>-2.1309318299245206E-5</v>
      </c>
      <c r="AD27" s="8">
        <f t="shared" si="14"/>
        <v>1058.6690902709961</v>
      </c>
      <c r="AE27" s="8">
        <v>1.3251945881620486E-4</v>
      </c>
      <c r="AF27" s="8">
        <f t="shared" si="9"/>
        <v>1058.668851852417</v>
      </c>
      <c r="AG27" s="8">
        <v>5.5605078841836075E-5</v>
      </c>
      <c r="AH27" s="8">
        <f t="shared" si="10"/>
        <v>-1.1849063240953099E-9</v>
      </c>
      <c r="AI27" s="8">
        <f t="shared" si="11"/>
        <v>7.3687549555525203E-9</v>
      </c>
      <c r="AJ27" s="8">
        <f t="shared" si="12"/>
        <v>4.76837158203125E-4</v>
      </c>
    </row>
    <row r="28" spans="2:36" x14ac:dyDescent="0.2">
      <c r="F28" s="15" t="s">
        <v>104</v>
      </c>
      <c r="G28">
        <f xml:space="preserve"> 13 * ($C$15*2.20462/1000)^1.3 * 0.453592</f>
        <v>17.747234573741498</v>
      </c>
      <c r="H28" t="s">
        <v>14</v>
      </c>
      <c r="P28" s="8">
        <v>24</v>
      </c>
      <c r="Q28" s="8">
        <f t="shared" si="7"/>
        <v>0.11084210872650146</v>
      </c>
      <c r="R28" s="8">
        <f t="shared" si="0"/>
        <v>1.7436395965964024E-8</v>
      </c>
      <c r="S28" s="8">
        <f t="shared" si="8"/>
        <v>0.11084216833114624</v>
      </c>
      <c r="T28" s="8">
        <f t="shared" si="1"/>
        <v>-4.6213008281226209E-8</v>
      </c>
      <c r="U28" s="8">
        <f t="shared" si="2"/>
        <v>0.11084213852882385</v>
      </c>
      <c r="V28" s="8">
        <f t="shared" si="3"/>
        <v>-1.4388305991097639E-8</v>
      </c>
      <c r="W28" s="8">
        <f t="shared" si="4"/>
        <v>-2.5088020054023089E-16</v>
      </c>
      <c r="X28" s="8">
        <f t="shared" si="5"/>
        <v>6.6492690391941183E-16</v>
      </c>
      <c r="Y28" s="8">
        <f t="shared" si="6"/>
        <v>5.9604644775390625E-8</v>
      </c>
      <c r="AA28" s="8">
        <v>24</v>
      </c>
      <c r="AB28" s="8">
        <f t="shared" si="13"/>
        <v>1058.6686134338379</v>
      </c>
      <c r="AC28" s="8">
        <v>-2.1309318299245206E-5</v>
      </c>
      <c r="AD28" s="8">
        <f t="shared" si="14"/>
        <v>1058.668851852417</v>
      </c>
      <c r="AE28" s="8">
        <v>5.5605078841836075E-5</v>
      </c>
      <c r="AF28" s="8">
        <f t="shared" si="9"/>
        <v>1058.6687326431274</v>
      </c>
      <c r="AG28" s="8">
        <v>1.6132354858200415E-5</v>
      </c>
      <c r="AH28" s="8">
        <f t="shared" si="10"/>
        <v>-3.437694845897674E-10</v>
      </c>
      <c r="AI28" s="8">
        <f t="shared" si="11"/>
        <v>8.9704086379471127E-10</v>
      </c>
      <c r="AJ28" s="8">
        <f t="shared" si="12"/>
        <v>2.384185791015625E-4</v>
      </c>
    </row>
    <row r="29" spans="2:36" x14ac:dyDescent="0.2">
      <c r="B29" s="19" t="s">
        <v>31</v>
      </c>
      <c r="C29" s="20"/>
      <c r="D29" s="20"/>
      <c r="F29" s="3" t="s">
        <v>91</v>
      </c>
      <c r="G29" s="3">
        <f>$C$15 - $C$21 - SUM(G17:G28)</f>
        <v>6.7961991589982063E-10</v>
      </c>
      <c r="H29" s="3" t="s">
        <v>14</v>
      </c>
      <c r="P29" s="8">
        <v>25</v>
      </c>
      <c r="Q29" s="8">
        <f t="shared" si="7"/>
        <v>0.11084210872650146</v>
      </c>
      <c r="R29" s="8">
        <f t="shared" si="0"/>
        <v>1.7436395965964024E-8</v>
      </c>
      <c r="S29" s="8">
        <f t="shared" si="8"/>
        <v>0.11084213852882385</v>
      </c>
      <c r="T29" s="8">
        <f t="shared" si="1"/>
        <v>-1.4388305991097639E-8</v>
      </c>
      <c r="U29" s="8">
        <f t="shared" si="2"/>
        <v>0.11084212362766266</v>
      </c>
      <c r="V29" s="8">
        <f t="shared" si="3"/>
        <v>1.5240450290665564E-9</v>
      </c>
      <c r="W29" s="8">
        <f t="shared" si="4"/>
        <v>2.6573852596763629E-17</v>
      </c>
      <c r="X29" s="8">
        <f t="shared" si="5"/>
        <v>-2.1928426222420908E-17</v>
      </c>
      <c r="Y29" s="8">
        <f t="shared" si="6"/>
        <v>2.9802322387695312E-8</v>
      </c>
      <c r="AA29" s="8">
        <v>25</v>
      </c>
      <c r="AB29" s="8">
        <f t="shared" si="13"/>
        <v>1058.6686134338379</v>
      </c>
      <c r="AC29" s="8">
        <v>-2.1309318299245206E-5</v>
      </c>
      <c r="AD29" s="8">
        <f t="shared" si="14"/>
        <v>1058.6687326431274</v>
      </c>
      <c r="AE29" s="8">
        <v>1.6132354858200415E-5</v>
      </c>
      <c r="AF29" s="8">
        <f t="shared" si="9"/>
        <v>1058.6686730384827</v>
      </c>
      <c r="AG29" s="8">
        <v>-3.6040088389199809E-6</v>
      </c>
      <c r="AH29" s="8">
        <f t="shared" si="10"/>
        <v>7.6798971501839016E-11</v>
      </c>
      <c r="AI29" s="8">
        <f t="shared" si="11"/>
        <v>-5.8141149501547991E-11</v>
      </c>
      <c r="AJ29" s="8">
        <f t="shared" si="12"/>
        <v>1.1920928955078125E-4</v>
      </c>
    </row>
    <row r="30" spans="2:36" x14ac:dyDescent="0.2">
      <c r="B30" t="s">
        <v>32</v>
      </c>
      <c r="C30" s="1">
        <v>30</v>
      </c>
      <c r="F30" t="s">
        <v>92</v>
      </c>
      <c r="G30" s="10" t="str">
        <f>IF(ABS(G29)&lt;0.00001, "TRUE", "FALSE")</f>
        <v>TRUE</v>
      </c>
      <c r="P30" s="8">
        <v>26</v>
      </c>
      <c r="Q30" s="8">
        <f t="shared" si="7"/>
        <v>0.11084212362766266</v>
      </c>
      <c r="R30" s="8">
        <f t="shared" si="0"/>
        <v>1.5240450290665564E-9</v>
      </c>
      <c r="S30" s="8">
        <f t="shared" si="8"/>
        <v>0.11084213852882385</v>
      </c>
      <c r="T30" s="8">
        <f t="shared" si="1"/>
        <v>-1.4388305991097639E-8</v>
      </c>
      <c r="U30" s="8">
        <f t="shared" si="2"/>
        <v>0.11084213107824326</v>
      </c>
      <c r="V30" s="8">
        <f t="shared" si="3"/>
        <v>-6.4321304671377533E-9</v>
      </c>
      <c r="W30" s="8">
        <f t="shared" si="4"/>
        <v>-9.8028564647488407E-18</v>
      </c>
      <c r="X30" s="8">
        <f t="shared" si="5"/>
        <v>9.2547461335839785E-17</v>
      </c>
      <c r="Y30" s="8">
        <f t="shared" si="6"/>
        <v>1.4901161193847656E-8</v>
      </c>
      <c r="AA30" s="8">
        <v>26</v>
      </c>
      <c r="AB30" s="8">
        <f t="shared" si="13"/>
        <v>1058.6686730384827</v>
      </c>
      <c r="AC30" s="8">
        <v>-3.6040088389199809E-6</v>
      </c>
      <c r="AD30" s="8">
        <f t="shared" si="14"/>
        <v>1058.6687326431274</v>
      </c>
      <c r="AE30" s="8">
        <v>1.6132354858200415E-5</v>
      </c>
      <c r="AF30" s="8">
        <f t="shared" si="9"/>
        <v>1058.6687028408051</v>
      </c>
      <c r="AG30" s="8">
        <v>7.2797008670022478E-6</v>
      </c>
      <c r="AH30" s="8">
        <f t="shared" si="10"/>
        <v>-2.623610626936955E-11</v>
      </c>
      <c r="AI30" s="8">
        <f t="shared" si="11"/>
        <v>1.1743871764802949E-10</v>
      </c>
      <c r="AJ30" s="8">
        <f t="shared" si="12"/>
        <v>5.9604644775390625E-5</v>
      </c>
    </row>
    <row r="31" spans="2:36" x14ac:dyDescent="0.2">
      <c r="P31" s="8">
        <v>27</v>
      </c>
      <c r="Q31" s="8">
        <f t="shared" si="7"/>
        <v>0.11084212362766266</v>
      </c>
      <c r="R31" s="8">
        <f t="shared" si="0"/>
        <v>1.5240450290665564E-9</v>
      </c>
      <c r="S31" s="8">
        <f t="shared" si="8"/>
        <v>0.11084213107824326</v>
      </c>
      <c r="T31" s="8">
        <f t="shared" si="1"/>
        <v>-6.4321304671377533E-9</v>
      </c>
      <c r="U31" s="8">
        <f t="shared" si="2"/>
        <v>0.11084212735295296</v>
      </c>
      <c r="V31" s="8">
        <f t="shared" si="3"/>
        <v>-2.4540427190355985E-9</v>
      </c>
      <c r="W31" s="8">
        <f t="shared" si="4"/>
        <v>-3.7400716070631797E-18</v>
      </c>
      <c r="X31" s="8">
        <f t="shared" si="5"/>
        <v>1.5784722940766445E-17</v>
      </c>
      <c r="Y31" s="8">
        <f t="shared" si="6"/>
        <v>7.4505805969238281E-9</v>
      </c>
      <c r="AA31" s="8">
        <v>27</v>
      </c>
      <c r="AB31" s="8">
        <f t="shared" si="13"/>
        <v>1058.6686730384827</v>
      </c>
      <c r="AC31" s="8">
        <v>-3.6040088389199809E-6</v>
      </c>
      <c r="AD31" s="8">
        <f t="shared" si="14"/>
        <v>1058.6687028408051</v>
      </c>
      <c r="AE31" s="8">
        <v>7.2797008670022478E-6</v>
      </c>
      <c r="AF31" s="8">
        <f t="shared" si="9"/>
        <v>1058.6686879396439</v>
      </c>
      <c r="AG31" s="8">
        <v>2.8533735303426511E-6</v>
      </c>
      <c r="AH31" s="8">
        <f t="shared" si="10"/>
        <v>-1.0283583424095225E-11</v>
      </c>
      <c r="AI31" s="8">
        <f t="shared" si="11"/>
        <v>2.0771705762716662E-11</v>
      </c>
      <c r="AJ31" s="8">
        <f t="shared" si="12"/>
        <v>2.9802322387695312E-5</v>
      </c>
    </row>
    <row r="32" spans="2:36" x14ac:dyDescent="0.2">
      <c r="P32" s="8">
        <v>28</v>
      </c>
      <c r="Q32" s="8">
        <f t="shared" si="7"/>
        <v>0.11084212362766266</v>
      </c>
      <c r="R32" s="8">
        <f t="shared" si="0"/>
        <v>1.5240450290665564E-9</v>
      </c>
      <c r="S32" s="8">
        <f t="shared" si="8"/>
        <v>0.11084212735295296</v>
      </c>
      <c r="T32" s="8">
        <f t="shared" si="1"/>
        <v>-2.4540427190355985E-9</v>
      </c>
      <c r="U32" s="8">
        <f t="shared" si="2"/>
        <v>0.11084212549030781</v>
      </c>
      <c r="V32" s="8">
        <f t="shared" si="3"/>
        <v>-4.6499884498452104E-10</v>
      </c>
      <c r="W32" s="8">
        <f t="shared" si="4"/>
        <v>-7.0867917822034951E-19</v>
      </c>
      <c r="X32" s="8">
        <f t="shared" si="5"/>
        <v>1.1411270298942268E-18</v>
      </c>
      <c r="Y32" s="8">
        <f t="shared" si="6"/>
        <v>3.7252902984619141E-9</v>
      </c>
      <c r="AA32" s="8">
        <v>28</v>
      </c>
      <c r="AB32" s="8">
        <f t="shared" si="13"/>
        <v>1058.6686730384827</v>
      </c>
      <c r="AC32" s="8">
        <v>-3.6040088389199809E-6</v>
      </c>
      <c r="AD32" s="8">
        <f t="shared" si="14"/>
        <v>1058.6686879396439</v>
      </c>
      <c r="AE32" s="8">
        <v>2.8533735303426511E-6</v>
      </c>
      <c r="AF32" s="8">
        <f t="shared" si="9"/>
        <v>1058.6686804890633</v>
      </c>
      <c r="AG32" s="8">
        <v>-3.7531742691498948E-7</v>
      </c>
      <c r="AH32" s="8">
        <f t="shared" si="10"/>
        <v>1.352647324002326E-12</v>
      </c>
      <c r="AI32" s="8">
        <f t="shared" si="11"/>
        <v>-1.0709208114355435E-12</v>
      </c>
      <c r="AJ32" s="8">
        <f t="shared" si="12"/>
        <v>1.4901161193847656E-5</v>
      </c>
    </row>
    <row r="33" spans="2:36" x14ac:dyDescent="0.2">
      <c r="F33" s="2" t="s">
        <v>93</v>
      </c>
      <c r="G33" s="2"/>
      <c r="H33" s="2"/>
      <c r="P33" s="8">
        <v>29</v>
      </c>
      <c r="Q33" s="8">
        <f t="shared" si="7"/>
        <v>0.11084212362766266</v>
      </c>
      <c r="R33" s="8">
        <f t="shared" si="0"/>
        <v>1.5240450290665564E-9</v>
      </c>
      <c r="S33" s="8">
        <f t="shared" si="8"/>
        <v>0.11084212549030781</v>
      </c>
      <c r="T33" s="8">
        <f t="shared" si="1"/>
        <v>-4.6499884498452104E-10</v>
      </c>
      <c r="U33" s="8">
        <f t="shared" si="2"/>
        <v>0.11084212455898523</v>
      </c>
      <c r="V33" s="8">
        <f t="shared" si="3"/>
        <v>5.2952309204101766E-10</v>
      </c>
      <c r="W33" s="8">
        <f t="shared" si="4"/>
        <v>8.0701703620106557E-19</v>
      </c>
      <c r="X33" s="8">
        <f t="shared" si="5"/>
        <v>-2.4622762619170544E-19</v>
      </c>
      <c r="Y33" s="8">
        <f t="shared" si="6"/>
        <v>1.862645149230957E-9</v>
      </c>
      <c r="AA33" s="8">
        <v>29</v>
      </c>
      <c r="AB33" s="8">
        <f t="shared" si="13"/>
        <v>1058.6686804890633</v>
      </c>
      <c r="AC33" s="8">
        <v>-3.7531742691498948E-7</v>
      </c>
      <c r="AD33" s="8">
        <f t="shared" si="14"/>
        <v>1058.6686879396439</v>
      </c>
      <c r="AE33" s="8">
        <v>2.8533735303426511E-6</v>
      </c>
      <c r="AF33" s="8">
        <f t="shared" si="9"/>
        <v>1058.6686842143536</v>
      </c>
      <c r="AG33" s="8">
        <v>1.2390281654006685E-6</v>
      </c>
      <c r="AH33" s="8">
        <f t="shared" si="10"/>
        <v>-4.650288629133789E-13</v>
      </c>
      <c r="AI33" s="8">
        <f t="shared" si="11"/>
        <v>3.5354101705032837E-12</v>
      </c>
      <c r="AJ33" s="8">
        <f t="shared" si="12"/>
        <v>7.4505805969238281E-6</v>
      </c>
    </row>
    <row r="34" spans="2:36" x14ac:dyDescent="0.2">
      <c r="B34" t="s">
        <v>144</v>
      </c>
      <c r="C34" s="1">
        <v>1.2</v>
      </c>
      <c r="F34" t="s">
        <v>94</v>
      </c>
      <c r="G34">
        <f>ROUND($C$21/$C$15 * 100, 2)</f>
        <v>37.78</v>
      </c>
      <c r="H34" t="s">
        <v>95</v>
      </c>
      <c r="P34" s="8">
        <v>30</v>
      </c>
      <c r="Q34" s="8">
        <f t="shared" si="7"/>
        <v>0.11084212455898523</v>
      </c>
      <c r="R34" s="8">
        <f t="shared" si="0"/>
        <v>5.2952309204101766E-10</v>
      </c>
      <c r="S34" s="8">
        <f t="shared" si="8"/>
        <v>0.11084212549030781</v>
      </c>
      <c r="T34" s="8">
        <f t="shared" si="1"/>
        <v>-4.6499884498452104E-10</v>
      </c>
      <c r="U34" s="8">
        <f t="shared" si="2"/>
        <v>0.11084212502464652</v>
      </c>
      <c r="V34" s="8">
        <f t="shared" si="3"/>
        <v>3.2262109650460502E-11</v>
      </c>
      <c r="W34" s="8">
        <f t="shared" si="4"/>
        <v>1.7083532057878201E-20</v>
      </c>
      <c r="X34" s="8">
        <f t="shared" si="5"/>
        <v>-1.5001843724228103E-20</v>
      </c>
      <c r="Y34" s="8">
        <f t="shared" si="6"/>
        <v>9.3132257461547852E-10</v>
      </c>
      <c r="AA34" s="8">
        <v>30</v>
      </c>
      <c r="AB34" s="8">
        <f t="shared" si="13"/>
        <v>1058.6686804890633</v>
      </c>
      <c r="AC34" s="8">
        <v>-3.7531742691498948E-7</v>
      </c>
      <c r="AD34" s="8">
        <f t="shared" si="14"/>
        <v>1058.6686842143536</v>
      </c>
      <c r="AE34" s="8">
        <v>1.2390281654006685E-6</v>
      </c>
      <c r="AF34" s="8">
        <f t="shared" si="9"/>
        <v>1058.6686823517084</v>
      </c>
      <c r="AG34" s="8">
        <v>4.3185514186916407E-7</v>
      </c>
      <c r="AH34" s="8">
        <f t="shared" si="10"/>
        <v>-1.620827606463424E-13</v>
      </c>
      <c r="AI34" s="8">
        <f t="shared" si="11"/>
        <v>5.3508068414899579E-13</v>
      </c>
      <c r="AJ34" s="8">
        <f t="shared" si="12"/>
        <v>3.7252902984619141E-6</v>
      </c>
    </row>
    <row r="35" spans="2:36" x14ac:dyDescent="0.2">
      <c r="B35" t="s">
        <v>145</v>
      </c>
      <c r="C35" s="1">
        <v>50</v>
      </c>
      <c r="F35" s="16" t="s">
        <v>87</v>
      </c>
      <c r="G35">
        <f>ROUND(G17/$C$15 * 100, 2)</f>
        <v>28.86</v>
      </c>
      <c r="H35" t="s">
        <v>95</v>
      </c>
      <c r="AA35" s="8">
        <v>31</v>
      </c>
      <c r="AB35" s="8">
        <f t="shared" si="13"/>
        <v>1058.6686804890633</v>
      </c>
      <c r="AC35">
        <v>-3.7531742691498948E-7</v>
      </c>
      <c r="AD35" s="8">
        <f t="shared" si="14"/>
        <v>1058.6686823517084</v>
      </c>
      <c r="AE35">
        <v>4.3185514186916407E-7</v>
      </c>
      <c r="AF35" s="8">
        <f t="shared" si="9"/>
        <v>1058.6686814203858</v>
      </c>
      <c r="AG35">
        <v>2.8268800633668434E-8</v>
      </c>
      <c r="AH35" s="8">
        <f t="shared" si="10"/>
        <v>-1.0609773515801261E-14</v>
      </c>
      <c r="AI35" s="8">
        <f t="shared" si="11"/>
        <v>1.2208026908123997E-14</v>
      </c>
      <c r="AJ35" s="8">
        <f t="shared" si="12"/>
        <v>1.862645149230957E-6</v>
      </c>
    </row>
    <row r="36" spans="2:36" x14ac:dyDescent="0.2">
      <c r="C36" s="1">
        <v>0.3</v>
      </c>
      <c r="F36" s="18" t="s">
        <v>107</v>
      </c>
      <c r="G36">
        <f>ROUND(SUM(G18:G20)/$C$15 * 100, 2)</f>
        <v>11.57</v>
      </c>
      <c r="H36" t="s">
        <v>95</v>
      </c>
      <c r="AA36" s="8">
        <v>32</v>
      </c>
      <c r="AB36" s="8">
        <f t="shared" si="13"/>
        <v>1058.6686804890633</v>
      </c>
      <c r="AC36">
        <v>-3.7531742691498948E-7</v>
      </c>
      <c r="AD36" s="8">
        <f t="shared" si="14"/>
        <v>1058.6686814203858</v>
      </c>
      <c r="AE36">
        <v>2.8268800633668434E-8</v>
      </c>
      <c r="AF36" s="8">
        <f t="shared" si="9"/>
        <v>1058.6686809547246</v>
      </c>
      <c r="AG36">
        <v>-1.7352442682749825E-7</v>
      </c>
      <c r="AH36" s="8">
        <f t="shared" si="10"/>
        <v>6.5126741383795013E-14</v>
      </c>
      <c r="AI36" s="8">
        <f t="shared" si="11"/>
        <v>-4.9053274270581342E-15</v>
      </c>
      <c r="AJ36" s="8">
        <f t="shared" si="12"/>
        <v>9.3132257461547852E-7</v>
      </c>
    </row>
    <row r="37" spans="2:36" x14ac:dyDescent="0.2">
      <c r="F37" s="17" t="s">
        <v>108</v>
      </c>
      <c r="G37">
        <f>ROUND(SUM(G21:G24)/$C$15 * 100, 2)</f>
        <v>15.94</v>
      </c>
      <c r="H37" t="s">
        <v>95</v>
      </c>
      <c r="AA37" s="8">
        <v>33</v>
      </c>
      <c r="AB37" s="8">
        <f t="shared" si="13"/>
        <v>1058.6686809547246</v>
      </c>
      <c r="AC37">
        <v>-1.7352442682749825E-7</v>
      </c>
      <c r="AD37" s="8">
        <f t="shared" si="14"/>
        <v>1058.6686814203858</v>
      </c>
      <c r="AE37">
        <v>2.8268800633668434E-8</v>
      </c>
      <c r="AF37" s="8">
        <f t="shared" si="9"/>
        <v>1058.6686811875552</v>
      </c>
      <c r="AG37">
        <v>-7.2627699410077184E-8</v>
      </c>
      <c r="AH37" s="8">
        <f t="shared" si="10"/>
        <v>1.2602679911933476E-14</v>
      </c>
      <c r="AI37" s="8">
        <f t="shared" si="11"/>
        <v>-2.0530979551054705E-15</v>
      </c>
      <c r="AJ37" s="8">
        <f t="shared" si="12"/>
        <v>4.6566128730773926E-7</v>
      </c>
    </row>
    <row r="38" spans="2:36" x14ac:dyDescent="0.2">
      <c r="F38" s="15" t="s">
        <v>109</v>
      </c>
      <c r="G38">
        <f>ROUND(SUM(G25:G28)/$C$15*100, 2)</f>
        <v>5.85</v>
      </c>
      <c r="H38" t="s">
        <v>95</v>
      </c>
      <c r="AA38" s="8">
        <v>34</v>
      </c>
      <c r="AB38" s="8">
        <f t="shared" si="13"/>
        <v>1058.6686811875552</v>
      </c>
      <c r="AC38">
        <v>-7.2627699410077184E-8</v>
      </c>
      <c r="AD38" s="8">
        <f t="shared" si="14"/>
        <v>1058.6686814203858</v>
      </c>
      <c r="AE38">
        <v>2.8268800633668434E-8</v>
      </c>
      <c r="AF38" s="8">
        <f t="shared" si="9"/>
        <v>1058.6686813039705</v>
      </c>
      <c r="AG38">
        <v>-2.2179392544785514E-8</v>
      </c>
      <c r="AH38" s="8">
        <f t="shared" si="10"/>
        <v>1.6108382548407892E-15</v>
      </c>
      <c r="AI38" s="8">
        <f t="shared" si="11"/>
        <v>-6.2698482602441369E-16</v>
      </c>
      <c r="AJ38" s="8">
        <f t="shared" si="12"/>
        <v>2.3283064365386963E-7</v>
      </c>
    </row>
    <row r="39" spans="2:36" x14ac:dyDescent="0.2">
      <c r="B39" t="s">
        <v>151</v>
      </c>
      <c r="C39" s="1">
        <v>1.49999999995335</v>
      </c>
      <c r="F39" s="3" t="s">
        <v>96</v>
      </c>
      <c r="G39" s="3">
        <f>SUM(G34:G38)</f>
        <v>100</v>
      </c>
      <c r="H39" s="3" t="s">
        <v>95</v>
      </c>
      <c r="AA39" s="8">
        <v>35</v>
      </c>
      <c r="AB39" s="8">
        <f t="shared" si="13"/>
        <v>1058.6686813039705</v>
      </c>
      <c r="AC39">
        <v>-2.2179392544785514E-8</v>
      </c>
      <c r="AD39" s="8">
        <f t="shared" si="14"/>
        <v>1058.6686814203858</v>
      </c>
      <c r="AE39">
        <v>2.8268800633668434E-8</v>
      </c>
      <c r="AF39" s="8">
        <f t="shared" si="9"/>
        <v>1058.6686813621782</v>
      </c>
      <c r="AG39">
        <v>3.0447608878603205E-9</v>
      </c>
      <c r="AH39" s="8">
        <f t="shared" si="10"/>
        <v>-6.7530946936863717E-17</v>
      </c>
      <c r="AI39" s="8">
        <f t="shared" si="11"/>
        <v>8.6071738516114692E-17</v>
      </c>
      <c r="AJ39" s="8">
        <f t="shared" si="12"/>
        <v>1.1641532182693481E-7</v>
      </c>
    </row>
    <row r="40" spans="2:36" x14ac:dyDescent="0.2">
      <c r="B40" t="s">
        <v>145</v>
      </c>
      <c r="C40" s="1">
        <v>26.069459131922201</v>
      </c>
      <c r="AA40" s="8">
        <v>36</v>
      </c>
      <c r="AB40" s="8">
        <f t="shared" si="13"/>
        <v>1058.6686813039705</v>
      </c>
      <c r="AC40">
        <v>-2.2179392544785514E-8</v>
      </c>
      <c r="AD40" s="8">
        <f t="shared" si="14"/>
        <v>1058.6686813621782</v>
      </c>
      <c r="AE40">
        <v>3.0447608878603205E-9</v>
      </c>
      <c r="AF40" s="8">
        <f t="shared" si="9"/>
        <v>1058.6686813330743</v>
      </c>
      <c r="AG40">
        <v>-9.5675432021380402E-9</v>
      </c>
      <c r="AH40" s="8">
        <f t="shared" si="10"/>
        <v>2.1220229636941378E-16</v>
      </c>
      <c r="AI40" s="8">
        <f t="shared" si="11"/>
        <v>-2.9130881334783793E-17</v>
      </c>
      <c r="AJ40" s="8">
        <f t="shared" si="12"/>
        <v>5.8207660913467407E-8</v>
      </c>
    </row>
    <row r="41" spans="2:36" x14ac:dyDescent="0.2">
      <c r="C41" s="1">
        <v>0.499999998351708</v>
      </c>
      <c r="AA41" s="8">
        <v>37</v>
      </c>
      <c r="AB41" s="8">
        <f t="shared" si="13"/>
        <v>1058.6686813330743</v>
      </c>
      <c r="AC41">
        <v>-9.5675432021380402E-9</v>
      </c>
      <c r="AD41" s="8">
        <f t="shared" si="14"/>
        <v>1058.6686813621782</v>
      </c>
      <c r="AE41">
        <v>3.0447608878603205E-9</v>
      </c>
      <c r="AF41" s="8">
        <f t="shared" si="9"/>
        <v>1058.6686813476263</v>
      </c>
      <c r="AG41">
        <v>-3.2615616873954423E-9</v>
      </c>
      <c r="AH41" s="8">
        <f t="shared" si="10"/>
        <v>3.120513235059414E-17</v>
      </c>
      <c r="AI41" s="8">
        <f t="shared" si="11"/>
        <v>-9.930675459125352E-18</v>
      </c>
      <c r="AJ41" s="8">
        <f t="shared" si="12"/>
        <v>2.9103830456733704E-8</v>
      </c>
    </row>
    <row r="42" spans="2:36" x14ac:dyDescent="0.2">
      <c r="AA42" s="8">
        <v>38</v>
      </c>
      <c r="AB42" s="8">
        <f t="shared" si="13"/>
        <v>1058.6686813476263</v>
      </c>
      <c r="AC42">
        <v>-3.2615616873954423E-9</v>
      </c>
      <c r="AD42" s="8">
        <f t="shared" si="14"/>
        <v>1058.6686813621782</v>
      </c>
      <c r="AE42">
        <v>3.0447608878603205E-9</v>
      </c>
      <c r="AF42" s="8">
        <f t="shared" si="9"/>
        <v>1058.6686813549022</v>
      </c>
      <c r="AG42">
        <v>-1.0845724318642169E-10</v>
      </c>
      <c r="AH42" s="8">
        <f t="shared" si="10"/>
        <v>3.5373998909736337E-19</v>
      </c>
      <c r="AI42" s="8">
        <f t="shared" si="11"/>
        <v>-3.3022637205917201E-19</v>
      </c>
      <c r="AJ42" s="8">
        <f t="shared" si="12"/>
        <v>1.4551915228366852E-8</v>
      </c>
    </row>
    <row r="43" spans="2:36" x14ac:dyDescent="0.2">
      <c r="AA43" s="8">
        <v>39</v>
      </c>
      <c r="AB43" s="8">
        <f t="shared" si="13"/>
        <v>1058.6686813549022</v>
      </c>
      <c r="AC43">
        <v>-1.0845724318642169E-10</v>
      </c>
      <c r="AD43" s="8">
        <f t="shared" si="14"/>
        <v>1058.6686813621782</v>
      </c>
      <c r="AE43">
        <v>3.0447608878603205E-9</v>
      </c>
      <c r="AF43" s="8">
        <f t="shared" si="9"/>
        <v>1058.6686813585402</v>
      </c>
      <c r="AG43">
        <v>1.4681518223369494E-9</v>
      </c>
      <c r="AH43" s="8">
        <f t="shared" si="10"/>
        <v>-1.592316992297867E-19</v>
      </c>
      <c r="AI43" s="8">
        <f t="shared" si="11"/>
        <v>4.4701712460923976E-18</v>
      </c>
      <c r="AJ43" s="8">
        <f t="shared" si="12"/>
        <v>7.2759576141834259E-9</v>
      </c>
    </row>
    <row r="44" spans="2:36" x14ac:dyDescent="0.2">
      <c r="B44" t="s">
        <v>146</v>
      </c>
      <c r="C44" s="1">
        <v>1</v>
      </c>
      <c r="AA44" s="8">
        <v>40</v>
      </c>
      <c r="AB44" s="8">
        <f t="shared" si="13"/>
        <v>1058.6686813549022</v>
      </c>
      <c r="AC44">
        <v>-1.0845724318642169E-10</v>
      </c>
      <c r="AD44" s="8">
        <f t="shared" si="14"/>
        <v>1058.6686813585402</v>
      </c>
      <c r="AE44">
        <v>1.4681518223369494E-9</v>
      </c>
      <c r="AF44" s="11">
        <f t="shared" si="9"/>
        <v>1058.6686813567212</v>
      </c>
      <c r="AG44">
        <v>6.7961991589982063E-10</v>
      </c>
      <c r="AH44" s="8">
        <f t="shared" si="10"/>
        <v>-7.3709702493082304E-20</v>
      </c>
      <c r="AI44" s="8">
        <f t="shared" si="11"/>
        <v>9.9778521802480595E-19</v>
      </c>
      <c r="AJ44" s="8">
        <f t="shared" si="12"/>
        <v>3.637978807091713E-9</v>
      </c>
    </row>
    <row r="45" spans="2:36" x14ac:dyDescent="0.2">
      <c r="B45" t="s">
        <v>148</v>
      </c>
      <c r="C45" s="1">
        <v>30</v>
      </c>
    </row>
    <row r="46" spans="2:36" x14ac:dyDescent="0.2">
      <c r="B46" t="s">
        <v>147</v>
      </c>
      <c r="C46" s="1">
        <v>0.3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B1:D1"/>
    <mergeCell ref="B3:D3"/>
    <mergeCell ref="F3:H3"/>
    <mergeCell ref="J3:L3"/>
    <mergeCell ref="F7:H7"/>
    <mergeCell ref="B29:D29"/>
    <mergeCell ref="J11:L11"/>
    <mergeCell ref="J16:L16"/>
    <mergeCell ref="B9:D9"/>
    <mergeCell ref="F15:H15"/>
    <mergeCell ref="B14:D14"/>
    <mergeCell ref="B20:D20"/>
    <mergeCell ref="B25:D25"/>
    <mergeCell ref="F11:H11"/>
  </mergeCells>
  <conditionalFormatting sqref="G30">
    <cfRule type="containsText" dxfId="11" priority="1" operator="containsText" text="FALSE">
      <formula>NOT(ISERROR(SEARCH("FALSE",G30)))</formula>
    </cfRule>
    <cfRule type="containsText" dxfId="10" priority="2" operator="containsText" text="TRUE">
      <formula>NOT(ISERROR(SEARCH("TRUE",G30)))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NOT(ISERROR(SEARCH("YES",G30)))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J60"/>
  <sheetViews>
    <sheetView topLeftCell="A10" workbookViewId="0">
      <selection activeCell="C22" sqref="C22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4" t="s">
        <v>0</v>
      </c>
      <c r="C1" s="24"/>
      <c r="D1" s="24"/>
    </row>
    <row r="2" spans="2:36" x14ac:dyDescent="0.2">
      <c r="P2" s="6" t="s">
        <v>75</v>
      </c>
      <c r="AA2" s="6" t="s">
        <v>106</v>
      </c>
    </row>
    <row r="3" spans="2:36" x14ac:dyDescent="0.2">
      <c r="B3" s="21" t="s">
        <v>111</v>
      </c>
      <c r="C3" s="23"/>
      <c r="D3" s="23"/>
      <c r="F3" s="21" t="s">
        <v>33</v>
      </c>
      <c r="G3" s="23"/>
      <c r="H3" s="23"/>
      <c r="J3" s="19" t="s">
        <v>45</v>
      </c>
      <c r="K3" s="19"/>
      <c r="L3" s="19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</v>
      </c>
      <c r="F4" t="s">
        <v>34</v>
      </c>
      <c r="G4">
        <f xml:space="preserve"> 1/$C$9 * SQRT( ($C$20*$C$34)^3 / (2 * $C$33 * PI() * $C$21^2* $C$5) )</f>
        <v>263233.32295700605</v>
      </c>
      <c r="H4" t="s">
        <v>35</v>
      </c>
      <c r="J4" t="s">
        <v>46</v>
      </c>
      <c r="K4">
        <f xml:space="preserve"> $C$20 * $C$34</f>
        <v>12164.3942948941</v>
      </c>
      <c r="L4" t="s">
        <v>37</v>
      </c>
      <c r="P4" s="8">
        <v>0</v>
      </c>
      <c r="Q4" s="9">
        <v>0</v>
      </c>
      <c r="R4" s="8">
        <f t="shared" ref="R4:R34" si="0" xml:space="preserve"> $K$20 * TAN($K$17) + $K$21 / (2 * SQRT($K$20^2 + Q4^2)) - Q4</f>
        <v>1.1457993016711427</v>
      </c>
      <c r="S4" s="9">
        <v>1</v>
      </c>
      <c r="T4" s="8">
        <f t="shared" ref="T4:T34" si="1" xml:space="preserve"> $K$20 * TAN($K$17) + $K$21 / (2 * SQRT($K$20^2 + S4^2)) - S4</f>
        <v>-0.65991996386560281</v>
      </c>
      <c r="U4" s="8">
        <f xml:space="preserve"> (Q4 + S4)/2</f>
        <v>0.5</v>
      </c>
      <c r="V4" s="8">
        <f t="shared" ref="V4:V34" si="2" xml:space="preserve"> $K$20 * TAN($K$17) + $K$21 / (2 * SQRT($K$20^2 + U4^2)) - U4</f>
        <v>-0.13699147913345805</v>
      </c>
      <c r="W4" s="8">
        <f>R4*V4</f>
        <v>-0.15696474112601316</v>
      </c>
      <c r="X4" s="8">
        <f>T4*V4</f>
        <v>9.0403411959647115E-2</v>
      </c>
      <c r="Y4" s="8">
        <f>S4-Q4</f>
        <v>1</v>
      </c>
      <c r="AA4" s="8">
        <v>0</v>
      </c>
      <c r="AB4" s="8"/>
      <c r="AC4" s="8">
        <f>G30</f>
        <v>-8.1058715295512229E-11</v>
      </c>
      <c r="AD4" s="8"/>
      <c r="AE4" s="8">
        <f>G30</f>
        <v>-8.1058715295512229E-11</v>
      </c>
      <c r="AF4" s="8"/>
      <c r="AG4" s="8">
        <f>G30</f>
        <v>-8.1058715295512229E-11</v>
      </c>
      <c r="AH4" s="8"/>
      <c r="AI4" s="8"/>
      <c r="AJ4" s="8"/>
    </row>
    <row r="5" spans="2:36" x14ac:dyDescent="0.2">
      <c r="B5" t="s">
        <v>63</v>
      </c>
      <c r="C5" s="1">
        <v>6</v>
      </c>
      <c r="F5" t="s">
        <v>36</v>
      </c>
      <c r="G5">
        <f xml:space="preserve"> $C$20 * $C$34 / $C$5</f>
        <v>2027.3990491490167</v>
      </c>
      <c r="H5" t="s">
        <v>37</v>
      </c>
      <c r="J5" t="s">
        <v>47</v>
      </c>
      <c r="K5">
        <f xml:space="preserve"> 0.5 * $C$33 * $C$23^2</f>
        <v>551.25</v>
      </c>
      <c r="L5" t="s">
        <v>48</v>
      </c>
      <c r="P5" s="8">
        <v>1</v>
      </c>
      <c r="Q5" s="8">
        <f>IF(W4&gt;0, U4, Q4)</f>
        <v>0</v>
      </c>
      <c r="R5" s="8">
        <f t="shared" si="0"/>
        <v>1.1457993016711427</v>
      </c>
      <c r="S5" s="8">
        <f>IF(X4&gt;0, U4, S4)</f>
        <v>0.5</v>
      </c>
      <c r="T5" s="8">
        <f t="shared" si="1"/>
        <v>-0.13699147913345805</v>
      </c>
      <c r="U5" s="8">
        <f t="shared" ref="U5:U34" si="3" xml:space="preserve"> (Q5 + S5)/2</f>
        <v>0.25</v>
      </c>
      <c r="V5" s="8">
        <f t="shared" si="2"/>
        <v>0.15849860530369719</v>
      </c>
      <c r="W5" s="8">
        <f t="shared" ref="W5:W34" si="4">R5*V5</f>
        <v>0.18160759127282633</v>
      </c>
      <c r="X5" s="8">
        <f t="shared" ref="X5:X34" si="5">T5*V5</f>
        <v>-2.1712958381143638E-2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20" ca="1"/>
        <v>-316.38214877663165</v>
      </c>
      <c r="AD5" s="9">
        <v>2500</v>
      </c>
      <c r="AE5" s="8">
        <f t="dataTable" ref="AE5:AE44" dt2D="0" dtr="0" r1="C20"/>
        <v>116.14060012224877</v>
      </c>
      <c r="AF5" s="8">
        <f>(AB5+AD5)/2</f>
        <v>1500</v>
      </c>
      <c r="AG5" s="8">
        <f t="dataTable" ref="AG5:AG44" dt2D="0" dtr="0" r1="C20" ca="1"/>
        <v>74.907148780426269</v>
      </c>
      <c r="AH5" s="8">
        <f>AC5*AG5</f>
        <v>-23699.284689882104</v>
      </c>
      <c r="AI5" s="8">
        <f>AE5*AG5</f>
        <v>8699.7612128052824</v>
      </c>
      <c r="AJ5" s="8">
        <f>AD5-AB5</f>
        <v>2000</v>
      </c>
    </row>
    <row r="6" spans="2:36" x14ac:dyDescent="0.2">
      <c r="B6" t="s">
        <v>64</v>
      </c>
      <c r="C6" s="1">
        <v>1</v>
      </c>
      <c r="J6" t="s">
        <v>67</v>
      </c>
      <c r="K6">
        <f xml:space="preserve"> 1.6 * ($C$20*2.20462/1000)^(2/3) * 0.3048^2</f>
        <v>0.29061635914651102</v>
      </c>
      <c r="L6" t="s">
        <v>21</v>
      </c>
      <c r="P6" s="8">
        <v>2</v>
      </c>
      <c r="Q6" s="8">
        <f t="shared" ref="Q6:Q34" si="7">IF(W5&gt;0, U5, Q5)</f>
        <v>0.25</v>
      </c>
      <c r="R6" s="8">
        <f t="shared" si="0"/>
        <v>0.15849860530369719</v>
      </c>
      <c r="S6" s="8">
        <f t="shared" ref="S6:S34" si="8">IF(X5&gt;0, U5, S5)</f>
        <v>0.5</v>
      </c>
      <c r="T6" s="8">
        <f t="shared" si="1"/>
        <v>-0.13699147913345805</v>
      </c>
      <c r="U6" s="8">
        <f t="shared" si="3"/>
        <v>0.375</v>
      </c>
      <c r="V6" s="8">
        <f t="shared" si="2"/>
        <v>3.2388899899743473E-3</v>
      </c>
      <c r="W6" s="8">
        <f t="shared" si="4"/>
        <v>5.1335954614303988E-4</v>
      </c>
      <c r="X6" s="8">
        <f t="shared" si="5"/>
        <v>-4.4370033047713697E-4</v>
      </c>
      <c r="Y6" s="8">
        <f t="shared" si="6"/>
        <v>0.25</v>
      </c>
      <c r="AA6" s="8">
        <v>2</v>
      </c>
      <c r="AB6" s="8">
        <f>IF(AH5&gt;0,AF5,AB5)</f>
        <v>500</v>
      </c>
      <c r="AC6" s="8">
        <v>-316.38214877663165</v>
      </c>
      <c r="AD6" s="8">
        <f>IF(AI5&gt;0,AF5,AD5)</f>
        <v>1500</v>
      </c>
      <c r="AE6" s="8">
        <v>74.907148780426269</v>
      </c>
      <c r="AF6" s="8">
        <f t="shared" ref="AF6:AF44" si="9">(AB6+AD6)/2</f>
        <v>1000</v>
      </c>
      <c r="AG6" s="8">
        <v>-87.818211887496318</v>
      </c>
      <c r="AH6" s="8">
        <f t="shared" ref="AH6:AH44" si="10">AC6*AG6</f>
        <v>27784.114578687622</v>
      </c>
      <c r="AI6" s="8">
        <f t="shared" ref="AI6:AI44" si="11">AE6*AG6</f>
        <v>-6578.2118634876852</v>
      </c>
      <c r="AJ6" s="8">
        <f t="shared" ref="AJ6:AJ44" si="12">AD6-AB6</f>
        <v>1000</v>
      </c>
    </row>
    <row r="7" spans="2:36" x14ac:dyDescent="0.2">
      <c r="B7" t="s">
        <v>2</v>
      </c>
      <c r="C7" s="1">
        <v>0.13</v>
      </c>
      <c r="F7" s="21" t="s">
        <v>38</v>
      </c>
      <c r="G7" s="23"/>
      <c r="H7" s="23"/>
      <c r="J7" t="s">
        <v>68</v>
      </c>
      <c r="K7">
        <f xml:space="preserve"> K6 / $C$24</f>
        <v>3.6327044893313877E-2</v>
      </c>
      <c r="P7" s="8">
        <v>3</v>
      </c>
      <c r="Q7" s="8">
        <f t="shared" si="7"/>
        <v>0.375</v>
      </c>
      <c r="R7" s="8">
        <f t="shared" si="0"/>
        <v>3.2388899899743473E-3</v>
      </c>
      <c r="S7" s="8">
        <f t="shared" si="8"/>
        <v>0.5</v>
      </c>
      <c r="T7" s="8">
        <f t="shared" si="1"/>
        <v>-0.13699147913345805</v>
      </c>
      <c r="U7" s="8">
        <f t="shared" si="3"/>
        <v>0.4375</v>
      </c>
      <c r="V7" s="8">
        <f t="shared" si="2"/>
        <v>-6.7957552598711224E-2</v>
      </c>
      <c r="W7" s="8">
        <f t="shared" si="4"/>
        <v>-2.2010703685512096E-4</v>
      </c>
      <c r="X7" s="8">
        <f t="shared" si="5"/>
        <v>9.3096056487872256E-3</v>
      </c>
      <c r="Y7" s="8">
        <f t="shared" si="6"/>
        <v>0.125</v>
      </c>
      <c r="AA7" s="8">
        <v>3</v>
      </c>
      <c r="AB7" s="8">
        <f t="shared" ref="AB7:AB44" si="13">IF(AH6&gt;0,AF6,AB6)</f>
        <v>1000</v>
      </c>
      <c r="AC7" s="8">
        <v>-87.818211887496318</v>
      </c>
      <c r="AD7" s="8">
        <f t="shared" ref="AD7:AD44" si="14">IF(AI6&gt;0,AF6,AD6)</f>
        <v>1500</v>
      </c>
      <c r="AE7" s="8">
        <v>74.907148780426269</v>
      </c>
      <c r="AF7" s="8">
        <f t="shared" si="9"/>
        <v>1250</v>
      </c>
      <c r="AG7" s="8">
        <v>3.2880417107148787</v>
      </c>
      <c r="AH7" s="8">
        <f t="shared" si="10"/>
        <v>-288.74994364648506</v>
      </c>
      <c r="AI7" s="8">
        <f t="shared" si="11"/>
        <v>246.29782962076672</v>
      </c>
      <c r="AJ7" s="8">
        <f t="shared" si="12"/>
        <v>500</v>
      </c>
    </row>
    <row r="8" spans="2:36" x14ac:dyDescent="0.2">
      <c r="B8" t="s">
        <v>3</v>
      </c>
      <c r="C8" s="1">
        <v>0.13</v>
      </c>
      <c r="F8" s="4" t="s">
        <v>39</v>
      </c>
      <c r="G8">
        <f xml:space="preserve"> K23 + K18 * (K28 * K25 + $C$23 * SIN(K17))</f>
        <v>59343.788209791019</v>
      </c>
      <c r="H8" t="s">
        <v>35</v>
      </c>
      <c r="J8" t="s">
        <v>69</v>
      </c>
      <c r="K8">
        <f xml:space="preserve"> K5 * $C$24 * K7</f>
        <v>160.2022679795142</v>
      </c>
      <c r="L8" t="s">
        <v>37</v>
      </c>
      <c r="P8" s="8">
        <v>4</v>
      </c>
      <c r="Q8" s="8">
        <f t="shared" si="7"/>
        <v>0.375</v>
      </c>
      <c r="R8" s="8">
        <f t="shared" si="0"/>
        <v>3.2388899899743473E-3</v>
      </c>
      <c r="S8" s="8">
        <f t="shared" si="8"/>
        <v>0.4375</v>
      </c>
      <c r="T8" s="8">
        <f t="shared" si="1"/>
        <v>-6.7957552598711224E-2</v>
      </c>
      <c r="U8" s="8">
        <f t="shared" si="3"/>
        <v>0.40625</v>
      </c>
      <c r="V8" s="8">
        <f t="shared" si="2"/>
        <v>-3.2691471828298124E-2</v>
      </c>
      <c r="W8" s="8">
        <f t="shared" si="4"/>
        <v>-1.0588408086220317E-4</v>
      </c>
      <c r="X8" s="8">
        <f t="shared" si="5"/>
        <v>2.2216324163008561E-3</v>
      </c>
      <c r="Y8" s="8">
        <f t="shared" si="6"/>
        <v>6.25E-2</v>
      </c>
      <c r="AA8" s="8">
        <v>4</v>
      </c>
      <c r="AB8" s="8">
        <f t="shared" si="13"/>
        <v>1000</v>
      </c>
      <c r="AC8" s="8">
        <v>-87.818211887496318</v>
      </c>
      <c r="AD8" s="8">
        <f t="shared" si="14"/>
        <v>1250</v>
      </c>
      <c r="AE8" s="8">
        <v>3.2880417107148787</v>
      </c>
      <c r="AF8" s="8">
        <f t="shared" si="9"/>
        <v>1125</v>
      </c>
      <c r="AG8" s="8">
        <v>-39.997701789718235</v>
      </c>
      <c r="AH8" s="8">
        <f t="shared" si="10"/>
        <v>3512.5266507823667</v>
      </c>
      <c r="AI8" s="8">
        <f t="shared" si="11"/>
        <v>-131.51411181732871</v>
      </c>
      <c r="AJ8" s="8">
        <f t="shared" si="12"/>
        <v>250</v>
      </c>
    </row>
    <row r="9" spans="2:36" x14ac:dyDescent="0.2">
      <c r="B9" t="s">
        <v>4</v>
      </c>
      <c r="C9" s="1">
        <v>0.75</v>
      </c>
      <c r="F9" s="4" t="s">
        <v>40</v>
      </c>
      <c r="G9">
        <f xml:space="preserve"> $C$6 * G8</f>
        <v>59343.788209791019</v>
      </c>
      <c r="H9" t="s">
        <v>35</v>
      </c>
      <c r="J9" t="s">
        <v>70</v>
      </c>
      <c r="K9">
        <f xml:space="preserve"> 1.78 * (1 - 0.045 * $C$12^0.68) - 0.64</f>
        <v>0.75661729604956662</v>
      </c>
      <c r="P9" s="8">
        <v>5</v>
      </c>
      <c r="Q9" s="8">
        <f t="shared" si="7"/>
        <v>0.375</v>
      </c>
      <c r="R9" s="8">
        <f t="shared" si="0"/>
        <v>3.2388899899743473E-3</v>
      </c>
      <c r="S9" s="8">
        <f t="shared" si="8"/>
        <v>0.40625</v>
      </c>
      <c r="T9" s="8">
        <f t="shared" si="1"/>
        <v>-3.2691471828298124E-2</v>
      </c>
      <c r="U9" s="8">
        <f t="shared" si="3"/>
        <v>0.390625</v>
      </c>
      <c r="V9" s="8">
        <f t="shared" si="2"/>
        <v>-1.4819192735502529E-2</v>
      </c>
      <c r="W9" s="8">
        <f t="shared" si="4"/>
        <v>-4.7997735010519707E-5</v>
      </c>
      <c r="X9" s="8">
        <f t="shared" si="5"/>
        <v>4.8446122183080112E-4</v>
      </c>
      <c r="Y9" s="8">
        <f t="shared" si="6"/>
        <v>3.125E-2</v>
      </c>
      <c r="AA9" s="8">
        <v>5</v>
      </c>
      <c r="AB9" s="8">
        <f t="shared" si="13"/>
        <v>1125</v>
      </c>
      <c r="AC9" s="8">
        <v>-39.997701789718235</v>
      </c>
      <c r="AD9" s="8">
        <f t="shared" si="14"/>
        <v>1250</v>
      </c>
      <c r="AE9" s="8">
        <v>3.2880417107148787</v>
      </c>
      <c r="AF9" s="8">
        <f t="shared" si="9"/>
        <v>1187.5</v>
      </c>
      <c r="AG9" s="8">
        <v>-17.766278981273217</v>
      </c>
      <c r="AH9" s="8">
        <f t="shared" si="10"/>
        <v>710.61032860590524</v>
      </c>
      <c r="AI9" s="8">
        <f t="shared" si="11"/>
        <v>-58.41626633462338</v>
      </c>
      <c r="AJ9" s="8">
        <f t="shared" si="12"/>
        <v>125</v>
      </c>
    </row>
    <row r="10" spans="2:36" x14ac:dyDescent="0.2">
      <c r="J10" t="s">
        <v>49</v>
      </c>
      <c r="K10">
        <f xml:space="preserve"> K4 / (K5 * $C$24)</f>
        <v>2.7583660532639684</v>
      </c>
      <c r="P10" s="8">
        <v>6</v>
      </c>
      <c r="Q10" s="8">
        <f t="shared" si="7"/>
        <v>0.375</v>
      </c>
      <c r="R10" s="8">
        <f t="shared" si="0"/>
        <v>3.2388899899743473E-3</v>
      </c>
      <c r="S10" s="8">
        <f t="shared" si="8"/>
        <v>0.390625</v>
      </c>
      <c r="T10" s="8">
        <f t="shared" si="1"/>
        <v>-1.4819192735502529E-2</v>
      </c>
      <c r="U10" s="8">
        <f t="shared" si="3"/>
        <v>0.3828125</v>
      </c>
      <c r="V10" s="8">
        <f t="shared" si="2"/>
        <v>-5.814784127819661E-3</v>
      </c>
      <c r="W10" s="8">
        <f t="shared" si="4"/>
        <v>-1.8833446105456816E-5</v>
      </c>
      <c r="X10" s="8">
        <f t="shared" si="5"/>
        <v>8.6170406705500532E-5</v>
      </c>
      <c r="Y10" s="8">
        <f t="shared" si="6"/>
        <v>1.5625E-2</v>
      </c>
      <c r="AA10" s="8">
        <v>6</v>
      </c>
      <c r="AB10" s="8">
        <f t="shared" si="13"/>
        <v>1187.5</v>
      </c>
      <c r="AC10" s="8">
        <v>-17.766278981273217</v>
      </c>
      <c r="AD10" s="8">
        <f t="shared" si="14"/>
        <v>1250</v>
      </c>
      <c r="AE10" s="8">
        <v>3.2880417107148787</v>
      </c>
      <c r="AF10" s="8">
        <f t="shared" si="9"/>
        <v>1218.75</v>
      </c>
      <c r="AG10" s="8">
        <v>-7.0893360001998644</v>
      </c>
      <c r="AH10" s="8">
        <f t="shared" si="10"/>
        <v>125.9511211715344</v>
      </c>
      <c r="AI10" s="8">
        <f t="shared" si="11"/>
        <v>-23.310032469929737</v>
      </c>
      <c r="AJ10" s="8">
        <f t="shared" si="12"/>
        <v>62.5</v>
      </c>
    </row>
    <row r="11" spans="2:36" x14ac:dyDescent="0.2">
      <c r="B11" s="21" t="s">
        <v>5</v>
      </c>
      <c r="C11" s="23"/>
      <c r="D11" s="23"/>
      <c r="F11" s="21" t="s">
        <v>41</v>
      </c>
      <c r="G11" s="23"/>
      <c r="H11" s="23"/>
      <c r="J11" t="s">
        <v>71</v>
      </c>
      <c r="K11">
        <f xml:space="preserve"> K7 + K10^2 / ( PI() * K9 * $C$12 )</f>
        <v>0.35642113892619809</v>
      </c>
      <c r="P11" s="8">
        <v>7</v>
      </c>
      <c r="Q11" s="8">
        <f t="shared" si="7"/>
        <v>0.375</v>
      </c>
      <c r="R11" s="8">
        <f t="shared" si="0"/>
        <v>3.2388899899743473E-3</v>
      </c>
      <c r="S11" s="8">
        <f t="shared" si="8"/>
        <v>0.3828125</v>
      </c>
      <c r="T11" s="8">
        <f t="shared" si="1"/>
        <v>-5.814784127819661E-3</v>
      </c>
      <c r="U11" s="8">
        <f t="shared" si="3"/>
        <v>0.37890625</v>
      </c>
      <c r="V11" s="8">
        <f t="shared" si="2"/>
        <v>-1.2942936984547959E-3</v>
      </c>
      <c r="W11" s="8">
        <f t="shared" si="4"/>
        <v>-4.1920749040121148E-6</v>
      </c>
      <c r="X11" s="8">
        <f t="shared" si="5"/>
        <v>7.5260384545119539E-6</v>
      </c>
      <c r="Y11" s="8">
        <f t="shared" si="6"/>
        <v>7.8125E-3</v>
      </c>
      <c r="AA11" s="8">
        <v>7</v>
      </c>
      <c r="AB11" s="8">
        <f t="shared" si="13"/>
        <v>1218.75</v>
      </c>
      <c r="AC11" s="8">
        <v>-7.0893360001998644</v>
      </c>
      <c r="AD11" s="8">
        <f t="shared" si="14"/>
        <v>1250</v>
      </c>
      <c r="AE11" s="8">
        <v>3.2880417107148787</v>
      </c>
      <c r="AF11" s="8">
        <f t="shared" si="9"/>
        <v>1234.375</v>
      </c>
      <c r="AG11" s="8">
        <v>-1.8628745280194607</v>
      </c>
      <c r="AH11" s="8">
        <f t="shared" si="10"/>
        <v>13.206543455343693</v>
      </c>
      <c r="AI11" s="8">
        <f t="shared" si="11"/>
        <v>-6.1252091499562802</v>
      </c>
      <c r="AJ11" s="8">
        <f t="shared" si="12"/>
        <v>31.25</v>
      </c>
    </row>
    <row r="12" spans="2:36" x14ac:dyDescent="0.2">
      <c r="B12" t="s">
        <v>7</v>
      </c>
      <c r="C12" s="1">
        <v>10</v>
      </c>
      <c r="F12" t="s">
        <v>42</v>
      </c>
      <c r="G12">
        <f xml:space="preserve"> (G4*$C$30 + G9*G13)/3600</f>
        <v>34033.273810964572</v>
      </c>
      <c r="H12" t="s">
        <v>43</v>
      </c>
      <c r="J12" t="s">
        <v>72</v>
      </c>
      <c r="K12">
        <f xml:space="preserve"> K5 * K11 * $C$24</f>
        <v>1571.8172226645336</v>
      </c>
      <c r="L12" t="s">
        <v>37</v>
      </c>
      <c r="P12" s="8">
        <v>8</v>
      </c>
      <c r="Q12" s="8">
        <f t="shared" si="7"/>
        <v>0.375</v>
      </c>
      <c r="R12" s="8">
        <f t="shared" si="0"/>
        <v>3.2388899899743473E-3</v>
      </c>
      <c r="S12" s="8">
        <f t="shared" si="8"/>
        <v>0.37890625</v>
      </c>
      <c r="T12" s="8">
        <f t="shared" si="1"/>
        <v>-1.2942936984547959E-3</v>
      </c>
      <c r="U12" s="8">
        <f t="shared" si="3"/>
        <v>0.376953125</v>
      </c>
      <c r="V12" s="8">
        <f t="shared" si="2"/>
        <v>9.7068709038683476E-4</v>
      </c>
      <c r="W12" s="8">
        <f t="shared" si="4"/>
        <v>3.1439487004512434E-6</v>
      </c>
      <c r="X12" s="8">
        <f t="shared" si="5"/>
        <v>-1.2563541842591012E-6</v>
      </c>
      <c r="Y12" s="8">
        <f t="shared" si="6"/>
        <v>3.90625E-3</v>
      </c>
      <c r="AA12" s="8">
        <v>8</v>
      </c>
      <c r="AB12" s="8">
        <f t="shared" si="13"/>
        <v>1234.375</v>
      </c>
      <c r="AC12" s="8">
        <v>-1.8628745280194607</v>
      </c>
      <c r="AD12" s="8">
        <f t="shared" si="14"/>
        <v>1250</v>
      </c>
      <c r="AE12" s="8">
        <v>3.2880417107148787</v>
      </c>
      <c r="AF12" s="8">
        <f t="shared" si="9"/>
        <v>1242.1875</v>
      </c>
      <c r="AG12" s="8">
        <v>0.72206755088757291</v>
      </c>
      <c r="AH12" s="8">
        <f t="shared" si="10"/>
        <v>-1.3451212480578554</v>
      </c>
      <c r="AI12" s="8">
        <f t="shared" si="11"/>
        <v>2.3741882252720781</v>
      </c>
      <c r="AJ12" s="8">
        <f t="shared" si="12"/>
        <v>15.625</v>
      </c>
    </row>
    <row r="13" spans="2:36" x14ac:dyDescent="0.2">
      <c r="F13" t="s">
        <v>44</v>
      </c>
      <c r="G13">
        <f xml:space="preserve"> $C$29 / $C$23</f>
        <v>1000</v>
      </c>
      <c r="H13" t="s">
        <v>26</v>
      </c>
      <c r="J13" t="s">
        <v>135</v>
      </c>
      <c r="K13">
        <f>K10/K11</f>
        <v>7.7390641351245053</v>
      </c>
      <c r="P13" s="8">
        <v>9</v>
      </c>
      <c r="Q13" s="8">
        <f t="shared" si="7"/>
        <v>0.376953125</v>
      </c>
      <c r="R13" s="8">
        <f t="shared" si="0"/>
        <v>9.7068709038683476E-4</v>
      </c>
      <c r="S13" s="8">
        <f t="shared" si="8"/>
        <v>0.37890625</v>
      </c>
      <c r="T13" s="8">
        <f t="shared" si="1"/>
        <v>-1.2942936984547959E-3</v>
      </c>
      <c r="U13" s="8">
        <f t="shared" si="3"/>
        <v>0.3779296875</v>
      </c>
      <c r="V13" s="8">
        <f t="shared" si="2"/>
        <v>-1.6220297925562122E-4</v>
      </c>
      <c r="W13" s="8">
        <f t="shared" si="4"/>
        <v>-1.5744833798571508E-7</v>
      </c>
      <c r="X13" s="8">
        <f t="shared" si="5"/>
        <v>2.0993829392114453E-7</v>
      </c>
      <c r="Y13" s="8">
        <f t="shared" si="6"/>
        <v>1.953125E-3</v>
      </c>
      <c r="AA13" s="8">
        <v>9</v>
      </c>
      <c r="AB13" s="8">
        <f t="shared" si="13"/>
        <v>1234.375</v>
      </c>
      <c r="AC13" s="8">
        <v>-1.8628745280194607</v>
      </c>
      <c r="AD13" s="8">
        <f t="shared" si="14"/>
        <v>1242.1875</v>
      </c>
      <c r="AE13" s="8">
        <v>0.72206755088757291</v>
      </c>
      <c r="AF13" s="8">
        <f t="shared" si="9"/>
        <v>1238.28125</v>
      </c>
      <c r="AG13" s="8">
        <v>-0.56803746278421841</v>
      </c>
      <c r="AH13" s="8">
        <f t="shared" si="10"/>
        <v>1.0581825203815229</v>
      </c>
      <c r="AI13" s="8">
        <f t="shared" si="11"/>
        <v>-0.41016141956499141</v>
      </c>
      <c r="AJ13" s="8">
        <f t="shared" si="12"/>
        <v>7.8125</v>
      </c>
    </row>
    <row r="14" spans="2:36" x14ac:dyDescent="0.2">
      <c r="B14" s="21" t="s">
        <v>8</v>
      </c>
      <c r="C14" s="23"/>
      <c r="D14" s="23"/>
      <c r="P14" s="8">
        <v>10</v>
      </c>
      <c r="Q14" s="8">
        <f t="shared" si="7"/>
        <v>0.376953125</v>
      </c>
      <c r="R14" s="8">
        <f t="shared" si="0"/>
        <v>9.7068709038683476E-4</v>
      </c>
      <c r="S14" s="8">
        <f t="shared" si="8"/>
        <v>0.3779296875</v>
      </c>
      <c r="T14" s="8">
        <f t="shared" si="1"/>
        <v>-1.6220297925562122E-4</v>
      </c>
      <c r="U14" s="8">
        <f t="shared" si="3"/>
        <v>0.37744140625</v>
      </c>
      <c r="V14" s="8">
        <f t="shared" si="2"/>
        <v>4.0414175314607004E-4</v>
      </c>
      <c r="W14" s="8">
        <f t="shared" si="4"/>
        <v>3.9229518246519317E-7</v>
      </c>
      <c r="X14" s="8">
        <f t="shared" si="5"/>
        <v>-6.5552996401882382E-8</v>
      </c>
      <c r="Y14" s="8">
        <f t="shared" si="6"/>
        <v>9.765625E-4</v>
      </c>
      <c r="AA14" s="8">
        <v>10</v>
      </c>
      <c r="AB14" s="8">
        <f t="shared" si="13"/>
        <v>1238.28125</v>
      </c>
      <c r="AC14" s="8">
        <v>-0.56803746278421841</v>
      </c>
      <c r="AD14" s="8">
        <f t="shared" si="14"/>
        <v>1242.1875</v>
      </c>
      <c r="AE14" s="8">
        <v>0.72206755088757291</v>
      </c>
      <c r="AF14" s="8">
        <f t="shared" si="9"/>
        <v>1240.234375</v>
      </c>
      <c r="AG14" s="8">
        <v>7.7607141678072367E-2</v>
      </c>
      <c r="AH14" s="8">
        <f t="shared" si="10"/>
        <v>-4.40837638527476E-2</v>
      </c>
      <c r="AI14" s="8">
        <f t="shared" si="11"/>
        <v>5.6037598722870598E-2</v>
      </c>
      <c r="AJ14" s="8">
        <f t="shared" si="12"/>
        <v>3.90625</v>
      </c>
    </row>
    <row r="15" spans="2:36" x14ac:dyDescent="0.2">
      <c r="B15" t="s">
        <v>9</v>
      </c>
      <c r="C15" s="1">
        <v>250</v>
      </c>
      <c r="D15" t="s">
        <v>10</v>
      </c>
      <c r="F15" s="21" t="s">
        <v>86</v>
      </c>
      <c r="G15" s="21"/>
      <c r="H15" s="21"/>
      <c r="P15" s="8">
        <v>11</v>
      </c>
      <c r="Q15" s="8">
        <f t="shared" si="7"/>
        <v>0.37744140625</v>
      </c>
      <c r="R15" s="8">
        <f t="shared" si="0"/>
        <v>4.0414175314607004E-4</v>
      </c>
      <c r="S15" s="8">
        <f t="shared" si="8"/>
        <v>0.3779296875</v>
      </c>
      <c r="T15" s="8">
        <f t="shared" si="1"/>
        <v>-1.6220297925562122E-4</v>
      </c>
      <c r="U15" s="8">
        <f t="shared" si="3"/>
        <v>0.377685546875</v>
      </c>
      <c r="V15" s="8">
        <f t="shared" si="2"/>
        <v>1.2094435944498549E-4</v>
      </c>
      <c r="W15" s="8">
        <f t="shared" si="4"/>
        <v>4.8878665459224894E-8</v>
      </c>
      <c r="X15" s="8">
        <f t="shared" si="5"/>
        <v>-1.9617535426139379E-8</v>
      </c>
      <c r="Y15" s="8">
        <f t="shared" si="6"/>
        <v>4.8828125E-4</v>
      </c>
      <c r="AA15" s="8">
        <v>11</v>
      </c>
      <c r="AB15" s="8">
        <f t="shared" si="13"/>
        <v>1238.28125</v>
      </c>
      <c r="AC15" s="8">
        <v>-0.56803746278421841</v>
      </c>
      <c r="AD15" s="8">
        <f t="shared" si="14"/>
        <v>1240.234375</v>
      </c>
      <c r="AE15" s="8">
        <v>7.7607141678072367E-2</v>
      </c>
      <c r="AF15" s="8">
        <f t="shared" si="9"/>
        <v>1239.2578125</v>
      </c>
      <c r="AG15" s="8">
        <v>-0.24506741497907569</v>
      </c>
      <c r="AH15" s="8">
        <f t="shared" si="10"/>
        <v>0.13920747261580133</v>
      </c>
      <c r="AI15" s="8">
        <f t="shared" si="11"/>
        <v>-1.9018981594960082E-2</v>
      </c>
      <c r="AJ15" s="8">
        <f t="shared" si="12"/>
        <v>1.953125</v>
      </c>
    </row>
    <row r="16" spans="2:36" x14ac:dyDescent="0.2">
      <c r="B16" t="s">
        <v>11</v>
      </c>
      <c r="C16" s="1">
        <v>0.85</v>
      </c>
      <c r="F16" s="3" t="s">
        <v>152</v>
      </c>
      <c r="G16" s="5">
        <f>C20</f>
        <v>1239.9994184397656</v>
      </c>
      <c r="H16" t="s">
        <v>14</v>
      </c>
      <c r="J16" s="21" t="s">
        <v>50</v>
      </c>
      <c r="K16" s="22"/>
      <c r="L16" s="22"/>
      <c r="P16" s="8">
        <v>12</v>
      </c>
      <c r="Q16" s="8">
        <f t="shared" si="7"/>
        <v>0.377685546875</v>
      </c>
      <c r="R16" s="8">
        <f t="shared" si="0"/>
        <v>1.2094435944498549E-4</v>
      </c>
      <c r="S16" s="8">
        <f t="shared" si="8"/>
        <v>0.3779296875</v>
      </c>
      <c r="T16" s="8">
        <f t="shared" si="1"/>
        <v>-1.6220297925562122E-4</v>
      </c>
      <c r="U16" s="8">
        <f t="shared" si="3"/>
        <v>0.3778076171875</v>
      </c>
      <c r="V16" s="8">
        <f t="shared" si="2"/>
        <v>-2.0635560780690732E-5</v>
      </c>
      <c r="W16" s="8">
        <f t="shared" si="4"/>
        <v>-2.4957546804087053E-9</v>
      </c>
      <c r="X16" s="8">
        <f t="shared" si="5"/>
        <v>3.3471494372384893E-9</v>
      </c>
      <c r="Y16" s="8">
        <f t="shared" si="6"/>
        <v>2.44140625E-4</v>
      </c>
      <c r="AA16" s="8">
        <v>12</v>
      </c>
      <c r="AB16" s="8">
        <f t="shared" si="13"/>
        <v>1239.2578125</v>
      </c>
      <c r="AC16" s="8">
        <v>-0.24506741497907569</v>
      </c>
      <c r="AD16" s="8">
        <f t="shared" si="14"/>
        <v>1240.234375</v>
      </c>
      <c r="AE16" s="8">
        <v>7.7607141678072367E-2</v>
      </c>
      <c r="AF16" s="8">
        <f t="shared" si="9"/>
        <v>1239.74609375</v>
      </c>
      <c r="AG16" s="8">
        <v>-8.3693189630253073E-2</v>
      </c>
      <c r="AH16" s="8">
        <f t="shared" si="10"/>
        <v>2.0510473634039704E-2</v>
      </c>
      <c r="AI16" s="8">
        <f t="shared" si="11"/>
        <v>-6.4951892251248269E-3</v>
      </c>
      <c r="AJ16" s="8">
        <f t="shared" si="12"/>
        <v>0.9765625</v>
      </c>
    </row>
    <row r="17" spans="2:36" x14ac:dyDescent="0.2">
      <c r="B17" t="s">
        <v>12</v>
      </c>
      <c r="C17" s="1">
        <v>0.8</v>
      </c>
      <c r="F17" s="16" t="s">
        <v>87</v>
      </c>
      <c r="G17">
        <f xml:space="preserve"> G12 / ($C$15 * $C$16 * $C$17)</f>
        <v>200.1957282997916</v>
      </c>
      <c r="H17" t="s">
        <v>14</v>
      </c>
      <c r="J17" t="s">
        <v>51</v>
      </c>
      <c r="K17">
        <f xml:space="preserve"> (90 - $C$35) / 180 * PI()</f>
        <v>1.48352986419518</v>
      </c>
      <c r="L17" t="s">
        <v>52</v>
      </c>
      <c r="P17" s="8">
        <v>13</v>
      </c>
      <c r="Q17" s="8">
        <f t="shared" si="7"/>
        <v>0.377685546875</v>
      </c>
      <c r="R17" s="8">
        <f t="shared" si="0"/>
        <v>1.2094435944498549E-4</v>
      </c>
      <c r="S17" s="8">
        <f t="shared" si="8"/>
        <v>0.3778076171875</v>
      </c>
      <c r="T17" s="8">
        <f t="shared" si="1"/>
        <v>-2.0635560780690732E-5</v>
      </c>
      <c r="U17" s="8">
        <f t="shared" si="3"/>
        <v>0.37774658203125</v>
      </c>
      <c r="V17" s="8">
        <f t="shared" si="2"/>
        <v>5.0152835863959133E-5</v>
      </c>
      <c r="W17" s="8">
        <f t="shared" si="4"/>
        <v>6.0657026079160331E-9</v>
      </c>
      <c r="X17" s="8">
        <f t="shared" si="5"/>
        <v>-1.0349318927947346E-9</v>
      </c>
      <c r="Y17" s="8">
        <f t="shared" si="6"/>
        <v>1.220703125E-4</v>
      </c>
      <c r="AA17" s="8">
        <v>13</v>
      </c>
      <c r="AB17" s="8">
        <f t="shared" si="13"/>
        <v>1239.74609375</v>
      </c>
      <c r="AC17" s="8">
        <v>-8.3693189630253073E-2</v>
      </c>
      <c r="AD17" s="8">
        <f t="shared" si="14"/>
        <v>1240.234375</v>
      </c>
      <c r="AE17" s="8">
        <v>7.7607141678072367E-2</v>
      </c>
      <c r="AF17" s="8">
        <f t="shared" si="9"/>
        <v>1239.990234375</v>
      </c>
      <c r="AG17" s="8">
        <v>-3.0337858927396155E-3</v>
      </c>
      <c r="AH17" s="8">
        <f t="shared" si="10"/>
        <v>2.5390721801864323E-4</v>
      </c>
      <c r="AI17" s="8">
        <f t="shared" si="11"/>
        <v>-2.3544345159878059E-4</v>
      </c>
      <c r="AJ17" s="8">
        <f t="shared" si="12"/>
        <v>0.48828125</v>
      </c>
    </row>
    <row r="18" spans="2:36" x14ac:dyDescent="0.2">
      <c r="F18" s="12" t="s">
        <v>88</v>
      </c>
      <c r="G18">
        <f xml:space="preserve"> $C$5 * 0.144 * (2*$C$21*3.28084 * (G4*0.00134102/$C$5) * 4^0.5)^0.782 * 0.453592 + C6 * $C$6 * 0.144 * (2*$C$22*3.28084 * (G9*0.00134102/$C$6) * 4^0.5)^0.782 * 0.453592</f>
        <v>86.001868820107859</v>
      </c>
      <c r="H18" t="s">
        <v>14</v>
      </c>
      <c r="J18" t="s">
        <v>36</v>
      </c>
      <c r="K18">
        <f xml:space="preserve"> K12 / $C$6</f>
        <v>1571.8172226645336</v>
      </c>
      <c r="L18" t="s">
        <v>37</v>
      </c>
      <c r="P18" s="8">
        <v>14</v>
      </c>
      <c r="Q18" s="8">
        <f t="shared" si="7"/>
        <v>0.37774658203125</v>
      </c>
      <c r="R18" s="8">
        <f t="shared" si="0"/>
        <v>5.0152835863959133E-5</v>
      </c>
      <c r="S18" s="8">
        <f t="shared" si="8"/>
        <v>0.3778076171875</v>
      </c>
      <c r="T18" s="8">
        <f t="shared" si="1"/>
        <v>-2.0635560780690732E-5</v>
      </c>
      <c r="U18" s="8">
        <f t="shared" si="3"/>
        <v>0.377777099609375</v>
      </c>
      <c r="V18" s="8">
        <f t="shared" si="2"/>
        <v>1.4758246768276084E-5</v>
      </c>
      <c r="W18" s="8">
        <f t="shared" si="4"/>
        <v>7.4016792780915582E-10</v>
      </c>
      <c r="X18" s="8">
        <f t="shared" si="5"/>
        <v>-3.0454469820319369E-10</v>
      </c>
      <c r="Y18" s="8">
        <f t="shared" si="6"/>
        <v>6.103515625E-5</v>
      </c>
      <c r="AA18" s="8">
        <v>14</v>
      </c>
      <c r="AB18" s="8">
        <f t="shared" si="13"/>
        <v>1239.990234375</v>
      </c>
      <c r="AC18" s="8">
        <v>-3.0337858927396155E-3</v>
      </c>
      <c r="AD18" s="8">
        <f t="shared" si="14"/>
        <v>1240.234375</v>
      </c>
      <c r="AE18" s="8">
        <v>7.7607141678072367E-2</v>
      </c>
      <c r="AF18" s="8">
        <f t="shared" si="9"/>
        <v>1240.1123046875</v>
      </c>
      <c r="AG18" s="8">
        <v>3.7289084183043997E-2</v>
      </c>
      <c r="AH18" s="8">
        <f t="shared" si="10"/>
        <v>-1.131270975476988E-4</v>
      </c>
      <c r="AI18" s="8">
        <f t="shared" si="11"/>
        <v>2.8938992392390627E-3</v>
      </c>
      <c r="AJ18" s="8">
        <f t="shared" si="12"/>
        <v>0.244140625</v>
      </c>
    </row>
    <row r="19" spans="2:36" x14ac:dyDescent="0.2">
      <c r="B19" s="19" t="s">
        <v>13</v>
      </c>
      <c r="C19" s="19"/>
      <c r="D19" s="19"/>
      <c r="F19" s="13" t="s">
        <v>89</v>
      </c>
      <c r="G19">
        <f xml:space="preserve"> 0.188 * (G4/1000) + 5.836 + 0.188 * (G9/1000) + 5.836</f>
        <v>72.316496899357844</v>
      </c>
      <c r="H19" t="s">
        <v>14</v>
      </c>
      <c r="J19" t="s">
        <v>53</v>
      </c>
      <c r="K19">
        <f xml:space="preserve"> PI() * $C$23 / ($C$22 * $C$25)</f>
        <v>94.247779607693786</v>
      </c>
      <c r="L19" t="s">
        <v>54</v>
      </c>
      <c r="P19" s="8">
        <v>15</v>
      </c>
      <c r="Q19" s="8">
        <f t="shared" si="7"/>
        <v>0.377777099609375</v>
      </c>
      <c r="R19" s="8">
        <f t="shared" si="0"/>
        <v>1.4758246768276084E-5</v>
      </c>
      <c r="S19" s="8">
        <f t="shared" si="8"/>
        <v>0.3778076171875</v>
      </c>
      <c r="T19" s="8">
        <f t="shared" si="1"/>
        <v>-2.0635560780690732E-5</v>
      </c>
      <c r="U19" s="8">
        <f t="shared" si="3"/>
        <v>0.3777923583984375</v>
      </c>
      <c r="V19" s="8">
        <f t="shared" si="2"/>
        <v>-2.9387546878201221E-6</v>
      </c>
      <c r="W19" s="8">
        <f t="shared" si="4"/>
        <v>-4.3370866874277508E-11</v>
      </c>
      <c r="X19" s="8">
        <f t="shared" si="5"/>
        <v>6.064285098005194E-11</v>
      </c>
      <c r="Y19" s="8">
        <f t="shared" si="6"/>
        <v>3.0517578125E-5</v>
      </c>
      <c r="AA19" s="8">
        <v>15</v>
      </c>
      <c r="AB19" s="8">
        <f t="shared" si="13"/>
        <v>1239.990234375</v>
      </c>
      <c r="AC19" s="8">
        <v>-3.0337858927396155E-3</v>
      </c>
      <c r="AD19" s="8">
        <f t="shared" si="14"/>
        <v>1240.1123046875</v>
      </c>
      <c r="AE19" s="8">
        <v>3.7289084183043997E-2</v>
      </c>
      <c r="AF19" s="8">
        <f t="shared" si="9"/>
        <v>1240.05126953125</v>
      </c>
      <c r="AG19" s="8">
        <v>1.712800920358859E-2</v>
      </c>
      <c r="AH19" s="8">
        <f t="shared" si="10"/>
        <v>-5.1962712692561361E-5</v>
      </c>
      <c r="AI19" s="8">
        <f t="shared" si="11"/>
        <v>6.386877770805673E-4</v>
      </c>
      <c r="AJ19" s="8">
        <f t="shared" si="12"/>
        <v>0.1220703125</v>
      </c>
    </row>
    <row r="20" spans="2:36" x14ac:dyDescent="0.2">
      <c r="B20" s="3" t="s">
        <v>66</v>
      </c>
      <c r="C20" s="3">
        <f>AF44</f>
        <v>1239.9994184397656</v>
      </c>
      <c r="D20" s="3" t="s">
        <v>14</v>
      </c>
      <c r="F20" s="13" t="s">
        <v>139</v>
      </c>
      <c r="G20">
        <f>2.20462 * (49.9/398 * (G4/$C$5/1000 -2) + 0.1) * $C$5 * 0.453592 + 2.20462 * (49.9/398 * (G8/1000 -2) + 0.1) * 0.453592 * $C$6</f>
        <v>39.388357829828024</v>
      </c>
      <c r="H20" t="s">
        <v>14</v>
      </c>
      <c r="J20" t="s">
        <v>55</v>
      </c>
      <c r="K20">
        <f xml:space="preserve"> $C$23 * COS(K17) / (K19 * $C$22)</f>
        <v>2.7742534554270875E-2</v>
      </c>
      <c r="P20" s="8">
        <v>16</v>
      </c>
      <c r="Q20" s="8">
        <f t="shared" si="7"/>
        <v>0.377777099609375</v>
      </c>
      <c r="R20" s="8">
        <f t="shared" si="0"/>
        <v>1.4758246768276084E-5</v>
      </c>
      <c r="S20" s="8">
        <f t="shared" si="8"/>
        <v>0.3777923583984375</v>
      </c>
      <c r="T20" s="8">
        <f t="shared" si="1"/>
        <v>-2.9387546878201221E-6</v>
      </c>
      <c r="U20" s="8">
        <f t="shared" si="3"/>
        <v>0.37778472900390625</v>
      </c>
      <c r="V20" s="8">
        <f t="shared" si="2"/>
        <v>5.9097216183467971E-6</v>
      </c>
      <c r="W20" s="8">
        <f t="shared" si="4"/>
        <v>8.721712997537793E-11</v>
      </c>
      <c r="X20" s="8">
        <f t="shared" si="5"/>
        <v>-1.7367222109628569E-11</v>
      </c>
      <c r="Y20" s="8">
        <f t="shared" si="6"/>
        <v>1.52587890625E-5</v>
      </c>
      <c r="AA20" s="8">
        <v>16</v>
      </c>
      <c r="AB20" s="8">
        <f t="shared" si="13"/>
        <v>1239.990234375</v>
      </c>
      <c r="AC20" s="8">
        <v>-3.0337858927396155E-3</v>
      </c>
      <c r="AD20" s="8">
        <f t="shared" si="14"/>
        <v>1240.05126953125</v>
      </c>
      <c r="AE20" s="8">
        <v>1.712800920358859E-2</v>
      </c>
      <c r="AF20" s="8">
        <f t="shared" si="9"/>
        <v>1240.020751953125</v>
      </c>
      <c r="AG20" s="8">
        <v>7.0472499701281777E-3</v>
      </c>
      <c r="AH20" s="8">
        <f t="shared" si="10"/>
        <v>-2.1379847541984541E-5</v>
      </c>
      <c r="AI20" s="8">
        <f t="shared" si="11"/>
        <v>1.2070536234834484E-4</v>
      </c>
      <c r="AJ20" s="8">
        <f t="shared" si="12"/>
        <v>6.103515625E-2</v>
      </c>
    </row>
    <row r="21" spans="2:36" x14ac:dyDescent="0.2">
      <c r="B21" t="s">
        <v>15</v>
      </c>
      <c r="C21" s="1">
        <v>1</v>
      </c>
      <c r="D21" t="s">
        <v>16</v>
      </c>
      <c r="F21" s="14" t="s">
        <v>97</v>
      </c>
      <c r="G21">
        <f xml:space="preserve"> 14.86 * ($C$20*2.20462)^0.144 * (6.7/(PI()*1.8))^0.778 * (6.7*3.28084)^0.383 * 4^0.455 * 0.453592</f>
        <v>147.51111805117898</v>
      </c>
      <c r="H21" t="s">
        <v>14</v>
      </c>
      <c r="J21" t="s">
        <v>56</v>
      </c>
      <c r="K21">
        <f xml:space="preserve"> K18 / ( $C$33 * PI() * $C$22^2 * K19^2 * $C$22^2)</f>
        <v>4.5980514539193842E-2</v>
      </c>
      <c r="P21" s="8">
        <v>17</v>
      </c>
      <c r="Q21" s="8">
        <f t="shared" si="7"/>
        <v>0.37778472900390625</v>
      </c>
      <c r="R21" s="8">
        <f t="shared" si="0"/>
        <v>5.9097216183467971E-6</v>
      </c>
      <c r="S21" s="8">
        <f t="shared" si="8"/>
        <v>0.3777923583984375</v>
      </c>
      <c r="T21" s="8">
        <f t="shared" si="1"/>
        <v>-2.9387546878201221E-6</v>
      </c>
      <c r="U21" s="8">
        <f t="shared" si="3"/>
        <v>0.37778854370117188</v>
      </c>
      <c r="V21" s="8">
        <f t="shared" si="2"/>
        <v>1.4854773600081472E-6</v>
      </c>
      <c r="W21" s="8">
        <f t="shared" si="4"/>
        <v>8.7787576680048764E-12</v>
      </c>
      <c r="X21" s="8">
        <f t="shared" si="5"/>
        <v>-4.3654535553746022E-12</v>
      </c>
      <c r="Y21" s="8">
        <f t="shared" si="6"/>
        <v>7.62939453125E-6</v>
      </c>
      <c r="AA21" s="8">
        <v>17</v>
      </c>
      <c r="AB21" s="8">
        <f t="shared" si="13"/>
        <v>1239.990234375</v>
      </c>
      <c r="AC21" s="8">
        <v>-3.0337858927396155E-3</v>
      </c>
      <c r="AD21" s="8">
        <f t="shared" si="14"/>
        <v>1240.020751953125</v>
      </c>
      <c r="AE21" s="8">
        <v>7.0472499701281777E-3</v>
      </c>
      <c r="AF21" s="8">
        <f t="shared" si="9"/>
        <v>1240.0054931640625</v>
      </c>
      <c r="AG21" s="8">
        <v>2.006766617341782E-3</v>
      </c>
      <c r="AH21" s="8">
        <f t="shared" si="10"/>
        <v>-6.0881002537122964E-6</v>
      </c>
      <c r="AI21" s="8">
        <f t="shared" si="11"/>
        <v>1.4142185984116098E-5</v>
      </c>
      <c r="AJ21" s="8">
        <f t="shared" si="12"/>
        <v>3.0517578125E-2</v>
      </c>
    </row>
    <row r="22" spans="2:36" x14ac:dyDescent="0.2">
      <c r="B22" t="s">
        <v>17</v>
      </c>
      <c r="C22" s="1">
        <v>1</v>
      </c>
      <c r="D22" t="s">
        <v>16</v>
      </c>
      <c r="F22" s="14" t="s">
        <v>98</v>
      </c>
      <c r="G22">
        <f xml:space="preserve"> 0.054 * (0.7*3.28084)^0.501 * ($C$20*2.20462*5.7)^0.684 * 0.453592</f>
        <v>27.398119125585467</v>
      </c>
      <c r="H22" t="s">
        <v>14</v>
      </c>
      <c r="J22" t="s">
        <v>6</v>
      </c>
      <c r="K22" s="1">
        <v>1.2E-2</v>
      </c>
      <c r="P22" s="8">
        <v>18</v>
      </c>
      <c r="Q22" s="8">
        <f t="shared" si="7"/>
        <v>0.37778854370117188</v>
      </c>
      <c r="R22" s="8">
        <f t="shared" si="0"/>
        <v>1.4854773600081472E-6</v>
      </c>
      <c r="S22" s="8">
        <f t="shared" si="8"/>
        <v>0.3777923583984375</v>
      </c>
      <c r="T22" s="8">
        <f t="shared" si="1"/>
        <v>-2.9387546878201221E-6</v>
      </c>
      <c r="U22" s="8">
        <f t="shared" si="3"/>
        <v>0.37779045104980469</v>
      </c>
      <c r="V22" s="8">
        <f t="shared" si="2"/>
        <v>-7.2664019024060167E-7</v>
      </c>
      <c r="W22" s="8">
        <f t="shared" si="4"/>
        <v>-1.0794075514744268E-12</v>
      </c>
      <c r="X22" s="8">
        <f t="shared" si="5"/>
        <v>2.1354172654280734E-12</v>
      </c>
      <c r="Y22" s="8">
        <f t="shared" si="6"/>
        <v>3.814697265625E-6</v>
      </c>
      <c r="AA22" s="8">
        <v>18</v>
      </c>
      <c r="AB22" s="8">
        <f t="shared" si="13"/>
        <v>1239.990234375</v>
      </c>
      <c r="AC22" s="8">
        <v>-3.0337858927396155E-3</v>
      </c>
      <c r="AD22" s="8">
        <f t="shared" si="14"/>
        <v>1240.0054931640625</v>
      </c>
      <c r="AE22" s="8">
        <v>2.006766617341782E-3</v>
      </c>
      <c r="AF22" s="8">
        <f t="shared" si="9"/>
        <v>1239.9978637695312</v>
      </c>
      <c r="AG22" s="8">
        <v>-5.1330781934666447E-4</v>
      </c>
      <c r="AH22" s="8">
        <f t="shared" si="10"/>
        <v>1.5572660209668458E-6</v>
      </c>
      <c r="AI22" s="8">
        <f t="shared" si="11"/>
        <v>-1.0300889962853923E-6</v>
      </c>
      <c r="AJ22" s="8">
        <f t="shared" si="12"/>
        <v>1.52587890625E-2</v>
      </c>
    </row>
    <row r="23" spans="2:36" x14ac:dyDescent="0.2">
      <c r="B23" t="s">
        <v>18</v>
      </c>
      <c r="C23" s="1">
        <v>30</v>
      </c>
      <c r="D23" t="s">
        <v>19</v>
      </c>
      <c r="F23" s="14" t="s">
        <v>90</v>
      </c>
      <c r="G23">
        <f xml:space="preserve"> 0.04674 * ($C$20*2.20462)^0.397 * ($C$24*3.28084^2)^0.36 * 3^0.397 * $C$12^1.712 * 0.453592</f>
        <v>194.43958648309695</v>
      </c>
      <c r="H23" t="s">
        <v>14</v>
      </c>
      <c r="J23" t="s">
        <v>57</v>
      </c>
      <c r="K23">
        <f xml:space="preserve"> ($C$8 * $K$22 / 8) * (1 + 4.65 * K20^2) * ( PI() * $C$33 * K19^3 * C22^5)</f>
        <v>630.50053776545394</v>
      </c>
      <c r="L23" t="s">
        <v>35</v>
      </c>
      <c r="P23" s="8">
        <v>19</v>
      </c>
      <c r="Q23" s="8">
        <f t="shared" si="7"/>
        <v>0.37778854370117188</v>
      </c>
      <c r="R23" s="8">
        <f t="shared" si="0"/>
        <v>1.4854773600081472E-6</v>
      </c>
      <c r="S23" s="8">
        <f t="shared" si="8"/>
        <v>0.37779045104980469</v>
      </c>
      <c r="T23" s="8">
        <f t="shared" si="1"/>
        <v>-7.2664019024060167E-7</v>
      </c>
      <c r="U23" s="8">
        <f t="shared" si="3"/>
        <v>0.37778949737548828</v>
      </c>
      <c r="V23" s="8">
        <f t="shared" si="2"/>
        <v>3.7941820330011922E-7</v>
      </c>
      <c r="W23" s="8">
        <f t="shared" si="4"/>
        <v>5.6361715097729556E-13</v>
      </c>
      <c r="X23" s="8">
        <f t="shared" si="5"/>
        <v>-2.7570051542674592E-13</v>
      </c>
      <c r="Y23" s="8">
        <f t="shared" si="6"/>
        <v>1.9073486328125E-6</v>
      </c>
      <c r="AA23" s="8">
        <v>19</v>
      </c>
      <c r="AB23" s="8">
        <f t="shared" si="13"/>
        <v>1239.9978637695312</v>
      </c>
      <c r="AC23" s="8">
        <v>-5.1330781934666447E-4</v>
      </c>
      <c r="AD23" s="8">
        <f t="shared" si="14"/>
        <v>1240.0054931640625</v>
      </c>
      <c r="AE23" s="8">
        <v>2.006766617341782E-3</v>
      </c>
      <c r="AF23" s="8">
        <f t="shared" si="9"/>
        <v>1240.0016784667969</v>
      </c>
      <c r="AG23" s="8">
        <v>7.4653838578342402E-4</v>
      </c>
      <c r="AH23" s="8">
        <f t="shared" si="10"/>
        <v>-3.832039908650683E-7</v>
      </c>
      <c r="AI23" s="8">
        <f t="shared" si="11"/>
        <v>1.4981283111543961E-6</v>
      </c>
      <c r="AJ23" s="8">
        <f t="shared" si="12"/>
        <v>7.62939453125E-3</v>
      </c>
    </row>
    <row r="24" spans="2:36" x14ac:dyDescent="0.2">
      <c r="B24" t="s">
        <v>20</v>
      </c>
      <c r="C24" s="1">
        <v>8</v>
      </c>
      <c r="D24" t="s">
        <v>21</v>
      </c>
      <c r="F24" s="14" t="s">
        <v>99</v>
      </c>
      <c r="G24">
        <v>0</v>
      </c>
      <c r="H24" t="s">
        <v>14</v>
      </c>
      <c r="J24" t="s">
        <v>58</v>
      </c>
      <c r="K24" s="5">
        <f>U34</f>
        <v>0.37778982473537326</v>
      </c>
      <c r="P24" s="8">
        <v>20</v>
      </c>
      <c r="Q24" s="8">
        <f t="shared" si="7"/>
        <v>0.37778949737548828</v>
      </c>
      <c r="R24" s="8">
        <f t="shared" si="0"/>
        <v>3.7941820330011922E-7</v>
      </c>
      <c r="S24" s="8">
        <f t="shared" si="8"/>
        <v>0.37779045104980469</v>
      </c>
      <c r="T24" s="8">
        <f t="shared" si="1"/>
        <v>-7.2664019024060167E-7</v>
      </c>
      <c r="U24" s="8">
        <f t="shared" si="3"/>
        <v>0.37778997421264648</v>
      </c>
      <c r="V24" s="8">
        <f t="shared" si="2"/>
        <v>-1.7361108883839904E-7</v>
      </c>
      <c r="W24" s="8">
        <f t="shared" si="4"/>
        <v>-6.5871207400042742E-14</v>
      </c>
      <c r="X24" s="8">
        <f t="shared" si="5"/>
        <v>1.2615279462141228E-13</v>
      </c>
      <c r="Y24" s="8">
        <f t="shared" si="6"/>
        <v>9.5367431640625E-7</v>
      </c>
      <c r="AA24" s="8">
        <v>20</v>
      </c>
      <c r="AB24" s="8">
        <f t="shared" si="13"/>
        <v>1239.9978637695312</v>
      </c>
      <c r="AC24" s="8">
        <v>-5.1330781934666447E-4</v>
      </c>
      <c r="AD24" s="8">
        <f t="shared" si="14"/>
        <v>1240.0016784667969</v>
      </c>
      <c r="AE24" s="8">
        <v>7.4653838578342402E-4</v>
      </c>
      <c r="AF24" s="8">
        <f t="shared" si="9"/>
        <v>1239.9997711181641</v>
      </c>
      <c r="AG24" s="8">
        <v>1.1642264928468649E-4</v>
      </c>
      <c r="AH24" s="8">
        <f t="shared" si="10"/>
        <v>-5.9760656226883927E-8</v>
      </c>
      <c r="AI24" s="8">
        <f t="shared" si="11"/>
        <v>8.6913976665619559E-8</v>
      </c>
      <c r="AJ24" s="8">
        <f t="shared" si="12"/>
        <v>3.814697265625E-3</v>
      </c>
    </row>
    <row r="25" spans="2:36" x14ac:dyDescent="0.2">
      <c r="B25" t="s">
        <v>22</v>
      </c>
      <c r="C25" s="1">
        <v>1</v>
      </c>
      <c r="F25" s="14" t="s">
        <v>100</v>
      </c>
      <c r="G25">
        <v>0</v>
      </c>
      <c r="H25" t="s">
        <v>14</v>
      </c>
      <c r="J25" t="s">
        <v>59</v>
      </c>
      <c r="K25">
        <f xml:space="preserve"> K19 * $C$22 * K24 - $C$23 * SIN(K17)</f>
        <v>5.7200111969363547</v>
      </c>
      <c r="L25" t="s">
        <v>19</v>
      </c>
      <c r="P25" s="8">
        <v>21</v>
      </c>
      <c r="Q25" s="8">
        <f t="shared" si="7"/>
        <v>0.37778949737548828</v>
      </c>
      <c r="R25" s="8">
        <f t="shared" si="0"/>
        <v>3.7941820330011922E-7</v>
      </c>
      <c r="S25" s="8">
        <f t="shared" si="8"/>
        <v>0.37778997421264648</v>
      </c>
      <c r="T25" s="8">
        <f t="shared" si="1"/>
        <v>-1.7361108883839904E-7</v>
      </c>
      <c r="U25" s="8">
        <f t="shared" si="3"/>
        <v>0.37778973579406738</v>
      </c>
      <c r="V25" s="8">
        <f t="shared" si="2"/>
        <v>1.0290353336106506E-7</v>
      </c>
      <c r="W25" s="8">
        <f t="shared" si="4"/>
        <v>3.9043473741089183E-14</v>
      </c>
      <c r="X25" s="8">
        <f t="shared" si="5"/>
        <v>-1.7865194472133026E-14</v>
      </c>
      <c r="Y25" s="8">
        <f t="shared" si="6"/>
        <v>4.76837158203125E-7</v>
      </c>
      <c r="AA25" s="8">
        <v>21</v>
      </c>
      <c r="AB25" s="8">
        <f t="shared" si="13"/>
        <v>1239.9978637695312</v>
      </c>
      <c r="AC25" s="8">
        <v>-5.1330781934666447E-4</v>
      </c>
      <c r="AD25" s="8">
        <f t="shared" si="14"/>
        <v>1239.9997711181641</v>
      </c>
      <c r="AE25" s="8">
        <v>1.1642264928468649E-4</v>
      </c>
      <c r="AF25" s="8">
        <f t="shared" si="9"/>
        <v>1239.9988174438477</v>
      </c>
      <c r="AG25" s="8">
        <v>-1.9844244968680869E-4</v>
      </c>
      <c r="AH25" s="8">
        <f t="shared" si="10"/>
        <v>1.0186206111454595E-7</v>
      </c>
      <c r="AI25" s="8">
        <f t="shared" si="11"/>
        <v>-2.3103195723081373E-8</v>
      </c>
      <c r="AJ25" s="8">
        <f t="shared" si="12"/>
        <v>1.9073486328125E-3</v>
      </c>
    </row>
    <row r="26" spans="2:36" x14ac:dyDescent="0.2">
      <c r="F26" s="15" t="s">
        <v>101</v>
      </c>
      <c r="G26">
        <f xml:space="preserve"> 0.0268 * $C$20</f>
        <v>33.231984414185717</v>
      </c>
      <c r="H26" t="s">
        <v>14</v>
      </c>
      <c r="J26" t="s">
        <v>60</v>
      </c>
      <c r="K26">
        <f xml:space="preserve"> 1/$C$9 - K23 * SQRT( (2*$C$33*PI()*$C$22^2) / K18^3 )</f>
        <v>1.3052634650193407</v>
      </c>
      <c r="P26" s="8">
        <v>22</v>
      </c>
      <c r="Q26" s="8">
        <f t="shared" si="7"/>
        <v>0.37778973579406738</v>
      </c>
      <c r="R26" s="8">
        <f t="shared" si="0"/>
        <v>1.0290353336106506E-7</v>
      </c>
      <c r="S26" s="8">
        <f t="shared" si="8"/>
        <v>0.37778997421264648</v>
      </c>
      <c r="T26" s="8">
        <f t="shared" si="1"/>
        <v>-1.7361108883839904E-7</v>
      </c>
      <c r="U26" s="8">
        <f t="shared" si="3"/>
        <v>0.37778985500335693</v>
      </c>
      <c r="V26" s="8">
        <f t="shared" si="2"/>
        <v>-3.5353783678360173E-8</v>
      </c>
      <c r="W26" s="8">
        <f t="shared" si="4"/>
        <v>-3.6380292581860134E-15</v>
      </c>
      <c r="X26" s="8">
        <f t="shared" si="5"/>
        <v>6.1378088789573298E-15</v>
      </c>
      <c r="Y26" s="8">
        <f t="shared" si="6"/>
        <v>2.384185791015625E-7</v>
      </c>
      <c r="AA26" s="8">
        <v>22</v>
      </c>
      <c r="AB26" s="8">
        <f t="shared" si="13"/>
        <v>1239.9988174438477</v>
      </c>
      <c r="AC26" s="8">
        <v>-1.9844244968680869E-4</v>
      </c>
      <c r="AD26" s="8">
        <f t="shared" si="14"/>
        <v>1239.9997711181641</v>
      </c>
      <c r="AE26" s="8">
        <v>1.1642264928468649E-4</v>
      </c>
      <c r="AF26" s="8">
        <f t="shared" si="9"/>
        <v>1239.9992942810059</v>
      </c>
      <c r="AG26" s="8">
        <v>-4.0816692035150481E-5</v>
      </c>
      <c r="AH26" s="8">
        <f t="shared" si="10"/>
        <v>8.0997643555673142E-9</v>
      </c>
      <c r="AI26" s="8">
        <f t="shared" si="11"/>
        <v>-4.7519874217693806E-9</v>
      </c>
      <c r="AJ26" s="8">
        <f t="shared" si="12"/>
        <v>9.5367431640625E-4</v>
      </c>
    </row>
    <row r="27" spans="2:36" x14ac:dyDescent="0.2">
      <c r="B27" s="19" t="s">
        <v>23</v>
      </c>
      <c r="C27" s="19"/>
      <c r="D27" s="19"/>
      <c r="F27" s="15" t="s">
        <v>102</v>
      </c>
      <c r="G27">
        <f xml:space="preserve"> 11.5 * ($C$20*2.20462/1000)^0.4 * 0.453592</f>
        <v>7.7994740316798676</v>
      </c>
      <c r="H27" t="s">
        <v>14</v>
      </c>
      <c r="J27" t="s">
        <v>61</v>
      </c>
      <c r="K27" s="1">
        <v>1.1499999999999999</v>
      </c>
      <c r="P27" s="8">
        <v>23</v>
      </c>
      <c r="Q27" s="8">
        <f t="shared" si="7"/>
        <v>0.37778973579406738</v>
      </c>
      <c r="R27" s="8">
        <f t="shared" si="0"/>
        <v>1.0290353336106506E-7</v>
      </c>
      <c r="S27" s="8">
        <f t="shared" si="8"/>
        <v>0.37778985500335693</v>
      </c>
      <c r="T27" s="8">
        <f t="shared" si="1"/>
        <v>-3.5353783678360173E-8</v>
      </c>
      <c r="U27" s="8">
        <f t="shared" si="3"/>
        <v>0.37778979539871216</v>
      </c>
      <c r="V27" s="8">
        <f t="shared" si="2"/>
        <v>3.3774873342551359E-8</v>
      </c>
      <c r="W27" s="8">
        <f t="shared" si="4"/>
        <v>3.4755538057709805E-15</v>
      </c>
      <c r="X27" s="8">
        <f t="shared" si="5"/>
        <v>-1.1940695659165743E-15</v>
      </c>
      <c r="Y27" s="8">
        <f t="shared" si="6"/>
        <v>1.1920928955078125E-7</v>
      </c>
      <c r="AA27" s="8">
        <v>23</v>
      </c>
      <c r="AB27" s="8">
        <f t="shared" si="13"/>
        <v>1239.9992942810059</v>
      </c>
      <c r="AC27" s="8">
        <v>-4.0816692035150481E-5</v>
      </c>
      <c r="AD27" s="8">
        <f t="shared" si="14"/>
        <v>1239.9997711181641</v>
      </c>
      <c r="AE27" s="8">
        <v>1.1642264928468649E-4</v>
      </c>
      <c r="AF27" s="8">
        <f t="shared" si="9"/>
        <v>1239.999532699585</v>
      </c>
      <c r="AG27" s="8">
        <v>3.799616138167039E-5</v>
      </c>
      <c r="AH27" s="8">
        <f t="shared" si="10"/>
        <v>-1.5508776176335182E-9</v>
      </c>
      <c r="AI27" s="8">
        <f t="shared" si="11"/>
        <v>4.4236137707025603E-9</v>
      </c>
      <c r="AJ27" s="8">
        <f t="shared" si="12"/>
        <v>4.76837158203125E-4</v>
      </c>
    </row>
    <row r="28" spans="2:36" x14ac:dyDescent="0.2">
      <c r="B28" t="s">
        <v>105</v>
      </c>
      <c r="C28" s="1">
        <v>400</v>
      </c>
      <c r="D28" t="s">
        <v>14</v>
      </c>
      <c r="F28" s="15" t="s">
        <v>103</v>
      </c>
      <c r="G28">
        <f xml:space="preserve"> 8 * ($C$20/1000)</f>
        <v>9.9199953475181246</v>
      </c>
      <c r="H28" t="s">
        <v>14</v>
      </c>
      <c r="J28" t="s">
        <v>62</v>
      </c>
      <c r="K28">
        <f xml:space="preserve"> 1/$C$38 * LN( EXP($C$38 * K26) + EXP($C$38 * K27) )</f>
        <v>1.3055781854443305</v>
      </c>
      <c r="P28" s="8">
        <v>24</v>
      </c>
      <c r="Q28" s="8">
        <f t="shared" si="7"/>
        <v>0.37778979539871216</v>
      </c>
      <c r="R28" s="8">
        <f t="shared" si="0"/>
        <v>3.3774873342551359E-8</v>
      </c>
      <c r="S28" s="8">
        <f t="shared" si="8"/>
        <v>0.37778985500335693</v>
      </c>
      <c r="T28" s="8">
        <f t="shared" si="1"/>
        <v>-3.5353783678360173E-8</v>
      </c>
      <c r="U28" s="8">
        <f t="shared" si="3"/>
        <v>0.37778982520103455</v>
      </c>
      <c r="V28" s="8">
        <f t="shared" si="2"/>
        <v>-7.8945555648246568E-10</v>
      </c>
      <c r="W28" s="8">
        <f t="shared" si="4"/>
        <v>-2.6663761429768679E-17</v>
      </c>
      <c r="X28" s="8">
        <f t="shared" si="5"/>
        <v>2.7910240967560543E-17</v>
      </c>
      <c r="Y28" s="8">
        <f t="shared" si="6"/>
        <v>5.9604644775390625E-8</v>
      </c>
      <c r="AA28" s="8">
        <v>24</v>
      </c>
      <c r="AB28" s="8">
        <f t="shared" si="13"/>
        <v>1239.9992942810059</v>
      </c>
      <c r="AC28" s="8">
        <v>-4.0816692035150481E-5</v>
      </c>
      <c r="AD28" s="8">
        <f t="shared" si="14"/>
        <v>1239.999532699585</v>
      </c>
      <c r="AE28" s="8">
        <v>3.799616138167039E-5</v>
      </c>
      <c r="AF28" s="8">
        <f t="shared" si="9"/>
        <v>1239.9994134902954</v>
      </c>
      <c r="AG28" s="8">
        <v>-1.4102630530032911E-6</v>
      </c>
      <c r="AH28" s="8">
        <f t="shared" si="10"/>
        <v>5.7562272722986434E-11</v>
      </c>
      <c r="AI28" s="8">
        <f t="shared" si="11"/>
        <v>-5.3584582552520233E-11</v>
      </c>
      <c r="AJ28" s="8">
        <f t="shared" si="12"/>
        <v>2.384185791015625E-4</v>
      </c>
    </row>
    <row r="29" spans="2:36" x14ac:dyDescent="0.2">
      <c r="B29" t="s">
        <v>24</v>
      </c>
      <c r="C29" s="1">
        <v>30000</v>
      </c>
      <c r="D29" t="s">
        <v>16</v>
      </c>
      <c r="F29" s="15" t="s">
        <v>104</v>
      </c>
      <c r="G29">
        <f xml:space="preserve"> 13 * ($C$20*2.20462/1000)^1.3 * 0.453592</f>
        <v>21.796689137516186</v>
      </c>
      <c r="H29" t="s">
        <v>14</v>
      </c>
      <c r="P29" s="8">
        <v>25</v>
      </c>
      <c r="Q29" s="8">
        <f t="shared" si="7"/>
        <v>0.37778979539871216</v>
      </c>
      <c r="R29" s="8">
        <f t="shared" si="0"/>
        <v>3.3774873342551359E-8</v>
      </c>
      <c r="S29" s="8">
        <f t="shared" si="8"/>
        <v>0.37778982520103455</v>
      </c>
      <c r="T29" s="8">
        <f t="shared" si="1"/>
        <v>-7.8945555648246568E-10</v>
      </c>
      <c r="U29" s="8">
        <f t="shared" si="3"/>
        <v>0.37778981029987335</v>
      </c>
      <c r="V29" s="8">
        <f t="shared" si="2"/>
        <v>1.649270880976772E-8</v>
      </c>
      <c r="W29" s="8">
        <f t="shared" si="4"/>
        <v>5.5703915112548573E-16</v>
      </c>
      <c r="X29" s="8">
        <f t="shared" si="5"/>
        <v>-1.302026061131844E-17</v>
      </c>
      <c r="Y29" s="8">
        <f t="shared" si="6"/>
        <v>2.9802322387695312E-8</v>
      </c>
      <c r="AA29" s="8">
        <v>25</v>
      </c>
      <c r="AB29" s="8">
        <f t="shared" si="13"/>
        <v>1239.9994134902954</v>
      </c>
      <c r="AC29" s="8">
        <v>-1.4102630530032911E-6</v>
      </c>
      <c r="AD29" s="8">
        <f t="shared" si="14"/>
        <v>1239.999532699585</v>
      </c>
      <c r="AE29" s="8">
        <v>3.799616138167039E-5</v>
      </c>
      <c r="AF29" s="8">
        <f t="shared" si="9"/>
        <v>1239.9994730949402</v>
      </c>
      <c r="AG29" s="8">
        <v>1.8292949675924319E-5</v>
      </c>
      <c r="AH29" s="8">
        <f t="shared" si="10"/>
        <v>-2.5797871058404596E-11</v>
      </c>
      <c r="AI29" s="8">
        <f t="shared" si="11"/>
        <v>6.9506186803319553E-10</v>
      </c>
      <c r="AJ29" s="8">
        <f t="shared" si="12"/>
        <v>1.1920928955078125E-4</v>
      </c>
    </row>
    <row r="30" spans="2:36" x14ac:dyDescent="0.2">
      <c r="B30" t="s">
        <v>25</v>
      </c>
      <c r="C30" s="1">
        <v>240</v>
      </c>
      <c r="D30" t="s">
        <v>26</v>
      </c>
      <c r="F30" s="3" t="s">
        <v>91</v>
      </c>
      <c r="G30" s="3">
        <f>$C$20 - $C$28 - SUM(G17:G29)</f>
        <v>-8.1058715295512229E-11</v>
      </c>
      <c r="H30" s="3" t="s">
        <v>14</v>
      </c>
      <c r="P30" s="8">
        <v>26</v>
      </c>
      <c r="Q30" s="8">
        <f t="shared" si="7"/>
        <v>0.37778981029987335</v>
      </c>
      <c r="R30" s="8">
        <f t="shared" si="0"/>
        <v>1.649270880976772E-8</v>
      </c>
      <c r="S30" s="8">
        <f t="shared" si="8"/>
        <v>0.37778982520103455</v>
      </c>
      <c r="T30" s="8">
        <f t="shared" si="1"/>
        <v>-7.8945555648246568E-10</v>
      </c>
      <c r="U30" s="8">
        <f t="shared" si="3"/>
        <v>0.37778981775045395</v>
      </c>
      <c r="V30" s="8">
        <f t="shared" si="2"/>
        <v>7.8516265711314759E-9</v>
      </c>
      <c r="W30" s="8">
        <f t="shared" si="4"/>
        <v>1.294945907207064E-16</v>
      </c>
      <c r="X30" s="8">
        <f t="shared" si="5"/>
        <v>-6.1985102240051132E-18</v>
      </c>
      <c r="Y30" s="8">
        <f t="shared" si="6"/>
        <v>1.4901161193847656E-8</v>
      </c>
      <c r="AA30" s="8">
        <v>26</v>
      </c>
      <c r="AB30" s="8">
        <f t="shared" si="13"/>
        <v>1239.9994134902954</v>
      </c>
      <c r="AC30" s="8">
        <v>-1.4102630530032911E-6</v>
      </c>
      <c r="AD30" s="8">
        <f t="shared" si="14"/>
        <v>1239.9994730949402</v>
      </c>
      <c r="AE30" s="8">
        <v>1.8292949675924319E-5</v>
      </c>
      <c r="AF30" s="8">
        <f t="shared" si="9"/>
        <v>1239.9994432926178</v>
      </c>
      <c r="AG30" s="8">
        <v>8.248169137914374E-6</v>
      </c>
      <c r="AH30" s="8">
        <f t="shared" si="10"/>
        <v>-1.1632088190122649E-11</v>
      </c>
      <c r="AI30" s="8">
        <f t="shared" si="11"/>
        <v>1.5088334295837971E-10</v>
      </c>
      <c r="AJ30" s="8">
        <f t="shared" si="12"/>
        <v>5.9604644775390625E-5</v>
      </c>
    </row>
    <row r="31" spans="2:36" x14ac:dyDescent="0.2">
      <c r="F31" t="s">
        <v>92</v>
      </c>
      <c r="G31" s="10" t="str">
        <f>IF(ABS(G30)&lt;0.00001, "TRUE", "FALSE")</f>
        <v>TRUE</v>
      </c>
      <c r="P31" s="8">
        <v>27</v>
      </c>
      <c r="Q31" s="8">
        <f t="shared" si="7"/>
        <v>0.37778981775045395</v>
      </c>
      <c r="R31" s="8">
        <f t="shared" si="0"/>
        <v>7.8516265711314759E-9</v>
      </c>
      <c r="S31" s="8">
        <f t="shared" si="8"/>
        <v>0.37778982520103455</v>
      </c>
      <c r="T31" s="8">
        <f t="shared" si="1"/>
        <v>-7.8945555648246568E-10</v>
      </c>
      <c r="U31" s="8">
        <f t="shared" si="3"/>
        <v>0.37778982147574425</v>
      </c>
      <c r="V31" s="8">
        <f t="shared" si="2"/>
        <v>3.5310855350800807E-9</v>
      </c>
      <c r="W31" s="8">
        <f t="shared" si="4"/>
        <v>2.7724765012172767E-17</v>
      </c>
      <c r="X31" s="8">
        <f t="shared" si="5"/>
        <v>-2.7876350960838302E-18</v>
      </c>
      <c r="Y31" s="8">
        <f t="shared" si="6"/>
        <v>7.4505805969238281E-9</v>
      </c>
      <c r="AA31" s="8">
        <v>27</v>
      </c>
      <c r="AB31" s="8">
        <f t="shared" si="13"/>
        <v>1239.9994134902954</v>
      </c>
      <c r="AC31" s="8">
        <v>-1.4102630530032911E-6</v>
      </c>
      <c r="AD31" s="8">
        <f t="shared" si="14"/>
        <v>1239.9994432926178</v>
      </c>
      <c r="AE31" s="8">
        <v>8.248169137914374E-6</v>
      </c>
      <c r="AF31" s="8">
        <f t="shared" si="9"/>
        <v>1239.9994283914566</v>
      </c>
      <c r="AG31" s="8">
        <v>3.2257787552225636E-6</v>
      </c>
      <c r="AH31" s="8">
        <f t="shared" si="10"/>
        <v>-4.5491965956533288E-12</v>
      </c>
      <c r="AI31" s="8">
        <f t="shared" si="11"/>
        <v>2.6606768774566595E-11</v>
      </c>
      <c r="AJ31" s="8">
        <f t="shared" si="12"/>
        <v>2.9802322387695312E-5</v>
      </c>
    </row>
    <row r="32" spans="2:36" x14ac:dyDescent="0.2">
      <c r="B32" s="19" t="s">
        <v>110</v>
      </c>
      <c r="C32" s="20"/>
      <c r="D32" s="20"/>
      <c r="P32" s="8">
        <v>28</v>
      </c>
      <c r="Q32" s="8">
        <f t="shared" si="7"/>
        <v>0.37778982147574425</v>
      </c>
      <c r="R32" s="8">
        <f t="shared" si="0"/>
        <v>3.5310855350800807E-9</v>
      </c>
      <c r="S32" s="8">
        <f t="shared" si="8"/>
        <v>0.37778982520103455</v>
      </c>
      <c r="T32" s="8">
        <f t="shared" si="1"/>
        <v>-7.8945555648246568E-10</v>
      </c>
      <c r="U32" s="8">
        <f t="shared" si="3"/>
        <v>0.3777898233383894</v>
      </c>
      <c r="V32" s="8">
        <f t="shared" si="2"/>
        <v>1.3708149615432319E-9</v>
      </c>
      <c r="W32" s="8">
        <f t="shared" si="4"/>
        <v>4.8404648819766633E-18</v>
      </c>
      <c r="X32" s="8">
        <f t="shared" si="5"/>
        <v>-1.0821974882996019E-18</v>
      </c>
      <c r="Y32" s="8">
        <f t="shared" si="6"/>
        <v>3.7252902984619141E-9</v>
      </c>
      <c r="AA32" s="8">
        <v>28</v>
      </c>
      <c r="AB32" s="8">
        <f t="shared" si="13"/>
        <v>1239.9994134902954</v>
      </c>
      <c r="AC32" s="8">
        <v>-1.4102630530032911E-6</v>
      </c>
      <c r="AD32" s="8">
        <f t="shared" si="14"/>
        <v>1239.9994283914566</v>
      </c>
      <c r="AE32" s="8">
        <v>3.2257787552225636E-6</v>
      </c>
      <c r="AF32" s="8">
        <f t="shared" si="9"/>
        <v>1239.999420940876</v>
      </c>
      <c r="AG32" s="8">
        <v>9.0775790795305511E-7</v>
      </c>
      <c r="AH32" s="8">
        <f t="shared" si="10"/>
        <v>-1.280177438657756E-12</v>
      </c>
      <c r="AI32" s="8">
        <f t="shared" si="11"/>
        <v>2.9282261743602446E-12</v>
      </c>
      <c r="AJ32" s="8">
        <f t="shared" si="12"/>
        <v>1.4901161193847656E-5</v>
      </c>
    </row>
    <row r="33" spans="2:36" x14ac:dyDescent="0.2">
      <c r="B33" t="s">
        <v>27</v>
      </c>
      <c r="C33" s="1">
        <v>1.2250000000000001</v>
      </c>
      <c r="D33" t="s">
        <v>28</v>
      </c>
      <c r="P33" s="8">
        <v>29</v>
      </c>
      <c r="Q33" s="8">
        <f t="shared" si="7"/>
        <v>0.3777898233383894</v>
      </c>
      <c r="R33" s="8">
        <f t="shared" si="0"/>
        <v>1.3708149615432319E-9</v>
      </c>
      <c r="S33" s="8">
        <f t="shared" si="8"/>
        <v>0.37778982520103455</v>
      </c>
      <c r="T33" s="8">
        <f t="shared" si="1"/>
        <v>-7.8945555648246568E-10</v>
      </c>
      <c r="U33" s="8">
        <f t="shared" si="3"/>
        <v>0.37778982426971197</v>
      </c>
      <c r="V33" s="8">
        <f t="shared" si="2"/>
        <v>2.9067970253038311E-10</v>
      </c>
      <c r="W33" s="8">
        <f t="shared" si="4"/>
        <v>3.9846808524558521E-19</v>
      </c>
      <c r="X33" s="8">
        <f t="shared" si="5"/>
        <v>-2.2947870631928119E-19</v>
      </c>
      <c r="Y33" s="8">
        <f t="shared" si="6"/>
        <v>1.862645149230957E-9</v>
      </c>
      <c r="AA33" s="8">
        <v>29</v>
      </c>
      <c r="AB33" s="8">
        <f t="shared" si="13"/>
        <v>1239.9994134902954</v>
      </c>
      <c r="AC33" s="8">
        <v>-1.4102630530032911E-6</v>
      </c>
      <c r="AD33" s="8">
        <f t="shared" si="14"/>
        <v>1239.999420940876</v>
      </c>
      <c r="AE33" s="8">
        <v>9.0775790795305511E-7</v>
      </c>
      <c r="AF33" s="8">
        <f t="shared" si="9"/>
        <v>1239.9994172155857</v>
      </c>
      <c r="AG33" s="8">
        <v>-4.4442674607125809E-7</v>
      </c>
      <c r="AH33" s="8">
        <f t="shared" si="10"/>
        <v>6.2675861975077086E-13</v>
      </c>
      <c r="AI33" s="8">
        <f t="shared" si="11"/>
        <v>-4.034318932520289E-13</v>
      </c>
      <c r="AJ33" s="8">
        <f t="shared" si="12"/>
        <v>7.4505805969238281E-6</v>
      </c>
    </row>
    <row r="34" spans="2:36" x14ac:dyDescent="0.2">
      <c r="B34" t="s">
        <v>29</v>
      </c>
      <c r="C34" s="1">
        <v>9.81</v>
      </c>
      <c r="D34" t="s">
        <v>30</v>
      </c>
      <c r="F34" s="2" t="s">
        <v>93</v>
      </c>
      <c r="G34" s="2"/>
      <c r="H34" s="2"/>
      <c r="P34" s="8">
        <v>30</v>
      </c>
      <c r="Q34" s="8">
        <f t="shared" si="7"/>
        <v>0.37778982426971197</v>
      </c>
      <c r="R34" s="8">
        <f t="shared" si="0"/>
        <v>2.9067970253038311E-10</v>
      </c>
      <c r="S34" s="8">
        <f t="shared" si="8"/>
        <v>0.37778982520103455</v>
      </c>
      <c r="T34" s="8">
        <f t="shared" si="1"/>
        <v>-7.8945555648246568E-10</v>
      </c>
      <c r="U34" s="8">
        <f t="shared" si="3"/>
        <v>0.37778982473537326</v>
      </c>
      <c r="V34" s="8">
        <f t="shared" si="2"/>
        <v>-2.4938789922046567E-10</v>
      </c>
      <c r="W34" s="8">
        <f t="shared" si="4"/>
        <v>-7.2492000360082123E-20</v>
      </c>
      <c r="X34" s="8">
        <f t="shared" si="5"/>
        <v>1.9688066275908579E-19</v>
      </c>
      <c r="Y34" s="8">
        <f t="shared" si="6"/>
        <v>9.3132257461547852E-10</v>
      </c>
      <c r="AA34" s="8">
        <v>30</v>
      </c>
      <c r="AB34" s="8">
        <f t="shared" si="13"/>
        <v>1239.9994172155857</v>
      </c>
      <c r="AC34" s="8">
        <v>-4.4442674607125809E-7</v>
      </c>
      <c r="AD34" s="8">
        <f t="shared" si="14"/>
        <v>1239.999420940876</v>
      </c>
      <c r="AE34" s="8">
        <v>9.0775790795305511E-7</v>
      </c>
      <c r="AF34" s="8">
        <f t="shared" si="9"/>
        <v>1239.9994190782309</v>
      </c>
      <c r="AG34" s="8">
        <v>2.3166558094089851E-7</v>
      </c>
      <c r="AH34" s="8">
        <f t="shared" si="10"/>
        <v>-1.0295838031427119E-13</v>
      </c>
      <c r="AI34" s="8">
        <f t="shared" si="11"/>
        <v>2.1029626309963919E-13</v>
      </c>
      <c r="AJ34" s="8">
        <f t="shared" si="12"/>
        <v>3.7252902984619141E-6</v>
      </c>
    </row>
    <row r="35" spans="2:36" x14ac:dyDescent="0.2">
      <c r="B35" t="s">
        <v>73</v>
      </c>
      <c r="C35" s="1">
        <v>5</v>
      </c>
      <c r="D35" t="s">
        <v>74</v>
      </c>
      <c r="F35" t="s">
        <v>94</v>
      </c>
      <c r="G35">
        <f>ROUND($C$28/$C$20 * 100, 2)</f>
        <v>32.26</v>
      </c>
      <c r="H35" t="s">
        <v>95</v>
      </c>
      <c r="AA35" s="8">
        <v>31</v>
      </c>
      <c r="AB35" s="8">
        <f t="shared" si="13"/>
        <v>1239.9994172155857</v>
      </c>
      <c r="AC35">
        <v>-4.4442674607125809E-7</v>
      </c>
      <c r="AD35" s="8">
        <f t="shared" si="14"/>
        <v>1239.9994190782309</v>
      </c>
      <c r="AE35">
        <v>2.3166558094089851E-7</v>
      </c>
      <c r="AF35" s="8">
        <f t="shared" si="9"/>
        <v>1239.9994181469083</v>
      </c>
      <c r="AG35">
        <v>-1.063808667822741E-7</v>
      </c>
      <c r="AH35" s="8">
        <f t="shared" si="10"/>
        <v>4.7278502468286065E-14</v>
      </c>
      <c r="AI35" s="8">
        <f t="shared" si="11"/>
        <v>-2.4644785304111861E-14</v>
      </c>
      <c r="AJ35" s="8">
        <f t="shared" si="12"/>
        <v>1.862645149230957E-6</v>
      </c>
    </row>
    <row r="36" spans="2:36" x14ac:dyDescent="0.2">
      <c r="F36" s="16" t="s">
        <v>87</v>
      </c>
      <c r="G36">
        <f>ROUND(G17/$C$20 * 100, 2)</f>
        <v>16.14</v>
      </c>
      <c r="H36" t="s">
        <v>95</v>
      </c>
      <c r="AA36" s="8">
        <v>32</v>
      </c>
      <c r="AB36" s="8">
        <f t="shared" si="13"/>
        <v>1239.9994181469083</v>
      </c>
      <c r="AC36">
        <v>-1.063808667822741E-7</v>
      </c>
      <c r="AD36" s="8">
        <f t="shared" si="14"/>
        <v>1239.9994190782309</v>
      </c>
      <c r="AE36">
        <v>2.3166558094089851E-7</v>
      </c>
      <c r="AF36" s="8">
        <f t="shared" si="9"/>
        <v>1239.9994186125696</v>
      </c>
      <c r="AG36">
        <v>6.2642129705636762E-8</v>
      </c>
      <c r="AH36" s="8">
        <f t="shared" si="10"/>
        <v>-6.6639240551732793E-15</v>
      </c>
      <c r="AI36" s="8">
        <f t="shared" si="11"/>
        <v>1.4512025369631456E-14</v>
      </c>
      <c r="AJ36" s="8">
        <f t="shared" si="12"/>
        <v>9.3132257461547852E-7</v>
      </c>
    </row>
    <row r="37" spans="2:36" x14ac:dyDescent="0.2">
      <c r="B37" s="19" t="s">
        <v>31</v>
      </c>
      <c r="C37" s="20"/>
      <c r="D37" s="20"/>
      <c r="F37" s="18" t="s">
        <v>140</v>
      </c>
      <c r="G37">
        <f>ROUND(SUM(G18:G20)/$C$20 * 100, 2)</f>
        <v>15.94</v>
      </c>
      <c r="H37" t="s">
        <v>95</v>
      </c>
      <c r="AA37" s="8">
        <v>33</v>
      </c>
      <c r="AB37" s="8">
        <f t="shared" si="13"/>
        <v>1239.9994181469083</v>
      </c>
      <c r="AC37">
        <v>-1.063808667822741E-7</v>
      </c>
      <c r="AD37" s="8">
        <f t="shared" si="14"/>
        <v>1239.9994186125696</v>
      </c>
      <c r="AE37">
        <v>6.2642129705636762E-8</v>
      </c>
      <c r="AF37" s="8">
        <f t="shared" si="9"/>
        <v>1239.9994183797389</v>
      </c>
      <c r="AG37">
        <v>-2.1869141164643224E-8</v>
      </c>
      <c r="AH37" s="8">
        <f t="shared" si="10"/>
        <v>2.3264581928786574E-15</v>
      </c>
      <c r="AI37" s="8">
        <f t="shared" si="11"/>
        <v>-1.3699295773864611E-15</v>
      </c>
      <c r="AJ37" s="8">
        <f t="shared" si="12"/>
        <v>4.6566128730773926E-7</v>
      </c>
    </row>
    <row r="38" spans="2:36" x14ac:dyDescent="0.2">
      <c r="B38" t="s">
        <v>32</v>
      </c>
      <c r="C38" s="1">
        <v>30</v>
      </c>
      <c r="F38" s="17" t="s">
        <v>108</v>
      </c>
      <c r="G38">
        <f>ROUND(SUM(G21:G25)/$C$20 * 100, 2)</f>
        <v>29.79</v>
      </c>
      <c r="H38" t="s">
        <v>95</v>
      </c>
      <c r="AA38" s="8">
        <v>34</v>
      </c>
      <c r="AB38" s="8">
        <f t="shared" si="13"/>
        <v>1239.9994183797389</v>
      </c>
      <c r="AC38">
        <v>-2.1869141164643224E-8</v>
      </c>
      <c r="AD38" s="8">
        <f t="shared" si="14"/>
        <v>1239.9994186125696</v>
      </c>
      <c r="AE38">
        <v>6.2642129705636762E-8</v>
      </c>
      <c r="AF38" s="8">
        <f t="shared" si="9"/>
        <v>1239.9994184961542</v>
      </c>
      <c r="AG38">
        <v>2.0386437427077908E-8</v>
      </c>
      <c r="AH38" s="8">
        <f t="shared" si="10"/>
        <v>-4.4583387793693278E-16</v>
      </c>
      <c r="AI38" s="8">
        <f t="shared" si="11"/>
        <v>1.2770498575428621E-15</v>
      </c>
      <c r="AJ38" s="8">
        <f t="shared" si="12"/>
        <v>2.3283064365386963E-7</v>
      </c>
    </row>
    <row r="39" spans="2:36" x14ac:dyDescent="0.2">
      <c r="F39" s="15" t="s">
        <v>109</v>
      </c>
      <c r="G39">
        <f>ROUND(SUM(G26:G29)/$C$20*100, 2)</f>
        <v>5.87</v>
      </c>
      <c r="H39" t="s">
        <v>95</v>
      </c>
      <c r="AA39" s="8">
        <v>35</v>
      </c>
      <c r="AB39" s="8">
        <f t="shared" si="13"/>
        <v>1239.9994183797389</v>
      </c>
      <c r="AC39">
        <v>-2.1869141164643224E-8</v>
      </c>
      <c r="AD39" s="8">
        <f t="shared" si="14"/>
        <v>1239.9994184961542</v>
      </c>
      <c r="AE39">
        <v>2.0386437427077908E-8</v>
      </c>
      <c r="AF39" s="8">
        <f t="shared" si="9"/>
        <v>1239.9994184379466</v>
      </c>
      <c r="AG39">
        <v>-7.4123818194493651E-10</v>
      </c>
      <c r="AH39" s="8">
        <f t="shared" si="10"/>
        <v>1.6210242437577315E-17</v>
      </c>
      <c r="AI39" s="8">
        <f t="shared" si="11"/>
        <v>-1.5111205814781438E-17</v>
      </c>
      <c r="AJ39" s="8">
        <f t="shared" si="12"/>
        <v>1.1641532182693481E-7</v>
      </c>
    </row>
    <row r="40" spans="2:36" x14ac:dyDescent="0.2">
      <c r="F40" s="3" t="s">
        <v>96</v>
      </c>
      <c r="G40" s="3">
        <f>SUM(G35:G39)</f>
        <v>100</v>
      </c>
      <c r="H40" s="3" t="s">
        <v>95</v>
      </c>
      <c r="AA40" s="8">
        <v>36</v>
      </c>
      <c r="AB40" s="8">
        <f t="shared" si="13"/>
        <v>1239.9994184379466</v>
      </c>
      <c r="AC40">
        <v>-7.4123818194493651E-10</v>
      </c>
      <c r="AD40" s="8">
        <f t="shared" si="14"/>
        <v>1239.9994184961542</v>
      </c>
      <c r="AE40">
        <v>2.0386437427077908E-8</v>
      </c>
      <c r="AF40" s="8">
        <f t="shared" si="9"/>
        <v>1239.9994184670504</v>
      </c>
      <c r="AG40">
        <v>9.8227701528230682E-9</v>
      </c>
      <c r="AH40" s="8">
        <f t="shared" si="10"/>
        <v>-7.2810122897415573E-18</v>
      </c>
      <c r="AI40" s="8">
        <f t="shared" si="11"/>
        <v>2.0025128908109598E-16</v>
      </c>
      <c r="AJ40" s="8">
        <f t="shared" si="12"/>
        <v>5.8207660913467407E-8</v>
      </c>
    </row>
    <row r="41" spans="2:36" x14ac:dyDescent="0.2">
      <c r="AA41" s="8">
        <v>37</v>
      </c>
      <c r="AB41" s="8">
        <f t="shared" si="13"/>
        <v>1239.9994184379466</v>
      </c>
      <c r="AC41">
        <v>-7.4123818194493651E-10</v>
      </c>
      <c r="AD41" s="8">
        <f t="shared" si="14"/>
        <v>1239.9994184670504</v>
      </c>
      <c r="AE41">
        <v>9.8227701528230682E-9</v>
      </c>
      <c r="AF41" s="8">
        <f t="shared" si="9"/>
        <v>1239.9994184524985</v>
      </c>
      <c r="AG41">
        <v>4.540424924925901E-9</v>
      </c>
      <c r="AH41" s="8">
        <f t="shared" si="10"/>
        <v>-3.3655363166095497E-18</v>
      </c>
      <c r="AI41" s="8">
        <f t="shared" si="11"/>
        <v>4.459955043369606E-17</v>
      </c>
      <c r="AJ41" s="8">
        <f t="shared" si="12"/>
        <v>2.9103830456733704E-8</v>
      </c>
    </row>
    <row r="42" spans="2:36" x14ac:dyDescent="0.2">
      <c r="B42" t="s">
        <v>144</v>
      </c>
      <c r="C42" s="1">
        <v>1.2</v>
      </c>
      <c r="AA42" s="8">
        <v>38</v>
      </c>
      <c r="AB42" s="8">
        <f t="shared" si="13"/>
        <v>1239.9994184379466</v>
      </c>
      <c r="AC42">
        <v>-7.4123818194493651E-10</v>
      </c>
      <c r="AD42" s="8">
        <f t="shared" si="14"/>
        <v>1239.9994184524985</v>
      </c>
      <c r="AE42">
        <v>4.540424924925901E-9</v>
      </c>
      <c r="AF42" s="8">
        <f t="shared" si="9"/>
        <v>1239.9994184452225</v>
      </c>
      <c r="AG42">
        <v>1.8998207451659255E-9</v>
      </c>
      <c r="AH42" s="8">
        <f t="shared" si="10"/>
        <v>-1.4082196751680651E-18</v>
      </c>
      <c r="AI42" s="8">
        <f t="shared" si="11"/>
        <v>8.6259934642426665E-18</v>
      </c>
      <c r="AJ42" s="8">
        <f t="shared" si="12"/>
        <v>1.4551915228366852E-8</v>
      </c>
    </row>
    <row r="43" spans="2:36" x14ac:dyDescent="0.2">
      <c r="B43" t="s">
        <v>149</v>
      </c>
      <c r="C43" s="1">
        <v>0.9</v>
      </c>
      <c r="AA43" s="8">
        <v>39</v>
      </c>
      <c r="AB43" s="8">
        <f t="shared" si="13"/>
        <v>1239.9994184379466</v>
      </c>
      <c r="AC43">
        <v>-7.4123818194493651E-10</v>
      </c>
      <c r="AD43" s="8">
        <f t="shared" si="14"/>
        <v>1239.9994184452225</v>
      </c>
      <c r="AE43">
        <v>1.8998207451659255E-9</v>
      </c>
      <c r="AF43" s="8">
        <f t="shared" si="9"/>
        <v>1239.9994184415846</v>
      </c>
      <c r="AG43">
        <v>5.7912075135391206E-10</v>
      </c>
      <c r="AH43" s="8">
        <f t="shared" si="10"/>
        <v>-4.292664128601594E-19</v>
      </c>
      <c r="AI43" s="8">
        <f t="shared" si="11"/>
        <v>1.1002256173782398E-18</v>
      </c>
      <c r="AJ43" s="8">
        <f t="shared" si="12"/>
        <v>7.2759576141834259E-9</v>
      </c>
    </row>
    <row r="44" spans="2:36" x14ac:dyDescent="0.2">
      <c r="C44" s="1">
        <v>50</v>
      </c>
      <c r="AA44" s="8">
        <v>40</v>
      </c>
      <c r="AB44" s="8">
        <f t="shared" si="13"/>
        <v>1239.9994184379466</v>
      </c>
      <c r="AC44">
        <v>-7.4123818194493651E-10</v>
      </c>
      <c r="AD44" s="8">
        <f t="shared" si="14"/>
        <v>1239.9994184415846</v>
      </c>
      <c r="AE44">
        <v>5.7912075135391206E-10</v>
      </c>
      <c r="AF44" s="11">
        <f t="shared" si="9"/>
        <v>1239.9994184397656</v>
      </c>
      <c r="AG44">
        <v>-8.1058715295512229E-11</v>
      </c>
      <c r="AH44" s="8">
        <f t="shared" si="10"/>
        <v>6.0083814756437702E-20</v>
      </c>
      <c r="AI44" s="8">
        <f t="shared" si="11"/>
        <v>-4.6942784105719886E-20</v>
      </c>
      <c r="AJ44" s="8">
        <f t="shared" si="12"/>
        <v>3.637978807091713E-9</v>
      </c>
    </row>
    <row r="45" spans="2:36" x14ac:dyDescent="0.2">
      <c r="C45" s="1">
        <v>6.4</v>
      </c>
    </row>
    <row r="46" spans="2:36" x14ac:dyDescent="0.2">
      <c r="C46" s="1">
        <v>1</v>
      </c>
    </row>
    <row r="49" spans="2:27" x14ac:dyDescent="0.2">
      <c r="B49" t="s">
        <v>151</v>
      </c>
      <c r="C49" s="1">
        <v>1.5</v>
      </c>
    </row>
    <row r="50" spans="2:27" x14ac:dyDescent="0.2">
      <c r="B50" t="s">
        <v>149</v>
      </c>
      <c r="C50" s="1">
        <v>0.78200689098041498</v>
      </c>
    </row>
    <row r="51" spans="2:27" x14ac:dyDescent="0.2">
      <c r="C51" s="1">
        <v>55</v>
      </c>
    </row>
    <row r="52" spans="2:27" x14ac:dyDescent="0.2">
      <c r="C52" s="1">
        <v>9.5011032278081</v>
      </c>
    </row>
    <row r="53" spans="2:27" x14ac:dyDescent="0.2">
      <c r="C53" s="1">
        <v>1.2999999999999901</v>
      </c>
    </row>
    <row r="55" spans="2:27" x14ac:dyDescent="0.2">
      <c r="AA55" s="8"/>
    </row>
    <row r="56" spans="2:27" x14ac:dyDescent="0.2">
      <c r="B56" t="s">
        <v>146</v>
      </c>
      <c r="C56" s="1">
        <v>1</v>
      </c>
      <c r="AA56" s="8"/>
    </row>
    <row r="57" spans="2:27" x14ac:dyDescent="0.2">
      <c r="B57" t="s">
        <v>148</v>
      </c>
      <c r="C57" s="1">
        <v>1</v>
      </c>
      <c r="AA57" s="8"/>
    </row>
    <row r="58" spans="2:27" x14ac:dyDescent="0.2">
      <c r="B58" t="s">
        <v>150</v>
      </c>
      <c r="C58" s="1">
        <v>30</v>
      </c>
    </row>
    <row r="59" spans="2:27" x14ac:dyDescent="0.2">
      <c r="C59" s="1">
        <v>8</v>
      </c>
    </row>
    <row r="60" spans="2:27" x14ac:dyDescent="0.2">
      <c r="C60" s="1">
        <v>1</v>
      </c>
    </row>
  </sheetData>
  <mergeCells count="14">
    <mergeCell ref="J3:L3"/>
    <mergeCell ref="J16:L16"/>
    <mergeCell ref="B1:D1"/>
    <mergeCell ref="B3:D3"/>
    <mergeCell ref="B11:D11"/>
    <mergeCell ref="B14:D14"/>
    <mergeCell ref="B37:D37"/>
    <mergeCell ref="F3:H3"/>
    <mergeCell ref="F7:H7"/>
    <mergeCell ref="F11:H11"/>
    <mergeCell ref="B19:D19"/>
    <mergeCell ref="B27:D27"/>
    <mergeCell ref="F15:H15"/>
    <mergeCell ref="B32:D32"/>
  </mergeCells>
  <conditionalFormatting sqref="G31">
    <cfRule type="containsText" dxfId="5" priority="1" operator="containsText" text="FALSE">
      <formula>NOT(ISERROR(SEARCH("FALSE",G31)))</formula>
    </cfRule>
    <cfRule type="containsText" dxfId="4" priority="2" operator="containsText" text="TRUE">
      <formula>NOT(ISERROR(SEARCH("TRUE",G31)))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9F6A-8712-2C4A-BDE2-261DEBFAF47B}">
  <dimension ref="B2:T36"/>
  <sheetViews>
    <sheetView tabSelected="1" workbookViewId="0">
      <selection activeCell="H22" sqref="H22"/>
    </sheetView>
  </sheetViews>
  <sheetFormatPr baseColWidth="10" defaultRowHeight="16" x14ac:dyDescent="0.2"/>
  <cols>
    <col min="2" max="2" width="17.1640625" customWidth="1"/>
  </cols>
  <sheetData>
    <row r="2" spans="2:8" x14ac:dyDescent="0.2">
      <c r="C2" t="s">
        <v>127</v>
      </c>
      <c r="D2" t="s">
        <v>112</v>
      </c>
      <c r="E2" t="s">
        <v>128</v>
      </c>
      <c r="F2" t="s">
        <v>129</v>
      </c>
      <c r="G2" t="s">
        <v>1</v>
      </c>
    </row>
    <row r="3" spans="2:8" x14ac:dyDescent="0.2">
      <c r="B3" t="s">
        <v>130</v>
      </c>
      <c r="C3">
        <v>3269</v>
      </c>
      <c r="D3">
        <v>2864</v>
      </c>
      <c r="E3">
        <v>3858</v>
      </c>
      <c r="F3">
        <v>4399</v>
      </c>
      <c r="G3">
        <v>3863</v>
      </c>
      <c r="H3" t="s">
        <v>125</v>
      </c>
    </row>
    <row r="4" spans="2:8" x14ac:dyDescent="0.2">
      <c r="B4" t="s">
        <v>120</v>
      </c>
      <c r="C4">
        <v>1</v>
      </c>
      <c r="D4">
        <v>4</v>
      </c>
      <c r="E4">
        <v>2</v>
      </c>
      <c r="F4">
        <v>4</v>
      </c>
      <c r="G4">
        <v>5</v>
      </c>
    </row>
    <row r="5" spans="2:8" x14ac:dyDescent="0.2">
      <c r="B5" t="s">
        <v>132</v>
      </c>
      <c r="C5">
        <v>6.6</v>
      </c>
      <c r="D5">
        <v>25.9</v>
      </c>
      <c r="E5">
        <v>4.7</v>
      </c>
      <c r="F5">
        <v>5.2</v>
      </c>
      <c r="G5">
        <v>15.8</v>
      </c>
      <c r="H5" t="s">
        <v>131</v>
      </c>
    </row>
    <row r="6" spans="2:8" x14ac:dyDescent="0.2">
      <c r="B6" t="s">
        <v>134</v>
      </c>
      <c r="C6">
        <f>2.5 * (C3/1000) ^ (2/3)</f>
        <v>5.5065969395516792</v>
      </c>
      <c r="D6">
        <f>0.0327*D3^0.8903</f>
        <v>39.110271131161461</v>
      </c>
      <c r="E6">
        <f>1.6 * (E3/1000) ^ (2/3)</f>
        <v>3.9357556858069622</v>
      </c>
      <c r="F6">
        <f>1.6 * (F3/1000) ^ (2/3)</f>
        <v>4.2955880345721758</v>
      </c>
      <c r="G6">
        <f>1.6 * (G3/1000) ^ (2/3)</f>
        <v>3.9391554663896855</v>
      </c>
    </row>
    <row r="7" spans="2:8" x14ac:dyDescent="0.2">
      <c r="B7" t="s">
        <v>133</v>
      </c>
      <c r="C7">
        <f>C5/((C3/1000)^(2/3))</f>
        <v>2.9964059801593814</v>
      </c>
      <c r="E7">
        <f>E5/((E3/1000)^(2/3))</f>
        <v>1.9106877053162785</v>
      </c>
      <c r="F7">
        <f>F5/((F3/1000)^(2/3))</f>
        <v>1.9368710251165047</v>
      </c>
      <c r="G7">
        <f>G5/((G3/1000)^(2/3))</f>
        <v>6.4176192627323809</v>
      </c>
    </row>
    <row r="8" spans="2:8" x14ac:dyDescent="0.2">
      <c r="B8" t="s">
        <v>143</v>
      </c>
      <c r="C8">
        <f>C3*$C$21*$C$20 / C4</f>
        <v>14546.191952880001</v>
      </c>
      <c r="D8">
        <f>D3*$C$21*$C$20 / D4</f>
        <v>3186.0120643199998</v>
      </c>
      <c r="E8">
        <f>E3*$C$21*$C$20 / E4</f>
        <v>8583.5436760800003</v>
      </c>
      <c r="F8">
        <f>F3*$C$21*$C$20 / F4</f>
        <v>4893.5988376200003</v>
      </c>
      <c r="G8">
        <f>G3*$C$21*$C$20 / (G4-1)</f>
        <v>4297.3340099400002</v>
      </c>
      <c r="H8" t="s">
        <v>37</v>
      </c>
    </row>
    <row r="9" spans="2:8" x14ac:dyDescent="0.2">
      <c r="B9" t="s">
        <v>118</v>
      </c>
      <c r="C9">
        <f>(C11/C4)*1000/C12</f>
        <v>8056.9509196123981</v>
      </c>
      <c r="D9">
        <f>(D11/D4)*1000/D12</f>
        <v>1117.8604285746135</v>
      </c>
      <c r="E9">
        <f>(E11/E4)*1000/E12</f>
        <v>2700.2055859367888</v>
      </c>
      <c r="F9">
        <f>(F11/F4)*1000/F12</f>
        <v>1161.4135684602581</v>
      </c>
      <c r="G9">
        <f>(G11/(G4-1))*1000/G12</f>
        <v>574.18899999999996</v>
      </c>
      <c r="H9" t="s">
        <v>119</v>
      </c>
    </row>
    <row r="10" spans="2:8" x14ac:dyDescent="0.2">
      <c r="B10" t="s">
        <v>137</v>
      </c>
      <c r="C10">
        <f>177*$C$19</f>
        <v>131.9889</v>
      </c>
      <c r="D10">
        <f>200*$C$19</f>
        <v>149.14000000000001</v>
      </c>
      <c r="E10">
        <f>138*$C$19</f>
        <v>102.9066</v>
      </c>
      <c r="F10">
        <f>100*$C$19</f>
        <v>74.570000000000007</v>
      </c>
      <c r="G10">
        <f>102*$C$19</f>
        <v>76.061400000000006</v>
      </c>
      <c r="H10" t="s">
        <v>121</v>
      </c>
    </row>
    <row r="11" spans="2:8" x14ac:dyDescent="0.2">
      <c r="B11" t="s">
        <v>136</v>
      </c>
      <c r="C11">
        <f>252*$C$19</f>
        <v>187.91640000000001</v>
      </c>
      <c r="D11">
        <f>240*$C$19</f>
        <v>178.96800000000002</v>
      </c>
      <c r="E11">
        <f>435*$C$19</f>
        <v>324.37950000000001</v>
      </c>
      <c r="F11">
        <f>680*$C$19</f>
        <v>507.07600000000002</v>
      </c>
      <c r="G11">
        <f>308*$C$19</f>
        <v>229.6756</v>
      </c>
      <c r="H11" t="s">
        <v>121</v>
      </c>
    </row>
    <row r="12" spans="2:8" x14ac:dyDescent="0.2">
      <c r="B12" t="s">
        <v>53</v>
      </c>
      <c r="C12">
        <v>23.323513060327823</v>
      </c>
      <c r="D12">
        <v>40.024674687743122</v>
      </c>
      <c r="E12">
        <v>60.065704198493883</v>
      </c>
      <c r="F12">
        <v>109.15061046519696</v>
      </c>
      <c r="G12">
        <v>100</v>
      </c>
      <c r="H12" t="s">
        <v>54</v>
      </c>
    </row>
    <row r="14" spans="2:8" x14ac:dyDescent="0.2">
      <c r="B14" t="s">
        <v>122</v>
      </c>
      <c r="C14">
        <f xml:space="preserve"> 2.20462/1000 * (7200/500 * (C8 - 300) + 800) * C4 * $C$18</f>
        <v>363.22466218038375</v>
      </c>
      <c r="D14">
        <f xml:space="preserve"> 2.20462/1000 * (7200/500 * (D8 - 300) + 800) * D4 * $C$18</f>
        <v>298.8305881864726</v>
      </c>
      <c r="E14">
        <f xml:space="preserve"> 2.20462/1000 * (7200/500 * (E8 - 300) + 800) * E4 * $C$18</f>
        <v>423.57991560303464</v>
      </c>
      <c r="F14">
        <f xml:space="preserve"> 2.20462/1000 * (7200/500 * (F8 - 300) + 800) * F4 * $C$18</f>
        <v>472.30243238166651</v>
      </c>
      <c r="G14">
        <f xml:space="preserve"> 2.20462/1000 * (7200/500 * (G8 - 300) + 800) * (G4-1) * $C$18</f>
        <v>411.72855063012003</v>
      </c>
      <c r="H14" t="s">
        <v>125</v>
      </c>
    </row>
    <row r="15" spans="2:8" x14ac:dyDescent="0.2">
      <c r="B15" t="s">
        <v>123</v>
      </c>
      <c r="C15">
        <f>2.20462 * (58/990 * (C9 - 10) + 2) * C4 * $C$18</f>
        <v>834.99987548360514</v>
      </c>
      <c r="D15">
        <f>2.20462 * (58/990 * (D9 - 10) + 2) * D4 * $C$18</f>
        <v>472.0000018313101</v>
      </c>
      <c r="E15">
        <f>2.20462 * (58/990 * (E9 - 10) + 2) * E4 * $C$18</f>
        <v>562.99999653226962</v>
      </c>
      <c r="F15">
        <f>2.20462 * (58/990 * (F9 - 10) + 2) * F4 * $C$18</f>
        <v>490.00097524148214</v>
      </c>
      <c r="G15">
        <f>2.20462 * (58/990 * (G9 - 10) + 2) * G4 * $C$18</f>
        <v>309.11856195733338</v>
      </c>
      <c r="H15" t="s">
        <v>125</v>
      </c>
    </row>
    <row r="16" spans="2:8" x14ac:dyDescent="0.2">
      <c r="B16" t="s">
        <v>124</v>
      </c>
      <c r="C16">
        <f>2.20462 * (49.9/398 * (C11/C4-2) + 0.1) * C4 * $C$18</f>
        <v>41.287451382961208</v>
      </c>
      <c r="D16">
        <f>2.20462 * (49.9/398 * (D11/D4-2) + 0.1) * D4 * $C$18</f>
        <v>38.511069677957792</v>
      </c>
      <c r="E16">
        <f>2.20462 * (49.9/398 * (E11/E4-2) + 0.1) * E4 * $C$18</f>
        <v>71.197203841549751</v>
      </c>
      <c r="F16">
        <f>2.20462 * (49.9/398 * (F11/F4-2) + 0.1) * F4 * $C$18</f>
        <v>111.06451209424725</v>
      </c>
      <c r="G16">
        <f>2.20462*(49.9/398*(G11/4-2)+0.1)*4*$C$18 + 2.20462*(49.9/398*(G10/1-2)+0.1)*1*$C$18</f>
        <v>66.277197701519597</v>
      </c>
      <c r="H16" t="s">
        <v>125</v>
      </c>
    </row>
    <row r="18" spans="2:20" x14ac:dyDescent="0.2">
      <c r="B18" t="s">
        <v>126</v>
      </c>
      <c r="C18">
        <v>0.8</v>
      </c>
    </row>
    <row r="19" spans="2:20" x14ac:dyDescent="0.2">
      <c r="B19" t="s">
        <v>138</v>
      </c>
      <c r="C19">
        <v>0.74570000000000003</v>
      </c>
      <c r="K19" t="s">
        <v>153</v>
      </c>
      <c r="L19">
        <v>84</v>
      </c>
      <c r="M19">
        <v>90</v>
      </c>
      <c r="N19">
        <v>105</v>
      </c>
      <c r="O19">
        <v>129</v>
      </c>
      <c r="P19">
        <v>138</v>
      </c>
      <c r="Q19">
        <v>162</v>
      </c>
      <c r="R19">
        <v>168</v>
      </c>
      <c r="S19">
        <v>178</v>
      </c>
      <c r="T19">
        <v>210</v>
      </c>
    </row>
    <row r="20" spans="2:20" x14ac:dyDescent="0.2">
      <c r="B20" t="s">
        <v>141</v>
      </c>
      <c r="C20">
        <v>9.81</v>
      </c>
      <c r="K20" t="s">
        <v>154</v>
      </c>
      <c r="L20">
        <v>400</v>
      </c>
      <c r="M20">
        <v>425</v>
      </c>
      <c r="N20">
        <v>500</v>
      </c>
      <c r="O20">
        <v>400</v>
      </c>
      <c r="P20">
        <v>425</v>
      </c>
      <c r="Q20">
        <v>500</v>
      </c>
      <c r="R20">
        <v>400</v>
      </c>
      <c r="S20">
        <v>425</v>
      </c>
      <c r="T20">
        <v>500</v>
      </c>
    </row>
    <row r="21" spans="2:20" x14ac:dyDescent="0.2">
      <c r="B21" t="s">
        <v>142</v>
      </c>
      <c r="C21">
        <v>0.453592</v>
      </c>
      <c r="K21" t="s">
        <v>155</v>
      </c>
      <c r="L21">
        <f>9550*L19/L20</f>
        <v>2005.5</v>
      </c>
      <c r="M21">
        <f t="shared" ref="M21:Q21" si="0">9550*M19/M20</f>
        <v>2022.3529411764705</v>
      </c>
      <c r="N21">
        <f t="shared" si="0"/>
        <v>2005.5</v>
      </c>
      <c r="O21">
        <f t="shared" si="0"/>
        <v>3079.875</v>
      </c>
      <c r="P21">
        <f t="shared" si="0"/>
        <v>3100.9411764705883</v>
      </c>
      <c r="Q21">
        <f t="shared" si="0"/>
        <v>3094.2</v>
      </c>
      <c r="R21">
        <f t="shared" ref="R21" si="1">9550*R19/R20</f>
        <v>4011</v>
      </c>
      <c r="S21">
        <f t="shared" ref="S21" si="2">9550*S19/S20</f>
        <v>3999.7647058823532</v>
      </c>
      <c r="T21">
        <f t="shared" ref="T21" si="3">9550*T19/T20</f>
        <v>4011</v>
      </c>
    </row>
    <row r="24" spans="2:20" x14ac:dyDescent="0.2">
      <c r="C24">
        <v>835</v>
      </c>
      <c r="D24">
        <v>472</v>
      </c>
      <c r="E24">
        <v>563</v>
      </c>
      <c r="F24">
        <v>490</v>
      </c>
      <c r="G24">
        <v>405</v>
      </c>
    </row>
    <row r="25" spans="2:20" x14ac:dyDescent="0.2">
      <c r="C25">
        <f>C15-C24</f>
        <v>-1.2451639486243948E-4</v>
      </c>
      <c r="D25">
        <f>D15-D24</f>
        <v>1.8313101008970989E-6</v>
      </c>
      <c r="E25">
        <f>E15-E24</f>
        <v>-3.4677303801800008E-6</v>
      </c>
      <c r="F25">
        <f>F15-F24</f>
        <v>9.7524148213778972E-4</v>
      </c>
      <c r="G25">
        <f>G15-G24</f>
        <v>-95.881438042666616</v>
      </c>
    </row>
    <row r="32" spans="2:20" x14ac:dyDescent="0.2">
      <c r="D32">
        <v>30000</v>
      </c>
      <c r="E32">
        <v>30000</v>
      </c>
    </row>
    <row r="33" spans="4:5" x14ac:dyDescent="0.2">
      <c r="D33">
        <v>240</v>
      </c>
      <c r="E33">
        <v>240</v>
      </c>
    </row>
    <row r="34" spans="4:5" x14ac:dyDescent="0.2">
      <c r="D34">
        <v>26.2</v>
      </c>
      <c r="E34">
        <v>60</v>
      </c>
    </row>
    <row r="35" spans="4:5" x14ac:dyDescent="0.2">
      <c r="D35">
        <f>240+D32/D34</f>
        <v>1385.0381679389313</v>
      </c>
      <c r="E35">
        <f>E33+E32/E34</f>
        <v>740</v>
      </c>
    </row>
    <row r="36" spans="4:5" x14ac:dyDescent="0.2">
      <c r="D36">
        <f>D35/60</f>
        <v>23.083969465648856</v>
      </c>
      <c r="E36">
        <f>E35/60</f>
        <v>12.333333333333334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</vt:lpstr>
      <vt:lpstr>lift+cruise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2024-07-12T09:02:19Z</dcterms:modified>
</cp:coreProperties>
</file>