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range_speed_sweep/"/>
    </mc:Choice>
  </mc:AlternateContent>
  <xr:revisionPtr revIDLastSave="0" documentId="13_ncr:1_{91689DD7-6BA4-204C-A773-159BD84461E0}" xr6:coauthVersionLast="47" xr6:coauthVersionMax="47" xr10:uidLastSave="{00000000-0000-0000-0000-000000000000}"/>
  <bookViews>
    <workbookView xWindow="0" yWindow="740" windowWidth="30240" windowHeight="18900" activeTab="1" xr2:uid="{843CD013-835A-1741-B375-CD508AE79BD2}"/>
  </bookViews>
  <sheets>
    <sheet name="multirotor" sheetId="9" r:id="rId1"/>
    <sheet name="lift+cruise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9" l="1"/>
  <c r="C7" i="9"/>
  <c r="G24" i="10"/>
  <c r="G23" i="10"/>
  <c r="G5" i="10"/>
  <c r="G4" i="10"/>
  <c r="AR3" i="10" s="1"/>
  <c r="G16" i="10"/>
  <c r="C17" i="10"/>
  <c r="G24" i="9"/>
  <c r="G25" i="9"/>
  <c r="G4" i="9"/>
  <c r="G5" i="9"/>
  <c r="C12" i="9"/>
  <c r="O5" i="10"/>
  <c r="O21" i="10"/>
  <c r="O20" i="9"/>
  <c r="G14" i="9" l="1"/>
  <c r="O4" i="9"/>
  <c r="G15" i="9"/>
  <c r="G16" i="9" s="1"/>
  <c r="C55" i="10" l="1"/>
  <c r="C54" i="10"/>
  <c r="C50" i="10"/>
  <c r="C49" i="10"/>
  <c r="K42" i="10"/>
  <c r="AR9" i="10"/>
  <c r="AR10" i="10" s="1"/>
  <c r="K21" i="9"/>
  <c r="K20" i="9"/>
  <c r="C31" i="9"/>
  <c r="AN79" i="10"/>
  <c r="AM79" i="10"/>
  <c r="AN78" i="10"/>
  <c r="AM78" i="10"/>
  <c r="AN77" i="10"/>
  <c r="AM77" i="10"/>
  <c r="AN76" i="10"/>
  <c r="AM76" i="10"/>
  <c r="AN75" i="10"/>
  <c r="AM75" i="10"/>
  <c r="AN74" i="10"/>
  <c r="AM74" i="10"/>
  <c r="AN73" i="10"/>
  <c r="AM73" i="10"/>
  <c r="AN72" i="10"/>
  <c r="AM72" i="10"/>
  <c r="AN71" i="10"/>
  <c r="AM71" i="10"/>
  <c r="AN70" i="10"/>
  <c r="AM70" i="10"/>
  <c r="AN69" i="10"/>
  <c r="AM69" i="10"/>
  <c r="AN68" i="10"/>
  <c r="AM68" i="10"/>
  <c r="AN67" i="10"/>
  <c r="AM67" i="10"/>
  <c r="AN66" i="10"/>
  <c r="AM66" i="10"/>
  <c r="AN65" i="10"/>
  <c r="AM65" i="10"/>
  <c r="AN64" i="10"/>
  <c r="AM64" i="10"/>
  <c r="AN63" i="10"/>
  <c r="AM63" i="10"/>
  <c r="AN62" i="10"/>
  <c r="AM62" i="10"/>
  <c r="AN61" i="10"/>
  <c r="AM61" i="10"/>
  <c r="AN60" i="10"/>
  <c r="AM60" i="10"/>
  <c r="AN59" i="10"/>
  <c r="AM59" i="10"/>
  <c r="AN58" i="10"/>
  <c r="AM58" i="10"/>
  <c r="AN57" i="10"/>
  <c r="AM57" i="10"/>
  <c r="AN56" i="10"/>
  <c r="AM56" i="10"/>
  <c r="AN55" i="10"/>
  <c r="AM55" i="10"/>
  <c r="AN54" i="10"/>
  <c r="AM54" i="10"/>
  <c r="AN53" i="10"/>
  <c r="AM53" i="10"/>
  <c r="AN52" i="10"/>
  <c r="AM52" i="10"/>
  <c r="AN51" i="10"/>
  <c r="AM51" i="10"/>
  <c r="AO50" i="10"/>
  <c r="AN50" i="10"/>
  <c r="AM50" i="10"/>
  <c r="AK50" i="10"/>
  <c r="AR46" i="10"/>
  <c r="C12" i="10"/>
  <c r="C30" i="10" s="1"/>
  <c r="C10" i="10"/>
  <c r="C24" i="10" s="1"/>
  <c r="CH136" i="10"/>
  <c r="CG136" i="10"/>
  <c r="BW136" i="10"/>
  <c r="BV136" i="10"/>
  <c r="CH135" i="10"/>
  <c r="CG135" i="10"/>
  <c r="BW135" i="10"/>
  <c r="BV135" i="10"/>
  <c r="CH134" i="10"/>
  <c r="CG134" i="10"/>
  <c r="BW134" i="10"/>
  <c r="BV134" i="10"/>
  <c r="CH133" i="10"/>
  <c r="CG133" i="10"/>
  <c r="BW133" i="10"/>
  <c r="BV133" i="10"/>
  <c r="CH132" i="10"/>
  <c r="CG132" i="10"/>
  <c r="BW132" i="10"/>
  <c r="BV132" i="10"/>
  <c r="CH131" i="10"/>
  <c r="CG131" i="10"/>
  <c r="BW131" i="10"/>
  <c r="BV131" i="10"/>
  <c r="CH130" i="10"/>
  <c r="CG130" i="10"/>
  <c r="BW130" i="10"/>
  <c r="BV130" i="10"/>
  <c r="CH129" i="10"/>
  <c r="CG129" i="10"/>
  <c r="BW129" i="10"/>
  <c r="BV129" i="10"/>
  <c r="CH128" i="10"/>
  <c r="CG128" i="10"/>
  <c r="BW128" i="10"/>
  <c r="BV128" i="10"/>
  <c r="CH127" i="10"/>
  <c r="CG127" i="10"/>
  <c r="BW127" i="10"/>
  <c r="BV127" i="10"/>
  <c r="CH126" i="10"/>
  <c r="CG126" i="10"/>
  <c r="BW126" i="10"/>
  <c r="BV126" i="10"/>
  <c r="CH125" i="10"/>
  <c r="CG125" i="10"/>
  <c r="BW125" i="10"/>
  <c r="BV125" i="10"/>
  <c r="CH124" i="10"/>
  <c r="CG124" i="10"/>
  <c r="BW124" i="10"/>
  <c r="BV124" i="10"/>
  <c r="CH123" i="10"/>
  <c r="CG123" i="10"/>
  <c r="BW123" i="10"/>
  <c r="BV123" i="10"/>
  <c r="CH122" i="10"/>
  <c r="CG122" i="10"/>
  <c r="BW122" i="10"/>
  <c r="BV122" i="10"/>
  <c r="CH121" i="10"/>
  <c r="CG121" i="10"/>
  <c r="BW121" i="10"/>
  <c r="BV121" i="10"/>
  <c r="CH120" i="10"/>
  <c r="CG120" i="10"/>
  <c r="BW120" i="10"/>
  <c r="BV120" i="10"/>
  <c r="CH119" i="10"/>
  <c r="CG119" i="10"/>
  <c r="BW119" i="10"/>
  <c r="BV119" i="10"/>
  <c r="CH118" i="10"/>
  <c r="CG118" i="10"/>
  <c r="BW118" i="10"/>
  <c r="BV118" i="10"/>
  <c r="CH117" i="10"/>
  <c r="CG117" i="10"/>
  <c r="BW117" i="10"/>
  <c r="BV117" i="10"/>
  <c r="CH116" i="10"/>
  <c r="CG116" i="10"/>
  <c r="BW116" i="10"/>
  <c r="BV116" i="10"/>
  <c r="CH115" i="10"/>
  <c r="CG115" i="10"/>
  <c r="BW115" i="10"/>
  <c r="BV115" i="10"/>
  <c r="CH114" i="10"/>
  <c r="CG114" i="10"/>
  <c r="BW114" i="10"/>
  <c r="BV114" i="10"/>
  <c r="CH113" i="10"/>
  <c r="CG113" i="10"/>
  <c r="BW113" i="10"/>
  <c r="BV113" i="10"/>
  <c r="CH112" i="10"/>
  <c r="CG112" i="10"/>
  <c r="BW112" i="10"/>
  <c r="BV112" i="10"/>
  <c r="CH111" i="10"/>
  <c r="CG111" i="10"/>
  <c r="BW111" i="10"/>
  <c r="BV111" i="10"/>
  <c r="CH110" i="10"/>
  <c r="CG110" i="10"/>
  <c r="BW110" i="10"/>
  <c r="BV110" i="10"/>
  <c r="CH109" i="10"/>
  <c r="CG109" i="10"/>
  <c r="BW109" i="10"/>
  <c r="BV109" i="10"/>
  <c r="CH108" i="10"/>
  <c r="CG108" i="10"/>
  <c r="BW108" i="10"/>
  <c r="BV108" i="10"/>
  <c r="CH107" i="10"/>
  <c r="CG107" i="10"/>
  <c r="CC107" i="10"/>
  <c r="CA107" i="10"/>
  <c r="BW107" i="10"/>
  <c r="BV107" i="10"/>
  <c r="BR107" i="10"/>
  <c r="BP107" i="10"/>
  <c r="CH102" i="10"/>
  <c r="CG102" i="10"/>
  <c r="BW102" i="10"/>
  <c r="BV102" i="10"/>
  <c r="CH101" i="10"/>
  <c r="CG101" i="10"/>
  <c r="BW101" i="10"/>
  <c r="BV101" i="10"/>
  <c r="CH100" i="10"/>
  <c r="CG100" i="10"/>
  <c r="BW100" i="10"/>
  <c r="BV100" i="10"/>
  <c r="CH99" i="10"/>
  <c r="CG99" i="10"/>
  <c r="BW99" i="10"/>
  <c r="BV99" i="10"/>
  <c r="CH98" i="10"/>
  <c r="CG98" i="10"/>
  <c r="BW98" i="10"/>
  <c r="BV98" i="10"/>
  <c r="CH97" i="10"/>
  <c r="CG97" i="10"/>
  <c r="BW97" i="10"/>
  <c r="BV97" i="10"/>
  <c r="CH96" i="10"/>
  <c r="CG96" i="10"/>
  <c r="BW96" i="10"/>
  <c r="BV96" i="10"/>
  <c r="CH95" i="10"/>
  <c r="CG95" i="10"/>
  <c r="BW95" i="10"/>
  <c r="BV95" i="10"/>
  <c r="CH94" i="10"/>
  <c r="CG94" i="10"/>
  <c r="BW94" i="10"/>
  <c r="BV94" i="10"/>
  <c r="CH93" i="10"/>
  <c r="CG93" i="10"/>
  <c r="BW93" i="10"/>
  <c r="BV93" i="10"/>
  <c r="CH92" i="10"/>
  <c r="CG92" i="10"/>
  <c r="BW92" i="10"/>
  <c r="BV92" i="10"/>
  <c r="CH91" i="10"/>
  <c r="CG91" i="10"/>
  <c r="BW91" i="10"/>
  <c r="BV91" i="10"/>
  <c r="CH90" i="10"/>
  <c r="CG90" i="10"/>
  <c r="BW90" i="10"/>
  <c r="BV90" i="10"/>
  <c r="CH89" i="10"/>
  <c r="CG89" i="10"/>
  <c r="BW89" i="10"/>
  <c r="BV89" i="10"/>
  <c r="CH88" i="10"/>
  <c r="CG88" i="10"/>
  <c r="BW88" i="10"/>
  <c r="BV88" i="10"/>
  <c r="CH87" i="10"/>
  <c r="CG87" i="10"/>
  <c r="BW87" i="10"/>
  <c r="BV87" i="10"/>
  <c r="CH86" i="10"/>
  <c r="CG86" i="10"/>
  <c r="BW86" i="10"/>
  <c r="BV86" i="10"/>
  <c r="CH85" i="10"/>
  <c r="CG85" i="10"/>
  <c r="BW85" i="10"/>
  <c r="BV85" i="10"/>
  <c r="CH84" i="10"/>
  <c r="CG84" i="10"/>
  <c r="BW84" i="10"/>
  <c r="BV84" i="10"/>
  <c r="CH83" i="10"/>
  <c r="CG83" i="10"/>
  <c r="BW83" i="10"/>
  <c r="BV83" i="10"/>
  <c r="CH82" i="10"/>
  <c r="CG82" i="10"/>
  <c r="BW82" i="10"/>
  <c r="BV82" i="10"/>
  <c r="CH81" i="10"/>
  <c r="CG81" i="10"/>
  <c r="BW81" i="10"/>
  <c r="BV81" i="10"/>
  <c r="CH80" i="10"/>
  <c r="CG80" i="10"/>
  <c r="BW80" i="10"/>
  <c r="BV80" i="10"/>
  <c r="CH79" i="10"/>
  <c r="CG79" i="10"/>
  <c r="BW79" i="10"/>
  <c r="BV79" i="10"/>
  <c r="CH78" i="10"/>
  <c r="CG78" i="10"/>
  <c r="BW78" i="10"/>
  <c r="BV78" i="10"/>
  <c r="CH77" i="10"/>
  <c r="CG77" i="10"/>
  <c r="BW77" i="10"/>
  <c r="BV77" i="10"/>
  <c r="CH76" i="10"/>
  <c r="CG76" i="10"/>
  <c r="BW76" i="10"/>
  <c r="BV76" i="10"/>
  <c r="CH75" i="10"/>
  <c r="CG75" i="10"/>
  <c r="BW75" i="10"/>
  <c r="BV75" i="10"/>
  <c r="CH74" i="10"/>
  <c r="CG74" i="10"/>
  <c r="BW74" i="10"/>
  <c r="BV74" i="10"/>
  <c r="CH73" i="10"/>
  <c r="CG73" i="10"/>
  <c r="CC73" i="10"/>
  <c r="CA73" i="10"/>
  <c r="BW73" i="10"/>
  <c r="BV73" i="10"/>
  <c r="BR73" i="10"/>
  <c r="BP73" i="10"/>
  <c r="CH68" i="10"/>
  <c r="CG68" i="10"/>
  <c r="BW68" i="10"/>
  <c r="BV68" i="10"/>
  <c r="CH67" i="10"/>
  <c r="CG67" i="10"/>
  <c r="BW67" i="10"/>
  <c r="BV67" i="10"/>
  <c r="CH66" i="10"/>
  <c r="CG66" i="10"/>
  <c r="BW66" i="10"/>
  <c r="BV66" i="10"/>
  <c r="CH65" i="10"/>
  <c r="CG65" i="10"/>
  <c r="BW65" i="10"/>
  <c r="BV65" i="10"/>
  <c r="CH64" i="10"/>
  <c r="CG64" i="10"/>
  <c r="BW64" i="10"/>
  <c r="BV64" i="10"/>
  <c r="CH63" i="10"/>
  <c r="CG63" i="10"/>
  <c r="BW63" i="10"/>
  <c r="BV63" i="10"/>
  <c r="CH62" i="10"/>
  <c r="CG62" i="10"/>
  <c r="BW62" i="10"/>
  <c r="BV62" i="10"/>
  <c r="BL62" i="10"/>
  <c r="BH62" i="10"/>
  <c r="CH61" i="10"/>
  <c r="CG61" i="10"/>
  <c r="BW61" i="10"/>
  <c r="BV61" i="10"/>
  <c r="CH60" i="10"/>
  <c r="CG60" i="10"/>
  <c r="BW60" i="10"/>
  <c r="BV60" i="10"/>
  <c r="CH59" i="10"/>
  <c r="CG59" i="10"/>
  <c r="BW59" i="10"/>
  <c r="BV59" i="10"/>
  <c r="CH58" i="10"/>
  <c r="CG58" i="10"/>
  <c r="BW58" i="10"/>
  <c r="BV58" i="10"/>
  <c r="CH57" i="10"/>
  <c r="CG57" i="10"/>
  <c r="BW57" i="10"/>
  <c r="BV57" i="10"/>
  <c r="CH56" i="10"/>
  <c r="CG56" i="10"/>
  <c r="BW56" i="10"/>
  <c r="BV56" i="10"/>
  <c r="CH55" i="10"/>
  <c r="CG55" i="10"/>
  <c r="BW55" i="10"/>
  <c r="BV55" i="10"/>
  <c r="CH54" i="10"/>
  <c r="CG54" i="10"/>
  <c r="BW54" i="10"/>
  <c r="BV54" i="10"/>
  <c r="CH53" i="10"/>
  <c r="CG53" i="10"/>
  <c r="BW53" i="10"/>
  <c r="BV53" i="10"/>
  <c r="CH52" i="10"/>
  <c r="CG52" i="10"/>
  <c r="BW52" i="10"/>
  <c r="BV52" i="10"/>
  <c r="CH51" i="10"/>
  <c r="CG51" i="10"/>
  <c r="BW51" i="10"/>
  <c r="BV51" i="10"/>
  <c r="CH50" i="10"/>
  <c r="CG50" i="10"/>
  <c r="BW50" i="10"/>
  <c r="BV50" i="10"/>
  <c r="CH49" i="10"/>
  <c r="CG49" i="10"/>
  <c r="BW49" i="10"/>
  <c r="BV49" i="10"/>
  <c r="CH48" i="10"/>
  <c r="CG48" i="10"/>
  <c r="BW48" i="10"/>
  <c r="BV48" i="10"/>
  <c r="CH47" i="10"/>
  <c r="CG47" i="10"/>
  <c r="BW47" i="10"/>
  <c r="BV47" i="10"/>
  <c r="CH46" i="10"/>
  <c r="CG46" i="10"/>
  <c r="BW46" i="10"/>
  <c r="BV46" i="10"/>
  <c r="CH45" i="10"/>
  <c r="CG45" i="10"/>
  <c r="BW45" i="10"/>
  <c r="BV45" i="10"/>
  <c r="AR45" i="10"/>
  <c r="CH44" i="10"/>
  <c r="CG44" i="10"/>
  <c r="BW44" i="10"/>
  <c r="BV44" i="10"/>
  <c r="CH43" i="10"/>
  <c r="CG43" i="10"/>
  <c r="BW43" i="10"/>
  <c r="BV43" i="10"/>
  <c r="BL43" i="10"/>
  <c r="BH43" i="10"/>
  <c r="CH42" i="10"/>
  <c r="CG42" i="10"/>
  <c r="BW42" i="10"/>
  <c r="BV42" i="10"/>
  <c r="CH41" i="10"/>
  <c r="CG41" i="10"/>
  <c r="BW41" i="10"/>
  <c r="BV41" i="10"/>
  <c r="CH40" i="10"/>
  <c r="CG40" i="10"/>
  <c r="BW40" i="10"/>
  <c r="BV40" i="10"/>
  <c r="CH39" i="10"/>
  <c r="CG39" i="10"/>
  <c r="CC39" i="10"/>
  <c r="CA39" i="10"/>
  <c r="BW39" i="10"/>
  <c r="BV39" i="10"/>
  <c r="BR39" i="10"/>
  <c r="BP39" i="10"/>
  <c r="CH34" i="10"/>
  <c r="CG34" i="10"/>
  <c r="BW34" i="10"/>
  <c r="BV34" i="10"/>
  <c r="CH33" i="10"/>
  <c r="CG33" i="10"/>
  <c r="BW33" i="10"/>
  <c r="BV33" i="10"/>
  <c r="CH32" i="10"/>
  <c r="CG32" i="10"/>
  <c r="BW32" i="10"/>
  <c r="BV32" i="10"/>
  <c r="CH31" i="10"/>
  <c r="CG31" i="10"/>
  <c r="BW31" i="10"/>
  <c r="BV31" i="10"/>
  <c r="CH30" i="10"/>
  <c r="CG30" i="10"/>
  <c r="BW30" i="10"/>
  <c r="BV30" i="10"/>
  <c r="CH29" i="10"/>
  <c r="CG29" i="10"/>
  <c r="BW29" i="10"/>
  <c r="BV29" i="10"/>
  <c r="CH28" i="10"/>
  <c r="CG28" i="10"/>
  <c r="BW28" i="10"/>
  <c r="BV28" i="10"/>
  <c r="CH27" i="10"/>
  <c r="CG27" i="10"/>
  <c r="BW27" i="10"/>
  <c r="BV27" i="10"/>
  <c r="CH26" i="10"/>
  <c r="CG26" i="10"/>
  <c r="BW26" i="10"/>
  <c r="BV26" i="10"/>
  <c r="CH25" i="10"/>
  <c r="CG25" i="10"/>
  <c r="BW25" i="10"/>
  <c r="BV25" i="10"/>
  <c r="CH24" i="10"/>
  <c r="CG24" i="10"/>
  <c r="BW24" i="10"/>
  <c r="BV24" i="10"/>
  <c r="BL24" i="10"/>
  <c r="BH24" i="10"/>
  <c r="CH23" i="10"/>
  <c r="CG23" i="10"/>
  <c r="BW23" i="10"/>
  <c r="BV23" i="10"/>
  <c r="CH22" i="10"/>
  <c r="CG22" i="10"/>
  <c r="BW22" i="10"/>
  <c r="BV22" i="10"/>
  <c r="CH21" i="10"/>
  <c r="CG21" i="10"/>
  <c r="BW21" i="10"/>
  <c r="BV21" i="10"/>
  <c r="CH20" i="10"/>
  <c r="CG20" i="10"/>
  <c r="BW20" i="10"/>
  <c r="BV20" i="10"/>
  <c r="CH19" i="10"/>
  <c r="CG19" i="10"/>
  <c r="BW19" i="10"/>
  <c r="BV19" i="10"/>
  <c r="CH18" i="10"/>
  <c r="CG18" i="10"/>
  <c r="BW18" i="10"/>
  <c r="BV18" i="10"/>
  <c r="CH17" i="10"/>
  <c r="CG17" i="10"/>
  <c r="BW17" i="10"/>
  <c r="BV17" i="10"/>
  <c r="CH16" i="10"/>
  <c r="CG16" i="10"/>
  <c r="BW16" i="10"/>
  <c r="BV16" i="10"/>
  <c r="CH15" i="10"/>
  <c r="CG15" i="10"/>
  <c r="BW15" i="10"/>
  <c r="BV15" i="10"/>
  <c r="CH14" i="10"/>
  <c r="CG14" i="10"/>
  <c r="BW14" i="10"/>
  <c r="BV14" i="10"/>
  <c r="CH13" i="10"/>
  <c r="CG13" i="10"/>
  <c r="BW13" i="10"/>
  <c r="BV13" i="10"/>
  <c r="CH12" i="10"/>
  <c r="CG12" i="10"/>
  <c r="BW12" i="10"/>
  <c r="BV12" i="10"/>
  <c r="CH11" i="10"/>
  <c r="CG11" i="10"/>
  <c r="BW11" i="10"/>
  <c r="BV11" i="10"/>
  <c r="CH10" i="10"/>
  <c r="CG10" i="10"/>
  <c r="BW10" i="10"/>
  <c r="BV10" i="10"/>
  <c r="CH9" i="10"/>
  <c r="CG9" i="10"/>
  <c r="BW9" i="10"/>
  <c r="BV9" i="10"/>
  <c r="CH8" i="10"/>
  <c r="CG8" i="10"/>
  <c r="BW8" i="10"/>
  <c r="BV8" i="10"/>
  <c r="AR8" i="10"/>
  <c r="CH7" i="10"/>
  <c r="CG7" i="10"/>
  <c r="BW7" i="10"/>
  <c r="BV7" i="10"/>
  <c r="CH6" i="10"/>
  <c r="CG6" i="10"/>
  <c r="BW6" i="10"/>
  <c r="BV6" i="10"/>
  <c r="CH5" i="10"/>
  <c r="CG5" i="10"/>
  <c r="CC5" i="10"/>
  <c r="CA5" i="10"/>
  <c r="BW5" i="10"/>
  <c r="BV5" i="10"/>
  <c r="BR5" i="10"/>
  <c r="BP5" i="10"/>
  <c r="BL5" i="10"/>
  <c r="BH5" i="10"/>
  <c r="BX39" i="10" l="1"/>
  <c r="G17" i="10"/>
  <c r="G18" i="10" s="1"/>
  <c r="AG51" i="10"/>
  <c r="BT5" i="10"/>
  <c r="BR6" i="10" s="1"/>
  <c r="CE73" i="10"/>
  <c r="AR32" i="10"/>
  <c r="BX73" i="10"/>
  <c r="BP108" i="10"/>
  <c r="BP109" i="10" s="1"/>
  <c r="AI51" i="10"/>
  <c r="G6" i="9"/>
  <c r="CC74" i="10"/>
  <c r="CA40" i="10"/>
  <c r="CA41" i="10" s="1"/>
  <c r="BT107" i="10"/>
  <c r="BR108" i="10" s="1"/>
  <c r="BP6" i="10"/>
  <c r="BT73" i="10"/>
  <c r="BP40" i="10"/>
  <c r="BP41" i="10" s="1"/>
  <c r="BT39" i="10"/>
  <c r="BR40" i="10" s="1"/>
  <c r="BP74" i="10"/>
  <c r="BP75" i="10" s="1"/>
  <c r="BP76" i="10" s="1"/>
  <c r="AR22" i="10"/>
  <c r="AR33" i="10"/>
  <c r="AR28" i="10"/>
  <c r="BR74" i="10"/>
  <c r="BX107" i="10"/>
  <c r="AR26" i="10"/>
  <c r="BD31" i="10" s="1"/>
  <c r="CA74" i="10"/>
  <c r="CA75" i="10" s="1"/>
  <c r="CA76" i="10" s="1"/>
  <c r="AR31" i="10"/>
  <c r="AR24" i="10"/>
  <c r="BX5" i="10"/>
  <c r="AR19" i="10"/>
  <c r="CI39" i="10"/>
  <c r="CI73" i="10"/>
  <c r="AR20" i="10"/>
  <c r="AR30" i="10"/>
  <c r="AV3" i="10"/>
  <c r="AV4" i="10" s="1"/>
  <c r="CE5" i="10"/>
  <c r="CC6" i="10" s="1"/>
  <c r="AR21" i="10"/>
  <c r="AR23" i="10"/>
  <c r="AR25" i="10"/>
  <c r="CI5" i="10"/>
  <c r="CA6" i="10"/>
  <c r="CA7" i="10" s="1"/>
  <c r="CE107" i="10"/>
  <c r="CC108" i="10" s="1"/>
  <c r="CA108" i="10"/>
  <c r="CI107" i="10"/>
  <c r="CE39" i="10"/>
  <c r="CC40" i="10" s="1"/>
  <c r="AR34" i="10"/>
  <c r="AR27" i="10"/>
  <c r="AR29" i="10"/>
  <c r="AO51" i="10" l="1"/>
  <c r="BT108" i="10"/>
  <c r="BR109" i="10" s="1"/>
  <c r="BX109" i="10" s="1"/>
  <c r="AK51" i="10"/>
  <c r="AI52" i="10" s="1"/>
  <c r="CI40" i="10"/>
  <c r="BX108" i="10"/>
  <c r="CE74" i="10"/>
  <c r="CC75" i="10" s="1"/>
  <c r="CE75" i="10" s="1"/>
  <c r="CC76" i="10" s="1"/>
  <c r="BX40" i="10"/>
  <c r="BT6" i="10"/>
  <c r="BR7" i="10" s="1"/>
  <c r="BX6" i="10"/>
  <c r="BP7" i="10"/>
  <c r="BH65" i="10"/>
  <c r="BX74" i="10"/>
  <c r="AZ22" i="10"/>
  <c r="BL27" i="10"/>
  <c r="BT74" i="10"/>
  <c r="BR75" i="10" s="1"/>
  <c r="BT75" i="10" s="1"/>
  <c r="BR76" i="10" s="1"/>
  <c r="CI6" i="10"/>
  <c r="BL65" i="10"/>
  <c r="AZ31" i="10"/>
  <c r="BH46" i="10"/>
  <c r="CI108" i="10"/>
  <c r="BT40" i="10"/>
  <c r="BR41" i="10" s="1"/>
  <c r="BT41" i="10" s="1"/>
  <c r="BR42" i="10" s="1"/>
  <c r="BL46" i="10"/>
  <c r="CI74" i="10"/>
  <c r="AZ4" i="10"/>
  <c r="BD4" i="10"/>
  <c r="BH27" i="10"/>
  <c r="BH8" i="10"/>
  <c r="BL8" i="10"/>
  <c r="BD13" i="10"/>
  <c r="AZ13" i="10"/>
  <c r="BD22" i="10"/>
  <c r="CA42" i="10"/>
  <c r="CE6" i="10"/>
  <c r="CC7" i="10" s="1"/>
  <c r="CI7" i="10" s="1"/>
  <c r="BP110" i="10"/>
  <c r="CE108" i="10"/>
  <c r="CC109" i="10" s="1"/>
  <c r="CA109" i="10"/>
  <c r="CE40" i="10"/>
  <c r="CC41" i="10" s="1"/>
  <c r="CI41" i="10" s="1"/>
  <c r="BP42" i="10" l="1"/>
  <c r="BX42" i="10" s="1"/>
  <c r="BT109" i="10"/>
  <c r="BR110" i="10" s="1"/>
  <c r="BT110" i="10" s="1"/>
  <c r="AG52" i="10"/>
  <c r="AK52" i="10" s="1"/>
  <c r="AG53" i="10" s="1"/>
  <c r="BT7" i="10"/>
  <c r="BP8" i="10" s="1"/>
  <c r="BX7" i="10"/>
  <c r="CI75" i="10"/>
  <c r="BX75" i="10"/>
  <c r="BX41" i="10"/>
  <c r="CE41" i="10"/>
  <c r="CC42" i="10" s="1"/>
  <c r="CE42" i="10" s="1"/>
  <c r="CA43" i="10" s="1"/>
  <c r="BX76" i="10"/>
  <c r="CE7" i="10"/>
  <c r="CE109" i="10"/>
  <c r="CC110" i="10" s="1"/>
  <c r="CA110" i="10"/>
  <c r="CI109" i="10"/>
  <c r="CI76" i="10"/>
  <c r="BT76" i="10"/>
  <c r="BP77" i="10" s="1"/>
  <c r="CE76" i="10"/>
  <c r="CA77" i="10" s="1"/>
  <c r="BT42" i="10" l="1"/>
  <c r="BP43" i="10" s="1"/>
  <c r="BR8" i="10"/>
  <c r="BT8" i="10" s="1"/>
  <c r="BR9" i="10" s="1"/>
  <c r="CC77" i="10"/>
  <c r="CI77" i="10" s="1"/>
  <c r="AI53" i="10"/>
  <c r="AO53" i="10" s="1"/>
  <c r="AO52" i="10"/>
  <c r="BX110" i="10"/>
  <c r="CC8" i="10"/>
  <c r="CA8" i="10"/>
  <c r="BP111" i="10"/>
  <c r="BR111" i="10"/>
  <c r="BR77" i="10"/>
  <c r="BT77" i="10" s="1"/>
  <c r="BR78" i="10" s="1"/>
  <c r="CC43" i="10"/>
  <c r="CE43" i="10" s="1"/>
  <c r="BR43" i="10"/>
  <c r="CI42" i="10"/>
  <c r="CE110" i="10"/>
  <c r="CA111" i="10" s="1"/>
  <c r="CI110" i="10"/>
  <c r="BT43" i="10" l="1"/>
  <c r="BR44" i="10" s="1"/>
  <c r="AK53" i="10"/>
  <c r="AG54" i="10" s="1"/>
  <c r="BX8" i="10"/>
  <c r="BP78" i="10"/>
  <c r="BT78" i="10" s="1"/>
  <c r="BP79" i="10" s="1"/>
  <c r="CE77" i="10"/>
  <c r="CC78" i="10" s="1"/>
  <c r="BP9" i="10"/>
  <c r="BX9" i="10" s="1"/>
  <c r="CI8" i="10"/>
  <c r="CE8" i="10"/>
  <c r="CA9" i="10" s="1"/>
  <c r="CI43" i="10"/>
  <c r="BX111" i="10"/>
  <c r="BX77" i="10"/>
  <c r="BX43" i="10"/>
  <c r="CC111" i="10"/>
  <c r="CI111" i="10" s="1"/>
  <c r="BT111" i="10"/>
  <c r="BR112" i="10" s="1"/>
  <c r="CC44" i="10"/>
  <c r="CA44" i="10"/>
  <c r="BP44" i="10"/>
  <c r="CC9" i="10" l="1"/>
  <c r="CE9" i="10" s="1"/>
  <c r="CA10" i="10" s="1"/>
  <c r="AI54" i="10"/>
  <c r="AK54" i="10" s="1"/>
  <c r="AI55" i="10" s="1"/>
  <c r="BX78" i="10"/>
  <c r="BT9" i="10"/>
  <c r="BR10" i="10" s="1"/>
  <c r="CA78" i="10"/>
  <c r="CI44" i="10"/>
  <c r="CE111" i="10"/>
  <c r="CC112" i="10" s="1"/>
  <c r="BP112" i="10"/>
  <c r="BX112" i="10" s="1"/>
  <c r="BR79" i="10"/>
  <c r="BX79" i="10" s="1"/>
  <c r="CE44" i="10"/>
  <c r="BX44" i="10"/>
  <c r="BT44" i="10"/>
  <c r="BR45" i="10" s="1"/>
  <c r="CI9" i="10" l="1"/>
  <c r="AG55" i="10"/>
  <c r="AK55" i="10" s="1"/>
  <c r="AG56" i="10" s="1"/>
  <c r="AO54" i="10"/>
  <c r="CA112" i="10"/>
  <c r="CE112" i="10" s="1"/>
  <c r="CC113" i="10" s="1"/>
  <c r="BP10" i="10"/>
  <c r="CI78" i="10"/>
  <c r="CE78" i="10"/>
  <c r="CC10" i="10"/>
  <c r="CI10" i="10" s="1"/>
  <c r="BT79" i="10"/>
  <c r="BR80" i="10" s="1"/>
  <c r="BT112" i="10"/>
  <c r="CA45" i="10"/>
  <c r="CC45" i="10"/>
  <c r="BP45" i="10"/>
  <c r="BT45" i="10" s="1"/>
  <c r="AI56" i="10" l="1"/>
  <c r="AK56" i="10" s="1"/>
  <c r="AI57" i="10" s="1"/>
  <c r="AO55" i="10"/>
  <c r="CA113" i="10"/>
  <c r="CI113" i="10" s="1"/>
  <c r="CI112" i="10"/>
  <c r="BX10" i="10"/>
  <c r="BT10" i="10"/>
  <c r="CC79" i="10"/>
  <c r="CA79" i="10"/>
  <c r="CE10" i="10"/>
  <c r="CA11" i="10" s="1"/>
  <c r="BP80" i="10"/>
  <c r="BX80" i="10" s="1"/>
  <c r="CI45" i="10"/>
  <c r="BX45" i="10"/>
  <c r="BR113" i="10"/>
  <c r="BP113" i="10"/>
  <c r="CE45" i="10"/>
  <c r="BP46" i="10"/>
  <c r="BR46" i="10"/>
  <c r="AO56" i="10" l="1"/>
  <c r="AG57" i="10"/>
  <c r="AO57" i="10" s="1"/>
  <c r="CE113" i="10"/>
  <c r="CC114" i="10" s="1"/>
  <c r="BP11" i="10"/>
  <c r="BR11" i="10"/>
  <c r="CE79" i="10"/>
  <c r="CA80" i="10" s="1"/>
  <c r="CI79" i="10"/>
  <c r="CC11" i="10"/>
  <c r="CI11" i="10" s="1"/>
  <c r="BT80" i="10"/>
  <c r="BP81" i="10" s="1"/>
  <c r="BT113" i="10"/>
  <c r="BP114" i="10" s="1"/>
  <c r="BX46" i="10"/>
  <c r="BX113" i="10"/>
  <c r="CA46" i="10"/>
  <c r="CC46" i="10"/>
  <c r="BT46" i="10"/>
  <c r="BR47" i="10" s="1"/>
  <c r="CA114" i="10" l="1"/>
  <c r="CI114" i="10" s="1"/>
  <c r="AK57" i="10"/>
  <c r="AG58" i="10" s="1"/>
  <c r="CC80" i="10"/>
  <c r="CE80" i="10" s="1"/>
  <c r="CC81" i="10" s="1"/>
  <c r="BT11" i="10"/>
  <c r="BR12" i="10" s="1"/>
  <c r="BX11" i="10"/>
  <c r="CE11" i="10"/>
  <c r="CA12" i="10" s="1"/>
  <c r="BR114" i="10"/>
  <c r="BX114" i="10" s="1"/>
  <c r="BR81" i="10"/>
  <c r="BX81" i="10" s="1"/>
  <c r="CI46" i="10"/>
  <c r="CE46" i="10"/>
  <c r="BP47" i="10"/>
  <c r="BX47" i="10" s="1"/>
  <c r="CA81" i="10" l="1"/>
  <c r="CI81" i="10" s="1"/>
  <c r="CE114" i="10"/>
  <c r="CC115" i="10" s="1"/>
  <c r="AI58" i="10"/>
  <c r="AK58" i="10" s="1"/>
  <c r="AI59" i="10" s="1"/>
  <c r="BP12" i="10"/>
  <c r="BX12" i="10" s="1"/>
  <c r="CI80" i="10"/>
  <c r="BT114" i="10"/>
  <c r="BR115" i="10" s="1"/>
  <c r="CC12" i="10"/>
  <c r="CI12" i="10" s="1"/>
  <c r="BT81" i="10"/>
  <c r="BR82" i="10" s="1"/>
  <c r="BT47" i="10"/>
  <c r="BP48" i="10" s="1"/>
  <c r="CA47" i="10"/>
  <c r="CC47" i="10"/>
  <c r="BP115" i="10" l="1"/>
  <c r="BT115" i="10" s="1"/>
  <c r="BR116" i="10" s="1"/>
  <c r="CE81" i="10"/>
  <c r="CA82" i="10" s="1"/>
  <c r="CA115" i="10"/>
  <c r="CE115" i="10" s="1"/>
  <c r="CA116" i="10" s="1"/>
  <c r="AG59" i="10"/>
  <c r="AK59" i="10" s="1"/>
  <c r="AG60" i="10" s="1"/>
  <c r="AO58" i="10"/>
  <c r="BT12" i="10"/>
  <c r="BR13" i="10" s="1"/>
  <c r="CE12" i="10"/>
  <c r="CC13" i="10" s="1"/>
  <c r="BP82" i="10"/>
  <c r="BT82" i="10" s="1"/>
  <c r="BR48" i="10"/>
  <c r="BX48" i="10" s="1"/>
  <c r="CE47" i="10"/>
  <c r="CI47" i="10"/>
  <c r="BX115" i="10" l="1"/>
  <c r="CC82" i="10"/>
  <c r="CI82" i="10" s="1"/>
  <c r="CC116" i="10"/>
  <c r="CI116" i="10" s="1"/>
  <c r="CI115" i="10"/>
  <c r="CA13" i="10"/>
  <c r="CE13" i="10" s="1"/>
  <c r="BP13" i="10"/>
  <c r="BX13" i="10" s="1"/>
  <c r="AO59" i="10"/>
  <c r="AI60" i="10"/>
  <c r="AO60" i="10" s="1"/>
  <c r="BP116" i="10"/>
  <c r="BT116" i="10" s="1"/>
  <c r="BP117" i="10" s="1"/>
  <c r="BX82" i="10"/>
  <c r="BP83" i="10"/>
  <c r="BR83" i="10"/>
  <c r="BT48" i="10"/>
  <c r="BR49" i="10" s="1"/>
  <c r="CA48" i="10"/>
  <c r="CC48" i="10"/>
  <c r="CE82" i="10" l="1"/>
  <c r="CC83" i="10" s="1"/>
  <c r="CE116" i="10"/>
  <c r="CC117" i="10" s="1"/>
  <c r="CI13" i="10"/>
  <c r="BT13" i="10"/>
  <c r="BR14" i="10" s="1"/>
  <c r="BX116" i="10"/>
  <c r="AK60" i="10"/>
  <c r="AG61" i="10" s="1"/>
  <c r="BT83" i="10"/>
  <c r="BR84" i="10" s="1"/>
  <c r="BX83" i="10"/>
  <c r="BR117" i="10"/>
  <c r="BT117" i="10" s="1"/>
  <c r="CC14" i="10"/>
  <c r="CA14" i="10"/>
  <c r="BP49" i="10"/>
  <c r="BX49" i="10" s="1"/>
  <c r="CI48" i="10"/>
  <c r="CE48" i="10"/>
  <c r="CC49" i="10" s="1"/>
  <c r="CA83" i="10" l="1"/>
  <c r="CI83" i="10" s="1"/>
  <c r="BP14" i="10"/>
  <c r="BX14" i="10" s="1"/>
  <c r="CA117" i="10"/>
  <c r="CE117" i="10" s="1"/>
  <c r="BP84" i="10"/>
  <c r="BT84" i="10" s="1"/>
  <c r="BR85" i="10" s="1"/>
  <c r="AI61" i="10"/>
  <c r="AO61" i="10" s="1"/>
  <c r="BX117" i="10"/>
  <c r="CI14" i="10"/>
  <c r="CE14" i="10"/>
  <c r="CA15" i="10" s="1"/>
  <c r="BT49" i="10"/>
  <c r="BR50" i="10" s="1"/>
  <c r="BP118" i="10"/>
  <c r="BR118" i="10"/>
  <c r="CA49" i="10"/>
  <c r="CE49" i="10" s="1"/>
  <c r="CE83" i="10" l="1"/>
  <c r="CA84" i="10" s="1"/>
  <c r="BT14" i="10"/>
  <c r="BR15" i="10" s="1"/>
  <c r="CI117" i="10"/>
  <c r="BX84" i="10"/>
  <c r="CC15" i="10"/>
  <c r="CI15" i="10" s="1"/>
  <c r="AK61" i="10"/>
  <c r="AI62" i="10" s="1"/>
  <c r="BP85" i="10"/>
  <c r="BT85" i="10" s="1"/>
  <c r="BP50" i="10"/>
  <c r="BT50" i="10" s="1"/>
  <c r="BX118" i="10"/>
  <c r="BT118" i="10"/>
  <c r="CA118" i="10"/>
  <c r="CC118" i="10"/>
  <c r="CA50" i="10"/>
  <c r="CC50" i="10"/>
  <c r="CI49" i="10"/>
  <c r="BP15" i="10" l="1"/>
  <c r="BT15" i="10" s="1"/>
  <c r="BR16" i="10" s="1"/>
  <c r="CC84" i="10"/>
  <c r="CI84" i="10" s="1"/>
  <c r="CE15" i="10"/>
  <c r="CA16" i="10" s="1"/>
  <c r="AG62" i="10"/>
  <c r="AK62" i="10" s="1"/>
  <c r="AG63" i="10" s="1"/>
  <c r="BX85" i="10"/>
  <c r="BP86" i="10"/>
  <c r="BR86" i="10"/>
  <c r="BR51" i="10"/>
  <c r="BP51" i="10"/>
  <c r="BX50" i="10"/>
  <c r="BP119" i="10"/>
  <c r="BR119" i="10"/>
  <c r="CI118" i="10"/>
  <c r="CI50" i="10"/>
  <c r="CE118" i="10"/>
  <c r="CC119" i="10" s="1"/>
  <c r="CE50" i="10"/>
  <c r="BX15" i="10" l="1"/>
  <c r="CE84" i="10"/>
  <c r="CA85" i="10" s="1"/>
  <c r="CC16" i="10"/>
  <c r="CE16" i="10" s="1"/>
  <c r="CA17" i="10" s="1"/>
  <c r="BP16" i="10"/>
  <c r="BT16" i="10" s="1"/>
  <c r="AO62" i="10"/>
  <c r="AI63" i="10"/>
  <c r="AO63" i="10" s="1"/>
  <c r="BT86" i="10"/>
  <c r="BP87" i="10" s="1"/>
  <c r="BX86" i="10"/>
  <c r="CC85" i="10"/>
  <c r="BX51" i="10"/>
  <c r="BT51" i="10"/>
  <c r="BP52" i="10" s="1"/>
  <c r="BX119" i="10"/>
  <c r="BT119" i="10"/>
  <c r="CA119" i="10"/>
  <c r="CE119" i="10" s="1"/>
  <c r="CC51" i="10"/>
  <c r="CA51" i="10"/>
  <c r="CI16" i="10" l="1"/>
  <c r="BX16" i="10"/>
  <c r="BR17" i="10"/>
  <c r="BP17" i="10"/>
  <c r="AK63" i="10"/>
  <c r="AI64" i="10" s="1"/>
  <c r="BR87" i="10"/>
  <c r="BT87" i="10" s="1"/>
  <c r="CI85" i="10"/>
  <c r="CC17" i="10"/>
  <c r="CE17" i="10" s="1"/>
  <c r="CC18" i="10" s="1"/>
  <c r="CE85" i="10"/>
  <c r="BR52" i="10"/>
  <c r="BX52" i="10" s="1"/>
  <c r="BR120" i="10"/>
  <c r="BP120" i="10"/>
  <c r="CE51" i="10"/>
  <c r="CC52" i="10" s="1"/>
  <c r="CA120" i="10"/>
  <c r="CC120" i="10"/>
  <c r="CI119" i="10"/>
  <c r="CI51" i="10"/>
  <c r="BT17" i="10" l="1"/>
  <c r="BP18" i="10" s="1"/>
  <c r="BX17" i="10"/>
  <c r="CA18" i="10"/>
  <c r="CE18" i="10" s="1"/>
  <c r="CC19" i="10" s="1"/>
  <c r="AG64" i="10"/>
  <c r="AK64" i="10" s="1"/>
  <c r="AG65" i="10" s="1"/>
  <c r="BX87" i="10"/>
  <c r="BR88" i="10"/>
  <c r="BP88" i="10"/>
  <c r="CI17" i="10"/>
  <c r="CC86" i="10"/>
  <c r="CA86" i="10"/>
  <c r="BT52" i="10"/>
  <c r="BR53" i="10" s="1"/>
  <c r="BT120" i="10"/>
  <c r="BP121" i="10" s="1"/>
  <c r="BX120" i="10"/>
  <c r="CA52" i="10"/>
  <c r="CE52" i="10" s="1"/>
  <c r="CI120" i="10"/>
  <c r="CE120" i="10"/>
  <c r="BR18" i="10" l="1"/>
  <c r="CI18" i="10"/>
  <c r="AI65" i="10"/>
  <c r="AO65" i="10" s="1"/>
  <c r="AO64" i="10"/>
  <c r="BX88" i="10"/>
  <c r="BT88" i="10"/>
  <c r="CI86" i="10"/>
  <c r="CE86" i="10"/>
  <c r="CA19" i="10"/>
  <c r="CI19" i="10" s="1"/>
  <c r="BP53" i="10"/>
  <c r="BX53" i="10" s="1"/>
  <c r="BR121" i="10"/>
  <c r="BT121" i="10" s="1"/>
  <c r="BP122" i="10" s="1"/>
  <c r="CI52" i="10"/>
  <c r="CA121" i="10"/>
  <c r="CC121" i="10"/>
  <c r="CA53" i="10"/>
  <c r="CC53" i="10"/>
  <c r="BX18" i="10" l="1"/>
  <c r="BT18" i="10"/>
  <c r="AK65" i="10"/>
  <c r="AG66" i="10" s="1"/>
  <c r="BR89" i="10"/>
  <c r="BP89" i="10"/>
  <c r="CC87" i="10"/>
  <c r="CA87" i="10"/>
  <c r="CE19" i="10"/>
  <c r="CC20" i="10" s="1"/>
  <c r="BT53" i="10"/>
  <c r="BR54" i="10" s="1"/>
  <c r="BX121" i="10"/>
  <c r="BR122" i="10"/>
  <c r="BX122" i="10" s="1"/>
  <c r="CI53" i="10"/>
  <c r="CE121" i="10"/>
  <c r="CI121" i="10"/>
  <c r="CE53" i="10"/>
  <c r="BR19" i="10" l="1"/>
  <c r="BP19" i="10"/>
  <c r="AI66" i="10"/>
  <c r="AO66" i="10" s="1"/>
  <c r="BT89" i="10"/>
  <c r="BR90" i="10" s="1"/>
  <c r="BX89" i="10"/>
  <c r="CE87" i="10"/>
  <c r="CC88" i="10" s="1"/>
  <c r="CA20" i="10"/>
  <c r="CI20" i="10" s="1"/>
  <c r="CI87" i="10"/>
  <c r="BP54" i="10"/>
  <c r="BX54" i="10" s="1"/>
  <c r="BT122" i="10"/>
  <c r="BP123" i="10" s="1"/>
  <c r="CA122" i="10"/>
  <c r="CC122" i="10"/>
  <c r="CC54" i="10"/>
  <c r="CA54" i="10"/>
  <c r="BT19" i="10" l="1"/>
  <c r="BX19" i="10"/>
  <c r="BP90" i="10"/>
  <c r="BX90" i="10" s="1"/>
  <c r="AK66" i="10"/>
  <c r="AI67" i="10" s="1"/>
  <c r="CA88" i="10"/>
  <c r="CI88" i="10" s="1"/>
  <c r="CE20" i="10"/>
  <c r="CA21" i="10" s="1"/>
  <c r="BR123" i="10"/>
  <c r="BT123" i="10" s="1"/>
  <c r="BR124" i="10" s="1"/>
  <c r="BT54" i="10"/>
  <c r="BP55" i="10" s="1"/>
  <c r="CI122" i="10"/>
  <c r="CE122" i="10"/>
  <c r="CE54" i="10"/>
  <c r="CA55" i="10" s="1"/>
  <c r="CI54" i="10"/>
  <c r="BR20" i="10" l="1"/>
  <c r="BP20" i="10"/>
  <c r="BT90" i="10"/>
  <c r="BP91" i="10" s="1"/>
  <c r="AG67" i="10"/>
  <c r="AO67" i="10" s="1"/>
  <c r="CE88" i="10"/>
  <c r="CC21" i="10"/>
  <c r="CE21" i="10" s="1"/>
  <c r="CA22" i="10" s="1"/>
  <c r="BX123" i="10"/>
  <c r="BP124" i="10"/>
  <c r="BT124" i="10" s="1"/>
  <c r="BR55" i="10"/>
  <c r="BT55" i="10" s="1"/>
  <c r="BR56" i="10" s="1"/>
  <c r="CC55" i="10"/>
  <c r="CI55" i="10" s="1"/>
  <c r="CA123" i="10"/>
  <c r="CC123" i="10"/>
  <c r="BT20" i="10" l="1"/>
  <c r="BR21" i="10" s="1"/>
  <c r="BX20" i="10"/>
  <c r="BR91" i="10"/>
  <c r="BT91" i="10" s="1"/>
  <c r="AK67" i="10"/>
  <c r="AG68" i="10" s="1"/>
  <c r="CA89" i="10"/>
  <c r="CC89" i="10"/>
  <c r="CI21" i="10"/>
  <c r="CC22" i="10"/>
  <c r="CI22" i="10" s="1"/>
  <c r="BX124" i="10"/>
  <c r="BP56" i="10"/>
  <c r="BT56" i="10" s="1"/>
  <c r="BX55" i="10"/>
  <c r="BP125" i="10"/>
  <c r="BR125" i="10"/>
  <c r="CE55" i="10"/>
  <c r="CC56" i="10" s="1"/>
  <c r="CI123" i="10"/>
  <c r="CE123" i="10"/>
  <c r="BP21" i="10" l="1"/>
  <c r="BX21" i="10" s="1"/>
  <c r="BR92" i="10"/>
  <c r="BP92" i="10"/>
  <c r="BX91" i="10"/>
  <c r="AI68" i="10"/>
  <c r="AO68" i="10" s="1"/>
  <c r="CI89" i="10"/>
  <c r="CE89" i="10"/>
  <c r="CA90" i="10" s="1"/>
  <c r="CE22" i="10"/>
  <c r="CC23" i="10" s="1"/>
  <c r="BX56" i="10"/>
  <c r="BX125" i="10"/>
  <c r="CA56" i="10"/>
  <c r="CI56" i="10" s="1"/>
  <c r="BT125" i="10"/>
  <c r="BR57" i="10"/>
  <c r="BP57" i="10"/>
  <c r="CA124" i="10"/>
  <c r="CC124" i="10"/>
  <c r="BT21" i="10" l="1"/>
  <c r="BP22" i="10" s="1"/>
  <c r="BX92" i="10"/>
  <c r="BT92" i="10"/>
  <c r="AK68" i="10"/>
  <c r="AG69" i="10" s="1"/>
  <c r="CC90" i="10"/>
  <c r="CI90" i="10" s="1"/>
  <c r="CA23" i="10"/>
  <c r="CE23" i="10" s="1"/>
  <c r="CC24" i="10" s="1"/>
  <c r="CE56" i="10"/>
  <c r="CA57" i="10" s="1"/>
  <c r="BR126" i="10"/>
  <c r="BP126" i="10"/>
  <c r="BT57" i="10"/>
  <c r="BP58" i="10" s="1"/>
  <c r="CI124" i="10"/>
  <c r="BX57" i="10"/>
  <c r="CE124" i="10"/>
  <c r="BR22" i="10" l="1"/>
  <c r="BT22" i="10" s="1"/>
  <c r="BR23" i="10" s="1"/>
  <c r="AI69" i="10"/>
  <c r="AO69" i="10" s="1"/>
  <c r="BR93" i="10"/>
  <c r="BP93" i="10"/>
  <c r="CE90" i="10"/>
  <c r="CC91" i="10" s="1"/>
  <c r="CI23" i="10"/>
  <c r="CA24" i="10"/>
  <c r="CI24" i="10" s="1"/>
  <c r="CC57" i="10"/>
  <c r="CI57" i="10" s="1"/>
  <c r="BR58" i="10"/>
  <c r="BT58" i="10" s="1"/>
  <c r="BP59" i="10" s="1"/>
  <c r="BT126" i="10"/>
  <c r="BP127" i="10" s="1"/>
  <c r="BX126" i="10"/>
  <c r="CC125" i="10"/>
  <c r="CA125" i="10"/>
  <c r="BX22" i="10" l="1"/>
  <c r="BP23" i="10"/>
  <c r="BT23" i="10" s="1"/>
  <c r="BR24" i="10" s="1"/>
  <c r="AK69" i="10"/>
  <c r="AG70" i="10" s="1"/>
  <c r="BX93" i="10"/>
  <c r="BT93" i="10"/>
  <c r="CA91" i="10"/>
  <c r="CI91" i="10" s="1"/>
  <c r="BR127" i="10"/>
  <c r="BX127" i="10" s="1"/>
  <c r="CE24" i="10"/>
  <c r="CA25" i="10" s="1"/>
  <c r="CE57" i="10"/>
  <c r="CA58" i="10" s="1"/>
  <c r="BX58" i="10"/>
  <c r="BR59" i="10"/>
  <c r="BT59" i="10" s="1"/>
  <c r="BR60" i="10" s="1"/>
  <c r="CE125" i="10"/>
  <c r="CA126" i="10" s="1"/>
  <c r="CI125" i="10"/>
  <c r="BX23" i="10" l="1"/>
  <c r="BP24" i="10"/>
  <c r="BT24" i="10" s="1"/>
  <c r="BR25" i="10" s="1"/>
  <c r="AI70" i="10"/>
  <c r="AK70" i="10" s="1"/>
  <c r="AG71" i="10" s="1"/>
  <c r="BR94" i="10"/>
  <c r="BP94" i="10"/>
  <c r="CE91" i="10"/>
  <c r="BT127" i="10"/>
  <c r="BP128" i="10" s="1"/>
  <c r="CC25" i="10"/>
  <c r="CE25" i="10" s="1"/>
  <c r="CA26" i="10" s="1"/>
  <c r="CC58" i="10"/>
  <c r="CI58" i="10" s="1"/>
  <c r="BX59" i="10"/>
  <c r="CC126" i="10"/>
  <c r="CI126" i="10" s="1"/>
  <c r="BP60" i="10"/>
  <c r="BT60" i="10" s="1"/>
  <c r="BR61" i="10" s="1"/>
  <c r="BX24" i="10" l="1"/>
  <c r="BP25" i="10"/>
  <c r="BX25" i="10" s="1"/>
  <c r="AO70" i="10"/>
  <c r="AI71" i="10"/>
  <c r="AK71" i="10" s="1"/>
  <c r="AI72" i="10" s="1"/>
  <c r="BX94" i="10"/>
  <c r="BT94" i="10"/>
  <c r="CA92" i="10"/>
  <c r="CC92" i="10"/>
  <c r="BR128" i="10"/>
  <c r="BX128" i="10" s="1"/>
  <c r="CI25" i="10"/>
  <c r="CC26" i="10"/>
  <c r="CI26" i="10" s="1"/>
  <c r="CE58" i="10"/>
  <c r="CA59" i="10" s="1"/>
  <c r="CE126" i="10"/>
  <c r="CC127" i="10" s="1"/>
  <c r="BX60" i="10"/>
  <c r="BP61" i="10"/>
  <c r="BT61" i="10" s="1"/>
  <c r="BT25" i="10" l="1"/>
  <c r="BR26" i="10" s="1"/>
  <c r="AO71" i="10"/>
  <c r="BR95" i="10"/>
  <c r="BP95" i="10"/>
  <c r="AG72" i="10"/>
  <c r="AK72" i="10" s="1"/>
  <c r="CE92" i="10"/>
  <c r="CA93" i="10" s="1"/>
  <c r="CI92" i="10"/>
  <c r="BT128" i="10"/>
  <c r="BR129" i="10" s="1"/>
  <c r="CE26" i="10"/>
  <c r="CA27" i="10" s="1"/>
  <c r="CC59" i="10"/>
  <c r="CE59" i="10" s="1"/>
  <c r="CA60" i="10" s="1"/>
  <c r="CA127" i="10"/>
  <c r="CI127" i="10" s="1"/>
  <c r="BX61" i="10"/>
  <c r="BR62" i="10"/>
  <c r="BP62" i="10"/>
  <c r="BP26" i="10" l="1"/>
  <c r="BT26" i="10" s="1"/>
  <c r="BR27" i="10" s="1"/>
  <c r="BT95" i="10"/>
  <c r="BP96" i="10" s="1"/>
  <c r="BX95" i="10"/>
  <c r="AO72" i="10"/>
  <c r="CC93" i="10"/>
  <c r="CI93" i="10" s="1"/>
  <c r="AG73" i="10"/>
  <c r="AI73" i="10"/>
  <c r="BP129" i="10"/>
  <c r="BX129" i="10" s="1"/>
  <c r="CC27" i="10"/>
  <c r="CE27" i="10" s="1"/>
  <c r="CC60" i="10"/>
  <c r="CE60" i="10" s="1"/>
  <c r="CA61" i="10" s="1"/>
  <c r="CI59" i="10"/>
  <c r="CE127" i="10"/>
  <c r="CC128" i="10" s="1"/>
  <c r="BX62" i="10"/>
  <c r="BT62" i="10"/>
  <c r="BX26" i="10" l="1"/>
  <c r="BP27" i="10"/>
  <c r="BT27" i="10" s="1"/>
  <c r="BR96" i="10"/>
  <c r="BT96" i="10" s="1"/>
  <c r="BP97" i="10" s="1"/>
  <c r="AK73" i="10"/>
  <c r="AG74" i="10" s="1"/>
  <c r="AO73" i="10"/>
  <c r="CE93" i="10"/>
  <c r="CC94" i="10" s="1"/>
  <c r="BT129" i="10"/>
  <c r="BP130" i="10" s="1"/>
  <c r="CI27" i="10"/>
  <c r="CA128" i="10"/>
  <c r="CE128" i="10" s="1"/>
  <c r="CA129" i="10" s="1"/>
  <c r="CI60" i="10"/>
  <c r="CC61" i="10"/>
  <c r="CI61" i="10" s="1"/>
  <c r="CC28" i="10"/>
  <c r="CA28" i="10"/>
  <c r="BR63" i="10"/>
  <c r="BP63" i="10"/>
  <c r="BX27" i="10" l="1"/>
  <c r="BR28" i="10"/>
  <c r="BP28" i="10"/>
  <c r="BR97" i="10"/>
  <c r="BX97" i="10" s="1"/>
  <c r="BX96" i="10"/>
  <c r="AI74" i="10"/>
  <c r="AK74" i="10" s="1"/>
  <c r="AI75" i="10" s="1"/>
  <c r="CA94" i="10"/>
  <c r="CI94" i="10" s="1"/>
  <c r="BR130" i="10"/>
  <c r="BT130" i="10" s="1"/>
  <c r="BR131" i="10" s="1"/>
  <c r="CI128" i="10"/>
  <c r="CE61" i="10"/>
  <c r="CA62" i="10" s="1"/>
  <c r="CC129" i="10"/>
  <c r="CI129" i="10" s="1"/>
  <c r="CE28" i="10"/>
  <c r="CA29" i="10" s="1"/>
  <c r="CI28" i="10"/>
  <c r="BT63" i="10"/>
  <c r="BR64" i="10" s="1"/>
  <c r="BX63" i="10"/>
  <c r="BT28" i="10" l="1"/>
  <c r="BX28" i="10"/>
  <c r="BT97" i="10"/>
  <c r="BR98" i="10" s="1"/>
  <c r="AO74" i="10"/>
  <c r="AG75" i="10"/>
  <c r="AO75" i="10" s="1"/>
  <c r="CE94" i="10"/>
  <c r="CC95" i="10" s="1"/>
  <c r="BP131" i="10"/>
  <c r="BX131" i="10" s="1"/>
  <c r="BX130" i="10"/>
  <c r="CC62" i="10"/>
  <c r="CI62" i="10" s="1"/>
  <c r="CC29" i="10"/>
  <c r="CI29" i="10" s="1"/>
  <c r="CE129" i="10"/>
  <c r="CC130" i="10" s="1"/>
  <c r="BP64" i="10"/>
  <c r="BT64" i="10" s="1"/>
  <c r="BR65" i="10" s="1"/>
  <c r="BR29" i="10" l="1"/>
  <c r="BP29" i="10"/>
  <c r="BP98" i="10"/>
  <c r="BT98" i="10" s="1"/>
  <c r="BR99" i="10" s="1"/>
  <c r="AK75" i="10"/>
  <c r="AG76" i="10" s="1"/>
  <c r="CA95" i="10"/>
  <c r="CI95" i="10" s="1"/>
  <c r="BT131" i="10"/>
  <c r="BR132" i="10" s="1"/>
  <c r="CE62" i="10"/>
  <c r="CA63" i="10" s="1"/>
  <c r="CE29" i="10"/>
  <c r="CA30" i="10" s="1"/>
  <c r="CA130" i="10"/>
  <c r="CE130" i="10" s="1"/>
  <c r="BX64" i="10"/>
  <c r="BP65" i="10"/>
  <c r="BX65" i="10" s="1"/>
  <c r="BT29" i="10" l="1"/>
  <c r="BR30" i="10" s="1"/>
  <c r="BX29" i="10"/>
  <c r="BX98" i="10"/>
  <c r="AI76" i="10"/>
  <c r="AK76" i="10" s="1"/>
  <c r="AG77" i="10" s="1"/>
  <c r="BP99" i="10"/>
  <c r="BX99" i="10" s="1"/>
  <c r="BP132" i="10"/>
  <c r="BT132" i="10" s="1"/>
  <c r="BR133" i="10" s="1"/>
  <c r="CE95" i="10"/>
  <c r="CC63" i="10"/>
  <c r="CI63" i="10" s="1"/>
  <c r="CC30" i="10"/>
  <c r="CI30" i="10" s="1"/>
  <c r="CI130" i="10"/>
  <c r="CA131" i="10"/>
  <c r="CC131" i="10"/>
  <c r="BT65" i="10"/>
  <c r="BR66" i="10" s="1"/>
  <c r="BP30" i="10" l="1"/>
  <c r="AO76" i="10"/>
  <c r="AI77" i="10"/>
  <c r="AO77" i="10" s="1"/>
  <c r="BT99" i="10"/>
  <c r="BR100" i="10" s="1"/>
  <c r="BX132" i="10"/>
  <c r="BP133" i="10"/>
  <c r="BX133" i="10" s="1"/>
  <c r="CA96" i="10"/>
  <c r="CC96" i="10"/>
  <c r="CE63" i="10"/>
  <c r="CC64" i="10" s="1"/>
  <c r="CE30" i="10"/>
  <c r="CC31" i="10" s="1"/>
  <c r="CE131" i="10"/>
  <c r="CA132" i="10" s="1"/>
  <c r="CI131" i="10"/>
  <c r="BP66" i="10"/>
  <c r="BX66" i="10" s="1"/>
  <c r="G25" i="10"/>
  <c r="AN44" i="10"/>
  <c r="AM44" i="10"/>
  <c r="AN43" i="10"/>
  <c r="AM43" i="10"/>
  <c r="C40" i="10"/>
  <c r="AN42" i="10"/>
  <c r="AM42" i="10"/>
  <c r="AN41" i="10"/>
  <c r="AM41" i="10"/>
  <c r="AN40" i="10"/>
  <c r="AM40" i="10"/>
  <c r="AN39" i="10"/>
  <c r="AM39" i="10"/>
  <c r="AN38" i="10"/>
  <c r="AM38" i="10"/>
  <c r="AN37" i="10"/>
  <c r="AM37" i="10"/>
  <c r="AN36" i="10"/>
  <c r="AM36" i="10"/>
  <c r="AN35" i="10"/>
  <c r="AM35" i="10"/>
  <c r="AN34" i="10"/>
  <c r="AM34" i="10"/>
  <c r="AN33" i="10"/>
  <c r="AM33" i="10"/>
  <c r="AN32" i="10"/>
  <c r="AM32" i="10"/>
  <c r="AN31" i="10"/>
  <c r="AM31" i="10"/>
  <c r="AN30" i="10"/>
  <c r="AM30" i="10"/>
  <c r="AN29" i="10"/>
  <c r="AM29" i="10"/>
  <c r="AN28" i="10"/>
  <c r="AM28" i="10"/>
  <c r="AN27" i="10"/>
  <c r="AM27" i="10"/>
  <c r="AN26" i="10"/>
  <c r="AM26" i="10"/>
  <c r="AN25" i="10"/>
  <c r="AM25" i="10"/>
  <c r="AN24" i="10"/>
  <c r="AM24" i="10"/>
  <c r="AN23" i="10"/>
  <c r="AM23" i="10"/>
  <c r="AN22" i="10"/>
  <c r="AM22" i="10"/>
  <c r="AN21" i="10"/>
  <c r="AM21" i="10"/>
  <c r="AN20" i="10"/>
  <c r="AM20" i="10"/>
  <c r="AN19" i="10"/>
  <c r="AM19" i="10"/>
  <c r="O19" i="10"/>
  <c r="O22" i="10" s="1"/>
  <c r="O25" i="10" s="1"/>
  <c r="AN18" i="10"/>
  <c r="AM18" i="10"/>
  <c r="AN17" i="10"/>
  <c r="AM17" i="10"/>
  <c r="AN16" i="10"/>
  <c r="AM16" i="10"/>
  <c r="AN15" i="10"/>
  <c r="AM15" i="10"/>
  <c r="AN14" i="10"/>
  <c r="AM14" i="10"/>
  <c r="AN13" i="10"/>
  <c r="AM13" i="10"/>
  <c r="AN12" i="10"/>
  <c r="AM12" i="10"/>
  <c r="AN11" i="10"/>
  <c r="AM11" i="10"/>
  <c r="O11" i="10"/>
  <c r="AN10" i="10"/>
  <c r="AM10" i="10"/>
  <c r="AN9" i="10"/>
  <c r="AM9" i="10"/>
  <c r="AN8" i="10"/>
  <c r="AM8" i="10"/>
  <c r="G6" i="10"/>
  <c r="K11" i="10" s="1"/>
  <c r="AN7" i="10"/>
  <c r="AM7" i="10"/>
  <c r="AN6" i="10"/>
  <c r="AM6" i="10"/>
  <c r="AO5" i="10"/>
  <c r="AN5" i="10"/>
  <c r="AM5" i="10"/>
  <c r="AK5" i="10"/>
  <c r="AD4" i="10"/>
  <c r="Z4" i="10"/>
  <c r="BT30" i="10" l="1"/>
  <c r="BX30" i="10"/>
  <c r="BP100" i="10"/>
  <c r="BT100" i="10" s="1"/>
  <c r="AK77" i="10"/>
  <c r="AG78" i="10" s="1"/>
  <c r="BT133" i="10"/>
  <c r="BP134" i="10" s="1"/>
  <c r="CI96" i="10"/>
  <c r="CE96" i="10"/>
  <c r="CA64" i="10"/>
  <c r="CE64" i="10" s="1"/>
  <c r="CA65" i="10" s="1"/>
  <c r="CA31" i="10"/>
  <c r="CE31" i="10" s="1"/>
  <c r="CC132" i="10"/>
  <c r="CI132" i="10" s="1"/>
  <c r="AG6" i="10"/>
  <c r="BT66" i="10"/>
  <c r="BR67" i="10" s="1"/>
  <c r="AI6" i="10"/>
  <c r="BP31" i="10" l="1"/>
  <c r="BR31" i="10"/>
  <c r="BX100" i="10"/>
  <c r="BR134" i="10"/>
  <c r="BX134" i="10" s="1"/>
  <c r="AI78" i="10"/>
  <c r="AK78" i="10" s="1"/>
  <c r="BP101" i="10"/>
  <c r="BR101" i="10"/>
  <c r="CC97" i="10"/>
  <c r="CA97" i="10"/>
  <c r="CI64" i="10"/>
  <c r="CI31" i="10"/>
  <c r="AO6" i="10"/>
  <c r="CE132" i="10"/>
  <c r="CA133" i="10" s="1"/>
  <c r="BP67" i="10"/>
  <c r="BX67" i="10" s="1"/>
  <c r="CC32" i="10"/>
  <c r="CA32" i="10"/>
  <c r="CC65" i="10"/>
  <c r="CE65" i="10" s="1"/>
  <c r="AK6" i="10"/>
  <c r="AG7" i="10" s="1"/>
  <c r="BX31" i="10" l="1"/>
  <c r="BT31" i="10"/>
  <c r="BT134" i="10"/>
  <c r="BP135" i="10" s="1"/>
  <c r="AO78" i="10"/>
  <c r="BX101" i="10"/>
  <c r="BT101" i="10"/>
  <c r="CE97" i="10"/>
  <c r="CI97" i="10"/>
  <c r="AG79" i="10"/>
  <c r="AI79" i="10"/>
  <c r="CC133" i="10"/>
  <c r="CI133" i="10" s="1"/>
  <c r="AI7" i="10"/>
  <c r="AK7" i="10" s="1"/>
  <c r="AI8" i="10" s="1"/>
  <c r="BT67" i="10"/>
  <c r="BR68" i="10" s="1"/>
  <c r="CE32" i="10"/>
  <c r="CA33" i="10" s="1"/>
  <c r="CI32" i="10"/>
  <c r="CI65" i="10"/>
  <c r="CA66" i="10"/>
  <c r="CC66" i="10"/>
  <c r="BR32" i="10" l="1"/>
  <c r="BP32" i="10"/>
  <c r="BR135" i="10"/>
  <c r="BT135" i="10" s="1"/>
  <c r="BP136" i="10" s="1"/>
  <c r="BP102" i="10"/>
  <c r="BR102" i="10"/>
  <c r="CC98" i="10"/>
  <c r="CA98" i="10"/>
  <c r="AK79" i="10"/>
  <c r="C6" i="10" s="1"/>
  <c r="AO79" i="10"/>
  <c r="CE133" i="10"/>
  <c r="CC134" i="10" s="1"/>
  <c r="AO7" i="10"/>
  <c r="CC33" i="10"/>
  <c r="CE33" i="10" s="1"/>
  <c r="CA34" i="10" s="1"/>
  <c r="BP68" i="10"/>
  <c r="BX68" i="10" s="1"/>
  <c r="CI66" i="10"/>
  <c r="CE66" i="10"/>
  <c r="AG8" i="10"/>
  <c r="AK8" i="10" s="1"/>
  <c r="BT32" i="10" l="1"/>
  <c r="BX32" i="10"/>
  <c r="BR136" i="10"/>
  <c r="BX136" i="10" s="1"/>
  <c r="BX135" i="10"/>
  <c r="BX102" i="10"/>
  <c r="BT102" i="10"/>
  <c r="BH42" i="10" s="1"/>
  <c r="CI98" i="10"/>
  <c r="CE98" i="10"/>
  <c r="CA134" i="10"/>
  <c r="CE134" i="10" s="1"/>
  <c r="CA135" i="10" s="1"/>
  <c r="G7" i="10"/>
  <c r="AR4" i="10"/>
  <c r="CI33" i="10"/>
  <c r="CC34" i="10"/>
  <c r="CE34" i="10" s="1"/>
  <c r="BL4" i="10" s="1"/>
  <c r="BT68" i="10"/>
  <c r="BH23" i="10" s="1"/>
  <c r="BH25" i="10" s="1"/>
  <c r="BH26" i="10" s="1"/>
  <c r="CC67" i="10"/>
  <c r="CA67" i="10"/>
  <c r="AO8" i="10"/>
  <c r="AG9" i="10"/>
  <c r="AI9" i="10"/>
  <c r="BR33" i="10" l="1"/>
  <c r="BP33" i="10"/>
  <c r="BH31" i="10"/>
  <c r="BH32" i="10"/>
  <c r="BT136" i="10"/>
  <c r="BH61" i="10" s="1"/>
  <c r="BH63" i="10" s="1"/>
  <c r="BH64" i="10" s="1"/>
  <c r="BH44" i="10"/>
  <c r="BH45" i="10" s="1"/>
  <c r="BH48" i="10"/>
  <c r="BH47" i="10"/>
  <c r="CC99" i="10"/>
  <c r="CA99" i="10"/>
  <c r="CI134" i="10"/>
  <c r="G8" i="10"/>
  <c r="AV6" i="10"/>
  <c r="AV7" i="10" s="1"/>
  <c r="AV5" i="10"/>
  <c r="CC135" i="10"/>
  <c r="CE135" i="10" s="1"/>
  <c r="CA136" i="10" s="1"/>
  <c r="BH29" i="10"/>
  <c r="CI34" i="10"/>
  <c r="BH28" i="10"/>
  <c r="BL9" i="10"/>
  <c r="BL10" i="10"/>
  <c r="BL6" i="10"/>
  <c r="BL7" i="10" s="1"/>
  <c r="CE67" i="10"/>
  <c r="CA68" i="10" s="1"/>
  <c r="CI67" i="10"/>
  <c r="AO9" i="10"/>
  <c r="AK9" i="10"/>
  <c r="AI10" i="10" s="1"/>
  <c r="BT33" i="10" l="1"/>
  <c r="BX33" i="10"/>
  <c r="BH69" i="10"/>
  <c r="BH70" i="10"/>
  <c r="BH50" i="10"/>
  <c r="BH51" i="10"/>
  <c r="BL12" i="10"/>
  <c r="BL13" i="10"/>
  <c r="BH66" i="10"/>
  <c r="BH67" i="10"/>
  <c r="BH49" i="10"/>
  <c r="CE99" i="10"/>
  <c r="CC100" i="10" s="1"/>
  <c r="CI99" i="10"/>
  <c r="CI135" i="10"/>
  <c r="CC136" i="10"/>
  <c r="CI136" i="10" s="1"/>
  <c r="BH30" i="10"/>
  <c r="BL11" i="10"/>
  <c r="AG10" i="10"/>
  <c r="AO10" i="10" s="1"/>
  <c r="CC68" i="10"/>
  <c r="CE68" i="10" s="1"/>
  <c r="BL23" i="10" s="1"/>
  <c r="BL25" i="10" s="1"/>
  <c r="BL26" i="10" s="1"/>
  <c r="BH34" i="10"/>
  <c r="BH33" i="10"/>
  <c r="BR34" i="10" l="1"/>
  <c r="BP34" i="10"/>
  <c r="BH71" i="10"/>
  <c r="BL31" i="10"/>
  <c r="BL32" i="10"/>
  <c r="BH72" i="10"/>
  <c r="BH68" i="10"/>
  <c r="CA100" i="10"/>
  <c r="CE100" i="10" s="1"/>
  <c r="CC101" i="10" s="1"/>
  <c r="BH53" i="10"/>
  <c r="BH55" i="10" s="1"/>
  <c r="BH57" i="10" s="1"/>
  <c r="AZ24" i="10" s="1"/>
  <c r="BH52" i="10"/>
  <c r="BH54" i="10" s="1"/>
  <c r="BH56" i="10" s="1"/>
  <c r="CE136" i="10"/>
  <c r="BL61" i="10" s="1"/>
  <c r="BL67" i="10" s="1"/>
  <c r="BH35" i="10"/>
  <c r="BH37" i="10" s="1"/>
  <c r="AZ14" i="10" s="1"/>
  <c r="BH36" i="10"/>
  <c r="BH38" i="10" s="1"/>
  <c r="AZ15" i="10" s="1"/>
  <c r="AK10" i="10"/>
  <c r="AI11" i="10" s="1"/>
  <c r="BL14" i="10"/>
  <c r="BL16" i="10" s="1"/>
  <c r="BL18" i="10" s="1"/>
  <c r="BL15" i="10"/>
  <c r="BL17" i="10" s="1"/>
  <c r="BL19" i="10" s="1"/>
  <c r="BD6" i="10" s="1"/>
  <c r="CI68" i="10"/>
  <c r="BL29" i="10"/>
  <c r="BL28" i="10"/>
  <c r="BX34" i="10" l="1"/>
  <c r="BT34" i="10"/>
  <c r="BH4" i="10" s="1"/>
  <c r="BH73" i="10"/>
  <c r="BH75" i="10" s="1"/>
  <c r="AZ32" i="10" s="1"/>
  <c r="BH74" i="10"/>
  <c r="BH76" i="10" s="1"/>
  <c r="AZ33" i="10" s="1"/>
  <c r="CI100" i="10"/>
  <c r="CA101" i="10"/>
  <c r="CI101" i="10" s="1"/>
  <c r="AZ23" i="10"/>
  <c r="AZ25" i="10" s="1"/>
  <c r="BH58" i="10"/>
  <c r="BL66" i="10"/>
  <c r="BL68" i="10" s="1"/>
  <c r="BL63" i="10"/>
  <c r="BL64" i="10" s="1"/>
  <c r="AG11" i="10"/>
  <c r="AK11" i="10" s="1"/>
  <c r="AG12" i="10" s="1"/>
  <c r="AZ16" i="10"/>
  <c r="AZ19" i="10" s="1"/>
  <c r="BH39" i="10"/>
  <c r="BS38" i="10" s="1"/>
  <c r="BD5" i="10"/>
  <c r="BD7" i="10" s="1"/>
  <c r="BL20" i="10"/>
  <c r="BL30" i="10"/>
  <c r="BL33" i="10"/>
  <c r="BL34" i="10"/>
  <c r="BH6" i="10" l="1"/>
  <c r="BH7" i="10" s="1"/>
  <c r="BH10" i="10"/>
  <c r="BH9" i="10"/>
  <c r="BL69" i="10"/>
  <c r="BL70" i="10"/>
  <c r="BH77" i="10"/>
  <c r="AZ34" i="10"/>
  <c r="AZ37" i="10" s="1"/>
  <c r="CE101" i="10"/>
  <c r="CA102" i="10" s="1"/>
  <c r="BS72" i="10"/>
  <c r="AV27" i="10"/>
  <c r="BU72" i="10"/>
  <c r="BQ72" i="10"/>
  <c r="AZ28" i="10"/>
  <c r="AZ26" i="10"/>
  <c r="AZ27" i="10"/>
  <c r="AO11" i="10"/>
  <c r="AZ18" i="10"/>
  <c r="AZ17" i="10"/>
  <c r="BU38" i="10"/>
  <c r="AV25" i="10"/>
  <c r="BQ38" i="10"/>
  <c r="CD4" i="10"/>
  <c r="CF4" i="10"/>
  <c r="CB4" i="10"/>
  <c r="AV24" i="10"/>
  <c r="BD9" i="10"/>
  <c r="BD8" i="10"/>
  <c r="BD10" i="10"/>
  <c r="BL36" i="10"/>
  <c r="BL38" i="10" s="1"/>
  <c r="BD15" i="10" s="1"/>
  <c r="BL35" i="10"/>
  <c r="BL37" i="10" s="1"/>
  <c r="BD14" i="10" s="1"/>
  <c r="AI12" i="10"/>
  <c r="AO12" i="10" s="1"/>
  <c r="BH11" i="10" l="1"/>
  <c r="BH13" i="10"/>
  <c r="BH12" i="10"/>
  <c r="BL71" i="10"/>
  <c r="BL73" i="10" s="1"/>
  <c r="BL75" i="10" s="1"/>
  <c r="BD32" i="10" s="1"/>
  <c r="AZ35" i="10"/>
  <c r="CC102" i="10"/>
  <c r="CE102" i="10" s="1"/>
  <c r="BL42" i="10" s="1"/>
  <c r="BL48" i="10" s="1"/>
  <c r="AZ36" i="10"/>
  <c r="AV29" i="10"/>
  <c r="BU106" i="10"/>
  <c r="BS106" i="10"/>
  <c r="BQ106" i="10"/>
  <c r="BL72" i="10"/>
  <c r="BL74" i="10" s="1"/>
  <c r="BL76" i="10" s="1"/>
  <c r="BD33" i="10" s="1"/>
  <c r="BD16" i="10"/>
  <c r="BD17" i="10" s="1"/>
  <c r="BL39" i="10"/>
  <c r="CD38" i="10" s="1"/>
  <c r="AK12" i="10"/>
  <c r="AG13" i="10" s="1"/>
  <c r="BH15" i="10" l="1"/>
  <c r="BH17" i="10" s="1"/>
  <c r="BH19" i="10" s="1"/>
  <c r="AZ6" i="10" s="1"/>
  <c r="BH14" i="10"/>
  <c r="BH16" i="10" s="1"/>
  <c r="BH18" i="10" s="1"/>
  <c r="CI102" i="10"/>
  <c r="BL44" i="10"/>
  <c r="BL45" i="10" s="1"/>
  <c r="BL47" i="10"/>
  <c r="BL49" i="10" s="1"/>
  <c r="AI13" i="10"/>
  <c r="AO13" i="10" s="1"/>
  <c r="BL77" i="10"/>
  <c r="CF106" i="10" s="1"/>
  <c r="BD34" i="10"/>
  <c r="BD37" i="10" s="1"/>
  <c r="BD19" i="10"/>
  <c r="BD18" i="10"/>
  <c r="CF38" i="10"/>
  <c r="AV26" i="10"/>
  <c r="CB38" i="10"/>
  <c r="AZ5" i="10" l="1"/>
  <c r="AZ7" i="10" s="1"/>
  <c r="BH20" i="10"/>
  <c r="BL50" i="10"/>
  <c r="BL51" i="10"/>
  <c r="AK13" i="10"/>
  <c r="AI14" i="10" s="1"/>
  <c r="BD36" i="10"/>
  <c r="BD35" i="10"/>
  <c r="CB106" i="10"/>
  <c r="CD106" i="10"/>
  <c r="AV23" i="10" l="1"/>
  <c r="BQ4" i="10"/>
  <c r="BS4" i="10"/>
  <c r="BU4" i="10"/>
  <c r="AZ10" i="10"/>
  <c r="AZ8" i="10"/>
  <c r="AZ9" i="10"/>
  <c r="BL52" i="10"/>
  <c r="BL54" i="10" s="1"/>
  <c r="BL56" i="10" s="1"/>
  <c r="BD23" i="10" s="1"/>
  <c r="BL53" i="10"/>
  <c r="BL55" i="10" s="1"/>
  <c r="BL57" i="10" s="1"/>
  <c r="BD24" i="10" s="1"/>
  <c r="AG14" i="10"/>
  <c r="AK14" i="10" s="1"/>
  <c r="AG15" i="10" s="1"/>
  <c r="BL58" i="10" l="1"/>
  <c r="CF72" i="10" s="1"/>
  <c r="BD25" i="10"/>
  <c r="BD27" i="10" s="1"/>
  <c r="AV10" i="10" s="1"/>
  <c r="AV15" i="10" s="1"/>
  <c r="AO14" i="10"/>
  <c r="AI15" i="10"/>
  <c r="AO15" i="10" s="1"/>
  <c r="CB72" i="10" l="1"/>
  <c r="BD28" i="10"/>
  <c r="AV11" i="10" s="1"/>
  <c r="AV12" i="10" s="1"/>
  <c r="AV16" i="10" s="1"/>
  <c r="BD26" i="10"/>
  <c r="AV28" i="10"/>
  <c r="AV30" i="10" s="1"/>
  <c r="CD72" i="10"/>
  <c r="AV17" i="10"/>
  <c r="G10" i="10"/>
  <c r="AK15" i="10"/>
  <c r="AI16" i="10" s="1"/>
  <c r="G13" i="10" l="1"/>
  <c r="AV18" i="10"/>
  <c r="AV19" i="10" s="1"/>
  <c r="AV20" i="10" s="1"/>
  <c r="AG16" i="10"/>
  <c r="AK16" i="10" s="1"/>
  <c r="AG17" i="10" s="1"/>
  <c r="K25" i="10" l="1"/>
  <c r="AO16" i="10"/>
  <c r="AI17" i="10"/>
  <c r="AO17" i="10" s="1"/>
  <c r="AK17" i="10" l="1"/>
  <c r="AI18" i="10" s="1"/>
  <c r="AG18" i="10" l="1"/>
  <c r="AK18" i="10" s="1"/>
  <c r="AG19" i="10" s="1"/>
  <c r="AO18" i="10" l="1"/>
  <c r="AI19" i="10"/>
  <c r="AK19" i="10" s="1"/>
  <c r="AG20" i="10" s="1"/>
  <c r="AO19" i="10" l="1"/>
  <c r="AI20" i="10"/>
  <c r="AO20" i="10" s="1"/>
  <c r="AK20" i="10" l="1"/>
  <c r="AG21" i="10" s="1"/>
  <c r="AI21" i="10" l="1"/>
  <c r="AO21" i="10" s="1"/>
  <c r="AK21" i="10" l="1"/>
  <c r="AI22" i="10" s="1"/>
  <c r="AG22" i="10" l="1"/>
  <c r="AK22" i="10" s="1"/>
  <c r="AO22" i="10" l="1"/>
  <c r="AG23" i="10"/>
  <c r="AI23" i="10"/>
  <c r="AK23" i="10" l="1"/>
  <c r="AI24" i="10" s="1"/>
  <c r="AO23" i="10"/>
  <c r="AG24" i="10" l="1"/>
  <c r="AO24" i="10" s="1"/>
  <c r="AK24" i="10" l="1"/>
  <c r="AI25" i="10" s="1"/>
  <c r="AG25" i="10" l="1"/>
  <c r="AK25" i="10" s="1"/>
  <c r="AI26" i="10" s="1"/>
  <c r="AO25" i="10" l="1"/>
  <c r="AG26" i="10"/>
  <c r="AO26" i="10" s="1"/>
  <c r="AK26" i="10" l="1"/>
  <c r="AI27" i="10" s="1"/>
  <c r="AG27" i="10" l="1"/>
  <c r="AK27" i="10" s="1"/>
  <c r="AI28" i="10" s="1"/>
  <c r="AO27" i="10" l="1"/>
  <c r="AG28" i="10"/>
  <c r="AO28" i="10" s="1"/>
  <c r="AK28" i="10" l="1"/>
  <c r="AG29" i="10" s="1"/>
  <c r="AI29" i="10" l="1"/>
  <c r="AO29" i="10" s="1"/>
  <c r="AK29" i="10" l="1"/>
  <c r="AI30" i="10" s="1"/>
  <c r="AG30" i="10" l="1"/>
  <c r="AO30" i="10" s="1"/>
  <c r="AK30" i="10" l="1"/>
  <c r="AG31" i="10" s="1"/>
  <c r="AI31" i="10" l="1"/>
  <c r="AK31" i="10" s="1"/>
  <c r="AG32" i="10" s="1"/>
  <c r="AO31" i="10" l="1"/>
  <c r="AI32" i="10"/>
  <c r="AO32" i="10" s="1"/>
  <c r="AK32" i="10" l="1"/>
  <c r="AG33" i="10" s="1"/>
  <c r="AI33" i="10" l="1"/>
  <c r="AO33" i="10" s="1"/>
  <c r="AK33" i="10" l="1"/>
  <c r="AI34" i="10" s="1"/>
  <c r="AG34" i="10" l="1"/>
  <c r="AO34" i="10" s="1"/>
  <c r="AK34" i="10" l="1"/>
  <c r="AG35" i="10" s="1"/>
  <c r="AI35" i="10" l="1"/>
  <c r="AO35" i="10" s="1"/>
  <c r="AK35" i="10" l="1"/>
  <c r="AI36" i="10" s="1"/>
  <c r="AG36" i="10" l="1"/>
  <c r="AO36" i="10" s="1"/>
  <c r="AK36" i="10" l="1"/>
  <c r="AI37" i="10" s="1"/>
  <c r="AG37" i="10" l="1"/>
  <c r="AK37" i="10" s="1"/>
  <c r="AI38" i="10" s="1"/>
  <c r="AO37" i="10" l="1"/>
  <c r="AG38" i="10"/>
  <c r="AK38" i="10" s="1"/>
  <c r="AG39" i="10" s="1"/>
  <c r="AO38" i="10" l="1"/>
  <c r="AI39" i="10"/>
  <c r="AK39" i="10" s="1"/>
  <c r="AO39" i="10" l="1"/>
  <c r="AI40" i="10"/>
  <c r="AG40" i="10"/>
  <c r="AK40" i="10" l="1"/>
  <c r="AO40" i="10"/>
  <c r="AI41" i="10" l="1"/>
  <c r="AG41" i="10"/>
  <c r="AK41" i="10" l="1"/>
  <c r="AI42" i="10" s="1"/>
  <c r="AO41" i="10"/>
  <c r="AG42" i="10" l="1"/>
  <c r="AK42" i="10" s="1"/>
  <c r="AG43" i="10" s="1"/>
  <c r="AI43" i="10" l="1"/>
  <c r="AK43" i="10" s="1"/>
  <c r="AI44" i="10" s="1"/>
  <c r="AO42" i="10"/>
  <c r="AO43" i="10" l="1"/>
  <c r="AG44" i="10"/>
  <c r="AO44" i="10" s="1"/>
  <c r="AK44" i="10" l="1"/>
  <c r="C5" i="10" l="1"/>
  <c r="O4" i="10" l="1"/>
  <c r="O6" i="10"/>
  <c r="G26" i="10"/>
  <c r="K28" i="10"/>
  <c r="K27" i="10"/>
  <c r="K21" i="10"/>
  <c r="K22" i="10"/>
  <c r="K23" i="10"/>
  <c r="K26" i="10"/>
  <c r="K14" i="10"/>
  <c r="G9" i="10"/>
  <c r="G27" i="10"/>
  <c r="K4" i="10" s="1"/>
  <c r="K24" i="10"/>
  <c r="K20" i="10"/>
  <c r="K29" i="10"/>
  <c r="O12" i="10"/>
  <c r="K34" i="10"/>
  <c r="G11" i="10" l="1"/>
  <c r="AH49" i="10" s="1"/>
  <c r="K45" i="10"/>
  <c r="K38" i="10"/>
  <c r="O7" i="10"/>
  <c r="O9" i="10" s="1"/>
  <c r="O13" i="10" s="1"/>
  <c r="K37" i="10"/>
  <c r="K5" i="10"/>
  <c r="K46" i="10"/>
  <c r="AL49" i="10" l="1"/>
  <c r="AJ49" i="10"/>
  <c r="G12" i="10"/>
  <c r="O10" i="10"/>
  <c r="O16" i="10" l="1"/>
  <c r="O14" i="10"/>
  <c r="O20" i="10" l="1"/>
  <c r="K16" i="10" s="1"/>
  <c r="O15" i="10"/>
  <c r="O23" i="10" l="1"/>
  <c r="W4" i="10" s="1"/>
  <c r="O28" i="10"/>
  <c r="O30" i="10" s="1"/>
  <c r="Y4" i="10" l="1"/>
  <c r="AA4" i="10"/>
  <c r="AB4" i="10" l="1"/>
  <c r="V5" i="10" s="1"/>
  <c r="W5" i="10" s="1"/>
  <c r="AC4" i="10"/>
  <c r="X5" i="10" s="1"/>
  <c r="Z5" i="10" l="1"/>
  <c r="AA5" i="10" s="1"/>
  <c r="AB5" i="10" s="1"/>
  <c r="V6" i="10" s="1"/>
  <c r="W6" i="10" s="1"/>
  <c r="AD5" i="10"/>
  <c r="Y5" i="10"/>
  <c r="AC5" i="10" l="1"/>
  <c r="X6" i="10" s="1"/>
  <c r="AD6" i="10" s="1"/>
  <c r="Z6" i="10" l="1"/>
  <c r="AA6" i="10" s="1"/>
  <c r="AB6" i="10" s="1"/>
  <c r="V7" i="10" s="1"/>
  <c r="W7" i="10" s="1"/>
  <c r="Y6" i="10"/>
  <c r="AC6" i="10" l="1"/>
  <c r="X7" i="10" s="1"/>
  <c r="Z7" i="10" s="1"/>
  <c r="AA7" i="10" s="1"/>
  <c r="AB7" i="10" s="1"/>
  <c r="V8" i="10" s="1"/>
  <c r="W8" i="10" s="1"/>
  <c r="Y7" i="10" l="1"/>
  <c r="AC7" i="10" s="1"/>
  <c r="X8" i="10" s="1"/>
  <c r="Y8" i="10" s="1"/>
  <c r="AD7" i="10"/>
  <c r="Z8" i="10" l="1"/>
  <c r="AA8" i="10" s="1"/>
  <c r="AC8" i="10" s="1"/>
  <c r="X9" i="10" s="1"/>
  <c r="AD8" i="10"/>
  <c r="AB8" i="10" l="1"/>
  <c r="V9" i="10" s="1"/>
  <c r="Z9" i="10" s="1"/>
  <c r="AA9" i="10" s="1"/>
  <c r="Y9" i="10"/>
  <c r="AD9" i="10" l="1"/>
  <c r="W9" i="10"/>
  <c r="AB9" i="10" s="1"/>
  <c r="V10" i="10" s="1"/>
  <c r="AC9" i="10"/>
  <c r="X10" i="10" s="1"/>
  <c r="Y10" i="10" s="1"/>
  <c r="Z10" i="10" l="1"/>
  <c r="AA10" i="10" s="1"/>
  <c r="AC10" i="10" s="1"/>
  <c r="X11" i="10" s="1"/>
  <c r="Y11" i="10" s="1"/>
  <c r="AD10" i="10"/>
  <c r="W10" i="10"/>
  <c r="AB10" i="10" l="1"/>
  <c r="V11" i="10" s="1"/>
  <c r="AD11" i="10" s="1"/>
  <c r="Z11" i="10" l="1"/>
  <c r="AA11" i="10" s="1"/>
  <c r="AC11" i="10" s="1"/>
  <c r="X12" i="10" s="1"/>
  <c r="W11" i="10"/>
  <c r="AB11" i="10" l="1"/>
  <c r="V12" i="10" s="1"/>
  <c r="AD12" i="10" s="1"/>
  <c r="Y12" i="10"/>
  <c r="Z12" i="10" l="1"/>
  <c r="AA12" i="10" s="1"/>
  <c r="AC12" i="10" s="1"/>
  <c r="X13" i="10" s="1"/>
  <c r="W12" i="10"/>
  <c r="AB12" i="10" l="1"/>
  <c r="V13" i="10" s="1"/>
  <c r="W13" i="10" s="1"/>
  <c r="Y13" i="10"/>
  <c r="Z13" i="10" l="1"/>
  <c r="AA13" i="10" s="1"/>
  <c r="AB13" i="10" s="1"/>
  <c r="V14" i="10" s="1"/>
  <c r="W14" i="10" s="1"/>
  <c r="AD13" i="10"/>
  <c r="AC13" i="10" l="1"/>
  <c r="X14" i="10" s="1"/>
  <c r="AD14" i="10" s="1"/>
  <c r="Z14" i="10" l="1"/>
  <c r="AA14" i="10" s="1"/>
  <c r="AB14" i="10" s="1"/>
  <c r="V15" i="10" s="1"/>
  <c r="W15" i="10" s="1"/>
  <c r="Y14" i="10"/>
  <c r="AC14" i="10" l="1"/>
  <c r="X15" i="10" s="1"/>
  <c r="Z15" i="10" s="1"/>
  <c r="AA15" i="10" s="1"/>
  <c r="AB15" i="10" s="1"/>
  <c r="V16" i="10" s="1"/>
  <c r="AD15" i="10" l="1"/>
  <c r="Y15" i="10"/>
  <c r="AC15" i="10" s="1"/>
  <c r="X16" i="10" s="1"/>
  <c r="AD16" i="10" s="1"/>
  <c r="W16" i="10"/>
  <c r="Z16" i="10" l="1"/>
  <c r="AA16" i="10" s="1"/>
  <c r="AB16" i="10" s="1"/>
  <c r="V17" i="10" s="1"/>
  <c r="Y16" i="10"/>
  <c r="AC16" i="10" l="1"/>
  <c r="X17" i="10" s="1"/>
  <c r="AD17" i="10" s="1"/>
  <c r="W17" i="10"/>
  <c r="Z17" i="10" l="1"/>
  <c r="AA17" i="10" s="1"/>
  <c r="AB17" i="10" s="1"/>
  <c r="V18" i="10" s="1"/>
  <c r="W18" i="10" s="1"/>
  <c r="Y17" i="10"/>
  <c r="AC17" i="10" l="1"/>
  <c r="X18" i="10" s="1"/>
  <c r="AD18" i="10" s="1"/>
  <c r="Y18" i="10" l="1"/>
  <c r="Z18" i="10"/>
  <c r="AA18" i="10" s="1"/>
  <c r="AB18" i="10" s="1"/>
  <c r="V19" i="10" s="1"/>
  <c r="W19" i="10" s="1"/>
  <c r="AC18" i="10" l="1"/>
  <c r="X19" i="10" s="1"/>
  <c r="Y19" i="10" s="1"/>
  <c r="AD19" i="10" l="1"/>
  <c r="Z19" i="10"/>
  <c r="AA19" i="10" s="1"/>
  <c r="AB19" i="10" s="1"/>
  <c r="V20" i="10" s="1"/>
  <c r="W20" i="10" s="1"/>
  <c r="AC19" i="10" l="1"/>
  <c r="X20" i="10" s="1"/>
  <c r="AD20" i="10" s="1"/>
  <c r="Z20" i="10" l="1"/>
  <c r="AA20" i="10" s="1"/>
  <c r="AB20" i="10" s="1"/>
  <c r="V21" i="10" s="1"/>
  <c r="W21" i="10" s="1"/>
  <c r="Y20" i="10"/>
  <c r="AC20" i="10" l="1"/>
  <c r="X21" i="10" s="1"/>
  <c r="Z21" i="10" s="1"/>
  <c r="AA21" i="10" s="1"/>
  <c r="AB21" i="10" s="1"/>
  <c r="V22" i="10" s="1"/>
  <c r="Y21" i="10" l="1"/>
  <c r="AC21" i="10" s="1"/>
  <c r="X22" i="10" s="1"/>
  <c r="Y22" i="10" s="1"/>
  <c r="AD21" i="10"/>
  <c r="W22" i="10"/>
  <c r="Z22" i="10" l="1"/>
  <c r="AA22" i="10" s="1"/>
  <c r="AB22" i="10" s="1"/>
  <c r="V23" i="10" s="1"/>
  <c r="W23" i="10" s="1"/>
  <c r="AD22" i="10"/>
  <c r="AC22" i="10" l="1"/>
  <c r="X23" i="10" s="1"/>
  <c r="Y23" i="10" s="1"/>
  <c r="Z23" i="10" l="1"/>
  <c r="AA23" i="10" s="1"/>
  <c r="AB23" i="10" s="1"/>
  <c r="V24" i="10" s="1"/>
  <c r="W24" i="10" s="1"/>
  <c r="AD23" i="10"/>
  <c r="AC23" i="10" l="1"/>
  <c r="X24" i="10" s="1"/>
  <c r="AD24" i="10" s="1"/>
  <c r="C9" i="9"/>
  <c r="C19" i="9" s="1"/>
  <c r="Y24" i="10" l="1"/>
  <c r="Z24" i="10"/>
  <c r="AA24" i="10" s="1"/>
  <c r="AB24" i="10" s="1"/>
  <c r="V25" i="10" s="1"/>
  <c r="W25" i="10" s="1"/>
  <c r="AC24" i="10" l="1"/>
  <c r="X25" i="10" s="1"/>
  <c r="Y25" i="10" s="1"/>
  <c r="C29" i="9"/>
  <c r="Z25" i="10" l="1"/>
  <c r="AA25" i="10" s="1"/>
  <c r="AB25" i="10" s="1"/>
  <c r="V26" i="10" s="1"/>
  <c r="AD25" i="10"/>
  <c r="G26" i="9"/>
  <c r="K9" i="9" s="1"/>
  <c r="AN44" i="9"/>
  <c r="AM44" i="9"/>
  <c r="AN43" i="9"/>
  <c r="AM43" i="9"/>
  <c r="AN42" i="9"/>
  <c r="AM42" i="9"/>
  <c r="AN41" i="9"/>
  <c r="AM41" i="9"/>
  <c r="AN40" i="9"/>
  <c r="AM40" i="9"/>
  <c r="AN39" i="9"/>
  <c r="AM39" i="9"/>
  <c r="AN38" i="9"/>
  <c r="AM38" i="9"/>
  <c r="AN37" i="9"/>
  <c r="AM37" i="9"/>
  <c r="AN36" i="9"/>
  <c r="AM36" i="9"/>
  <c r="AN35" i="9"/>
  <c r="AM35" i="9"/>
  <c r="AN34" i="9"/>
  <c r="AM34" i="9"/>
  <c r="AN33" i="9"/>
  <c r="AM33" i="9"/>
  <c r="AN32" i="9"/>
  <c r="AM32" i="9"/>
  <c r="AN31" i="9"/>
  <c r="AM31" i="9"/>
  <c r="AN30" i="9"/>
  <c r="AM30" i="9"/>
  <c r="AN29" i="9"/>
  <c r="AM29" i="9"/>
  <c r="AN28" i="9"/>
  <c r="AM28" i="9"/>
  <c r="AN27" i="9"/>
  <c r="AM27" i="9"/>
  <c r="AN26" i="9"/>
  <c r="AM26" i="9"/>
  <c r="AN25" i="9"/>
  <c r="AM25" i="9"/>
  <c r="AN24" i="9"/>
  <c r="AM24" i="9"/>
  <c r="AN23" i="9"/>
  <c r="AM23" i="9"/>
  <c r="AN22" i="9"/>
  <c r="AM22" i="9"/>
  <c r="AN21" i="9"/>
  <c r="AM21" i="9"/>
  <c r="AN20" i="9"/>
  <c r="AM20" i="9"/>
  <c r="AN19" i="9"/>
  <c r="AM19" i="9"/>
  <c r="AN18" i="9"/>
  <c r="AM18" i="9"/>
  <c r="AN17" i="9"/>
  <c r="AM17" i="9"/>
  <c r="AN16" i="9"/>
  <c r="AM16" i="9"/>
  <c r="AN15" i="9"/>
  <c r="AM15" i="9"/>
  <c r="AN14" i="9"/>
  <c r="AM14" i="9"/>
  <c r="AN13" i="9"/>
  <c r="AM13" i="9"/>
  <c r="K31" i="9"/>
  <c r="AN12" i="9"/>
  <c r="AM12" i="9"/>
  <c r="AN11" i="9"/>
  <c r="AM11" i="9"/>
  <c r="AN10" i="9"/>
  <c r="AM10" i="9"/>
  <c r="AN9" i="9"/>
  <c r="AM9" i="9"/>
  <c r="AN8" i="9"/>
  <c r="AM8" i="9"/>
  <c r="AN7" i="9"/>
  <c r="AM7" i="9"/>
  <c r="AN6" i="9"/>
  <c r="AM6" i="9"/>
  <c r="AO5" i="9"/>
  <c r="AN5" i="9"/>
  <c r="AM5" i="9"/>
  <c r="AK5" i="9"/>
  <c r="AD4" i="9"/>
  <c r="Z4" i="9"/>
  <c r="AC25" i="10" l="1"/>
  <c r="X26" i="10" s="1"/>
  <c r="AD26" i="10" s="1"/>
  <c r="W26" i="10"/>
  <c r="AG6" i="9"/>
  <c r="AI6" i="9"/>
  <c r="Z26" i="10" l="1"/>
  <c r="AA26" i="10" s="1"/>
  <c r="AB26" i="10" s="1"/>
  <c r="V27" i="10" s="1"/>
  <c r="W27" i="10" s="1"/>
  <c r="Y26" i="10"/>
  <c r="AO6" i="9"/>
  <c r="AK6" i="9"/>
  <c r="AG7" i="9" s="1"/>
  <c r="AC26" i="10" l="1"/>
  <c r="X27" i="10" s="1"/>
  <c r="Y27" i="10" s="1"/>
  <c r="AI7" i="9"/>
  <c r="AO7" i="9" s="1"/>
  <c r="Z27" i="10" l="1"/>
  <c r="AA27" i="10" s="1"/>
  <c r="AB27" i="10" s="1"/>
  <c r="V28" i="10" s="1"/>
  <c r="W28" i="10" s="1"/>
  <c r="AD27" i="10"/>
  <c r="AK7" i="9"/>
  <c r="AG8" i="9" s="1"/>
  <c r="AC27" i="10" l="1"/>
  <c r="X28" i="10" s="1"/>
  <c r="AD28" i="10" s="1"/>
  <c r="AI8" i="9"/>
  <c r="AK8" i="9" s="1"/>
  <c r="AI9" i="9" s="1"/>
  <c r="Y28" i="10" l="1"/>
  <c r="Z28" i="10"/>
  <c r="AA28" i="10" s="1"/>
  <c r="AB28" i="10" s="1"/>
  <c r="V29" i="10" s="1"/>
  <c r="W29" i="10" s="1"/>
  <c r="AO8" i="9"/>
  <c r="AG9" i="9"/>
  <c r="AO9" i="9" s="1"/>
  <c r="AC28" i="10" l="1"/>
  <c r="X29" i="10" s="1"/>
  <c r="AD29" i="10" s="1"/>
  <c r="AK9" i="9"/>
  <c r="AI10" i="9" s="1"/>
  <c r="Y29" i="10" l="1"/>
  <c r="Z29" i="10"/>
  <c r="AA29" i="10" s="1"/>
  <c r="AB29" i="10" s="1"/>
  <c r="V30" i="10" s="1"/>
  <c r="W30" i="10" s="1"/>
  <c r="AG10" i="9"/>
  <c r="AK10" i="9" s="1"/>
  <c r="AG11" i="9" s="1"/>
  <c r="AC29" i="10" l="1"/>
  <c r="X30" i="10" s="1"/>
  <c r="Z30" i="10" s="1"/>
  <c r="AA30" i="10" s="1"/>
  <c r="AB30" i="10" s="1"/>
  <c r="V31" i="10" s="1"/>
  <c r="W31" i="10" s="1"/>
  <c r="AO10" i="9"/>
  <c r="AI11" i="9"/>
  <c r="AO11" i="9" s="1"/>
  <c r="Y30" i="10" l="1"/>
  <c r="AC30" i="10" s="1"/>
  <c r="X31" i="10" s="1"/>
  <c r="AD30" i="10"/>
  <c r="AK11" i="9"/>
  <c r="AI12" i="9" s="1"/>
  <c r="Z31" i="10" l="1"/>
  <c r="AA31" i="10" s="1"/>
  <c r="AB31" i="10" s="1"/>
  <c r="V32" i="10" s="1"/>
  <c r="W32" i="10" s="1"/>
  <c r="Y31" i="10"/>
  <c r="AD31" i="10"/>
  <c r="AG12" i="9"/>
  <c r="AO12" i="9" s="1"/>
  <c r="AC31" i="10" l="1"/>
  <c r="X32" i="10" s="1"/>
  <c r="Z32" i="10" s="1"/>
  <c r="AA32" i="10" s="1"/>
  <c r="AB32" i="10" s="1"/>
  <c r="V33" i="10" s="1"/>
  <c r="W33" i="10" s="1"/>
  <c r="AK12" i="9"/>
  <c r="AI13" i="9" s="1"/>
  <c r="AD32" i="10" l="1"/>
  <c r="Y32" i="10"/>
  <c r="AC32" i="10" s="1"/>
  <c r="X33" i="10" s="1"/>
  <c r="AD33" i="10" s="1"/>
  <c r="AG13" i="9"/>
  <c r="AK13" i="9" s="1"/>
  <c r="AG14" i="9" s="1"/>
  <c r="Z33" i="10" l="1"/>
  <c r="AA33" i="10" s="1"/>
  <c r="AB33" i="10" s="1"/>
  <c r="V34" i="10" s="1"/>
  <c r="W34" i="10" s="1"/>
  <c r="Y33" i="10"/>
  <c r="AO13" i="9"/>
  <c r="AI14" i="9"/>
  <c r="AK14" i="9" s="1"/>
  <c r="AI15" i="9" s="1"/>
  <c r="AC33" i="10" l="1"/>
  <c r="X34" i="10" s="1"/>
  <c r="Z34" i="10" s="1"/>
  <c r="AO14" i="9"/>
  <c r="AG15" i="9"/>
  <c r="AO15" i="9" s="1"/>
  <c r="Y34" i="10" l="1"/>
  <c r="AD34" i="10"/>
  <c r="O26" i="10"/>
  <c r="AA34" i="10"/>
  <c r="AB34" i="10" s="1"/>
  <c r="AK15" i="9"/>
  <c r="AI16" i="9" s="1"/>
  <c r="O27" i="10" l="1"/>
  <c r="G19" i="10" s="1"/>
  <c r="G20" i="10" s="1"/>
  <c r="AC34" i="10"/>
  <c r="AG16" i="9"/>
  <c r="AO16" i="9" s="1"/>
  <c r="K10" i="10" l="1"/>
  <c r="K15" i="10" s="1"/>
  <c r="K6" i="10"/>
  <c r="K18" i="10" s="1"/>
  <c r="AK16" i="9"/>
  <c r="AG17" i="9" s="1"/>
  <c r="K19" i="10" l="1"/>
  <c r="K7" i="10"/>
  <c r="K35" i="10"/>
  <c r="K43" i="10"/>
  <c r="AI17" i="9"/>
  <c r="AO17" i="9" s="1"/>
  <c r="K44" i="10" l="1"/>
  <c r="K47" i="10" s="1"/>
  <c r="K36" i="10"/>
  <c r="K39" i="10" s="1"/>
  <c r="K30" i="10"/>
  <c r="K31" i="10" s="1"/>
  <c r="AK17" i="9"/>
  <c r="AG18" i="9" s="1"/>
  <c r="AJ4" i="10" l="1"/>
  <c r="AH4" i="10"/>
  <c r="AL4" i="10"/>
  <c r="AI18" i="9"/>
  <c r="AK18" i="9" s="1"/>
  <c r="AO18" i="9" l="1"/>
  <c r="AG19" i="9"/>
  <c r="AI19" i="9"/>
  <c r="AK19" i="9" l="1"/>
  <c r="AI20" i="9" s="1"/>
  <c r="AO19" i="9"/>
  <c r="AG20" i="9" l="1"/>
  <c r="AO20" i="9" s="1"/>
  <c r="AK20" i="9" l="1"/>
  <c r="AI21" i="9" s="1"/>
  <c r="AG21" i="9" l="1"/>
  <c r="AO21" i="9" s="1"/>
  <c r="AK21" i="9" l="1"/>
  <c r="AI22" i="9" s="1"/>
  <c r="AG22" i="9" l="1"/>
  <c r="AO22" i="9" s="1"/>
  <c r="AK22" i="9" l="1"/>
  <c r="AG23" i="9" s="1"/>
  <c r="AI23" i="9" l="1"/>
  <c r="AO23" i="9" s="1"/>
  <c r="AK23" i="9" l="1"/>
  <c r="AI24" i="9" s="1"/>
  <c r="AG24" i="9" l="1"/>
  <c r="AK24" i="9" s="1"/>
  <c r="AO24" i="9" l="1"/>
  <c r="AG25" i="9"/>
  <c r="AI25" i="9"/>
  <c r="AK25" i="9" l="1"/>
  <c r="AO25" i="9"/>
  <c r="AI26" i="9" l="1"/>
  <c r="AG26" i="9"/>
  <c r="AK26" i="9" l="1"/>
  <c r="AG27" i="9" s="1"/>
  <c r="AO26" i="9"/>
  <c r="AI27" i="9" l="1"/>
  <c r="AK27" i="9" s="1"/>
  <c r="AG28" i="9" s="1"/>
  <c r="AO27" i="9" l="1"/>
  <c r="AI28" i="9"/>
  <c r="AO28" i="9" s="1"/>
  <c r="AK28" i="9" l="1"/>
  <c r="AG29" i="9" s="1"/>
  <c r="AI29" i="9" l="1"/>
  <c r="AO29" i="9" s="1"/>
  <c r="AK29" i="9" l="1"/>
  <c r="AI30" i="9" s="1"/>
  <c r="AG30" i="9" l="1"/>
  <c r="AK30" i="9" s="1"/>
  <c r="AI31" i="9" s="1"/>
  <c r="AO30" i="9" l="1"/>
  <c r="AG31" i="9"/>
  <c r="AO31" i="9" s="1"/>
  <c r="AK31" i="9" l="1"/>
  <c r="AI32" i="9" s="1"/>
  <c r="AG32" i="9" l="1"/>
  <c r="AK32" i="9" s="1"/>
  <c r="AO32" i="9" l="1"/>
  <c r="AG33" i="9"/>
  <c r="AI33" i="9"/>
  <c r="AO33" i="9" l="1"/>
  <c r="AK33" i="9"/>
  <c r="AI34" i="9" l="1"/>
  <c r="AG34" i="9"/>
  <c r="AK34" i="9" l="1"/>
  <c r="AG35" i="9" s="1"/>
  <c r="AO34" i="9"/>
  <c r="AI35" i="9" l="1"/>
  <c r="AK35" i="9" s="1"/>
  <c r="AG36" i="9" s="1"/>
  <c r="AO35" i="9" l="1"/>
  <c r="AI36" i="9"/>
  <c r="AK36" i="9" s="1"/>
  <c r="AG37" i="9" s="1"/>
  <c r="AI37" i="9" l="1"/>
  <c r="AO37" i="9" s="1"/>
  <c r="AO36" i="9"/>
  <c r="AK37" i="9" l="1"/>
  <c r="AI38" i="9" s="1"/>
  <c r="AG38" i="9" l="1"/>
  <c r="AK38" i="9" s="1"/>
  <c r="AI39" i="9" s="1"/>
  <c r="AO38" i="9" l="1"/>
  <c r="AG39" i="9"/>
  <c r="AK39" i="9" s="1"/>
  <c r="AI40" i="9" s="1"/>
  <c r="AO39" i="9" l="1"/>
  <c r="AG40" i="9"/>
  <c r="AK40" i="9" s="1"/>
  <c r="AO40" i="9" l="1"/>
  <c r="AI41" i="9"/>
  <c r="AG41" i="9"/>
  <c r="AK41" i="9" l="1"/>
  <c r="AG42" i="9" s="1"/>
  <c r="AO41" i="9"/>
  <c r="AI42" i="9" l="1"/>
  <c r="AO42" i="9" s="1"/>
  <c r="AK42" i="9" l="1"/>
  <c r="AG43" i="9" s="1"/>
  <c r="AI43" i="9" l="1"/>
  <c r="AK43" i="9" l="1"/>
  <c r="AO43" i="9"/>
  <c r="AG44" i="9" l="1"/>
  <c r="AI44" i="9"/>
  <c r="AO44" i="9" l="1"/>
  <c r="AK44" i="9"/>
  <c r="C5" i="9" s="1"/>
  <c r="K47" i="9" l="1"/>
  <c r="G8" i="9"/>
  <c r="G11" i="9"/>
  <c r="G9" i="9" s="1"/>
  <c r="G30" i="9"/>
  <c r="G28" i="9" s="1"/>
  <c r="K18" i="9"/>
  <c r="K19" i="9"/>
  <c r="K39" i="9" l="1"/>
  <c r="G10" i="9"/>
  <c r="O5" i="9"/>
  <c r="K24" i="9"/>
  <c r="K23" i="9"/>
  <c r="K26" i="9"/>
  <c r="K25" i="9"/>
  <c r="K22" i="9"/>
  <c r="K34" i="9" s="1"/>
  <c r="K12" i="9"/>
  <c r="G27" i="9"/>
  <c r="G29" i="9" s="1"/>
  <c r="O6" i="9" l="1"/>
  <c r="K35" i="9"/>
  <c r="K42" i="9"/>
  <c r="K43" i="9"/>
  <c r="O7" i="9" l="1"/>
  <c r="O8" i="9" s="1"/>
  <c r="O11" i="9" l="1"/>
  <c r="O9" i="9"/>
  <c r="O10" i="9" s="1"/>
  <c r="O14" i="9" l="1"/>
  <c r="O15" i="9" s="1"/>
  <c r="O18" i="9" s="1"/>
  <c r="O19" i="9" l="1"/>
  <c r="O22" i="9" s="1"/>
  <c r="G20" i="9" s="1"/>
  <c r="K14" i="9"/>
  <c r="K15" i="9" s="1"/>
  <c r="O21" i="9"/>
  <c r="O24" i="9" s="1"/>
  <c r="O27" i="9" s="1"/>
  <c r="G17" i="9" l="1"/>
  <c r="O29" i="9"/>
  <c r="AA4" i="9" l="1"/>
  <c r="Y4" i="9"/>
  <c r="W4" i="9"/>
  <c r="AC4" i="9" l="1"/>
  <c r="X5" i="9" s="1"/>
  <c r="Y5" i="9" s="1"/>
  <c r="AB4" i="9"/>
  <c r="V5" i="9" s="1"/>
  <c r="W5" i="9" s="1"/>
  <c r="Z5" i="9" l="1"/>
  <c r="AA5" i="9" s="1"/>
  <c r="AD5" i="9"/>
  <c r="AB5" i="9" l="1"/>
  <c r="V6" i="9" s="1"/>
  <c r="W6" i="9" s="1"/>
  <c r="AC5" i="9"/>
  <c r="X6" i="9" s="1"/>
  <c r="Y6" i="9" s="1"/>
  <c r="AD6" i="9" l="1"/>
  <c r="Z6" i="9"/>
  <c r="AA6" i="9" l="1"/>
  <c r="AB6" i="9" s="1"/>
  <c r="V7" i="9" s="1"/>
  <c r="W7" i="9" s="1"/>
  <c r="AC6" i="9" l="1"/>
  <c r="X7" i="9" s="1"/>
  <c r="Y7" i="9" s="1"/>
  <c r="Z7" i="9" l="1"/>
  <c r="AA7" i="9" s="1"/>
  <c r="AB7" i="9" s="1"/>
  <c r="V8" i="9" s="1"/>
  <c r="W8" i="9" s="1"/>
  <c r="AD7" i="9"/>
  <c r="AC7" i="9" l="1"/>
  <c r="X8" i="9" s="1"/>
  <c r="Y8" i="9" s="1"/>
  <c r="Z8" i="9" l="1"/>
  <c r="AA8" i="9" s="1"/>
  <c r="AB8" i="9" s="1"/>
  <c r="V9" i="9" s="1"/>
  <c r="W9" i="9" s="1"/>
  <c r="AD8" i="9"/>
  <c r="AC8" i="9" l="1"/>
  <c r="X9" i="9" s="1"/>
  <c r="Y9" i="9" s="1"/>
  <c r="AD9" i="9" l="1"/>
  <c r="Z9" i="9"/>
  <c r="AA9" i="9" l="1"/>
  <c r="AC9" i="9" s="1"/>
  <c r="X10" i="9" s="1"/>
  <c r="Y10" i="9" s="1"/>
  <c r="AB9" i="9" l="1"/>
  <c r="V10" i="9" s="1"/>
  <c r="W10" i="9" l="1"/>
  <c r="Z10" i="9"/>
  <c r="AD10" i="9"/>
  <c r="AA10" i="9" l="1"/>
  <c r="AC10" i="9" s="1"/>
  <c r="X11" i="9" s="1"/>
  <c r="Y11" i="9" l="1"/>
  <c r="AB10" i="9"/>
  <c r="V11" i="9" s="1"/>
  <c r="AD11" i="9" s="1"/>
  <c r="W11" i="9" l="1"/>
  <c r="Z11" i="9"/>
  <c r="AA11" i="9" l="1"/>
  <c r="AC11" i="9" s="1"/>
  <c r="X12" i="9" s="1"/>
  <c r="Y12" i="9" l="1"/>
  <c r="AB11" i="9"/>
  <c r="V12" i="9" s="1"/>
  <c r="W12" i="9" l="1"/>
  <c r="Z12" i="9"/>
  <c r="AD12" i="9"/>
  <c r="AA12" i="9" l="1"/>
  <c r="AC12" i="9" s="1"/>
  <c r="X13" i="9" s="1"/>
  <c r="Y13" i="9" l="1"/>
  <c r="AB12" i="9"/>
  <c r="V13" i="9" s="1"/>
  <c r="AD13" i="9" s="1"/>
  <c r="W13" i="9" l="1"/>
  <c r="Z13" i="9"/>
  <c r="AA13" i="9" l="1"/>
  <c r="AC13" i="9" s="1"/>
  <c r="X14" i="9" s="1"/>
  <c r="Y14" i="9" l="1"/>
  <c r="AB13" i="9"/>
  <c r="V14" i="9" s="1"/>
  <c r="AD14" i="9" s="1"/>
  <c r="W14" i="9" l="1"/>
  <c r="Z14" i="9"/>
  <c r="AA14" i="9" l="1"/>
  <c r="AC14" i="9" s="1"/>
  <c r="X15" i="9" s="1"/>
  <c r="Y15" i="9" l="1"/>
  <c r="AB14" i="9"/>
  <c r="V15" i="9" s="1"/>
  <c r="AD15" i="9" s="1"/>
  <c r="W15" i="9" l="1"/>
  <c r="Z15" i="9"/>
  <c r="AA15" i="9" l="1"/>
  <c r="AC15" i="9" s="1"/>
  <c r="X16" i="9" s="1"/>
  <c r="Y16" i="9" l="1"/>
  <c r="AB15" i="9"/>
  <c r="V16" i="9" s="1"/>
  <c r="AD16" i="9" s="1"/>
  <c r="W16" i="9" l="1"/>
  <c r="Z16" i="9"/>
  <c r="AA16" i="9" l="1"/>
  <c r="AC16" i="9" s="1"/>
  <c r="X17" i="9" s="1"/>
  <c r="Y17" i="9" l="1"/>
  <c r="AB16" i="9"/>
  <c r="V17" i="9" s="1"/>
  <c r="W17" i="9" l="1"/>
  <c r="Z17" i="9"/>
  <c r="AD17" i="9"/>
  <c r="AA17" i="9" l="1"/>
  <c r="AC17" i="9" s="1"/>
  <c r="X18" i="9" s="1"/>
  <c r="Y18" i="9" l="1"/>
  <c r="AB17" i="9"/>
  <c r="V18" i="9" s="1"/>
  <c r="AD18" i="9" s="1"/>
  <c r="W18" i="9" l="1"/>
  <c r="Z18" i="9"/>
  <c r="AA18" i="9" l="1"/>
  <c r="AC18" i="9" s="1"/>
  <c r="X19" i="9" s="1"/>
  <c r="Y19" i="9" l="1"/>
  <c r="AB18" i="9"/>
  <c r="V19" i="9" s="1"/>
  <c r="W19" i="9" l="1"/>
  <c r="Z19" i="9"/>
  <c r="AD19" i="9"/>
  <c r="AA19" i="9" l="1"/>
  <c r="AC19" i="9" s="1"/>
  <c r="X20" i="9" s="1"/>
  <c r="Y20" i="9" l="1"/>
  <c r="AB19" i="9"/>
  <c r="V20" i="9" s="1"/>
  <c r="W20" i="9" l="1"/>
  <c r="Z20" i="9"/>
  <c r="AD20" i="9"/>
  <c r="AA20" i="9" l="1"/>
  <c r="AC20" i="9" s="1"/>
  <c r="X21" i="9" s="1"/>
  <c r="Y21" i="9" l="1"/>
  <c r="AB20" i="9"/>
  <c r="V21" i="9" s="1"/>
  <c r="AD21" i="9" s="1"/>
  <c r="W21" i="9" l="1"/>
  <c r="Z21" i="9"/>
  <c r="AA21" i="9" s="1"/>
  <c r="AC21" i="9" s="1"/>
  <c r="X22" i="9" s="1"/>
  <c r="Y22" i="9" l="1"/>
  <c r="AB21" i="9"/>
  <c r="V22" i="9" s="1"/>
  <c r="AD22" i="9" s="1"/>
  <c r="W22" i="9" l="1"/>
  <c r="Z22" i="9"/>
  <c r="AA22" i="9" s="1"/>
  <c r="AC22" i="9" s="1"/>
  <c r="X23" i="9" s="1"/>
  <c r="Y23" i="9" l="1"/>
  <c r="AB22" i="9"/>
  <c r="V23" i="9" s="1"/>
  <c r="AD23" i="9" s="1"/>
  <c r="W23" i="9" l="1"/>
  <c r="Z23" i="9"/>
  <c r="AA23" i="9" s="1"/>
  <c r="AC23" i="9" s="1"/>
  <c r="X24" i="9" s="1"/>
  <c r="Y24" i="9" l="1"/>
  <c r="AB23" i="9"/>
  <c r="V24" i="9" s="1"/>
  <c r="AD24" i="9" s="1"/>
  <c r="W24" i="9" l="1"/>
  <c r="Z24" i="9"/>
  <c r="AA24" i="9" s="1"/>
  <c r="AC24" i="9" s="1"/>
  <c r="X25" i="9" s="1"/>
  <c r="Y25" i="9" l="1"/>
  <c r="AB24" i="9"/>
  <c r="V25" i="9" s="1"/>
  <c r="AD25" i="9" s="1"/>
  <c r="W25" i="9" l="1"/>
  <c r="Z25" i="9"/>
  <c r="AA25" i="9" s="1"/>
  <c r="AC25" i="9" s="1"/>
  <c r="X26" i="9" s="1"/>
  <c r="Y26" i="9" l="1"/>
  <c r="AB25" i="9"/>
  <c r="V26" i="9" s="1"/>
  <c r="AD26" i="9" s="1"/>
  <c r="Z26" i="9" l="1"/>
  <c r="AA26" i="9" s="1"/>
  <c r="AC26" i="9" s="1"/>
  <c r="X27" i="9" s="1"/>
  <c r="W26" i="9"/>
  <c r="AB26" i="9" l="1"/>
  <c r="V27" i="9" s="1"/>
  <c r="W27" i="9" s="1"/>
  <c r="Y27" i="9"/>
  <c r="AD27" i="9" l="1"/>
  <c r="Z27" i="9"/>
  <c r="AA27" i="9" s="1"/>
  <c r="AC27" i="9" s="1"/>
  <c r="X28" i="9" s="1"/>
  <c r="AB27" i="9" l="1"/>
  <c r="V28" i="9" s="1"/>
  <c r="W28" i="9" s="1"/>
  <c r="Y28" i="9"/>
  <c r="AD28" i="9" l="1"/>
  <c r="Z28" i="9"/>
  <c r="AA28" i="9" s="1"/>
  <c r="AC28" i="9" s="1"/>
  <c r="X29" i="9" s="1"/>
  <c r="AB28" i="9" l="1"/>
  <c r="V29" i="9" s="1"/>
  <c r="W29" i="9" s="1"/>
  <c r="Y29" i="9"/>
  <c r="AD29" i="9" l="1"/>
  <c r="Z29" i="9"/>
  <c r="AA29" i="9" s="1"/>
  <c r="AC29" i="9" s="1"/>
  <c r="X30" i="9" s="1"/>
  <c r="AB29" i="9" l="1"/>
  <c r="V30" i="9" s="1"/>
  <c r="W30" i="9" s="1"/>
  <c r="Y30" i="9"/>
  <c r="AD30" i="9" l="1"/>
  <c r="Z30" i="9"/>
  <c r="AA30" i="9" s="1"/>
  <c r="AC30" i="9" s="1"/>
  <c r="X31" i="9" s="1"/>
  <c r="Y31" i="9" s="1"/>
  <c r="AB30" i="9" l="1"/>
  <c r="V31" i="9" s="1"/>
  <c r="AD31" i="9" s="1"/>
  <c r="Z31" i="9" l="1"/>
  <c r="AA31" i="9" s="1"/>
  <c r="AC31" i="9" s="1"/>
  <c r="X32" i="9" s="1"/>
  <c r="Y32" i="9" s="1"/>
  <c r="W31" i="9"/>
  <c r="AB31" i="9" l="1"/>
  <c r="V32" i="9" s="1"/>
  <c r="AD32" i="9" s="1"/>
  <c r="W32" i="9" l="1"/>
  <c r="Z32" i="9"/>
  <c r="AA32" i="9" s="1"/>
  <c r="AC32" i="9" s="1"/>
  <c r="X33" i="9" s="1"/>
  <c r="Y33" i="9" s="1"/>
  <c r="AB32" i="9" l="1"/>
  <c r="V33" i="9" s="1"/>
  <c r="W33" i="9" s="1"/>
  <c r="AD33" i="9" l="1"/>
  <c r="Z33" i="9"/>
  <c r="AA33" i="9" s="1"/>
  <c r="AB33" i="9" s="1"/>
  <c r="V34" i="9" s="1"/>
  <c r="W34" i="9" s="1"/>
  <c r="AC33" i="9" l="1"/>
  <c r="X34" i="9" s="1"/>
  <c r="Y34" i="9" s="1"/>
  <c r="AD34" i="9" l="1"/>
  <c r="Z34" i="9"/>
  <c r="AA34" i="9" s="1"/>
  <c r="O25" i="9" l="1"/>
  <c r="O26" i="9" s="1"/>
  <c r="G18" i="9" s="1"/>
  <c r="AC34" i="9"/>
  <c r="AB34" i="9"/>
  <c r="G21" i="9" l="1"/>
  <c r="K8" i="9" s="1"/>
  <c r="G19" i="9"/>
  <c r="K4" i="9" l="1"/>
  <c r="K16" i="9" l="1"/>
  <c r="K17" i="9"/>
  <c r="K5" i="9"/>
  <c r="K33" i="9" l="1"/>
  <c r="K41" i="9"/>
  <c r="K49" i="9"/>
  <c r="K13" i="9" l="1"/>
  <c r="K27" i="9" s="1"/>
  <c r="K40" i="9" l="1"/>
  <c r="K44" i="9" s="1"/>
  <c r="K48" i="9"/>
  <c r="K32" i="9"/>
  <c r="K36" i="9" l="1"/>
  <c r="AL4" i="9"/>
  <c r="K28" i="9"/>
  <c r="AJ4" i="9"/>
  <c r="AH4" i="9"/>
  <c r="K50" i="9" l="1"/>
</calcChain>
</file>

<file path=xl/sharedStrings.xml><?xml version="1.0" encoding="utf-8"?>
<sst xmlns="http://schemas.openxmlformats.org/spreadsheetml/2006/main" count="1015" uniqueCount="279">
  <si>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</si>
  <si>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</si>
  <si>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</si>
  <si>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</si>
  <si>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</si>
  <si>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</si>
  <si>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</si>
  <si>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</si>
  <si>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</si>
  <si>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</si>
  <si>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</si>
  <si>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</si>
  <si>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</si>
  <si>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</si>
  <si>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</si>
  <si>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</si>
  <si>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</si>
  <si>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</si>
  <si>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</si>
  <si>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</si>
  <si>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</si>
  <si>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</si>
  <si>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</si>
  <si>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</si>
  <si>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</si>
  <si>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</si>
  <si>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</si>
  <si>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</si>
  <si>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</si>
  <si>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</si>
  <si>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</si>
  <si>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</si>
  <si>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</si>
  <si>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</si>
  <si>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</si>
  <si>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</si>
  <si>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</si>
  <si>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</si>
  <si>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</si>
  <si>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</si>
  <si>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</si>
  <si>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</si>
  <si>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</si>
  <si>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</si>
  <si>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</si>
  <si>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</si>
  <si>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</si>
  <si>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</si>
  <si>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</si>
  <si>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</si>
  <si>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</si>
  <si>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</si>
  <si>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</si>
  <si>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</si>
  <si>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</si>
  <si>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</si>
  <si>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</si>
  <si>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</si>
  <si>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</si>
  <si>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</si>
  <si>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</si>
  <si>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</si>
  <si>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</si>
  <si>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</si>
  <si>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</si>
  <si>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</si>
  <si>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</si>
  <si>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</si>
  <si>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</si>
  <si>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</si>
  <si>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</si>
  <si>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</si>
  <si>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</si>
  <si>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</si>
  <si>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</si>
  <si>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</si>
  <si>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</si>
  <si>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</si>
  <si>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</si>
  <si>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</si>
  <si>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</si>
  <si>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</si>
  <si>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</si>
  <si>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</si>
  <si>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</si>
  <si>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</si>
  <si>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</si>
  <si>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</si>
  <si>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</si>
  <si>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</si>
  <si>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</si>
  <si>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</si>
  <si>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</si>
  <si>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</si>
  <si>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</si>
  <si>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</si>
  <si>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</si>
  <si>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</si>
  <si>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</si>
  <si>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</si>
  <si>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</si>
  <si>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</si>
  <si>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</si>
  <si>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</si>
  <si>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</si>
  <si>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</si>
  <si>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</si>
  <si>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</si>
  <si>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</si>
  <si>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</si>
  <si>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</si>
  <si>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</si>
  <si>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</si>
  <si>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</si>
  <si>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</si>
  <si>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</si>
  <si>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</si>
  <si>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</si>
  <si>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</si>
  <si>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</si>
  <si>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</si>
  <si>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</si>
  <si>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</si>
  <si>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</si>
  <si>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</si>
  <si>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</si>
  <si>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</si>
  <si>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</si>
  <si>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</si>
  <si>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</si>
  <si>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</si>
  <si>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</si>
  <si>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</si>
  <si>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</si>
  <si>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</si>
  <si>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</si>
  <si>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</si>
  <si>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</si>
  <si>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</si>
  <si>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</si>
  <si>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</si>
  <si>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</si>
  <si>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</si>
  <si>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</si>
  <si>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</si>
  <si>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</si>
  <si>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</si>
  <si>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</si>
  <si>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</si>
  <si>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</si>
  <si>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</si>
  <si>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</si>
  <si>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</si>
  <si>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</si>
  <si>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</si>
  <si>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</si>
  <si>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</si>
  <si>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</si>
  <si>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</si>
  <si>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</si>
  <si>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</si>
  <si>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</si>
  <si>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</si>
  <si>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</si>
  <si>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</si>
  <si>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</si>
  <si>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</si>
  <si>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</si>
  <si>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</si>
  <si>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</si>
  <si>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</si>
  <si>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</si>
  <si>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</si>
  <si>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</si>
  <si>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</si>
  <si>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</si>
  <si>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</si>
  <si>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</si>
  <si>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</si>
  <si>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</si>
  <si>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</si>
  <si>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</si>
  <si>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</si>
  <si>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</si>
  <si>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</si>
  <si>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</si>
  <si>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</si>
  <si>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</si>
  <si>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</si>
  <si>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</si>
  <si>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</si>
  <si>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</si>
  <si>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</si>
  <si>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</si>
  <si>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</si>
  <si>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</si>
  <si>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</si>
  <si>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</si>
  <si>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</si>
  <si>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</si>
  <si>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</si>
  <si>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</si>
  <si>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</si>
  <si>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</si>
  <si>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</si>
  <si>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</si>
  <si>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</si>
  <si>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</si>
  <si>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</si>
  <si>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</si>
  <si>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</si>
  <si>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</si>
  <si>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</si>
  <si>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</si>
  <si>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</si>
  <si>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</si>
  <si>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</si>
  <si>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</si>
  <si>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</si>
  <si>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</si>
  <si>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</si>
  <si>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</si>
  <si>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</si>
  <si>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</si>
  <si>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</si>
  <si>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</si>
  <si>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</si>
  <si>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</si>
  <si>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</si>
  <si>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</si>
  <si>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</si>
  <si>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</si>
  <si>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</si>
  <si>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</si>
  <si>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</si>
  <si>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</si>
  <si>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</si>
  <si>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</si>
  <si>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</si>
  <si>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</si>
  <si>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</si>
  <si>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</si>
  <si>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</si>
  <si>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</si>
  <si>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</si>
  <si>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</si>
  <si>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</si>
  <si>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</si>
  <si>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</si>
  <si>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</si>
  <si>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</si>
  <si>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</si>
  <si>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</si>
  <si>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</si>
  <si>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</si>
  <si>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</si>
  <si>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</si>
  <si>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</si>
  <si>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</si>
  <si>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</si>
  <si>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</si>
  <si>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</si>
  <si>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</si>
  <si>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</si>
  <si>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</si>
  <si>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</si>
  <si>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</si>
  <si>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</si>
  <si>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</si>
  <si>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</si>
  <si>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</si>
  <si>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Propeller|RPM_cruise</t>
  </si>
  <si>
    <t>Environment at 5500 ft</t>
  </si>
  <si>
    <t>Environment at 6500 ft</t>
  </si>
  <si>
    <t>efficiency T/P</t>
  </si>
  <si>
    <t>g/W</t>
  </si>
  <si>
    <t>CT/sigma</t>
  </si>
  <si>
    <t>W_empty</t>
  </si>
  <si>
    <t>hover_climb_v_tip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</si>
</sst>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multirotor!$K$39:$K$43</c:f>
              <c:numCache>
                <c:formatCode>General</c:formatCode>
                <c:ptCount val="5"/>
                <c:pt idx="0">
                  <c:v>31.84</c:v>
                </c:pt>
                <c:pt idx="1">
                  <c:v>27.48</c:v>
                </c:pt>
                <c:pt idx="2">
                  <c:v>23.4</c:v>
                </c:pt>
                <c:pt idx="3">
                  <c:v>11.32</c:v>
                </c:pt>
                <c:pt idx="4">
                  <c:v>5.96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multirotor!$K$31:$K$35</c:f>
              <c:numCache>
                <c:formatCode>General</c:formatCode>
                <c:ptCount val="5"/>
                <c:pt idx="0">
                  <c:v>600</c:v>
                </c:pt>
                <c:pt idx="1">
                  <c:v>517.71</c:v>
                </c:pt>
                <c:pt idx="2">
                  <c:v>440.92</c:v>
                </c:pt>
                <c:pt idx="3">
                  <c:v>213.3</c:v>
                </c:pt>
                <c:pt idx="4">
                  <c:v>112.34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'lift+cruise'!$K$42:$K$46</c:f>
              <c:numCache>
                <c:formatCode>General</c:formatCode>
                <c:ptCount val="5"/>
                <c:pt idx="0">
                  <c:v>600</c:v>
                </c:pt>
                <c:pt idx="1">
                  <c:v>528.80999999999995</c:v>
                </c:pt>
                <c:pt idx="2">
                  <c:v>347.57</c:v>
                </c:pt>
                <c:pt idx="3">
                  <c:v>730.28</c:v>
                </c:pt>
                <c:pt idx="4">
                  <c:v>111.9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'lift+cruise'!$K$34:$K$38</c:f>
              <c:numCache>
                <c:formatCode>General</c:formatCode>
                <c:ptCount val="5"/>
                <c:pt idx="0">
                  <c:v>25.88</c:v>
                </c:pt>
                <c:pt idx="1">
                  <c:v>22.81</c:v>
                </c:pt>
                <c:pt idx="2">
                  <c:v>14.99</c:v>
                </c:pt>
                <c:pt idx="3">
                  <c:v>31.5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344289</xdr:colOff>
      <xdr:row>30</xdr:row>
      <xdr:rowOff>104900</xdr:rowOff>
    </xdr:from>
    <xdr:to>
      <xdr:col>8</xdr:col>
      <xdr:colOff>181756</xdr:colOff>
      <xdr:row>41</xdr:row>
      <xdr:rowOff>198033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AO54"/>
  <sheetViews>
    <sheetView workbookViewId="0">
      <selection activeCell="O5" sqref="O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49" t="s">
        <v>0</v>
      </c>
      <c r="C1" s="49"/>
      <c r="D1" s="49"/>
    </row>
    <row r="2" spans="2:41" x14ac:dyDescent="0.2">
      <c r="U2" s="16" t="s">
        <v>96</v>
      </c>
      <c r="AF2" s="16" t="s">
        <v>79</v>
      </c>
    </row>
    <row r="3" spans="2:41" x14ac:dyDescent="0.2">
      <c r="B3" s="50" t="s">
        <v>127</v>
      </c>
      <c r="C3" s="51"/>
      <c r="D3" s="51"/>
      <c r="F3" s="50" t="s">
        <v>83</v>
      </c>
      <c r="G3" s="51"/>
      <c r="H3" s="51"/>
      <c r="J3" s="52" t="s">
        <v>101</v>
      </c>
      <c r="K3" s="52"/>
      <c r="L3" s="52"/>
      <c r="N3" s="52" t="s">
        <v>95</v>
      </c>
      <c r="O3" s="52"/>
      <c r="P3" s="52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MAX(G11,G21,G30)</f>
        <v>302.95215874083613</v>
      </c>
      <c r="L4" s="6" t="s">
        <v>104</v>
      </c>
      <c r="N4" s="6" t="s">
        <v>25</v>
      </c>
      <c r="O4" s="6">
        <f xml:space="preserve"> 0.5 * $C$45 * $C$7^2</f>
        <v>2470.934041326751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4.018378310745236E-2</v>
      </c>
      <c r="X4" s="3">
        <v>1</v>
      </c>
      <c r="Y4" s="2">
        <f t="shared" ref="Y4:Y34" si="1" xml:space="preserve"> $O$21 * TAN($O$18/180*PI()) + $O$22 / (2 * SQRT($O$21^2 + X4^2)) - X4</f>
        <v>-0.966302673394833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-0.46363659997181172</v>
      </c>
      <c r="AB4" s="2">
        <f>W4*AA4</f>
        <v>-1.8630672573943935E-2</v>
      </c>
      <c r="AC4" s="2">
        <f>Y4*AA4</f>
        <v>0.44801328603645241</v>
      </c>
      <c r="AD4" s="2">
        <f>X4-V4</f>
        <v>1</v>
      </c>
      <c r="AF4" s="2">
        <v>0</v>
      </c>
      <c r="AG4" s="2"/>
      <c r="AH4" s="2">
        <f>K27</f>
        <v>-1.042453950503841E-4</v>
      </c>
      <c r="AI4" s="2"/>
      <c r="AJ4" s="2">
        <f>K27</f>
        <v>-1.042453950503841E-4</v>
      </c>
      <c r="AK4" s="2"/>
      <c r="AL4" s="2">
        <f>K27</f>
        <v>-1.042453950503841E-4</v>
      </c>
      <c r="AM4" s="2"/>
      <c r="AN4" s="2"/>
      <c r="AO4" s="2"/>
    </row>
    <row r="5" spans="2:41" x14ac:dyDescent="0.2">
      <c r="B5" s="10" t="s">
        <v>40</v>
      </c>
      <c r="C5" s="10">
        <f>AK44</f>
        <v>1884.2717111110687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K4/$C$17</f>
        <v>75.738039685209031</v>
      </c>
      <c r="L5" s="6" t="s">
        <v>104</v>
      </c>
      <c r="N5" s="6" t="s">
        <v>119</v>
      </c>
      <c r="O5" s="6">
        <f xml:space="preserve"> $C$17 * 0.85 * ($C$5/$C$17 *2.20462/1000)^(2/3) * 0.3048^2</f>
        <v>0.32393188294857816</v>
      </c>
      <c r="P5" s="6" t="s">
        <v>120</v>
      </c>
      <c r="U5" s="2">
        <v>1</v>
      </c>
      <c r="V5" s="2">
        <f>IF(AB4&gt;0, Z4, V4)</f>
        <v>0</v>
      </c>
      <c r="W5" s="2">
        <f t="shared" si="0"/>
        <v>4.018378310745236E-2</v>
      </c>
      <c r="X5" s="2">
        <f>IF(AC4&gt;0, Z4, X4)</f>
        <v>0.5</v>
      </c>
      <c r="Y5" s="2">
        <f t="shared" si="1"/>
        <v>-0.46363659997181172</v>
      </c>
      <c r="Z5" s="2">
        <f t="shared" ref="Z5:Z34" si="3" xml:space="preserve"> (V5 + X5)/2</f>
        <v>0.25</v>
      </c>
      <c r="AA5" s="2">
        <f t="shared" si="2"/>
        <v>-0.21134099821823821</v>
      </c>
      <c r="AB5" s="2">
        <f t="shared" ref="AB5:AB34" si="4">W5*AA5</f>
        <v>-8.4924808341141599E-3</v>
      </c>
      <c r="AC5" s="2">
        <f t="shared" ref="AC5:AC34" si="5">Y5*AA5</f>
        <v>9.7985421848552676E-2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-755.51302592021477</v>
      </c>
      <c r="AI5" s="3">
        <v>5000</v>
      </c>
      <c r="AJ5" s="2">
        <f t="dataTable" ref="AJ5:AJ44" dt2D="0" dtr="0" r1="C5" ca="1"/>
        <v>1012.5602719429921</v>
      </c>
      <c r="AK5" s="2">
        <f>(AG5+AI5)/2</f>
        <v>2750</v>
      </c>
      <c r="AL5" s="2">
        <f t="dataTable" ref="AL5:AL44" dt2D="0" dtr="0" r1="C5" ca="1"/>
        <v>367.83582253928762</v>
      </c>
      <c r="AM5" s="2">
        <f>AH5*AL5</f>
        <v>-277904.75532850833</v>
      </c>
      <c r="AN5" s="2">
        <f>AJ5*AL5</f>
        <v>372455.94050075527</v>
      </c>
      <c r="AO5" s="2">
        <f>AI5-AG5</f>
        <v>4500</v>
      </c>
    </row>
    <row r="6" spans="2:41" x14ac:dyDescent="0.2">
      <c r="B6" s="6" t="s">
        <v>269</v>
      </c>
      <c r="C6" s="17">
        <v>669.02328430472301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$C$8^2)</f>
        <v>1.7522985413089831E-2</v>
      </c>
      <c r="U6" s="2">
        <v>2</v>
      </c>
      <c r="V6" s="2">
        <f t="shared" ref="V6:V34" si="7">IF(AB5&gt;0, Z5, V5)</f>
        <v>0</v>
      </c>
      <c r="W6" s="2">
        <f t="shared" si="0"/>
        <v>4.018378310745236E-2</v>
      </c>
      <c r="X6" s="2">
        <f t="shared" ref="X6:X34" si="8">IF(AC5&gt;0, Z5, X5)</f>
        <v>0.25</v>
      </c>
      <c r="Y6" s="2">
        <f t="shared" si="1"/>
        <v>-0.21134099821823821</v>
      </c>
      <c r="Z6" s="2">
        <f t="shared" si="3"/>
        <v>0.125</v>
      </c>
      <c r="AA6" s="2">
        <f t="shared" si="2"/>
        <v>-8.5269286314460818E-2</v>
      </c>
      <c r="AB6" s="2">
        <f t="shared" si="4"/>
        <v>-3.4264425069875492E-3</v>
      </c>
      <c r="AC6" s="2">
        <f t="shared" si="5"/>
        <v>1.8020896087054906E-2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-755.51302592021477</v>
      </c>
      <c r="AI6" s="2">
        <f>IF(AN5&gt;0, AK5, AI5)</f>
        <v>2750</v>
      </c>
      <c r="AJ6" s="2">
        <v>367.83582253928762</v>
      </c>
      <c r="AK6" s="2">
        <f t="shared" ref="AK6:AK43" si="9">(AG6+AI6)/2</f>
        <v>1625</v>
      </c>
      <c r="AL6" s="2">
        <v>-124.24061523047726</v>
      </c>
      <c r="AM6" s="2">
        <f t="shared" ref="AM6:AM44" si="10">AH6*AL6</f>
        <v>93865.403154967004</v>
      </c>
      <c r="AN6" s="2">
        <f t="shared" ref="AN6:AN44" si="11">AJ6*AL6</f>
        <v>-45700.148896089748</v>
      </c>
      <c r="AO6" s="2">
        <f t="shared" ref="AO6:AO44" si="12">AI6-AG6</f>
        <v>2250</v>
      </c>
    </row>
    <row r="7" spans="2:41" x14ac:dyDescent="0.2">
      <c r="B7" s="6" t="s">
        <v>9</v>
      </c>
      <c r="C7" s="17">
        <f>252*1000/3600</f>
        <v>70</v>
      </c>
      <c r="D7" s="6" t="s">
        <v>10</v>
      </c>
      <c r="F7" t="s">
        <v>278</v>
      </c>
      <c r="G7" s="22">
        <f>550*0.3048</f>
        <v>167.64000000000001</v>
      </c>
      <c r="H7" s="6" t="s">
        <v>10</v>
      </c>
      <c r="J7" s="52" t="s">
        <v>23</v>
      </c>
      <c r="K7" s="52"/>
      <c r="L7" s="52"/>
      <c r="N7" t="s">
        <v>123</v>
      </c>
      <c r="O7" s="17">
        <f>0.0292492988046343-O6</f>
        <v>1.1726313391544469E-2</v>
      </c>
      <c r="U7" s="2">
        <v>3</v>
      </c>
      <c r="V7" s="2">
        <f t="shared" si="7"/>
        <v>0</v>
      </c>
      <c r="W7" s="2">
        <f t="shared" si="0"/>
        <v>4.018378310745236E-2</v>
      </c>
      <c r="X7" s="2">
        <f t="shared" si="8"/>
        <v>0.125</v>
      </c>
      <c r="Y7" s="2">
        <f t="shared" si="1"/>
        <v>-8.5269286314460818E-2</v>
      </c>
      <c r="Z7" s="2">
        <f t="shared" si="3"/>
        <v>6.25E-2</v>
      </c>
      <c r="AA7" s="2">
        <f t="shared" si="2"/>
        <v>-2.2435229106752094E-2</v>
      </c>
      <c r="AB7" s="2">
        <f t="shared" si="4"/>
        <v>-9.0153238039172834E-4</v>
      </c>
      <c r="AC7" s="2">
        <f t="shared" si="5"/>
        <v>1.9130359742341695E-3</v>
      </c>
      <c r="AD7" s="2">
        <f t="shared" si="6"/>
        <v>0.125</v>
      </c>
      <c r="AF7" s="2">
        <v>3</v>
      </c>
      <c r="AG7" s="2">
        <f t="shared" ref="AG7:AG44" si="13">IF(AM6&gt;0, AK6, AG6)</f>
        <v>1625</v>
      </c>
      <c r="AH7" s="2">
        <v>-124.24061523047726</v>
      </c>
      <c r="AI7" s="2">
        <f t="shared" ref="AI7:AI44" si="14">IF(AN6&gt;0, AK6, AI6)</f>
        <v>2750</v>
      </c>
      <c r="AJ7" s="2">
        <v>367.83582253928762</v>
      </c>
      <c r="AK7" s="2">
        <f t="shared" si="9"/>
        <v>2187.5</v>
      </c>
      <c r="AL7" s="2">
        <v>137.03044779305992</v>
      </c>
      <c r="AM7" s="2">
        <f t="shared" si="10"/>
        <v>-17024.74713911756</v>
      </c>
      <c r="AN7" s="2">
        <f t="shared" si="11"/>
        <v>50404.707476887103</v>
      </c>
      <c r="AO7" s="2">
        <f t="shared" si="12"/>
        <v>1125</v>
      </c>
    </row>
    <row r="8" spans="2:41" x14ac:dyDescent="0.2">
      <c r="B8" s="6" t="s">
        <v>98</v>
      </c>
      <c r="C8" s="17">
        <v>2.42576017470601</v>
      </c>
      <c r="D8" s="6" t="s">
        <v>8</v>
      </c>
      <c r="F8" t="s">
        <v>21</v>
      </c>
      <c r="G8" s="6">
        <f xml:space="preserve"> $C$5 * $C$42 / $C$17</f>
        <v>4617.1681451363474</v>
      </c>
      <c r="H8" s="6" t="s">
        <v>22</v>
      </c>
      <c r="J8" s="6" t="s">
        <v>99</v>
      </c>
      <c r="K8" s="6">
        <f xml:space="preserve"> $C$14 * (G11*G6 + G21*G14 + G30*G26)/3600</f>
        <v>88.011454529789674</v>
      </c>
      <c r="L8" s="6" t="s">
        <v>105</v>
      </c>
      <c r="N8" s="6" t="s">
        <v>122</v>
      </c>
      <c r="O8" s="6">
        <f xml:space="preserve"> $O$7 + O6</f>
        <v>2.92492988046343E-2</v>
      </c>
      <c r="U8" s="2">
        <v>4</v>
      </c>
      <c r="V8" s="2">
        <f t="shared" si="7"/>
        <v>0</v>
      </c>
      <c r="W8" s="2">
        <f t="shared" si="0"/>
        <v>4.018378310745236E-2</v>
      </c>
      <c r="X8" s="2">
        <f t="shared" si="8"/>
        <v>6.25E-2</v>
      </c>
      <c r="Y8" s="2">
        <f t="shared" si="1"/>
        <v>-2.2435229106752094E-2</v>
      </c>
      <c r="Z8" s="2">
        <f t="shared" si="3"/>
        <v>3.125E-2</v>
      </c>
      <c r="AA8" s="2">
        <f t="shared" si="2"/>
        <v>8.9036452803605975E-3</v>
      </c>
      <c r="AB8" s="2">
        <f t="shared" si="4"/>
        <v>3.5778215081170211E-4</v>
      </c>
      <c r="AC8" s="2">
        <f t="shared" si="5"/>
        <v>-1.9975532175014199E-4</v>
      </c>
      <c r="AD8" s="2">
        <f t="shared" si="6"/>
        <v>6.25E-2</v>
      </c>
      <c r="AF8" s="2">
        <v>4</v>
      </c>
      <c r="AG8" s="2">
        <f t="shared" si="13"/>
        <v>1625</v>
      </c>
      <c r="AH8" s="2">
        <v>-124.24061523047726</v>
      </c>
      <c r="AI8" s="2">
        <f t="shared" si="14"/>
        <v>2187.5</v>
      </c>
      <c r="AJ8" s="2">
        <v>137.03044779305992</v>
      </c>
      <c r="AK8" s="2">
        <f t="shared" si="9"/>
        <v>1906.25</v>
      </c>
      <c r="AL8" s="2">
        <v>10.236518527182398</v>
      </c>
      <c r="AM8" s="2">
        <f t="shared" si="10"/>
        <v>-1271.7913596353201</v>
      </c>
      <c r="AN8" s="2">
        <f t="shared" si="11"/>
        <v>1402.7147176217582</v>
      </c>
      <c r="AO8" s="2">
        <f t="shared" si="12"/>
        <v>562.5</v>
      </c>
    </row>
    <row r="9" spans="2:41" x14ac:dyDescent="0.2">
      <c r="B9" s="6" t="s">
        <v>224</v>
      </c>
      <c r="C9" s="17">
        <f>(0.071475+0.069425+0.067375+0.065325+0.063275+0.061225+0.059175+0.057125)/8</f>
        <v>6.4299999999999982E-2</v>
      </c>
      <c r="F9" t="s">
        <v>100</v>
      </c>
      <c r="G9" s="6">
        <f>G11/$C$17</f>
        <v>75.738039685209031</v>
      </c>
      <c r="H9" s="6" t="s">
        <v>20</v>
      </c>
      <c r="J9" s="6" t="s">
        <v>265</v>
      </c>
      <c r="K9" s="6">
        <f xml:space="preserve"> $C$14 * (G6 + G14 + G26)/3600</f>
        <v>0.44603174603174606</v>
      </c>
      <c r="L9" s="6" t="s">
        <v>106</v>
      </c>
      <c r="N9" s="6" t="s">
        <v>41</v>
      </c>
      <c r="O9" s="6">
        <f xml:space="preserve"> O4 *O8 * PI() * $C$8 * $C$8</f>
        <v>1336.0484508351399</v>
      </c>
      <c r="P9" s="6" t="s">
        <v>22</v>
      </c>
      <c r="U9" s="2">
        <v>5</v>
      </c>
      <c r="V9" s="2">
        <f t="shared" si="7"/>
        <v>3.125E-2</v>
      </c>
      <c r="W9" s="2">
        <f t="shared" si="0"/>
        <v>8.9036452803605975E-3</v>
      </c>
      <c r="X9" s="2">
        <f t="shared" si="8"/>
        <v>6.25E-2</v>
      </c>
      <c r="Y9" s="2">
        <f t="shared" si="1"/>
        <v>-2.2435229106752094E-2</v>
      </c>
      <c r="Z9" s="2">
        <f t="shared" si="3"/>
        <v>4.6875E-2</v>
      </c>
      <c r="AA9" s="2">
        <f t="shared" si="2"/>
        <v>-6.7586632721861883E-3</v>
      </c>
      <c r="AB9" s="2">
        <f t="shared" si="4"/>
        <v>-6.0176740344947072E-5</v>
      </c>
      <c r="AC9" s="2">
        <f t="shared" si="5"/>
        <v>1.5163215896688793E-4</v>
      </c>
      <c r="AD9" s="2">
        <f t="shared" si="6"/>
        <v>3.125E-2</v>
      </c>
      <c r="AF9" s="2">
        <v>5</v>
      </c>
      <c r="AG9" s="2">
        <f t="shared" si="13"/>
        <v>1625</v>
      </c>
      <c r="AH9" s="2">
        <v>-124.24061523047726</v>
      </c>
      <c r="AI9" s="2">
        <f t="shared" si="14"/>
        <v>1906.25</v>
      </c>
      <c r="AJ9" s="2">
        <v>10.236518527182398</v>
      </c>
      <c r="AK9" s="2">
        <f t="shared" si="9"/>
        <v>1765.625</v>
      </c>
      <c r="AL9" s="2">
        <v>-56.069526851940509</v>
      </c>
      <c r="AM9" s="2">
        <f t="shared" si="10"/>
        <v>6966.1125117668535</v>
      </c>
      <c r="AN9" s="2">
        <f t="shared" si="11"/>
        <v>-573.95675043023994</v>
      </c>
      <c r="AO9" s="2">
        <f t="shared" si="12"/>
        <v>281.25</v>
      </c>
    </row>
    <row r="10" spans="2:41" x14ac:dyDescent="0.2">
      <c r="F10" t="s">
        <v>274</v>
      </c>
      <c r="G10" s="6">
        <f xml:space="preserve"> (G8/$C$42*1000) / ($G$9*1000)</f>
        <v>6.2197005591334653</v>
      </c>
      <c r="H10" s="6" t="s">
        <v>275</v>
      </c>
      <c r="N10" s="6" t="s">
        <v>42</v>
      </c>
      <c r="O10" s="6">
        <f xml:space="preserve"> O9</f>
        <v>1336.0484508351399</v>
      </c>
      <c r="P10" s="6" t="s">
        <v>22</v>
      </c>
      <c r="U10" s="2">
        <v>6</v>
      </c>
      <c r="V10" s="2">
        <f t="shared" si="7"/>
        <v>3.125E-2</v>
      </c>
      <c r="W10" s="2">
        <f t="shared" si="0"/>
        <v>8.9036452803605975E-3</v>
      </c>
      <c r="X10" s="2">
        <f t="shared" si="8"/>
        <v>4.6875E-2</v>
      </c>
      <c r="Y10" s="2">
        <f t="shared" si="1"/>
        <v>-6.7586632721861883E-3</v>
      </c>
      <c r="Z10" s="2">
        <f t="shared" si="3"/>
        <v>3.90625E-2</v>
      </c>
      <c r="AA10" s="2">
        <f t="shared" si="2"/>
        <v>1.0743067922268507E-3</v>
      </c>
      <c r="AB10" s="2">
        <f t="shared" si="4"/>
        <v>9.5652466002699324E-6</v>
      </c>
      <c r="AC10" s="2">
        <f t="shared" si="5"/>
        <v>-7.2608778596837738E-6</v>
      </c>
      <c r="AD10" s="2">
        <f t="shared" si="6"/>
        <v>1.5625E-2</v>
      </c>
      <c r="AF10" s="2">
        <v>6</v>
      </c>
      <c r="AG10" s="2">
        <f t="shared" si="13"/>
        <v>1765.625</v>
      </c>
      <c r="AH10" s="2">
        <v>-56.069526851940509</v>
      </c>
      <c r="AI10" s="2">
        <f t="shared" si="14"/>
        <v>1906.25</v>
      </c>
      <c r="AJ10" s="2">
        <v>10.236518527182398</v>
      </c>
      <c r="AK10" s="2">
        <f t="shared" si="9"/>
        <v>1835.9375</v>
      </c>
      <c r="AL10" s="2">
        <v>-22.67791299575515</v>
      </c>
      <c r="AM10" s="2">
        <f t="shared" si="10"/>
        <v>1271.5398516614641</v>
      </c>
      <c r="AN10" s="2">
        <f t="shared" si="11"/>
        <v>-232.14287653887806</v>
      </c>
      <c r="AO10" s="2">
        <f t="shared" si="12"/>
        <v>140.625</v>
      </c>
    </row>
    <row r="11" spans="2:41" x14ac:dyDescent="0.2">
      <c r="B11" s="52" t="s">
        <v>12</v>
      </c>
      <c r="C11" s="52"/>
      <c r="D11" s="52"/>
      <c r="F11" s="40" t="s">
        <v>85</v>
      </c>
      <c r="G11" s="41">
        <f xml:space="preserve"> 1/1000 * (($C$5*$C$42)/$C$20 * ( ($G$4/2) + SQRT( ($G$4/2)^2 + ($C$5*$C$42) / (2*$C$39*PI()*$C$8^2 * $C$17) ) ) )</f>
        <v>302.95215874083613</v>
      </c>
      <c r="H11" s="41" t="s">
        <v>104</v>
      </c>
      <c r="J11" s="50" t="s">
        <v>54</v>
      </c>
      <c r="K11" s="50"/>
      <c r="L11" s="50"/>
      <c r="N11" s="6" t="s">
        <v>118</v>
      </c>
      <c r="O11" s="6">
        <f>($O$8*PI()*$C$8^2)/(0.3048^2)/($C$5*2.20462/1000)^(2/3) + 0.85</f>
        <v>3.1022310900604908</v>
      </c>
      <c r="U11" s="2">
        <v>7</v>
      </c>
      <c r="V11" s="2">
        <f t="shared" si="7"/>
        <v>3.90625E-2</v>
      </c>
      <c r="W11" s="2">
        <f t="shared" si="0"/>
        <v>1.0743067922268507E-3</v>
      </c>
      <c r="X11" s="2">
        <f t="shared" si="8"/>
        <v>4.6875E-2</v>
      </c>
      <c r="Y11" s="2">
        <f t="shared" si="1"/>
        <v>-6.7586632721861883E-3</v>
      </c>
      <c r="Z11" s="2">
        <f t="shared" si="3"/>
        <v>4.296875E-2</v>
      </c>
      <c r="AA11" s="2">
        <f t="shared" si="2"/>
        <v>-2.8417280832124664E-3</v>
      </c>
      <c r="AB11" s="2">
        <f t="shared" si="4"/>
        <v>-3.0528877814569417E-6</v>
      </c>
      <c r="AC11" s="2">
        <f t="shared" si="5"/>
        <v>1.9206283225548153E-5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-22.67791299575515</v>
      </c>
      <c r="AI11" s="2">
        <f t="shared" si="14"/>
        <v>1906.25</v>
      </c>
      <c r="AJ11" s="2">
        <v>10.236518527182398</v>
      </c>
      <c r="AK11" s="2">
        <f t="shared" si="9"/>
        <v>1871.09375</v>
      </c>
      <c r="AL11" s="2">
        <v>-6.1605161560032684</v>
      </c>
      <c r="AM11" s="2">
        <f t="shared" si="10"/>
        <v>139.70764939478607</v>
      </c>
      <c r="AN11" s="2">
        <f t="shared" si="11"/>
        <v>-63.062237767933944</v>
      </c>
      <c r="AO11" s="2">
        <f t="shared" si="12"/>
        <v>70.3125</v>
      </c>
    </row>
    <row r="12" spans="2:41" x14ac:dyDescent="0.2">
      <c r="B12" s="6" t="s">
        <v>71</v>
      </c>
      <c r="C12" s="6">
        <f>C23*100</f>
        <v>600</v>
      </c>
      <c r="D12" s="6" t="s">
        <v>7</v>
      </c>
      <c r="J12" s="10" t="s">
        <v>82</v>
      </c>
      <c r="K12" s="6">
        <f>C5</f>
        <v>1884.2717111110687</v>
      </c>
      <c r="L12" s="6" t="s">
        <v>7</v>
      </c>
      <c r="U12" s="2">
        <v>8</v>
      </c>
      <c r="V12" s="2">
        <f t="shared" si="7"/>
        <v>3.90625E-2</v>
      </c>
      <c r="W12" s="2">
        <f t="shared" si="0"/>
        <v>1.0743067922268507E-3</v>
      </c>
      <c r="X12" s="2">
        <f t="shared" si="8"/>
        <v>4.296875E-2</v>
      </c>
      <c r="Y12" s="2">
        <f t="shared" si="1"/>
        <v>-2.8417280832124664E-3</v>
      </c>
      <c r="Z12" s="2">
        <f t="shared" si="3"/>
        <v>4.1015625E-2</v>
      </c>
      <c r="AA12" s="2">
        <f t="shared" si="2"/>
        <v>-8.8359760592687103E-4</v>
      </c>
      <c r="AB12" s="2">
        <f t="shared" si="4"/>
        <v>-9.4925490964262174E-7</v>
      </c>
      <c r="AC12" s="2">
        <f t="shared" si="5"/>
        <v>2.5109441310216913E-6</v>
      </c>
      <c r="AD12" s="2">
        <f t="shared" si="6"/>
        <v>3.90625E-3</v>
      </c>
      <c r="AF12" s="2">
        <v>8</v>
      </c>
      <c r="AG12" s="2">
        <f t="shared" si="13"/>
        <v>1871.09375</v>
      </c>
      <c r="AH12" s="2">
        <v>-6.1605161560032684</v>
      </c>
      <c r="AI12" s="2">
        <f t="shared" si="14"/>
        <v>1906.25</v>
      </c>
      <c r="AJ12" s="2">
        <v>10.236518527182398</v>
      </c>
      <c r="AK12" s="2">
        <f t="shared" si="9"/>
        <v>1888.671875</v>
      </c>
      <c r="AL12" s="2">
        <v>2.0531002160068965</v>
      </c>
      <c r="AM12" s="2">
        <f t="shared" si="10"/>
        <v>-12.648157050604286</v>
      </c>
      <c r="AN12" s="2">
        <f t="shared" si="11"/>
        <v>21.016598399316777</v>
      </c>
      <c r="AO12" s="2">
        <f t="shared" si="12"/>
        <v>35.15625</v>
      </c>
    </row>
    <row r="13" spans="2:41" x14ac:dyDescent="0.2">
      <c r="B13" s="6" t="s">
        <v>13</v>
      </c>
      <c r="C13" s="17">
        <v>90000</v>
      </c>
      <c r="D13" s="6" t="s">
        <v>8</v>
      </c>
      <c r="F13" s="50" t="s">
        <v>89</v>
      </c>
      <c r="G13" s="51"/>
      <c r="H13" s="51"/>
      <c r="J13" s="11" t="s">
        <v>55</v>
      </c>
      <c r="K13" s="6">
        <f xml:space="preserve"> K8 * 1000 / ($C$34 * $C$35 * $C$36)</f>
        <v>517.71443841052746</v>
      </c>
      <c r="L13" s="6" t="s">
        <v>7</v>
      </c>
      <c r="N13" s="50" t="s">
        <v>76</v>
      </c>
      <c r="O13" s="55"/>
      <c r="P13" s="55"/>
      <c r="U13" s="2">
        <v>9</v>
      </c>
      <c r="V13" s="2">
        <f t="shared" si="7"/>
        <v>3.90625E-2</v>
      </c>
      <c r="W13" s="2">
        <f t="shared" si="0"/>
        <v>1.0743067922268507E-3</v>
      </c>
      <c r="X13" s="2">
        <f t="shared" si="8"/>
        <v>4.1015625E-2</v>
      </c>
      <c r="Y13" s="2">
        <f t="shared" si="1"/>
        <v>-8.8359760592687103E-4</v>
      </c>
      <c r="Z13" s="2">
        <f t="shared" si="3"/>
        <v>4.00390625E-2</v>
      </c>
      <c r="AA13" s="2">
        <f t="shared" si="2"/>
        <v>9.5382913287013482E-5</v>
      </c>
      <c r="AB13" s="2">
        <f t="shared" si="4"/>
        <v>1.0247051160662331E-7</v>
      </c>
      <c r="AC13" s="2">
        <f t="shared" si="5"/>
        <v>-8.4280113826735454E-8</v>
      </c>
      <c r="AD13" s="2">
        <f t="shared" si="6"/>
        <v>1.953125E-3</v>
      </c>
      <c r="AF13" s="2">
        <v>9</v>
      </c>
      <c r="AG13" s="2">
        <f t="shared" si="13"/>
        <v>1871.09375</v>
      </c>
      <c r="AH13" s="2">
        <v>-6.1605161560032684</v>
      </c>
      <c r="AI13" s="2">
        <f t="shared" si="14"/>
        <v>1888.671875</v>
      </c>
      <c r="AJ13" s="2">
        <v>2.0531002160068965</v>
      </c>
      <c r="AK13" s="2">
        <f t="shared" si="9"/>
        <v>1879.8828125</v>
      </c>
      <c r="AL13" s="2">
        <v>-2.0499392261972389</v>
      </c>
      <c r="AM13" s="2">
        <f t="shared" si="10"/>
        <v>12.628683721812928</v>
      </c>
      <c r="AN13" s="2">
        <f t="shared" si="11"/>
        <v>-4.2087306681065613</v>
      </c>
      <c r="AO13" s="2">
        <f t="shared" si="12"/>
        <v>17.578125</v>
      </c>
    </row>
    <row r="14" spans="2:41" x14ac:dyDescent="0.2">
      <c r="B14" s="6" t="s">
        <v>263</v>
      </c>
      <c r="C14" s="17">
        <v>1</v>
      </c>
      <c r="F14" s="9" t="s">
        <v>92</v>
      </c>
      <c r="G14" s="6">
        <f xml:space="preserve"> $C$13/$C$7</f>
        <v>1285.7142857142858</v>
      </c>
      <c r="H14" s="6" t="s">
        <v>14</v>
      </c>
      <c r="J14" s="12" t="s">
        <v>135</v>
      </c>
      <c r="K14" s="6">
        <f xml:space="preserve"> $C$52 * $C$17 * (0.0095 * MAX(G8,O19,G27) - 1.9275)</f>
        <v>168.18414666351228</v>
      </c>
      <c r="L14" s="6" t="s">
        <v>7</v>
      </c>
      <c r="N14" s="6" t="s">
        <v>77</v>
      </c>
      <c r="O14" s="6">
        <f xml:space="preserve"> SQRT( ($C$5*$C$48)^2 + O10^2)</f>
        <v>18515.173333001294</v>
      </c>
      <c r="P14" s="6" t="s">
        <v>22</v>
      </c>
      <c r="U14" s="2">
        <v>10</v>
      </c>
      <c r="V14" s="2">
        <f t="shared" si="7"/>
        <v>4.00390625E-2</v>
      </c>
      <c r="W14" s="2">
        <f t="shared" si="0"/>
        <v>9.5382913287013482E-5</v>
      </c>
      <c r="X14" s="2">
        <f t="shared" si="8"/>
        <v>4.1015625E-2</v>
      </c>
      <c r="Y14" s="2">
        <f t="shared" si="1"/>
        <v>-8.8359760592687103E-4</v>
      </c>
      <c r="Z14" s="2">
        <f t="shared" si="3"/>
        <v>4.052734375E-2</v>
      </c>
      <c r="AA14" s="2">
        <f t="shared" si="2"/>
        <v>-3.94100273712783E-4</v>
      </c>
      <c r="AB14" s="2">
        <f t="shared" si="4"/>
        <v>-3.7590432233934658E-8</v>
      </c>
      <c r="AC14" s="2">
        <f t="shared" si="5"/>
        <v>3.4822605834773962E-7</v>
      </c>
      <c r="AD14" s="2">
        <f t="shared" si="6"/>
        <v>9.765625E-4</v>
      </c>
      <c r="AF14" s="2">
        <v>10</v>
      </c>
      <c r="AG14" s="2">
        <f t="shared" si="13"/>
        <v>1879.8828125</v>
      </c>
      <c r="AH14" s="2">
        <v>-2.0499392261972389</v>
      </c>
      <c r="AI14" s="2">
        <f t="shared" si="14"/>
        <v>1888.671875</v>
      </c>
      <c r="AJ14" s="2">
        <v>2.0531002160068965</v>
      </c>
      <c r="AK14" s="2">
        <f t="shared" si="9"/>
        <v>1884.27734375</v>
      </c>
      <c r="AL14" s="2">
        <v>2.5275846792283119E-3</v>
      </c>
      <c r="AM14" s="2">
        <f t="shared" si="10"/>
        <v>-5.1813949814852817E-3</v>
      </c>
      <c r="AN14" s="2">
        <f t="shared" si="11"/>
        <v>5.1893846508993691E-3</v>
      </c>
      <c r="AO14" s="2">
        <f t="shared" si="12"/>
        <v>8.7890625</v>
      </c>
    </row>
    <row r="15" spans="2:41" x14ac:dyDescent="0.2">
      <c r="F15" t="s">
        <v>130</v>
      </c>
      <c r="G15" s="8">
        <f>O20*$C$8</f>
        <v>169.9486474720386</v>
      </c>
      <c r="H15" s="6" t="s">
        <v>10</v>
      </c>
      <c r="J15" s="12" t="s">
        <v>136</v>
      </c>
      <c r="K15" s="6">
        <f xml:space="preserve"> $C$52 * $C$17 * ( 0.0037 * $C$18^0.28 * ($C$8*3.28084)^1.5 * ($G$7*3.28084)^0.43 * ( 0.01742 * $C$18^0.66 * ($C$9*$C$8*3.28084) * ($C$8*3.28084)^1.3 * ($G$7*3.28084)^0.67 + 0.5*(K14/$C$17)* 2.20462 * $C$42*3.28084 )^0.55 ) * 0.453592</f>
        <v>173.15095989514634</v>
      </c>
      <c r="L15" s="6" t="s">
        <v>7</v>
      </c>
      <c r="N15" s="6" t="s">
        <v>78</v>
      </c>
      <c r="O15" s="6">
        <f>$C$5*$C$48/O14</f>
        <v>0.99739309438615964</v>
      </c>
      <c r="U15" s="2">
        <v>11</v>
      </c>
      <c r="V15" s="2">
        <f t="shared" si="7"/>
        <v>4.00390625E-2</v>
      </c>
      <c r="W15" s="2">
        <f t="shared" si="0"/>
        <v>9.5382913287013482E-5</v>
      </c>
      <c r="X15" s="2">
        <f t="shared" si="8"/>
        <v>4.052734375E-2</v>
      </c>
      <c r="Y15" s="2">
        <f t="shared" si="1"/>
        <v>-3.94100273712783E-4</v>
      </c>
      <c r="Z15" s="2">
        <f t="shared" si="3"/>
        <v>4.0283203125E-2</v>
      </c>
      <c r="AA15" s="2">
        <f t="shared" si="2"/>
        <v>-1.4935691112621247E-4</v>
      </c>
      <c r="AB15" s="2">
        <f t="shared" si="4"/>
        <v>-1.4246097302767704E-8</v>
      </c>
      <c r="AC15" s="2">
        <f t="shared" si="5"/>
        <v>5.8861599555736135E-8</v>
      </c>
      <c r="AD15" s="2">
        <f t="shared" si="6"/>
        <v>4.8828125E-4</v>
      </c>
      <c r="AF15" s="2">
        <v>11</v>
      </c>
      <c r="AG15" s="2">
        <f t="shared" si="13"/>
        <v>1879.8828125</v>
      </c>
      <c r="AH15" s="2">
        <v>-2.0499392261972389</v>
      </c>
      <c r="AI15" s="2">
        <f t="shared" si="14"/>
        <v>1884.27734375</v>
      </c>
      <c r="AJ15" s="2">
        <v>2.5275846792283119E-3</v>
      </c>
      <c r="AK15" s="2">
        <f t="shared" si="9"/>
        <v>1882.080078125</v>
      </c>
      <c r="AL15" s="2">
        <v>-1.0234666456319701</v>
      </c>
      <c r="AM15" s="2">
        <f t="shared" si="10"/>
        <v>2.0980444235854847</v>
      </c>
      <c r="AN15" s="2">
        <f t="shared" si="11"/>
        <v>-2.5868986132005596E-3</v>
      </c>
      <c r="AO15" s="2">
        <f t="shared" si="12"/>
        <v>4.39453125</v>
      </c>
    </row>
    <row r="16" spans="2:41" x14ac:dyDescent="0.2">
      <c r="B16" s="53" t="s">
        <v>115</v>
      </c>
      <c r="C16" s="53"/>
      <c r="D16" s="53"/>
      <c r="F16" s="6" t="s">
        <v>133</v>
      </c>
      <c r="G16" s="6">
        <f>G15/$C$47</f>
        <v>0.51078309841430269</v>
      </c>
      <c r="H16" s="6" t="s">
        <v>131</v>
      </c>
      <c r="J16" s="13" t="s">
        <v>56</v>
      </c>
      <c r="K16" s="6">
        <f xml:space="preserve"> $C$52 * 0.2138 * K4</f>
        <v>64.771171538790767</v>
      </c>
      <c r="L16" s="6" t="s">
        <v>7</v>
      </c>
      <c r="U16" s="2">
        <v>12</v>
      </c>
      <c r="V16" s="2">
        <f t="shared" si="7"/>
        <v>4.00390625E-2</v>
      </c>
      <c r="W16" s="2">
        <f t="shared" si="0"/>
        <v>9.5382913287013482E-5</v>
      </c>
      <c r="X16" s="2">
        <f t="shared" si="8"/>
        <v>4.0283203125E-2</v>
      </c>
      <c r="Y16" s="2">
        <f t="shared" si="1"/>
        <v>-1.4935691112621247E-4</v>
      </c>
      <c r="Z16" s="2">
        <f t="shared" si="3"/>
        <v>4.01611328125E-2</v>
      </c>
      <c r="AA16" s="2">
        <f t="shared" si="2"/>
        <v>-2.6986556531639894E-5</v>
      </c>
      <c r="AB16" s="2">
        <f t="shared" si="4"/>
        <v>-2.5740563815724953E-9</v>
      </c>
      <c r="AC16" s="2">
        <f t="shared" si="5"/>
        <v>4.0306287254986478E-9</v>
      </c>
      <c r="AD16" s="2">
        <f t="shared" si="6"/>
        <v>2.44140625E-4</v>
      </c>
      <c r="AF16" s="2">
        <v>12</v>
      </c>
      <c r="AG16" s="2">
        <f t="shared" si="13"/>
        <v>1882.080078125</v>
      </c>
      <c r="AH16" s="2">
        <v>-1.0234666456319701</v>
      </c>
      <c r="AI16" s="2">
        <f t="shared" si="14"/>
        <v>1884.27734375</v>
      </c>
      <c r="AJ16" s="2">
        <v>2.5275846792283119E-3</v>
      </c>
      <c r="AK16" s="2">
        <f t="shared" si="9"/>
        <v>1883.1787109375</v>
      </c>
      <c r="AL16" s="2">
        <v>-0.51041583714322769</v>
      </c>
      <c r="AM16" s="2">
        <f t="shared" si="10"/>
        <v>0.52239358471841313</v>
      </c>
      <c r="AN16" s="2">
        <f t="shared" si="11"/>
        <v>-1.2901192499987155E-3</v>
      </c>
      <c r="AO16" s="2">
        <f t="shared" si="12"/>
        <v>2.197265625</v>
      </c>
    </row>
    <row r="17" spans="2:41" x14ac:dyDescent="0.2">
      <c r="B17" s="6" t="s">
        <v>97</v>
      </c>
      <c r="C17" s="17">
        <v>4</v>
      </c>
      <c r="F17" s="9" t="s">
        <v>21</v>
      </c>
      <c r="G17" s="6">
        <f>O19</f>
        <v>4628.7933332503235</v>
      </c>
      <c r="H17" s="6" t="s">
        <v>22</v>
      </c>
      <c r="J17" s="13" t="s">
        <v>80</v>
      </c>
      <c r="K17" s="6">
        <f xml:space="preserve"> $C$52 * 0.1149 * K4</f>
        <v>34.809203039322071</v>
      </c>
      <c r="L17" s="6" t="s">
        <v>7</v>
      </c>
      <c r="N17" s="50" t="s">
        <v>27</v>
      </c>
      <c r="O17" s="55"/>
      <c r="P17" s="55"/>
      <c r="U17" s="2">
        <v>13</v>
      </c>
      <c r="V17" s="2">
        <f t="shared" si="7"/>
        <v>4.00390625E-2</v>
      </c>
      <c r="W17" s="2">
        <f t="shared" si="0"/>
        <v>9.5382913287013482E-5</v>
      </c>
      <c r="X17" s="2">
        <f t="shared" si="8"/>
        <v>4.01611328125E-2</v>
      </c>
      <c r="Y17" s="2">
        <f t="shared" si="1"/>
        <v>-2.6986556531639894E-5</v>
      </c>
      <c r="Z17" s="2">
        <f t="shared" si="3"/>
        <v>4.010009765625E-2</v>
      </c>
      <c r="AA17" s="2">
        <f t="shared" si="2"/>
        <v>3.4198288989178982E-5</v>
      </c>
      <c r="AB17" s="2">
        <f t="shared" si="4"/>
        <v>3.2619324332190867E-9</v>
      </c>
      <c r="AC17" s="2">
        <f t="shared" si="5"/>
        <v>-9.2289405909183675E-10</v>
      </c>
      <c r="AD17" s="2">
        <f t="shared" si="6"/>
        <v>1.220703125E-4</v>
      </c>
      <c r="AF17" s="2">
        <v>13</v>
      </c>
      <c r="AG17" s="2">
        <f t="shared" si="13"/>
        <v>1883.1787109375</v>
      </c>
      <c r="AH17" s="2">
        <v>-0.51041583714322769</v>
      </c>
      <c r="AI17" s="2">
        <f t="shared" si="14"/>
        <v>1884.27734375</v>
      </c>
      <c r="AJ17" s="2">
        <v>2.5275846792283119E-3</v>
      </c>
      <c r="AK17" s="2">
        <f t="shared" si="9"/>
        <v>1883.72802734375</v>
      </c>
      <c r="AL17" s="2">
        <v>-0.25393068593893986</v>
      </c>
      <c r="AM17" s="2">
        <f t="shared" si="10"/>
        <v>0.12961024363987803</v>
      </c>
      <c r="AN17" s="2">
        <f t="shared" si="11"/>
        <v>-6.4183131136520048E-4</v>
      </c>
      <c r="AO17" s="2">
        <f t="shared" si="12"/>
        <v>1.0986328125</v>
      </c>
    </row>
    <row r="18" spans="2:41" x14ac:dyDescent="0.2">
      <c r="B18" t="s">
        <v>114</v>
      </c>
      <c r="C18" s="1">
        <v>3</v>
      </c>
      <c r="D18"/>
      <c r="F18" s="9" t="s">
        <v>100</v>
      </c>
      <c r="G18" s="6">
        <f xml:space="preserve"> 1/1000 * (O24 + O19 * (O26 * O29 + $C$7 * SIN(O18/180*PI())))</f>
        <v>44.044091106121577</v>
      </c>
      <c r="H18" s="6" t="s">
        <v>104</v>
      </c>
      <c r="J18" s="14" t="s">
        <v>63</v>
      </c>
      <c r="K18" s="6">
        <f xml:space="preserve"> $C$53 * (14.86 * ($C$5*2.20462)^0.144 * ($C$24/(PI()*$C$25))^0.778 * ($C$24*3.28084)^0.383 * $C$23^0.455 * 0.453592)</f>
        <v>161.11825187211758</v>
      </c>
      <c r="L18" s="6" t="s">
        <v>7</v>
      </c>
      <c r="N18" s="6" t="s">
        <v>28</v>
      </c>
      <c r="O18" s="6">
        <f xml:space="preserve"> ACOS(O15)/PI()*180</f>
        <v>4.1380399204858351</v>
      </c>
      <c r="P18" s="6" t="s">
        <v>43</v>
      </c>
      <c r="U18" s="2">
        <v>14</v>
      </c>
      <c r="V18" s="2">
        <f t="shared" si="7"/>
        <v>4.010009765625E-2</v>
      </c>
      <c r="W18" s="2">
        <f t="shared" si="0"/>
        <v>3.4198288989178982E-5</v>
      </c>
      <c r="X18" s="2">
        <f t="shared" si="8"/>
        <v>4.01611328125E-2</v>
      </c>
      <c r="Y18" s="2">
        <f t="shared" si="1"/>
        <v>-2.6986556531639894E-5</v>
      </c>
      <c r="Z18" s="2">
        <f t="shared" si="3"/>
        <v>4.0130615234375E-2</v>
      </c>
      <c r="AA18" s="2">
        <f t="shared" si="2"/>
        <v>3.6058938798350093E-6</v>
      </c>
      <c r="AB18" s="2">
        <f t="shared" si="4"/>
        <v>1.2331540096690949E-10</v>
      </c>
      <c r="AC18" s="2">
        <f t="shared" si="5"/>
        <v>-9.7310659035261789E-11</v>
      </c>
      <c r="AD18" s="2">
        <f t="shared" si="6"/>
        <v>6.103515625E-5</v>
      </c>
      <c r="AF18" s="2">
        <v>14</v>
      </c>
      <c r="AG18" s="2">
        <f t="shared" si="13"/>
        <v>1883.72802734375</v>
      </c>
      <c r="AH18" s="2">
        <v>-0.25393068593893986</v>
      </c>
      <c r="AI18" s="2">
        <f t="shared" si="14"/>
        <v>1884.27734375</v>
      </c>
      <c r="AJ18" s="2">
        <v>2.5275846792283119E-3</v>
      </c>
      <c r="AK18" s="2">
        <f t="shared" si="9"/>
        <v>1884.002685546875</v>
      </c>
      <c r="AL18" s="2">
        <v>-0.12569550951798192</v>
      </c>
      <c r="AM18" s="2">
        <f t="shared" si="10"/>
        <v>3.1917946951345692E-2</v>
      </c>
      <c r="AN18" s="2">
        <f t="shared" si="11"/>
        <v>-3.1770604410544755E-4</v>
      </c>
      <c r="AO18" s="2">
        <f t="shared" si="12"/>
        <v>0.54931640625</v>
      </c>
    </row>
    <row r="19" spans="2:41" x14ac:dyDescent="0.2">
      <c r="B19" s="6" t="s">
        <v>128</v>
      </c>
      <c r="C19" s="6">
        <f>$C$18*$C$9/PI()</f>
        <v>6.1401977044853208E-2</v>
      </c>
      <c r="F19" t="s">
        <v>274</v>
      </c>
      <c r="G19" s="6">
        <f xml:space="preserve"> (G17/$C$48*1000) / ($G$18*1000)</f>
        <v>10.723326450079057</v>
      </c>
      <c r="H19" s="6" t="s">
        <v>275</v>
      </c>
      <c r="J19" s="14" t="s">
        <v>64</v>
      </c>
      <c r="K19" s="6">
        <f xml:space="preserve"> $C$53 * C29 * $C$5</f>
        <v>26.379803955554962</v>
      </c>
      <c r="L19" s="6" t="s">
        <v>7</v>
      </c>
      <c r="N19" s="6" t="s">
        <v>21</v>
      </c>
      <c r="O19" s="6">
        <f xml:space="preserve"> O14 / $C$17</f>
        <v>4628.7933332503235</v>
      </c>
      <c r="P19" s="6" t="s">
        <v>22</v>
      </c>
      <c r="U19" s="2">
        <v>15</v>
      </c>
      <c r="V19" s="2">
        <f t="shared" si="7"/>
        <v>4.0130615234375E-2</v>
      </c>
      <c r="W19" s="2">
        <f t="shared" si="0"/>
        <v>3.6058938798350093E-6</v>
      </c>
      <c r="X19" s="2">
        <f t="shared" si="8"/>
        <v>4.01611328125E-2</v>
      </c>
      <c r="Y19" s="2">
        <f t="shared" si="1"/>
        <v>-2.6986556531639894E-5</v>
      </c>
      <c r="Z19" s="2">
        <f t="shared" si="3"/>
        <v>4.01458740234375E-2</v>
      </c>
      <c r="AA19" s="2">
        <f t="shared" si="2"/>
        <v>-1.1690324413365927E-5</v>
      </c>
      <c r="AB19" s="2">
        <f t="shared" si="4"/>
        <v>-4.2154069255441988E-11</v>
      </c>
      <c r="AC19" s="2">
        <f t="shared" si="5"/>
        <v>3.1548160065450958E-10</v>
      </c>
      <c r="AD19" s="2">
        <f t="shared" si="6"/>
        <v>3.0517578125E-5</v>
      </c>
      <c r="AF19" s="2">
        <v>15</v>
      </c>
      <c r="AG19" s="2">
        <f t="shared" si="13"/>
        <v>1884.002685546875</v>
      </c>
      <c r="AH19" s="2">
        <v>-0.12569550951798192</v>
      </c>
      <c r="AI19" s="2">
        <f t="shared" si="14"/>
        <v>1884.27734375</v>
      </c>
      <c r="AJ19" s="2">
        <v>2.5275846792283119E-3</v>
      </c>
      <c r="AK19" s="2">
        <f t="shared" si="9"/>
        <v>1884.1400146484375</v>
      </c>
      <c r="AL19" s="2">
        <v>-6.158423780539124E-2</v>
      </c>
      <c r="AM19" s="2">
        <f t="shared" si="10"/>
        <v>7.7408621492252166E-3</v>
      </c>
      <c r="AN19" s="2">
        <f t="shared" si="11"/>
        <v>-1.556593759588599E-4</v>
      </c>
      <c r="AO19" s="2">
        <f t="shared" si="12"/>
        <v>0.274658203125</v>
      </c>
    </row>
    <row r="20" spans="2:41" x14ac:dyDescent="0.2">
      <c r="B20" s="6" t="s">
        <v>129</v>
      </c>
      <c r="C20" s="17">
        <v>0.75</v>
      </c>
      <c r="F20" s="9" t="s">
        <v>276</v>
      </c>
      <c r="G20" s="6">
        <f>O22/ ($C$18*$C$9/PI())</f>
        <v>0.13999397539952069</v>
      </c>
      <c r="J20" s="14" t="s">
        <v>65</v>
      </c>
      <c r="K20" s="6">
        <f xml:space="preserve"> $C$53 * 0</f>
        <v>0</v>
      </c>
      <c r="L20" s="6" t="s">
        <v>7</v>
      </c>
      <c r="N20" s="6" t="s">
        <v>29</v>
      </c>
      <c r="O20" s="6">
        <f>$C$6*2*PI()/60</f>
        <v>70.059954501741103</v>
      </c>
      <c r="P20" s="6" t="s">
        <v>30</v>
      </c>
      <c r="U20" s="2">
        <v>16</v>
      </c>
      <c r="V20" s="2">
        <f t="shared" si="7"/>
        <v>4.0130615234375E-2</v>
      </c>
      <c r="W20" s="2">
        <f t="shared" si="0"/>
        <v>3.6058938798350093E-6</v>
      </c>
      <c r="X20" s="2">
        <f t="shared" si="8"/>
        <v>4.01458740234375E-2</v>
      </c>
      <c r="Y20" s="2">
        <f t="shared" si="1"/>
        <v>-1.1690324413365927E-5</v>
      </c>
      <c r="Z20" s="2">
        <f t="shared" si="3"/>
        <v>4.013824462890625E-2</v>
      </c>
      <c r="AA20" s="2">
        <f t="shared" si="2"/>
        <v>-4.0422135385992375E-6</v>
      </c>
      <c r="AB20" s="2">
        <f t="shared" si="4"/>
        <v>-1.4575793059821205E-11</v>
      </c>
      <c r="AC20" s="2">
        <f t="shared" si="5"/>
        <v>4.7254787614324936E-11</v>
      </c>
      <c r="AD20" s="2">
        <f t="shared" si="6"/>
        <v>1.52587890625E-5</v>
      </c>
      <c r="AF20" s="2">
        <v>16</v>
      </c>
      <c r="AG20" s="2">
        <f t="shared" si="13"/>
        <v>1884.1400146484375</v>
      </c>
      <c r="AH20" s="2">
        <v>-6.158423780539124E-2</v>
      </c>
      <c r="AI20" s="2">
        <f t="shared" si="14"/>
        <v>1884.27734375</v>
      </c>
      <c r="AJ20" s="2">
        <v>2.5275846792283119E-3</v>
      </c>
      <c r="AK20" s="2">
        <f t="shared" si="9"/>
        <v>1884.2086791992188</v>
      </c>
      <c r="AL20" s="2">
        <v>-2.9528395409215591E-2</v>
      </c>
      <c r="AM20" s="2">
        <f t="shared" si="10"/>
        <v>1.8184837248927559E-3</v>
      </c>
      <c r="AN20" s="2">
        <f t="shared" si="11"/>
        <v>-7.4635519838528946E-5</v>
      </c>
      <c r="AO20" s="2">
        <f t="shared" si="12"/>
        <v>0.1373291015625</v>
      </c>
    </row>
    <row r="21" spans="2:41" x14ac:dyDescent="0.2">
      <c r="F21" s="42" t="s">
        <v>225</v>
      </c>
      <c r="G21" s="41">
        <f>$C$17 * G18</f>
        <v>176.17636442448631</v>
      </c>
      <c r="H21" s="41" t="s">
        <v>104</v>
      </c>
      <c r="J21" s="14" t="s">
        <v>66</v>
      </c>
      <c r="K21" s="6">
        <f xml:space="preserve"> $C$53 * 0</f>
        <v>0</v>
      </c>
      <c r="L21" s="6" t="s">
        <v>7</v>
      </c>
      <c r="N21" s="6" t="s">
        <v>31</v>
      </c>
      <c r="O21" s="6">
        <f xml:space="preserve"> $C$7 * COS(O18/180*PI()) / (O20 * $C$8)</f>
        <v>0.41081537067553392</v>
      </c>
      <c r="U21" s="2">
        <v>17</v>
      </c>
      <c r="V21" s="2">
        <f t="shared" si="7"/>
        <v>4.0130615234375E-2</v>
      </c>
      <c r="W21" s="2">
        <f t="shared" si="0"/>
        <v>3.6058938798350093E-6</v>
      </c>
      <c r="X21" s="2">
        <f t="shared" si="8"/>
        <v>4.013824462890625E-2</v>
      </c>
      <c r="Y21" s="2">
        <f t="shared" si="1"/>
        <v>-4.0422135385992375E-6</v>
      </c>
      <c r="Z21" s="2">
        <f t="shared" si="3"/>
        <v>4.0134429931640625E-2</v>
      </c>
      <c r="AA21" s="2">
        <f t="shared" si="2"/>
        <v>-2.1815939733882406E-7</v>
      </c>
      <c r="AB21" s="2">
        <f t="shared" si="4"/>
        <v>-7.8665963569255967E-13</v>
      </c>
      <c r="AC21" s="2">
        <f t="shared" si="5"/>
        <v>8.8184686949564509E-13</v>
      </c>
      <c r="AD21" s="2">
        <f t="shared" si="6"/>
        <v>7.62939453125E-6</v>
      </c>
      <c r="AF21" s="2">
        <v>17</v>
      </c>
      <c r="AG21" s="2">
        <f t="shared" si="13"/>
        <v>1884.2086791992188</v>
      </c>
      <c r="AH21" s="2">
        <v>-2.9528395409215591E-2</v>
      </c>
      <c r="AI21" s="2">
        <f t="shared" si="14"/>
        <v>1884.27734375</v>
      </c>
      <c r="AJ21" s="2">
        <v>2.5275846792283119E-3</v>
      </c>
      <c r="AK21" s="2">
        <f t="shared" si="9"/>
        <v>1884.2430114746094</v>
      </c>
      <c r="AL21" s="2">
        <v>-1.3500422575589255E-2</v>
      </c>
      <c r="AM21" s="2">
        <f t="shared" si="10"/>
        <v>3.9864581600350027E-4</v>
      </c>
      <c r="AN21" s="2">
        <f t="shared" si="11"/>
        <v>-3.4123461265167424E-5</v>
      </c>
      <c r="AO21" s="2">
        <f t="shared" si="12"/>
        <v>6.866455078125E-2</v>
      </c>
    </row>
    <row r="22" spans="2:41" x14ac:dyDescent="0.2">
      <c r="B22" s="53" t="s">
        <v>107</v>
      </c>
      <c r="C22" s="53"/>
      <c r="D22" s="53"/>
      <c r="J22" s="14" t="s">
        <v>117</v>
      </c>
      <c r="K22" s="6">
        <f>$C$53*(0.14*$G$11*1000/745.7)*0.453592</f>
        <v>25.799027198954359</v>
      </c>
      <c r="L22" s="6" t="s">
        <v>7</v>
      </c>
      <c r="N22" s="6" t="s">
        <v>32</v>
      </c>
      <c r="O22" s="6">
        <f xml:space="preserve"> O19 / ($C$45 * PI() * $C$8^2 * O20^2 * $C$8^2)</f>
        <v>8.5959068638991141E-3</v>
      </c>
      <c r="U22" s="2">
        <v>18</v>
      </c>
      <c r="V22" s="2">
        <f t="shared" si="7"/>
        <v>4.0130615234375E-2</v>
      </c>
      <c r="W22" s="2">
        <f t="shared" si="0"/>
        <v>3.6058938798350093E-6</v>
      </c>
      <c r="X22" s="2">
        <f t="shared" si="8"/>
        <v>4.0134429931640625E-2</v>
      </c>
      <c r="Y22" s="2">
        <f t="shared" si="1"/>
        <v>-2.1815939733882406E-7</v>
      </c>
      <c r="Z22" s="2">
        <f t="shared" si="3"/>
        <v>4.0132522583007812E-2</v>
      </c>
      <c r="AA22" s="2">
        <f t="shared" si="2"/>
        <v>1.6938673492589151E-6</v>
      </c>
      <c r="AB22" s="2">
        <f t="shared" si="4"/>
        <v>6.1079059079450722E-12</v>
      </c>
      <c r="AC22" s="2">
        <f t="shared" si="5"/>
        <v>-3.6953308008623635E-13</v>
      </c>
      <c r="AD22" s="2">
        <f t="shared" si="6"/>
        <v>3.814697265625E-6</v>
      </c>
      <c r="AF22" s="2">
        <v>18</v>
      </c>
      <c r="AG22" s="2">
        <f t="shared" si="13"/>
        <v>1884.2430114746094</v>
      </c>
      <c r="AH22" s="2">
        <v>-1.3500422575589255E-2</v>
      </c>
      <c r="AI22" s="2">
        <f t="shared" si="14"/>
        <v>1884.27734375</v>
      </c>
      <c r="AJ22" s="2">
        <v>2.5275846792283119E-3</v>
      </c>
      <c r="AK22" s="2">
        <f t="shared" si="9"/>
        <v>1884.2601776123047</v>
      </c>
      <c r="AL22" s="2">
        <v>-5.4864232511135924E-3</v>
      </c>
      <c r="AM22" s="2">
        <f t="shared" si="10"/>
        <v>7.406903231857174E-5</v>
      </c>
      <c r="AN22" s="2">
        <f t="shared" si="11"/>
        <v>-1.3867399353276701E-5</v>
      </c>
      <c r="AO22" s="2">
        <f t="shared" si="12"/>
        <v>3.4332275390625E-2</v>
      </c>
    </row>
    <row r="23" spans="2:41" x14ac:dyDescent="0.2">
      <c r="B23" t="s">
        <v>108</v>
      </c>
      <c r="C23" s="1">
        <v>6</v>
      </c>
      <c r="D23"/>
      <c r="F23" s="50" t="s">
        <v>84</v>
      </c>
      <c r="G23" s="51"/>
      <c r="H23" s="51"/>
      <c r="J23" s="15" t="s">
        <v>67</v>
      </c>
      <c r="K23" s="6">
        <f xml:space="preserve"> $C$54 * (0.0268 * $C$5)</f>
        <v>50.498481857776646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7"/>
        <v>4.0132522583007812E-2</v>
      </c>
      <c r="W23" s="2">
        <f t="shared" si="0"/>
        <v>1.6938673492589151E-6</v>
      </c>
      <c r="X23" s="2">
        <f t="shared" si="8"/>
        <v>4.0134429931640625E-2</v>
      </c>
      <c r="Y23" s="2">
        <f t="shared" si="1"/>
        <v>-2.1815939733882406E-7</v>
      </c>
      <c r="Z23" s="2">
        <f t="shared" si="3"/>
        <v>4.0133476257324219E-2</v>
      </c>
      <c r="AA23" s="2">
        <f t="shared" si="2"/>
        <v>7.3785400295928172E-7</v>
      </c>
      <c r="AB23" s="2">
        <f t="shared" si="4"/>
        <v>1.2498268041327182E-12</v>
      </c>
      <c r="AC23" s="2">
        <f t="shared" si="5"/>
        <v>-1.6096978460963581E-13</v>
      </c>
      <c r="AD23" s="2">
        <f t="shared" si="6"/>
        <v>1.9073486328125E-6</v>
      </c>
      <c r="AF23" s="2">
        <v>19</v>
      </c>
      <c r="AG23" s="2">
        <f t="shared" si="13"/>
        <v>1884.2601776123047</v>
      </c>
      <c r="AH23" s="2">
        <v>-5.4864232511135924E-3</v>
      </c>
      <c r="AI23" s="2">
        <f t="shared" si="14"/>
        <v>1884.27734375</v>
      </c>
      <c r="AJ23" s="2">
        <v>2.5275846792283119E-3</v>
      </c>
      <c r="AK23" s="2">
        <f t="shared" si="9"/>
        <v>1884.2687606811523</v>
      </c>
      <c r="AL23" s="2">
        <v>-1.4794203607380041E-3</v>
      </c>
      <c r="AM23" s="2">
        <f t="shared" si="10"/>
        <v>8.116726265323844E-6</v>
      </c>
      <c r="AN23" s="2">
        <f t="shared" si="11"/>
        <v>-3.7393602379398015E-6</v>
      </c>
      <c r="AO23" s="2">
        <f t="shared" si="12"/>
        <v>1.71661376953125E-2</v>
      </c>
    </row>
    <row r="24" spans="2:41" x14ac:dyDescent="0.2">
      <c r="B24" t="s">
        <v>109</v>
      </c>
      <c r="C24" s="1">
        <v>6.4008000000000003</v>
      </c>
      <c r="D24" t="s">
        <v>8</v>
      </c>
      <c r="F24" t="s">
        <v>88</v>
      </c>
      <c r="G24" s="1">
        <f>300*0.3048/60</f>
        <v>1.524</v>
      </c>
      <c r="H24" t="s">
        <v>10</v>
      </c>
      <c r="J24" s="15" t="s">
        <v>68</v>
      </c>
      <c r="K24" s="6">
        <f xml:space="preserve"> $C$54 * (11.5 * ($C$5*2.20462/1000)^0.4 * 0.453592)</f>
        <v>9.2204928425201302</v>
      </c>
      <c r="L24" s="6" t="s">
        <v>7</v>
      </c>
      <c r="N24" s="6" t="s">
        <v>33</v>
      </c>
      <c r="O24" s="6">
        <f xml:space="preserve"> ($C$19 * O23 / 8) * (1 + 4.65 *O21^ 2) * ( PI() * $C$45 * O20^3 *$C$8^ 5)</f>
        <v>11157.327002027461</v>
      </c>
      <c r="P24" s="6" t="s">
        <v>20</v>
      </c>
      <c r="U24" s="2">
        <v>20</v>
      </c>
      <c r="V24" s="2">
        <f t="shared" si="7"/>
        <v>4.0133476257324219E-2</v>
      </c>
      <c r="W24" s="2">
        <f t="shared" si="0"/>
        <v>7.3785400295928172E-7</v>
      </c>
      <c r="X24" s="2">
        <f t="shared" si="8"/>
        <v>4.0134429931640625E-2</v>
      </c>
      <c r="Y24" s="2">
        <f t="shared" si="1"/>
        <v>-2.1815939733882406E-7</v>
      </c>
      <c r="Z24" s="2">
        <f t="shared" si="3"/>
        <v>4.0133953094482422E-2</v>
      </c>
      <c r="AA24" s="2">
        <f t="shared" si="2"/>
        <v>2.5984730955830315E-7</v>
      </c>
      <c r="AB24" s="2">
        <f t="shared" si="4"/>
        <v>1.917293775157936E-13</v>
      </c>
      <c r="AC24" s="2">
        <f t="shared" si="5"/>
        <v>-5.6688132453354271E-14</v>
      </c>
      <c r="AD24" s="2">
        <f t="shared" si="6"/>
        <v>9.5367431640625E-7</v>
      </c>
      <c r="AF24" s="2">
        <v>20</v>
      </c>
      <c r="AG24" s="2">
        <f t="shared" si="13"/>
        <v>1884.2687606811523</v>
      </c>
      <c r="AH24" s="2">
        <v>-1.4794203607380041E-3</v>
      </c>
      <c r="AI24" s="2">
        <f t="shared" si="14"/>
        <v>1884.27734375</v>
      </c>
      <c r="AJ24" s="2">
        <v>2.5275846792283119E-3</v>
      </c>
      <c r="AK24" s="2">
        <f t="shared" si="9"/>
        <v>1884.2730522155762</v>
      </c>
      <c r="AL24" s="2">
        <v>5.2408189048946952E-4</v>
      </c>
      <c r="AM24" s="2">
        <f t="shared" si="10"/>
        <v>-7.7533741948418618E-7</v>
      </c>
      <c r="AN24" s="2">
        <f t="shared" si="11"/>
        <v>1.3246613570621931E-6</v>
      </c>
      <c r="AO24" s="2">
        <f t="shared" si="12"/>
        <v>8.58306884765625E-3</v>
      </c>
    </row>
    <row r="25" spans="2:41" x14ac:dyDescent="0.2">
      <c r="B25" t="s">
        <v>110</v>
      </c>
      <c r="C25" s="1">
        <v>2.0560284000000002</v>
      </c>
      <c r="D25" t="s">
        <v>8</v>
      </c>
      <c r="F25" t="s">
        <v>94</v>
      </c>
      <c r="G25" s="1">
        <f>1000*0.3048</f>
        <v>304.8</v>
      </c>
      <c r="H25" t="s">
        <v>8</v>
      </c>
      <c r="J25" s="15" t="s">
        <v>69</v>
      </c>
      <c r="K25" s="6">
        <f xml:space="preserve"> $C$54 * (8 * ($C$5/1000))</f>
        <v>15.07417368888855</v>
      </c>
      <c r="L25" s="6" t="s">
        <v>7</v>
      </c>
      <c r="N25" s="6" t="s">
        <v>34</v>
      </c>
      <c r="O25" s="18">
        <f>Z34</f>
        <v>4.0134212467819452E-2</v>
      </c>
      <c r="U25" s="2">
        <v>21</v>
      </c>
      <c r="V25" s="2">
        <f t="shared" si="7"/>
        <v>4.0133953094482422E-2</v>
      </c>
      <c r="W25" s="2">
        <f t="shared" si="0"/>
        <v>2.5984730955830315E-7</v>
      </c>
      <c r="X25" s="2">
        <f t="shared" si="8"/>
        <v>4.0134429931640625E-2</v>
      </c>
      <c r="Y25" s="2">
        <f t="shared" si="1"/>
        <v>-2.1815939733882406E-7</v>
      </c>
      <c r="Z25" s="2">
        <f t="shared" si="3"/>
        <v>4.0134191513061523E-2</v>
      </c>
      <c r="AA25" s="2">
        <f t="shared" si="2"/>
        <v>2.0843957795890766E-8</v>
      </c>
      <c r="AB25" s="2">
        <f t="shared" si="4"/>
        <v>5.4162463538090341E-15</v>
      </c>
      <c r="AC25" s="2">
        <f t="shared" si="5"/>
        <v>-4.5473052709074127E-15</v>
      </c>
      <c r="AD25" s="2">
        <f t="shared" si="6"/>
        <v>4.76837158203125E-7</v>
      </c>
      <c r="AF25" s="2">
        <v>21</v>
      </c>
      <c r="AG25" s="2">
        <f t="shared" si="13"/>
        <v>1884.2687606811523</v>
      </c>
      <c r="AH25" s="2">
        <v>-1.4794203607380041E-3</v>
      </c>
      <c r="AI25" s="2">
        <f t="shared" si="14"/>
        <v>1884.2730522155762</v>
      </c>
      <c r="AJ25" s="2">
        <v>5.2408189048946952E-4</v>
      </c>
      <c r="AK25" s="2">
        <f t="shared" si="9"/>
        <v>1884.2709064483643</v>
      </c>
      <c r="AL25" s="2">
        <v>-4.8124173963515204E-4</v>
      </c>
      <c r="AM25" s="2">
        <f t="shared" si="10"/>
        <v>7.1195882805322126E-7</v>
      </c>
      <c r="AN25" s="2">
        <f t="shared" si="11"/>
        <v>-2.5221008069043157E-7</v>
      </c>
      <c r="AO25" s="2">
        <f t="shared" si="12"/>
        <v>4.291534423828125E-3</v>
      </c>
    </row>
    <row r="26" spans="2:41" x14ac:dyDescent="0.2">
      <c r="F26" t="s">
        <v>93</v>
      </c>
      <c r="G26" s="8">
        <f>$G$25/$G$24</f>
        <v>200</v>
      </c>
      <c r="H26" t="s">
        <v>14</v>
      </c>
      <c r="J26" s="15" t="s">
        <v>70</v>
      </c>
      <c r="K26" s="6">
        <f xml:space="preserve"> $C$54 * (13 * ($C$5*2.20462/1000)^1.3 * 0.453592)</f>
        <v>37.551664393352929</v>
      </c>
      <c r="L26" s="6" t="s">
        <v>7</v>
      </c>
      <c r="N26" s="6" t="s">
        <v>35</v>
      </c>
      <c r="O26" s="6">
        <f xml:space="preserve"> O20 * $C$8 * O25 - $C$7 * SIN(O18/180*PI())</f>
        <v>1.769579537655642</v>
      </c>
      <c r="P26" s="6" t="s">
        <v>10</v>
      </c>
      <c r="U26" s="2">
        <v>22</v>
      </c>
      <c r="V26" s="2">
        <f t="shared" si="7"/>
        <v>4.0134191513061523E-2</v>
      </c>
      <c r="W26" s="2">
        <f t="shared" si="0"/>
        <v>2.0843957795890766E-8</v>
      </c>
      <c r="X26" s="2">
        <f t="shared" si="8"/>
        <v>4.0134429931640625E-2</v>
      </c>
      <c r="Y26" s="2">
        <f t="shared" si="1"/>
        <v>-2.1815939733882406E-7</v>
      </c>
      <c r="Z26" s="2">
        <f t="shared" si="3"/>
        <v>4.0134310722351074E-2</v>
      </c>
      <c r="AA26" s="2">
        <f t="shared" si="2"/>
        <v>-9.8657719348194117E-8</v>
      </c>
      <c r="AB26" s="2">
        <f t="shared" si="4"/>
        <v>-2.0564173383325943E-15</v>
      </c>
      <c r="AC26" s="2">
        <f t="shared" si="5"/>
        <v>2.152310859582487E-14</v>
      </c>
      <c r="AD26" s="2">
        <f t="shared" si="6"/>
        <v>2.384185791015625E-7</v>
      </c>
      <c r="AF26" s="2">
        <v>22</v>
      </c>
      <c r="AG26" s="2">
        <f t="shared" si="13"/>
        <v>1884.2709064483643</v>
      </c>
      <c r="AH26" s="2">
        <v>-4.8124173963515204E-4</v>
      </c>
      <c r="AI26" s="2">
        <f t="shared" si="14"/>
        <v>1884.2730522155762</v>
      </c>
      <c r="AJ26" s="2">
        <v>5.2408189048946952E-4</v>
      </c>
      <c r="AK26" s="2">
        <f t="shared" si="9"/>
        <v>1884.2719793319702</v>
      </c>
      <c r="AL26" s="2">
        <v>2.1420057464638376E-5</v>
      </c>
      <c r="AM26" s="2">
        <f t="shared" si="10"/>
        <v>-1.0308225717367497E-8</v>
      </c>
      <c r="AN26" s="2">
        <f t="shared" si="11"/>
        <v>1.1225864210460753E-8</v>
      </c>
      <c r="AO26" s="2">
        <f t="shared" si="12"/>
        <v>2.1457672119140625E-3</v>
      </c>
    </row>
    <row r="27" spans="2:41" x14ac:dyDescent="0.2">
      <c r="B27" s="53" t="s">
        <v>111</v>
      </c>
      <c r="C27" s="53"/>
      <c r="D27" s="53"/>
      <c r="F27" t="s">
        <v>21</v>
      </c>
      <c r="G27" s="6">
        <f xml:space="preserve"> $C$5 * $C$42 / $C$17</f>
        <v>4617.1681451363474</v>
      </c>
      <c r="H27" t="s">
        <v>22</v>
      </c>
      <c r="J27" s="10" t="s">
        <v>57</v>
      </c>
      <c r="K27" s="10">
        <f>$C$5 - $C$12 - SUM(K13:K26)</f>
        <v>-1.042453950503841E-4</v>
      </c>
      <c r="L27" s="10" t="s">
        <v>7</v>
      </c>
      <c r="N27" s="6" t="s">
        <v>36</v>
      </c>
      <c r="O27" s="6">
        <f xml:space="preserve"> 1/$C$20 - O24 * SQRT( (2*$C$45*PI()*$C$8^2) / O19^3 )</f>
        <v>1.1169898562388823</v>
      </c>
      <c r="U27" s="2">
        <v>23</v>
      </c>
      <c r="V27" s="2">
        <f t="shared" si="7"/>
        <v>4.0134191513061523E-2</v>
      </c>
      <c r="W27" s="2">
        <f t="shared" si="0"/>
        <v>2.0843957795890766E-8</v>
      </c>
      <c r="X27" s="2">
        <f t="shared" si="8"/>
        <v>4.0134310722351074E-2</v>
      </c>
      <c r="Y27" s="2">
        <f t="shared" si="1"/>
        <v>-9.8657719348194117E-8</v>
      </c>
      <c r="Z27" s="2">
        <f t="shared" si="3"/>
        <v>4.0134251117706299E-2</v>
      </c>
      <c r="AA27" s="2">
        <f t="shared" si="2"/>
        <v>-3.890688066859882E-8</v>
      </c>
      <c r="AB27" s="2">
        <f t="shared" si="4"/>
        <v>-8.1097337862603211E-16</v>
      </c>
      <c r="AC27" s="2">
        <f t="shared" si="5"/>
        <v>3.8384641137163013E-15</v>
      </c>
      <c r="AD27" s="2">
        <f t="shared" si="6"/>
        <v>1.1920928955078125E-7</v>
      </c>
      <c r="AF27" s="2">
        <v>23</v>
      </c>
      <c r="AG27" s="2">
        <f t="shared" si="13"/>
        <v>1884.2709064483643</v>
      </c>
      <c r="AH27" s="2">
        <v>-4.8124173963515204E-4</v>
      </c>
      <c r="AI27" s="2">
        <f t="shared" si="14"/>
        <v>1884.2719793319702</v>
      </c>
      <c r="AJ27" s="2">
        <v>2.1420057464638376E-5</v>
      </c>
      <c r="AK27" s="2">
        <f t="shared" si="9"/>
        <v>1884.2714428901672</v>
      </c>
      <c r="AL27" s="2">
        <v>-2.2991084529166983E-4</v>
      </c>
      <c r="AM27" s="2">
        <f t="shared" si="10"/>
        <v>1.1064269514915149E-7</v>
      </c>
      <c r="AN27" s="2">
        <f t="shared" si="11"/>
        <v>-4.9247035178911507E-9</v>
      </c>
      <c r="AO27" s="2">
        <f t="shared" si="12"/>
        <v>1.0728836059570312E-3</v>
      </c>
    </row>
    <row r="28" spans="2:41" x14ac:dyDescent="0.2">
      <c r="B28" s="6" t="s">
        <v>124</v>
      </c>
      <c r="C28" s="21" t="s">
        <v>260</v>
      </c>
      <c r="F28" t="s">
        <v>100</v>
      </c>
      <c r="G28" s="6">
        <f>G30/$C$17</f>
        <v>67.468135890717988</v>
      </c>
      <c r="H28" t="s">
        <v>20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7"/>
        <v>4.0134191513061523E-2</v>
      </c>
      <c r="W28" s="2">
        <f t="shared" si="0"/>
        <v>2.0843957795890766E-8</v>
      </c>
      <c r="X28" s="2">
        <f t="shared" si="8"/>
        <v>4.0134251117706299E-2</v>
      </c>
      <c r="Y28" s="2">
        <f t="shared" si="1"/>
        <v>-3.890688066859882E-8</v>
      </c>
      <c r="Z28" s="2">
        <f t="shared" si="3"/>
        <v>4.0134221315383911E-2</v>
      </c>
      <c r="AA28" s="2">
        <f t="shared" si="2"/>
        <v>-9.0314614120678982E-9</v>
      </c>
      <c r="AB28" s="2">
        <f t="shared" si="4"/>
        <v>-1.8825140050835929E-16</v>
      </c>
      <c r="AC28" s="2">
        <f t="shared" si="5"/>
        <v>3.5138599142238071E-16</v>
      </c>
      <c r="AD28" s="2">
        <f t="shared" si="6"/>
        <v>5.9604644775390625E-8</v>
      </c>
      <c r="AF28" s="2">
        <v>24</v>
      </c>
      <c r="AG28" s="2">
        <f t="shared" si="13"/>
        <v>1884.2714428901672</v>
      </c>
      <c r="AH28" s="2">
        <v>-4.8124173963515204E-4</v>
      </c>
      <c r="AI28" s="2">
        <f t="shared" si="14"/>
        <v>1884.2719793319702</v>
      </c>
      <c r="AJ28" s="2">
        <v>-2.2991084529166983E-4</v>
      </c>
      <c r="AK28" s="2">
        <f t="shared" si="9"/>
        <v>1884.2717111110687</v>
      </c>
      <c r="AL28" s="2">
        <v>-2.2991084529166983E-4</v>
      </c>
      <c r="AM28" s="2">
        <f t="shared" si="10"/>
        <v>1.1064269514915149E-7</v>
      </c>
      <c r="AN28" s="2">
        <f t="shared" si="11"/>
        <v>5.2858996782730139E-8</v>
      </c>
      <c r="AO28" s="2">
        <f t="shared" si="12"/>
        <v>5.3644180297851562E-4</v>
      </c>
    </row>
    <row r="29" spans="2:41" x14ac:dyDescent="0.2">
      <c r="B29" s="6" t="s">
        <v>126</v>
      </c>
      <c r="C29" s="6">
        <f>IF(C28="wheeled",0.0325,0.014)</f>
        <v>1.4E-2</v>
      </c>
      <c r="F29" t="s">
        <v>274</v>
      </c>
      <c r="G29" s="6">
        <f xml:space="preserve"> (G27/$C$42*1000) / (G28*1000)</f>
        <v>6.9820800820817555</v>
      </c>
      <c r="H29" s="6" t="s">
        <v>275</v>
      </c>
      <c r="N29" s="6" t="s">
        <v>38</v>
      </c>
      <c r="O29" s="6">
        <f xml:space="preserve"> 1/$C$51 * LN( EXP($C$51 * O27) + EXP($C$51 * O28) )</f>
        <v>1.1605292838193351</v>
      </c>
      <c r="U29" s="2">
        <v>25</v>
      </c>
      <c r="V29" s="2">
        <f t="shared" si="7"/>
        <v>4.0134191513061523E-2</v>
      </c>
      <c r="W29" s="2">
        <f t="shared" si="0"/>
        <v>2.0843957795890766E-8</v>
      </c>
      <c r="X29" s="2">
        <f t="shared" si="8"/>
        <v>4.0134221315383911E-2</v>
      </c>
      <c r="Y29" s="2">
        <f t="shared" si="1"/>
        <v>-9.0314614120678982E-9</v>
      </c>
      <c r="Z29" s="2">
        <f t="shared" si="3"/>
        <v>4.0134206414222717E-2</v>
      </c>
      <c r="AA29" s="2">
        <f t="shared" si="2"/>
        <v>5.9062481988503279E-9</v>
      </c>
      <c r="AB29" s="2">
        <f t="shared" si="4"/>
        <v>1.2310958818889208E-16</v>
      </c>
      <c r="AC29" s="2">
        <f t="shared" si="5"/>
        <v>-5.3342052698012261E-17</v>
      </c>
      <c r="AD29" s="2">
        <f t="shared" si="6"/>
        <v>2.9802322387695312E-8</v>
      </c>
      <c r="AF29" s="2">
        <v>25</v>
      </c>
      <c r="AG29" s="2">
        <f t="shared" si="13"/>
        <v>1884.2717111110687</v>
      </c>
      <c r="AH29" s="2">
        <v>-4.8124173963515204E-4</v>
      </c>
      <c r="AI29" s="2">
        <f t="shared" si="14"/>
        <v>1884.2717111110687</v>
      </c>
      <c r="AJ29" s="2">
        <v>-2.2991084529166983E-4</v>
      </c>
      <c r="AK29" s="2">
        <f t="shared" si="9"/>
        <v>1884.2717111110687</v>
      </c>
      <c r="AL29" s="2">
        <v>-2.2991084529166983E-4</v>
      </c>
      <c r="AM29" s="2">
        <f t="shared" si="10"/>
        <v>1.1064269514915149E-7</v>
      </c>
      <c r="AN29" s="2">
        <f t="shared" si="11"/>
        <v>5.2858996782730139E-8</v>
      </c>
      <c r="AO29" s="2">
        <f t="shared" si="12"/>
        <v>0</v>
      </c>
    </row>
    <row r="30" spans="2:41" x14ac:dyDescent="0.2">
      <c r="B30" t="s">
        <v>261</v>
      </c>
      <c r="C30" s="1">
        <v>2.8540374719999999</v>
      </c>
      <c r="D30" t="s">
        <v>8</v>
      </c>
      <c r="F30" s="40" t="s">
        <v>86</v>
      </c>
      <c r="G30" s="41">
        <f xml:space="preserve"> 1/1000 * IF($G$24&gt;= 2*SQRT(($C$5*$C$42)/(2*$C$39*$C$17*PI()*$C$8*$C$8)), ($C$5*$C$42)/$C$20 * ( ($G$24/2) - SQRT( ($G$24/2)^2 - ($C$5*$C$42)/(2*$C$39*$C$17*PI()*$C$8*$C$8 ) ) ), 1/$C$20 * SQRT(($C$5*$C$42)^3/(2*$C$39*$C$17*PI()*$C$8*$C$8)) )</f>
        <v>269.87254356287195</v>
      </c>
      <c r="H30" s="40" t="s">
        <v>104</v>
      </c>
      <c r="J30" s="52" t="s">
        <v>116</v>
      </c>
      <c r="K30" s="52"/>
      <c r="L30" s="52"/>
      <c r="U30" s="2">
        <v>26</v>
      </c>
      <c r="V30" s="2">
        <f t="shared" si="7"/>
        <v>4.0134206414222717E-2</v>
      </c>
      <c r="W30" s="2">
        <f t="shared" si="0"/>
        <v>5.9062481988503279E-9</v>
      </c>
      <c r="X30" s="2">
        <f t="shared" si="8"/>
        <v>4.0134221315383911E-2</v>
      </c>
      <c r="Y30" s="2">
        <f t="shared" si="1"/>
        <v>-9.0314614120678982E-9</v>
      </c>
      <c r="Z30" s="2">
        <f t="shared" si="3"/>
        <v>4.0134213864803314E-2</v>
      </c>
      <c r="AA30" s="2">
        <f t="shared" si="2"/>
        <v>-1.5626065996698912E-9</v>
      </c>
      <c r="AB30" s="2">
        <f t="shared" si="4"/>
        <v>-9.2291424148119305E-18</v>
      </c>
      <c r="AC30" s="2">
        <f t="shared" si="5"/>
        <v>1.4112621207161253E-17</v>
      </c>
      <c r="AD30" s="2">
        <f t="shared" si="6"/>
        <v>1.4901161193847656E-8</v>
      </c>
      <c r="AF30" s="2">
        <v>26</v>
      </c>
      <c r="AG30" s="2">
        <f t="shared" si="13"/>
        <v>1884.2717111110687</v>
      </c>
      <c r="AH30" s="2">
        <v>-4.8124173963515204E-4</v>
      </c>
      <c r="AI30" s="2">
        <f t="shared" si="14"/>
        <v>1884.2717111110687</v>
      </c>
      <c r="AJ30" s="2">
        <v>-2.2991084529166983E-4</v>
      </c>
      <c r="AK30" s="2">
        <f t="shared" si="9"/>
        <v>1884.2717111110687</v>
      </c>
      <c r="AL30" s="2">
        <v>-2.2991084529166983E-4</v>
      </c>
      <c r="AM30" s="2">
        <f t="shared" si="10"/>
        <v>1.1064269514915149E-7</v>
      </c>
      <c r="AN30" s="2">
        <f t="shared" si="11"/>
        <v>5.2858996782730139E-8</v>
      </c>
      <c r="AO30" s="2">
        <f t="shared" si="12"/>
        <v>0</v>
      </c>
    </row>
    <row r="31" spans="2:41" x14ac:dyDescent="0.2">
      <c r="B31" t="s">
        <v>262</v>
      </c>
      <c r="C31" s="1">
        <f>(0.750222528+0.849998808)/2</f>
        <v>0.80011066800000008</v>
      </c>
      <c r="D31"/>
      <c r="J31" s="6" t="s">
        <v>60</v>
      </c>
      <c r="K31" s="6">
        <f>ROUND($C$12,2)</f>
        <v>600</v>
      </c>
      <c r="L31" s="6" t="s">
        <v>7</v>
      </c>
      <c r="U31" s="2">
        <v>27</v>
      </c>
      <c r="V31" s="2">
        <f t="shared" si="7"/>
        <v>4.0134206414222717E-2</v>
      </c>
      <c r="W31" s="2">
        <f t="shared" si="0"/>
        <v>5.9062481988503279E-9</v>
      </c>
      <c r="X31" s="2">
        <f t="shared" si="8"/>
        <v>4.0134213864803314E-2</v>
      </c>
      <c r="Y31" s="2">
        <f t="shared" si="1"/>
        <v>-1.5626065996698912E-9</v>
      </c>
      <c r="Z31" s="2">
        <f t="shared" si="3"/>
        <v>4.0134210139513016E-2</v>
      </c>
      <c r="AA31" s="2">
        <f t="shared" si="2"/>
        <v>2.1718207995902183E-9</v>
      </c>
      <c r="AB31" s="2">
        <f t="shared" si="4"/>
        <v>1.2827312685805406E-17</v>
      </c>
      <c r="AC31" s="2">
        <f t="shared" si="5"/>
        <v>-3.3937015147400154E-18</v>
      </c>
      <c r="AD31" s="2">
        <f t="shared" si="6"/>
        <v>7.4505805969238281E-9</v>
      </c>
      <c r="AF31" s="2">
        <v>27</v>
      </c>
      <c r="AG31" s="2">
        <f t="shared" si="13"/>
        <v>1884.2717111110687</v>
      </c>
      <c r="AH31" s="2">
        <v>-4.8124173963515204E-4</v>
      </c>
      <c r="AI31" s="2">
        <f t="shared" si="14"/>
        <v>1884.2717111110687</v>
      </c>
      <c r="AJ31" s="2">
        <v>-2.2991084529166983E-4</v>
      </c>
      <c r="AK31" s="2">
        <f t="shared" si="9"/>
        <v>1884.2717111110687</v>
      </c>
      <c r="AL31" s="2">
        <v>-2.2991084529166983E-4</v>
      </c>
      <c r="AM31" s="2">
        <f t="shared" si="10"/>
        <v>1.1064269514915149E-7</v>
      </c>
      <c r="AN31" s="2">
        <f t="shared" si="11"/>
        <v>5.2858996782730139E-8</v>
      </c>
      <c r="AO31" s="2">
        <f t="shared" si="12"/>
        <v>0</v>
      </c>
    </row>
    <row r="32" spans="2:41" x14ac:dyDescent="0.2">
      <c r="J32" s="11" t="s">
        <v>55</v>
      </c>
      <c r="K32" s="6">
        <f>ROUND(K13,2)</f>
        <v>517.71</v>
      </c>
      <c r="L32" s="6" t="s">
        <v>7</v>
      </c>
      <c r="U32" s="2">
        <v>28</v>
      </c>
      <c r="V32" s="2">
        <f t="shared" si="7"/>
        <v>4.0134210139513016E-2</v>
      </c>
      <c r="W32" s="2">
        <f t="shared" si="0"/>
        <v>2.1718207995902183E-9</v>
      </c>
      <c r="X32" s="2">
        <f t="shared" si="8"/>
        <v>4.0134213864803314E-2</v>
      </c>
      <c r="Y32" s="2">
        <f t="shared" si="1"/>
        <v>-1.5626065996698912E-9</v>
      </c>
      <c r="Z32" s="2">
        <f t="shared" si="3"/>
        <v>4.0134212002158165E-2</v>
      </c>
      <c r="AA32" s="2">
        <f t="shared" si="2"/>
        <v>3.046070964907166E-10</v>
      </c>
      <c r="AB32" s="2">
        <f t="shared" si="4"/>
        <v>6.6155202786132297E-19</v>
      </c>
      <c r="AC32" s="2">
        <f t="shared" si="5"/>
        <v>-4.7598105928267713E-19</v>
      </c>
      <c r="AD32" s="2">
        <f t="shared" si="6"/>
        <v>3.7252902984619141E-9</v>
      </c>
      <c r="AF32" s="2">
        <v>28</v>
      </c>
      <c r="AG32" s="2">
        <f t="shared" si="13"/>
        <v>1884.2717111110687</v>
      </c>
      <c r="AH32" s="2">
        <v>-4.8124173963515204E-4</v>
      </c>
      <c r="AI32" s="2">
        <f t="shared" si="14"/>
        <v>1884.2717111110687</v>
      </c>
      <c r="AJ32" s="2">
        <v>-2.2991084529166983E-4</v>
      </c>
      <c r="AK32" s="2">
        <f t="shared" si="9"/>
        <v>1884.2717111110687</v>
      </c>
      <c r="AL32" s="2">
        <v>-2.2991084529166983E-4</v>
      </c>
      <c r="AM32" s="2">
        <f t="shared" si="10"/>
        <v>1.1064269514915149E-7</v>
      </c>
      <c r="AN32" s="2">
        <f t="shared" si="11"/>
        <v>5.2858996782730139E-8</v>
      </c>
      <c r="AO32" s="2">
        <f t="shared" si="12"/>
        <v>0</v>
      </c>
    </row>
    <row r="33" spans="2:41" x14ac:dyDescent="0.2">
      <c r="B33" s="52" t="s">
        <v>2</v>
      </c>
      <c r="C33" s="52"/>
      <c r="D33" s="52"/>
      <c r="F33" s="9"/>
      <c r="J33" s="19" t="s">
        <v>81</v>
      </c>
      <c r="K33" s="6">
        <f>ROUND(SUM(K14:K17),2)</f>
        <v>440.92</v>
      </c>
      <c r="L33" s="6" t="s">
        <v>7</v>
      </c>
      <c r="U33" s="2">
        <v>29</v>
      </c>
      <c r="V33" s="2">
        <f t="shared" si="7"/>
        <v>4.0134212002158165E-2</v>
      </c>
      <c r="W33" s="2">
        <f t="shared" si="0"/>
        <v>3.046070964907166E-10</v>
      </c>
      <c r="X33" s="2">
        <f t="shared" si="8"/>
        <v>4.0134213864803314E-2</v>
      </c>
      <c r="Y33" s="2">
        <f t="shared" si="1"/>
        <v>-1.5626065996698912E-9</v>
      </c>
      <c r="Z33" s="2">
        <f t="shared" si="3"/>
        <v>4.013421293348074E-2</v>
      </c>
      <c r="AA33" s="2">
        <f t="shared" si="2"/>
        <v>-6.2899975505903427E-10</v>
      </c>
      <c r="AB33" s="2">
        <f t="shared" si="4"/>
        <v>-1.9159778908190436E-19</v>
      </c>
      <c r="AC33" s="2">
        <f t="shared" si="5"/>
        <v>9.8287916844599201E-19</v>
      </c>
      <c r="AD33" s="2">
        <f t="shared" si="6"/>
        <v>1.862645149230957E-9</v>
      </c>
      <c r="AF33" s="2">
        <v>29</v>
      </c>
      <c r="AG33" s="2">
        <f t="shared" si="13"/>
        <v>1884.2717111110687</v>
      </c>
      <c r="AH33" s="2">
        <v>-4.8124173963515204E-4</v>
      </c>
      <c r="AI33" s="2">
        <f t="shared" si="14"/>
        <v>1884.2717111110687</v>
      </c>
      <c r="AJ33" s="2">
        <v>-2.2991084529166983E-4</v>
      </c>
      <c r="AK33" s="2">
        <f t="shared" si="9"/>
        <v>1884.2717111110687</v>
      </c>
      <c r="AL33" s="2">
        <v>-2.2991084529166983E-4</v>
      </c>
      <c r="AM33" s="2">
        <f t="shared" si="10"/>
        <v>1.1064269514915149E-7</v>
      </c>
      <c r="AN33" s="2">
        <f t="shared" si="11"/>
        <v>5.2858996782730139E-8</v>
      </c>
      <c r="AO33" s="2">
        <f t="shared" si="12"/>
        <v>0</v>
      </c>
    </row>
    <row r="34" spans="2:41" x14ac:dyDescent="0.2">
      <c r="B34" s="6" t="s">
        <v>3</v>
      </c>
      <c r="C34" s="17">
        <v>250</v>
      </c>
      <c r="D34" s="6" t="s">
        <v>4</v>
      </c>
      <c r="J34" s="20" t="s">
        <v>72</v>
      </c>
      <c r="K34" s="6">
        <f>ROUND(SUM(K18:K22),2)</f>
        <v>213.3</v>
      </c>
      <c r="L34" s="6" t="s">
        <v>7</v>
      </c>
      <c r="U34" s="2">
        <v>30</v>
      </c>
      <c r="V34" s="2">
        <f t="shared" si="7"/>
        <v>4.0134212002158165E-2</v>
      </c>
      <c r="W34" s="2">
        <f t="shared" si="0"/>
        <v>3.046070964907166E-10</v>
      </c>
      <c r="X34" s="2">
        <f t="shared" si="8"/>
        <v>4.013421293348074E-2</v>
      </c>
      <c r="Y34" s="2">
        <f t="shared" si="1"/>
        <v>-6.2899975505903427E-10</v>
      </c>
      <c r="Z34" s="2">
        <f t="shared" si="3"/>
        <v>4.0134212467819452E-2</v>
      </c>
      <c r="AA34" s="2">
        <f t="shared" si="2"/>
        <v>-1.6219632581471188E-10</v>
      </c>
      <c r="AB34" s="2">
        <f t="shared" si="4"/>
        <v>-4.940615186788165E-20</v>
      </c>
      <c r="AC34" s="2">
        <f t="shared" si="5"/>
        <v>1.0202144920892909E-19</v>
      </c>
      <c r="AD34" s="2">
        <f>X34-V34</f>
        <v>9.3132257461547852E-10</v>
      </c>
      <c r="AF34" s="2">
        <v>30</v>
      </c>
      <c r="AG34" s="2">
        <f t="shared" si="13"/>
        <v>1884.2717111110687</v>
      </c>
      <c r="AH34" s="2">
        <v>-4.8124173963515204E-4</v>
      </c>
      <c r="AI34" s="2">
        <f t="shared" si="14"/>
        <v>1884.2717111110687</v>
      </c>
      <c r="AJ34" s="2">
        <v>-2.2991084529166983E-4</v>
      </c>
      <c r="AK34" s="2">
        <f t="shared" si="9"/>
        <v>1884.2717111110687</v>
      </c>
      <c r="AL34" s="2">
        <v>-2.2991084529166983E-4</v>
      </c>
      <c r="AM34" s="2">
        <f t="shared" si="10"/>
        <v>1.1064269514915149E-7</v>
      </c>
      <c r="AN34" s="2">
        <f t="shared" si="11"/>
        <v>5.2858996782730139E-8</v>
      </c>
      <c r="AO34" s="2">
        <f t="shared" si="12"/>
        <v>0</v>
      </c>
    </row>
    <row r="35" spans="2:41" x14ac:dyDescent="0.2">
      <c r="B35" s="6" t="s">
        <v>5</v>
      </c>
      <c r="C35" s="17">
        <v>0.85</v>
      </c>
      <c r="J35" s="15" t="s">
        <v>73</v>
      </c>
      <c r="K35" s="6">
        <f>ROUND(SUM(K23:K26),2)</f>
        <v>112.34</v>
      </c>
      <c r="L35" s="6" t="s">
        <v>7</v>
      </c>
      <c r="AF35" s="2">
        <v>31</v>
      </c>
      <c r="AG35" s="2">
        <f t="shared" si="13"/>
        <v>1884.2717111110687</v>
      </c>
      <c r="AH35" s="2">
        <v>-4.8124173963515204E-4</v>
      </c>
      <c r="AI35" s="2">
        <f t="shared" si="14"/>
        <v>1884.2717111110687</v>
      </c>
      <c r="AJ35" s="2">
        <v>-2.2991084529166983E-4</v>
      </c>
      <c r="AK35" s="2">
        <f t="shared" si="9"/>
        <v>1884.2717111110687</v>
      </c>
      <c r="AL35" s="2">
        <v>-2.2991084529166983E-4</v>
      </c>
      <c r="AM35" s="2">
        <f t="shared" si="10"/>
        <v>1.1064269514915149E-7</v>
      </c>
      <c r="AN35" s="2">
        <f t="shared" si="11"/>
        <v>5.2858996782730139E-8</v>
      </c>
      <c r="AO35" s="2">
        <f t="shared" si="12"/>
        <v>0</v>
      </c>
    </row>
    <row r="36" spans="2:41" x14ac:dyDescent="0.2">
      <c r="B36" s="6" t="s">
        <v>6</v>
      </c>
      <c r="C36" s="17">
        <v>0.8</v>
      </c>
      <c r="J36" s="10" t="s">
        <v>62</v>
      </c>
      <c r="K36" s="10">
        <f>SUM(K31:K35)</f>
        <v>1884.27</v>
      </c>
      <c r="L36" s="6" t="s">
        <v>7</v>
      </c>
      <c r="AF36" s="2">
        <v>32</v>
      </c>
      <c r="AG36" s="2">
        <f t="shared" si="13"/>
        <v>1884.2717111110687</v>
      </c>
      <c r="AH36" s="2">
        <v>-4.8124173963515204E-4</v>
      </c>
      <c r="AI36" s="2">
        <f t="shared" si="14"/>
        <v>1884.2717111110687</v>
      </c>
      <c r="AJ36" s="2">
        <v>-2.2991084529166983E-4</v>
      </c>
      <c r="AK36" s="2">
        <f t="shared" si="9"/>
        <v>1884.2717111110687</v>
      </c>
      <c r="AL36" s="2">
        <v>-2.2991084529166983E-4</v>
      </c>
      <c r="AM36" s="2">
        <f t="shared" si="10"/>
        <v>1.1064269514915149E-7</v>
      </c>
      <c r="AN36" s="2">
        <f t="shared" si="11"/>
        <v>5.2858996782730139E-8</v>
      </c>
      <c r="AO36" s="2">
        <f t="shared" si="12"/>
        <v>0</v>
      </c>
    </row>
    <row r="37" spans="2:41" x14ac:dyDescent="0.2">
      <c r="AF37" s="2">
        <v>33</v>
      </c>
      <c r="AG37" s="2">
        <f t="shared" si="13"/>
        <v>1884.2717111110687</v>
      </c>
      <c r="AH37" s="2">
        <v>-4.8124173963515204E-4</v>
      </c>
      <c r="AI37" s="2">
        <f t="shared" si="14"/>
        <v>1884.2717111110687</v>
      </c>
      <c r="AJ37" s="2">
        <v>-2.2991084529166983E-4</v>
      </c>
      <c r="AK37" s="2">
        <f t="shared" si="9"/>
        <v>1884.2717111110687</v>
      </c>
      <c r="AL37" s="2">
        <v>-2.2991084529166983E-4</v>
      </c>
      <c r="AM37" s="2">
        <f t="shared" si="10"/>
        <v>1.1064269514915149E-7</v>
      </c>
      <c r="AN37" s="2">
        <f t="shared" si="11"/>
        <v>5.2858996782730139E-8</v>
      </c>
      <c r="AO37" s="2">
        <f t="shared" si="12"/>
        <v>0</v>
      </c>
    </row>
    <row r="38" spans="2:41" x14ac:dyDescent="0.2">
      <c r="B38" s="52" t="s">
        <v>272</v>
      </c>
      <c r="C38" s="54"/>
      <c r="D38" s="54"/>
      <c r="J38" s="52" t="s">
        <v>59</v>
      </c>
      <c r="K38" s="52"/>
      <c r="L38" s="52"/>
      <c r="AF38" s="2">
        <v>34</v>
      </c>
      <c r="AG38" s="2">
        <f t="shared" si="13"/>
        <v>1884.2717111110687</v>
      </c>
      <c r="AH38" s="2">
        <v>-4.8124173963515204E-4</v>
      </c>
      <c r="AI38" s="2">
        <f t="shared" si="14"/>
        <v>1884.2717111110687</v>
      </c>
      <c r="AJ38" s="2">
        <v>-2.2991084529166983E-4</v>
      </c>
      <c r="AK38" s="2">
        <f t="shared" si="9"/>
        <v>1884.2717111110687</v>
      </c>
      <c r="AL38" s="2">
        <v>-2.2991084529166983E-4</v>
      </c>
      <c r="AM38" s="2">
        <f t="shared" si="10"/>
        <v>1.1064269514915149E-7</v>
      </c>
      <c r="AN38" s="2">
        <f t="shared" si="11"/>
        <v>5.2858996782730139E-8</v>
      </c>
      <c r="AO38" s="2">
        <f t="shared" si="12"/>
        <v>0</v>
      </c>
    </row>
    <row r="39" spans="2:41" x14ac:dyDescent="0.2">
      <c r="B39" s="6" t="s">
        <v>15</v>
      </c>
      <c r="C39" s="17">
        <v>1.0397562309141399</v>
      </c>
      <c r="D39" s="6" t="s">
        <v>16</v>
      </c>
      <c r="J39" s="6" t="s">
        <v>60</v>
      </c>
      <c r="K39" s="6">
        <f>ROUND($C$12/$C$5 * 100, 2)</f>
        <v>31.84</v>
      </c>
      <c r="L39" s="6" t="s">
        <v>61</v>
      </c>
      <c r="AF39" s="2">
        <v>35</v>
      </c>
      <c r="AG39" s="2">
        <f t="shared" si="13"/>
        <v>1884.2717111110687</v>
      </c>
      <c r="AH39" s="2">
        <v>-4.8124173963515204E-4</v>
      </c>
      <c r="AI39" s="2">
        <f t="shared" si="14"/>
        <v>1884.2717111110687</v>
      </c>
      <c r="AJ39" s="2">
        <v>-2.2991084529166983E-4</v>
      </c>
      <c r="AK39" s="2">
        <f t="shared" si="9"/>
        <v>1884.2717111110687</v>
      </c>
      <c r="AL39" s="2">
        <v>-2.2991084529166983E-4</v>
      </c>
      <c r="AM39" s="2">
        <f t="shared" si="10"/>
        <v>1.1064269514915149E-7</v>
      </c>
      <c r="AN39" s="2">
        <f t="shared" si="11"/>
        <v>5.2858996782730139E-8</v>
      </c>
      <c r="AO39" s="2">
        <f t="shared" si="12"/>
        <v>0</v>
      </c>
    </row>
    <row r="40" spans="2:41" x14ac:dyDescent="0.2">
      <c r="B40" s="6" t="s">
        <v>214</v>
      </c>
      <c r="C40" s="39">
        <v>1.7363179204150701E-5</v>
      </c>
      <c r="D40" s="6" t="s">
        <v>210</v>
      </c>
      <c r="J40" s="11" t="s">
        <v>55</v>
      </c>
      <c r="K40" s="6">
        <f>ROUND(K13/$C$5 * 100, 2)</f>
        <v>27.48</v>
      </c>
      <c r="L40" s="6" t="s">
        <v>61</v>
      </c>
      <c r="AF40" s="2">
        <v>36</v>
      </c>
      <c r="AG40" s="2">
        <f t="shared" si="13"/>
        <v>1884.2717111110687</v>
      </c>
      <c r="AH40" s="2">
        <v>-4.8124173963515204E-4</v>
      </c>
      <c r="AI40" s="2">
        <f t="shared" si="14"/>
        <v>1884.2717111110687</v>
      </c>
      <c r="AJ40" s="2">
        <v>-2.2991084529166983E-4</v>
      </c>
      <c r="AK40" s="2">
        <f t="shared" si="9"/>
        <v>1884.2717111110687</v>
      </c>
      <c r="AL40" s="2">
        <v>-2.2991084529166983E-4</v>
      </c>
      <c r="AM40" s="2">
        <f t="shared" si="10"/>
        <v>1.1064269514915149E-7</v>
      </c>
      <c r="AN40" s="2">
        <f t="shared" si="11"/>
        <v>5.2858996782730139E-8</v>
      </c>
      <c r="AO40" s="2">
        <f t="shared" si="12"/>
        <v>0</v>
      </c>
    </row>
    <row r="41" spans="2:41" x14ac:dyDescent="0.2">
      <c r="B41" s="6" t="s">
        <v>132</v>
      </c>
      <c r="C41" s="17">
        <v>333.91694458017901</v>
      </c>
      <c r="D41" s="6" t="s">
        <v>10</v>
      </c>
      <c r="J41" s="19" t="s">
        <v>81</v>
      </c>
      <c r="K41" s="6">
        <f>ROUND(SUM(K14:K17)/$C$5 * 100, 2)</f>
        <v>23.4</v>
      </c>
      <c r="L41" s="6" t="s">
        <v>61</v>
      </c>
      <c r="AF41" s="2">
        <v>37</v>
      </c>
      <c r="AG41" s="2">
        <f t="shared" si="13"/>
        <v>1884.2717111110687</v>
      </c>
      <c r="AH41" s="2">
        <v>-4.8124173963515204E-4</v>
      </c>
      <c r="AI41" s="2">
        <f t="shared" si="14"/>
        <v>1884.2717111110687</v>
      </c>
      <c r="AJ41" s="2">
        <v>-2.2991084529166983E-4</v>
      </c>
      <c r="AK41" s="2">
        <f t="shared" si="9"/>
        <v>1884.2717111110687</v>
      </c>
      <c r="AL41" s="2">
        <v>-2.2991084529166983E-4</v>
      </c>
      <c r="AM41" s="2">
        <f t="shared" si="10"/>
        <v>1.1064269514915149E-7</v>
      </c>
      <c r="AN41" s="2">
        <f t="shared" si="11"/>
        <v>5.2858996782730139E-8</v>
      </c>
      <c r="AO41" s="2">
        <f t="shared" si="12"/>
        <v>0</v>
      </c>
    </row>
    <row r="42" spans="2:41" x14ac:dyDescent="0.2">
      <c r="B42" s="6" t="s">
        <v>17</v>
      </c>
      <c r="C42" s="1">
        <v>9.80149119240094</v>
      </c>
      <c r="D42" s="6" t="s">
        <v>18</v>
      </c>
      <c r="J42" s="20" t="s">
        <v>72</v>
      </c>
      <c r="K42" s="6">
        <f>ROUND(SUM(K18:K22)/$C$5 * 100, 2)</f>
        <v>11.32</v>
      </c>
      <c r="L42" s="6" t="s">
        <v>61</v>
      </c>
      <c r="AF42" s="2">
        <v>38</v>
      </c>
      <c r="AG42" s="2">
        <f t="shared" si="13"/>
        <v>1884.2717111110687</v>
      </c>
      <c r="AH42" s="2">
        <v>-4.8124173963515204E-4</v>
      </c>
      <c r="AI42" s="2">
        <f t="shared" si="14"/>
        <v>1884.2717111110687</v>
      </c>
      <c r="AJ42" s="2">
        <v>-2.2991084529166983E-4</v>
      </c>
      <c r="AK42" s="2">
        <f t="shared" si="9"/>
        <v>1884.2717111110687</v>
      </c>
      <c r="AL42" s="2">
        <v>-2.2991084529166983E-4</v>
      </c>
      <c r="AM42" s="2">
        <f t="shared" si="10"/>
        <v>1.1064269514915149E-7</v>
      </c>
      <c r="AN42" s="2">
        <f t="shared" si="11"/>
        <v>5.2858996782730139E-8</v>
      </c>
      <c r="AO42" s="2">
        <f t="shared" si="12"/>
        <v>0</v>
      </c>
    </row>
    <row r="43" spans="2:41" x14ac:dyDescent="0.2">
      <c r="J43" s="15" t="s">
        <v>73</v>
      </c>
      <c r="K43" s="6">
        <f>ROUND(SUM(K23:K26)/$C$5*100, 2)</f>
        <v>5.96</v>
      </c>
      <c r="L43" s="6" t="s">
        <v>61</v>
      </c>
      <c r="AF43" s="2">
        <v>39</v>
      </c>
      <c r="AG43" s="2">
        <f t="shared" si="13"/>
        <v>1884.2717111110687</v>
      </c>
      <c r="AH43" s="2">
        <v>-4.8124173963515204E-4</v>
      </c>
      <c r="AI43" s="2">
        <f t="shared" si="14"/>
        <v>1884.2717111110687</v>
      </c>
      <c r="AJ43" s="2">
        <v>-2.2991084529166983E-4</v>
      </c>
      <c r="AK43" s="2">
        <f t="shared" si="9"/>
        <v>1884.2717111110687</v>
      </c>
      <c r="AL43" s="2">
        <v>-2.2991084529166983E-4</v>
      </c>
      <c r="AM43" s="2">
        <f t="shared" si="10"/>
        <v>1.1064269514915149E-7</v>
      </c>
      <c r="AN43" s="2">
        <f t="shared" si="11"/>
        <v>5.2858996782730139E-8</v>
      </c>
      <c r="AO43" s="2">
        <f t="shared" si="12"/>
        <v>0</v>
      </c>
    </row>
    <row r="44" spans="2:41" x14ac:dyDescent="0.2">
      <c r="B44" s="52" t="s">
        <v>273</v>
      </c>
      <c r="C44" s="54"/>
      <c r="D44" s="54"/>
      <c r="J44" s="10" t="s">
        <v>62</v>
      </c>
      <c r="K44" s="10">
        <f>SUM(K39:K43)</f>
        <v>99.999999999999986</v>
      </c>
      <c r="L44" s="10" t="s">
        <v>61</v>
      </c>
      <c r="AF44" s="2">
        <v>40</v>
      </c>
      <c r="AG44" s="2">
        <f t="shared" si="13"/>
        <v>1884.2717111110687</v>
      </c>
      <c r="AH44" s="2">
        <v>-4.8124173963515204E-4</v>
      </c>
      <c r="AI44" s="2">
        <f t="shared" si="14"/>
        <v>1884.2717111110687</v>
      </c>
      <c r="AJ44" s="2">
        <v>-2.2991084529166983E-4</v>
      </c>
      <c r="AK44" s="5">
        <f>(AG44+AI44)/2</f>
        <v>1884.2717111110687</v>
      </c>
      <c r="AL44" s="2">
        <v>-2.2991084529166983E-4</v>
      </c>
      <c r="AM44" s="2">
        <f t="shared" si="10"/>
        <v>1.1064269514915149E-7</v>
      </c>
      <c r="AN44" s="2">
        <f t="shared" si="11"/>
        <v>5.2858996782730139E-8</v>
      </c>
      <c r="AO44" s="2">
        <f t="shared" si="12"/>
        <v>0</v>
      </c>
    </row>
    <row r="45" spans="2:41" x14ac:dyDescent="0.2">
      <c r="B45" s="6" t="s">
        <v>15</v>
      </c>
      <c r="C45" s="17">
        <v>1.00854450666398</v>
      </c>
      <c r="D45" s="6" t="s">
        <v>16</v>
      </c>
    </row>
    <row r="46" spans="2:41" x14ac:dyDescent="0.2">
      <c r="B46" s="6" t="s">
        <v>214</v>
      </c>
      <c r="C46" s="39">
        <v>1.7265641515845801E-5</v>
      </c>
      <c r="D46" s="6" t="s">
        <v>210</v>
      </c>
      <c r="J46" s="52" t="s">
        <v>59</v>
      </c>
      <c r="K46" s="52"/>
      <c r="L46" s="52"/>
    </row>
    <row r="47" spans="2:41" x14ac:dyDescent="0.2">
      <c r="B47" s="6" t="s">
        <v>132</v>
      </c>
      <c r="C47" s="17">
        <v>332.721752148093</v>
      </c>
      <c r="D47" s="6" t="s">
        <v>10</v>
      </c>
      <c r="J47" s="6" t="s">
        <v>60</v>
      </c>
      <c r="K47" s="6">
        <f>ROUND($C$12/$C$5 * 100, 2)</f>
        <v>31.84</v>
      </c>
      <c r="L47" s="6" t="s">
        <v>61</v>
      </c>
    </row>
    <row r="48" spans="2:41" x14ac:dyDescent="0.2">
      <c r="B48" s="6" t="s">
        <v>17</v>
      </c>
      <c r="C48" s="1">
        <v>9.8005536647414697</v>
      </c>
      <c r="D48" s="6" t="s">
        <v>18</v>
      </c>
      <c r="J48" s="11" t="s">
        <v>55</v>
      </c>
      <c r="K48" s="6">
        <f>ROUND(K13/$C$5 * 100, 2)</f>
        <v>27.48</v>
      </c>
      <c r="L48" s="6" t="s">
        <v>61</v>
      </c>
    </row>
    <row r="49" spans="2:12" x14ac:dyDescent="0.2">
      <c r="J49" s="20" t="s">
        <v>277</v>
      </c>
      <c r="K49" s="6">
        <f>ROUND(SUM(K14:K26)/$C$5 * 100, 2)</f>
        <v>40.68</v>
      </c>
      <c r="L49" s="6" t="s">
        <v>61</v>
      </c>
    </row>
    <row r="50" spans="2:12" x14ac:dyDescent="0.2">
      <c r="B50" s="52" t="s">
        <v>74</v>
      </c>
      <c r="C50" s="52"/>
      <c r="D50" s="52"/>
      <c r="J50" s="10" t="s">
        <v>62</v>
      </c>
      <c r="K50" s="10">
        <f>SUM(K47:K49)</f>
        <v>100</v>
      </c>
      <c r="L50" s="10" t="s">
        <v>61</v>
      </c>
    </row>
    <row r="51" spans="2:12" x14ac:dyDescent="0.2">
      <c r="B51" s="6" t="s">
        <v>264</v>
      </c>
      <c r="C51" s="17">
        <v>30</v>
      </c>
    </row>
    <row r="52" spans="2:12" x14ac:dyDescent="0.2">
      <c r="B52" s="6" t="s">
        <v>266</v>
      </c>
      <c r="C52" s="17">
        <v>1</v>
      </c>
    </row>
    <row r="53" spans="2:12" x14ac:dyDescent="0.2">
      <c r="B53" s="6" t="s">
        <v>267</v>
      </c>
      <c r="C53" s="17">
        <v>1</v>
      </c>
    </row>
    <row r="54" spans="2:12" x14ac:dyDescent="0.2">
      <c r="B54" s="6" t="s">
        <v>268</v>
      </c>
      <c r="C54" s="17">
        <v>1</v>
      </c>
    </row>
  </sheetData>
  <mergeCells count="22">
    <mergeCell ref="N13:P13"/>
    <mergeCell ref="N3:P3"/>
    <mergeCell ref="N17:P17"/>
    <mergeCell ref="F13:H13"/>
    <mergeCell ref="F23:H23"/>
    <mergeCell ref="B50:D50"/>
    <mergeCell ref="J30:L30"/>
    <mergeCell ref="B27:D27"/>
    <mergeCell ref="B33:D33"/>
    <mergeCell ref="J38:L38"/>
    <mergeCell ref="B38:D38"/>
    <mergeCell ref="B44:D44"/>
    <mergeCell ref="J46:L46"/>
    <mergeCell ref="B1:D1"/>
    <mergeCell ref="B3:D3"/>
    <mergeCell ref="F3:H3"/>
    <mergeCell ref="J3:L3"/>
    <mergeCell ref="B22:D22"/>
    <mergeCell ref="J7:L7"/>
    <mergeCell ref="J11:L11"/>
    <mergeCell ref="B11:D11"/>
    <mergeCell ref="B16:D16"/>
  </mergeCells>
  <conditionalFormatting sqref="K28">
    <cfRule type="containsText" dxfId="17" priority="13" operator="containsText" text="FALSE">
      <formula>NOT(ISERROR(SEARCH("FALSE",K28)))</formula>
    </cfRule>
    <cfRule type="containsText" dxfId="16" priority="14" operator="containsText" text="TRUE">
      <formula>NOT(ISERROR(SEARCH("TRUE",K28)))</formula>
    </cfRule>
    <cfRule type="cellIs" dxfId="15" priority="15" operator="equal">
      <formula>1</formula>
    </cfRule>
    <cfRule type="cellIs" dxfId="14" priority="16" operator="equal">
      <formula>TRUE</formula>
    </cfRule>
    <cfRule type="containsText" dxfId="13" priority="17" operator="containsText" text="YES">
      <formula>NOT(ISERROR(SEARCH("YES",K28)))</formula>
    </cfRule>
    <cfRule type="cellIs" dxfId="12" priority="18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I136"/>
  <sheetViews>
    <sheetView tabSelected="1" zoomScale="88" workbookViewId="0">
      <selection activeCell="N33" sqref="N3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42" width="10.83203125" style="6"/>
    <col min="43" max="43" width="12" style="6" customWidth="1"/>
    <col min="44" max="44" width="11.33203125" style="6" customWidth="1"/>
    <col min="45" max="45" width="6.6640625" style="6" customWidth="1"/>
    <col min="46" max="46" width="11" style="6" bestFit="1" customWidth="1"/>
    <col min="47" max="47" width="13.1640625" style="6" bestFit="1" customWidth="1"/>
    <col min="48" max="48" width="18.33203125" style="6" customWidth="1"/>
    <col min="49" max="49" width="12.83203125" style="6" bestFit="1" customWidth="1"/>
    <col min="50" max="51" width="12.6640625" style="6" bestFit="1" customWidth="1"/>
    <col min="52" max="52" width="12.1640625" style="6" bestFit="1" customWidth="1"/>
    <col min="53" max="53" width="12.83203125" style="6" bestFit="1" customWidth="1"/>
    <col min="54" max="54" width="12.1640625" style="6" bestFit="1" customWidth="1"/>
    <col min="55" max="56" width="12.83203125" style="6" bestFit="1" customWidth="1"/>
    <col min="57" max="57" width="11.1640625" style="6" bestFit="1" customWidth="1"/>
    <col min="58" max="59" width="10.83203125" style="6"/>
    <col min="60" max="60" width="11.1640625" style="6" bestFit="1" customWidth="1"/>
    <col min="61" max="63" width="10.83203125" style="6"/>
    <col min="64" max="64" width="11" style="6" bestFit="1" customWidth="1"/>
    <col min="65" max="16384" width="10.83203125" style="6"/>
  </cols>
  <sheetData>
    <row r="1" spans="2:87" x14ac:dyDescent="0.2">
      <c r="B1" s="49" t="s">
        <v>0</v>
      </c>
      <c r="C1" s="49"/>
      <c r="D1" s="49"/>
    </row>
    <row r="2" spans="2:87" x14ac:dyDescent="0.2">
      <c r="U2" s="16" t="s">
        <v>96</v>
      </c>
      <c r="AF2" s="46" t="s">
        <v>226</v>
      </c>
      <c r="AQ2" s="62" t="s">
        <v>137</v>
      </c>
      <c r="AR2" s="62"/>
      <c r="AS2" s="62"/>
      <c r="AU2" s="62" t="s">
        <v>138</v>
      </c>
      <c r="AV2" s="62"/>
      <c r="AW2" s="62"/>
      <c r="AY2" s="62" t="s">
        <v>139</v>
      </c>
      <c r="AZ2" s="62"/>
      <c r="BA2" s="62"/>
      <c r="BB2" s="62"/>
      <c r="BC2" s="62"/>
      <c r="BD2" s="62"/>
      <c r="BE2" s="62"/>
      <c r="BG2" s="62" t="s">
        <v>140</v>
      </c>
      <c r="BH2" s="62"/>
      <c r="BI2" s="62"/>
      <c r="BJ2" s="62"/>
      <c r="BK2" s="62"/>
      <c r="BL2" s="62"/>
      <c r="BM2" s="62"/>
      <c r="BO2" s="62" t="s">
        <v>141</v>
      </c>
      <c r="BP2" s="62"/>
      <c r="BQ2" s="62"/>
      <c r="BR2" s="62"/>
      <c r="BS2" s="62"/>
      <c r="BT2" s="62"/>
      <c r="BU2" s="62"/>
      <c r="BV2" s="62"/>
      <c r="BW2" s="62"/>
      <c r="BX2" s="62"/>
      <c r="BZ2" s="62" t="s">
        <v>142</v>
      </c>
      <c r="CA2" s="62"/>
      <c r="CB2" s="62"/>
      <c r="CC2" s="62"/>
      <c r="CD2" s="62"/>
      <c r="CE2" s="62"/>
      <c r="CF2" s="62"/>
      <c r="CG2" s="62"/>
      <c r="CH2" s="62"/>
      <c r="CI2" s="62"/>
    </row>
    <row r="3" spans="2:87" x14ac:dyDescent="0.2">
      <c r="B3" s="52" t="s">
        <v>127</v>
      </c>
      <c r="C3" s="54"/>
      <c r="D3" s="54"/>
      <c r="F3" s="50" t="s">
        <v>83</v>
      </c>
      <c r="G3" s="51"/>
      <c r="H3" s="51"/>
      <c r="J3" s="52" t="s">
        <v>101</v>
      </c>
      <c r="K3" s="52"/>
      <c r="L3" s="52"/>
      <c r="N3" s="52" t="s">
        <v>95</v>
      </c>
      <c r="O3" s="52"/>
      <c r="P3" s="52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U3" s="2" t="s">
        <v>145</v>
      </c>
      <c r="AV3" s="2">
        <f>0.5*AR9</f>
        <v>1.524</v>
      </c>
      <c r="AW3" s="26" t="s">
        <v>8</v>
      </c>
      <c r="AY3" s="63" t="s">
        <v>146</v>
      </c>
      <c r="AZ3" s="63"/>
      <c r="BA3" s="63"/>
      <c r="BC3" s="63" t="s">
        <v>147</v>
      </c>
      <c r="BD3" s="63"/>
      <c r="BE3" s="63"/>
      <c r="BG3" s="63" t="s">
        <v>146</v>
      </c>
      <c r="BH3" s="63"/>
      <c r="BI3" s="63"/>
      <c r="BJ3" s="2"/>
      <c r="BK3" s="63" t="s">
        <v>147</v>
      </c>
      <c r="BL3" s="63"/>
      <c r="BM3" s="6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MAX(G13,G27)</f>
        <v>580.76948903132677</v>
      </c>
      <c r="L4" s="6" t="s">
        <v>104</v>
      </c>
      <c r="N4" s="6" t="s">
        <v>228</v>
      </c>
      <c r="O4" s="6">
        <f xml:space="preserve"> $C$5 * $C$67</f>
        <v>22725.366200207056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1.5407141142688623</v>
      </c>
      <c r="X4" s="3">
        <v>1</v>
      </c>
      <c r="Y4" s="2">
        <f t="shared" ref="Y4:Y34" si="1" xml:space="preserve"> $O$22 * TAN($O$19/180*PI()) + $O$23 / (2 * SQRT($O$22^2 + X4^2)) - X4</f>
        <v>-1.2367950714050613E-2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0.53594227241286196</v>
      </c>
      <c r="AB4" s="2">
        <f>W4*AA4</f>
        <v>0.82573382353982394</v>
      </c>
      <c r="AC4" s="2">
        <f>Y4*AA4</f>
        <v>-6.6285076107785645E-3</v>
      </c>
      <c r="AD4" s="2">
        <f>X4-V4</f>
        <v>1</v>
      </c>
      <c r="AF4" s="2">
        <v>0</v>
      </c>
      <c r="AH4" s="2">
        <f>K30</f>
        <v>-3.1124080123845488E-5</v>
      </c>
      <c r="AJ4" s="2">
        <f>K30</f>
        <v>-3.1124080123845488E-5</v>
      </c>
      <c r="AL4" s="2">
        <f>K30</f>
        <v>-3.1124080123845488E-5</v>
      </c>
      <c r="AQ4" s="2" t="s">
        <v>151</v>
      </c>
      <c r="AR4" s="2">
        <f>$C$6</f>
        <v>567.63672516681254</v>
      </c>
      <c r="AS4" s="26" t="s">
        <v>134</v>
      </c>
      <c r="AU4" s="2" t="s">
        <v>152</v>
      </c>
      <c r="AV4" s="2">
        <f>PI()*AV3^2</f>
        <v>7.2965876990039682</v>
      </c>
      <c r="AW4" s="26" t="s">
        <v>11</v>
      </c>
      <c r="AY4" s="2" t="s">
        <v>153</v>
      </c>
      <c r="AZ4" s="2">
        <f>2*($AR$19 - $AR$10)</f>
        <v>0.15049500000000005</v>
      </c>
      <c r="BA4" s="26" t="s">
        <v>8</v>
      </c>
      <c r="BC4" s="2" t="s">
        <v>153</v>
      </c>
      <c r="BD4" s="2">
        <f>$AR$20-$AR$19</f>
        <v>0.15049500000000005</v>
      </c>
      <c r="BE4" s="26" t="s">
        <v>8</v>
      </c>
      <c r="BG4" s="28" t="s">
        <v>154</v>
      </c>
      <c r="BH4" s="29">
        <f>BT34</f>
        <v>0.52572048905930457</v>
      </c>
      <c r="BI4" s="5" t="s">
        <v>155</v>
      </c>
      <c r="BJ4" s="2"/>
      <c r="BK4" s="28" t="s">
        <v>154</v>
      </c>
      <c r="BL4" s="29">
        <f>CE34</f>
        <v>0.44525871458777472</v>
      </c>
      <c r="BM4" s="5" t="s">
        <v>155</v>
      </c>
      <c r="BO4" s="30">
        <v>0</v>
      </c>
      <c r="BP4" s="30"/>
      <c r="BQ4" s="30">
        <f>$BH$20</f>
        <v>-1.5793220384252571E-8</v>
      </c>
      <c r="BR4" s="30"/>
      <c r="BS4" s="30">
        <f>$BH$20</f>
        <v>-1.5793220384252571E-8</v>
      </c>
      <c r="BT4" s="30"/>
      <c r="BU4" s="30">
        <f>$BH$20</f>
        <v>-1.5793220384252571E-8</v>
      </c>
      <c r="BV4" s="30"/>
      <c r="BW4" s="30"/>
      <c r="BX4" s="30"/>
      <c r="BZ4" s="30">
        <v>0</v>
      </c>
      <c r="CA4" s="30"/>
      <c r="CB4" s="30">
        <f>$BL$20</f>
        <v>-8.2954977748128655E-9</v>
      </c>
      <c r="CC4" s="30"/>
      <c r="CD4" s="30">
        <f>$BL$20</f>
        <v>-8.2954977748128655E-9</v>
      </c>
      <c r="CE4" s="30"/>
      <c r="CF4" s="30">
        <f>$BL$20</f>
        <v>-8.2954977748128655E-9</v>
      </c>
      <c r="CG4" s="30"/>
      <c r="CH4" s="30"/>
      <c r="CI4" s="30"/>
    </row>
    <row r="5" spans="2:87" x14ac:dyDescent="0.2">
      <c r="B5" s="10" t="s">
        <v>40</v>
      </c>
      <c r="C5" s="10">
        <f>AK44</f>
        <v>2318.5621202032962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72.596186128915846</v>
      </c>
      <c r="L5" s="6" t="s">
        <v>104</v>
      </c>
      <c r="N5" s="6" t="s">
        <v>25</v>
      </c>
      <c r="O5" s="6">
        <f xml:space="preserve"> 0.5 * $C$70 * $C$8^2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0.53594227241286196</v>
      </c>
      <c r="X5" s="2">
        <f>IF(AC4&gt;0, Z4, X4)</f>
        <v>1</v>
      </c>
      <c r="Y5" s="2">
        <f t="shared" si="1"/>
        <v>-1.2367950714050613E-2</v>
      </c>
      <c r="Z5" s="2">
        <f t="shared" ref="Z5:Z34" si="3" xml:space="preserve"> (V5 + X5)/2</f>
        <v>0.75</v>
      </c>
      <c r="AA5" s="2">
        <f t="shared" si="2"/>
        <v>0.25389009284798303</v>
      </c>
      <c r="AB5" s="2">
        <f t="shared" ref="AB5:AB34" si="4">W5*AA5</f>
        <v>0.13607043330406055</v>
      </c>
      <c r="AC5" s="2">
        <f t="shared" ref="AC5:AC34" si="5">Y5*AA5</f>
        <v>-3.1401001551295883E-3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-1007.0884758793668</v>
      </c>
      <c r="AI5" s="3">
        <v>5000</v>
      </c>
      <c r="AJ5" s="2">
        <f t="dataTable" ref="AJ5:AJ44" dt2D="0" dtr="0" r1="C5" ca="1"/>
        <v>1566.060985547464</v>
      </c>
      <c r="AK5" s="2">
        <f>(AG5+AI5)/2</f>
        <v>2750</v>
      </c>
      <c r="AL5" s="2">
        <f t="dataTable" ref="AL5:AL44" dt2D="0" dtr="0" r1="C5" ca="1"/>
        <v>218.65474586150776</v>
      </c>
      <c r="AM5" s="2">
        <f>AH5*AL5</f>
        <v>-220204.67475345614</v>
      </c>
      <c r="AN5" s="2">
        <f>AJ5*AL5</f>
        <v>342426.66679850314</v>
      </c>
      <c r="AO5" s="2">
        <f>AI5-AG5</f>
        <v>4500</v>
      </c>
      <c r="AQ5" s="2" t="s">
        <v>157</v>
      </c>
      <c r="AR5" s="3">
        <v>27.544145855754799</v>
      </c>
      <c r="AS5" s="26" t="s">
        <v>43</v>
      </c>
      <c r="AU5" s="2" t="s">
        <v>29</v>
      </c>
      <c r="AV5" s="2">
        <f>AR4*2*PI()/60</f>
        <v>59.44277885639422</v>
      </c>
      <c r="AW5" s="26" t="s">
        <v>30</v>
      </c>
      <c r="AY5" s="2" t="s">
        <v>158</v>
      </c>
      <c r="AZ5" s="2">
        <f>(1+$BH$18)*$AR$3</f>
        <v>10.402115969581152</v>
      </c>
      <c r="BA5" s="26" t="s">
        <v>10</v>
      </c>
      <c r="BC5" s="2" t="s">
        <v>158</v>
      </c>
      <c r="BD5" s="2">
        <f>(1+$BL$18)*$AR$3</f>
        <v>12.840844613768287</v>
      </c>
      <c r="BE5" s="26" t="s">
        <v>10</v>
      </c>
      <c r="BG5" s="2" t="s">
        <v>159</v>
      </c>
      <c r="BH5" s="2">
        <f>($AR$35+$AR$5)/180*PI()</f>
        <v>0.60918135947143004</v>
      </c>
      <c r="BI5" s="2" t="s">
        <v>155</v>
      </c>
      <c r="BJ5" s="2"/>
      <c r="BK5" s="2" t="s">
        <v>159</v>
      </c>
      <c r="BL5" s="2">
        <f>($AR$36+$AR$5)/180*PI()</f>
        <v>0.58332866992626398</v>
      </c>
      <c r="BM5" s="2" t="s">
        <v>155</v>
      </c>
      <c r="BO5" s="2">
        <v>1</v>
      </c>
      <c r="BP5" s="3">
        <f>0.01*PI()</f>
        <v>3.1415926535897934E-2</v>
      </c>
      <c r="BQ5" s="2">
        <f t="dataTable" ref="BQ5:BQ34" dt2D="0" dtr="0" r1="BH4"/>
        <v>-7.4202552572205089</v>
      </c>
      <c r="BR5" s="3">
        <f>0.9*PI()</f>
        <v>2.8274333882308138</v>
      </c>
      <c r="BS5" s="2">
        <f t="dataTable" ref="BS5:BS34" dt2D="0" dtr="0" r1="BH4" ca="1"/>
        <v>0.99448742855063632</v>
      </c>
      <c r="BT5" s="2">
        <f t="shared" ref="BT5:BT34" si="7">(BP5+BR5)/2</f>
        <v>1.4294246573833558</v>
      </c>
      <c r="BU5" s="2">
        <f t="dataTable" ref="BU5:BU34" dt2D="0" dtr="0" r1="BH4" ca="1"/>
        <v>1.325812663691442</v>
      </c>
      <c r="BV5" s="2">
        <f t="shared" ref="BV5:BV34" si="8">BQ5*BU5</f>
        <v>-9.8378683878459494</v>
      </c>
      <c r="BW5" s="2">
        <f t="shared" ref="BW5:BW34" si="9">BS5*BU5</f>
        <v>1.3185040266543717</v>
      </c>
      <c r="BX5" s="2">
        <f t="shared" ref="BX5:BX34" si="10">BR5-BP5</f>
        <v>2.7960174616949161</v>
      </c>
      <c r="BZ5" s="2">
        <v>1</v>
      </c>
      <c r="CA5" s="3">
        <f>0.01*PI()</f>
        <v>3.1415926535897934E-2</v>
      </c>
      <c r="CB5" s="2">
        <f t="dataTable" ref="CB5:CB34" dt2D="0" dtr="0" r1="BL4"/>
        <v>-4.5683442229139901</v>
      </c>
      <c r="CC5" s="3">
        <f>0.9*PI()</f>
        <v>2.8274333882308138</v>
      </c>
      <c r="CD5" s="2">
        <f t="dataTable" ref="CD5:CD34" dt2D="0" dtr="0" r1="BL4" ca="1"/>
        <v>0.68939234452900133</v>
      </c>
      <c r="CE5" s="2">
        <f t="shared" ref="CE5:CE34" si="11">(CA5+CC5)/2</f>
        <v>1.4294246573833558</v>
      </c>
      <c r="CF5" s="2">
        <f t="dataTable" ref="CF5:CF34" dt2D="0" dtr="0" r1="BL4" ca="1"/>
        <v>1.1678739311941151</v>
      </c>
      <c r="CG5" s="2">
        <f t="shared" ref="CG5:CG34" si="12">CB5*CF5</f>
        <v>-5.3352501266624861</v>
      </c>
      <c r="CH5" s="2">
        <f t="shared" ref="CH5:CH34" si="13">CD5*CF5</f>
        <v>0.80512334754021264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f>AK79</f>
        <v>567.63672516681254</v>
      </c>
      <c r="D6" s="10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MAX(G20)</f>
        <v>89.073037283881348</v>
      </c>
      <c r="L6" s="6" t="s">
        <v>104</v>
      </c>
      <c r="N6" s="6" t="s">
        <v>119</v>
      </c>
      <c r="O6" s="6">
        <f xml:space="preserve"> ($C$22+$C$28) * 0.4 * ($C$5/($C$22+$C$28) *2.20462/1000)^(2/3) * 0.3048^2</f>
        <v>0.2293712981953262</v>
      </c>
      <c r="P6" s="6" t="s">
        <v>120</v>
      </c>
      <c r="U6" s="2">
        <v>2</v>
      </c>
      <c r="V6" s="2">
        <f t="shared" ref="V6:V34" si="15">IF(AB5&gt;0, Z5, V5)</f>
        <v>0.75</v>
      </c>
      <c r="W6" s="2">
        <f t="shared" si="0"/>
        <v>0.25389009284798303</v>
      </c>
      <c r="X6" s="2">
        <f t="shared" ref="X6:X34" si="16">IF(AC5&gt;0, Z5, X5)</f>
        <v>1</v>
      </c>
      <c r="Y6" s="2">
        <f t="shared" si="1"/>
        <v>-1.2367950714050613E-2</v>
      </c>
      <c r="Z6" s="2">
        <f t="shared" si="3"/>
        <v>0.875</v>
      </c>
      <c r="AA6" s="2">
        <f t="shared" si="2"/>
        <v>0.11961519012499233</v>
      </c>
      <c r="AB6" s="2">
        <f t="shared" si="4"/>
        <v>3.0369111726863445E-2</v>
      </c>
      <c r="AC6" s="2">
        <f t="shared" si="5"/>
        <v>-1.4793947761176987E-3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-1007.0884758793668</v>
      </c>
      <c r="AI6" s="2">
        <f>IF(AN5&gt;0,AK5,AI5)</f>
        <v>2750</v>
      </c>
      <c r="AJ6" s="2">
        <v>218.65474586150776</v>
      </c>
      <c r="AK6" s="2">
        <f t="shared" ref="AK6:AK44" si="17">(AG6+AI6)/2</f>
        <v>1625</v>
      </c>
      <c r="AL6" s="2">
        <v>-374.37670545394985</v>
      </c>
      <c r="AM6" s="2">
        <f t="shared" ref="AM6:AM44" si="18">AH6*AL6</f>
        <v>377030.46570035699</v>
      </c>
      <c r="AN6" s="2">
        <f t="shared" ref="AN6:AN44" si="19">AJ6*AL6</f>
        <v>-81859.243387501949</v>
      </c>
      <c r="AO6" s="2">
        <f t="shared" ref="AO6:AO44" si="20">AI6-AG6</f>
        <v>2250</v>
      </c>
      <c r="AQ6" s="2"/>
      <c r="AR6" s="2"/>
      <c r="AS6" s="26"/>
      <c r="AU6" s="2" t="s">
        <v>161</v>
      </c>
      <c r="AV6" s="2">
        <f>$AR$4/60</f>
        <v>9.4606120861135423</v>
      </c>
      <c r="AW6" s="26" t="s">
        <v>162</v>
      </c>
      <c r="AY6" s="2" t="s">
        <v>163</v>
      </c>
      <c r="AZ6" s="2">
        <f>(1-$BH$19)*$AV$5*$AR$19</f>
        <v>17.929032923597916</v>
      </c>
      <c r="BA6" s="26" t="s">
        <v>10</v>
      </c>
      <c r="BC6" s="2" t="s">
        <v>163</v>
      </c>
      <c r="BD6" s="2">
        <f>(1-$BL$19)*$AV$5*$AR$20</f>
        <v>26.90755416389111</v>
      </c>
      <c r="BE6" s="26" t="s">
        <v>10</v>
      </c>
      <c r="BG6" s="2" t="s">
        <v>28</v>
      </c>
      <c r="BH6" s="2">
        <f>BH5-BH4</f>
        <v>8.3460870412125465E-2</v>
      </c>
      <c r="BI6" s="2" t="s">
        <v>155</v>
      </c>
      <c r="BJ6" s="2"/>
      <c r="BK6" s="2" t="s">
        <v>28</v>
      </c>
      <c r="BL6" s="2">
        <f>BL5-BL4</f>
        <v>0.13806995533848926</v>
      </c>
      <c r="BM6" s="2" t="s">
        <v>155</v>
      </c>
      <c r="BO6" s="2">
        <v>2</v>
      </c>
      <c r="BP6" s="2">
        <f t="shared" ref="BP6:BP34" si="21">IF(BV5&gt;0,BT5,BP5)</f>
        <v>3.1415926535897934E-2</v>
      </c>
      <c r="BQ6" s="2">
        <v>-7.4202552572205089</v>
      </c>
      <c r="BR6" s="2">
        <f t="shared" ref="BR6:BR34" si="22">IF(BW5&gt;0,BT5,BR5)</f>
        <v>1.4294246573833558</v>
      </c>
      <c r="BS6" s="2">
        <v>1.325812663691442</v>
      </c>
      <c r="BT6" s="2">
        <f t="shared" si="7"/>
        <v>0.73042029195962688</v>
      </c>
      <c r="BU6" s="2">
        <v>0.9517810268684519</v>
      </c>
      <c r="BV6" s="2">
        <f t="shared" si="8"/>
        <v>-7.0624581683433645</v>
      </c>
      <c r="BW6" s="2">
        <f t="shared" si="9"/>
        <v>1.2618833384834383</v>
      </c>
      <c r="BX6" s="2">
        <f t="shared" si="10"/>
        <v>1.3980087308474578</v>
      </c>
      <c r="BZ6" s="2">
        <v>2</v>
      </c>
      <c r="CA6" s="2">
        <f t="shared" ref="CA6:CA34" si="23">IF(CG5&gt;0,CE5,CA5)</f>
        <v>3.1415926535897934E-2</v>
      </c>
      <c r="CB6" s="2">
        <v>-4.5683442229139901</v>
      </c>
      <c r="CC6" s="2">
        <f t="shared" ref="CC6:CC34" si="24">IF(CH5&gt;0,CE5,CC5)</f>
        <v>1.4294246573833558</v>
      </c>
      <c r="CD6" s="2">
        <v>1.1678739311941151</v>
      </c>
      <c r="CE6" s="2">
        <f t="shared" si="11"/>
        <v>0.73042029195962688</v>
      </c>
      <c r="CF6" s="2">
        <v>0.83756649672043748</v>
      </c>
      <c r="CG6" s="2">
        <f t="shared" si="12"/>
        <v>-3.82629206659912</v>
      </c>
      <c r="CH6" s="2">
        <f t="shared" si="13"/>
        <v>0.97817207716138022</v>
      </c>
      <c r="CI6" s="2">
        <f t="shared" si="14"/>
        <v>1.3980087308474578</v>
      </c>
    </row>
    <row r="7" spans="2:87" x14ac:dyDescent="0.2">
      <c r="B7" s="6" t="s">
        <v>271</v>
      </c>
      <c r="C7" s="17">
        <v>370</v>
      </c>
      <c r="D7" s="6" t="s">
        <v>134</v>
      </c>
      <c r="F7" s="6" t="s">
        <v>130</v>
      </c>
      <c r="G7" s="6">
        <f>$C$6*2*PI()*$C$9/60</f>
        <v>90.590794977144796</v>
      </c>
      <c r="H7" s="6" t="s">
        <v>10</v>
      </c>
      <c r="J7" s="6" t="s">
        <v>230</v>
      </c>
      <c r="K7" s="6">
        <f>K6/$C$28</f>
        <v>89.073037283881348</v>
      </c>
      <c r="L7" s="6" t="s">
        <v>104</v>
      </c>
      <c r="N7" s="6" t="s">
        <v>121</v>
      </c>
      <c r="O7" s="6">
        <f xml:space="preserve"> O6 / $C$13</f>
        <v>1.146856490976631E-2</v>
      </c>
      <c r="U7" s="2">
        <v>3</v>
      </c>
      <c r="V7" s="2">
        <f t="shared" si="15"/>
        <v>0.875</v>
      </c>
      <c r="W7" s="2">
        <f t="shared" si="0"/>
        <v>0.11961519012499233</v>
      </c>
      <c r="X7" s="2">
        <f t="shared" si="16"/>
        <v>1</v>
      </c>
      <c r="Y7" s="2">
        <f t="shared" si="1"/>
        <v>-1.2367950714050613E-2</v>
      </c>
      <c r="Z7" s="2">
        <f t="shared" si="3"/>
        <v>0.9375</v>
      </c>
      <c r="AA7" s="2">
        <f t="shared" si="2"/>
        <v>5.339351315004004E-2</v>
      </c>
      <c r="AB7" s="2">
        <f t="shared" si="4"/>
        <v>6.3866752268833173E-3</v>
      </c>
      <c r="AC7" s="2">
        <f t="shared" si="5"/>
        <v>-6.603683390897085E-4</v>
      </c>
      <c r="AD7" s="2">
        <f t="shared" si="6"/>
        <v>0.125</v>
      </c>
      <c r="AF7" s="2">
        <v>3</v>
      </c>
      <c r="AG7" s="2">
        <f t="shared" ref="AG7:AG44" si="25">IF(AM6&gt;0,AK6,AG6)</f>
        <v>1625</v>
      </c>
      <c r="AH7" s="2">
        <v>-374.37670545394985</v>
      </c>
      <c r="AI7" s="2">
        <f t="shared" ref="AI7:AI44" si="26">IF(AN6&gt;0,AK6,AI6)</f>
        <v>2750</v>
      </c>
      <c r="AJ7" s="2">
        <v>218.65474586150776</v>
      </c>
      <c r="AK7" s="2">
        <f t="shared" si="17"/>
        <v>2187.5</v>
      </c>
      <c r="AL7" s="2">
        <v>-68.740838206456374</v>
      </c>
      <c r="AM7" s="2">
        <f t="shared" si="18"/>
        <v>25734.968537876139</v>
      </c>
      <c r="AN7" s="2">
        <f t="shared" si="19"/>
        <v>-15030.510508339741</v>
      </c>
      <c r="AO7" s="2">
        <f t="shared" si="20"/>
        <v>1125</v>
      </c>
      <c r="AQ7" s="62" t="s">
        <v>165</v>
      </c>
      <c r="AR7" s="62"/>
      <c r="AS7" s="62"/>
      <c r="AU7" s="2" t="s">
        <v>166</v>
      </c>
      <c r="AV7" s="2">
        <f>$AR$3/(AV6*AR9)</f>
        <v>8.8084505077268213E-2</v>
      </c>
      <c r="AY7" s="2" t="s">
        <v>167</v>
      </c>
      <c r="AZ7" s="2">
        <f>SQRT(AZ5^2 + AZ6^2)</f>
        <v>20.728102619875106</v>
      </c>
      <c r="BA7" s="26" t="s">
        <v>10</v>
      </c>
      <c r="BC7" s="2" t="s">
        <v>167</v>
      </c>
      <c r="BD7" s="2">
        <f>SQRT(BD5^2 + BD6^2)</f>
        <v>29.814489119850364</v>
      </c>
      <c r="BE7" s="26" t="s">
        <v>10</v>
      </c>
      <c r="BG7" s="2" t="s">
        <v>168</v>
      </c>
      <c r="BH7" s="2">
        <f>BH6/PI()*180</f>
        <v>4.7819556291030771</v>
      </c>
      <c r="BI7" s="2" t="s">
        <v>43</v>
      </c>
      <c r="BJ7" s="2"/>
      <c r="BK7" s="2" t="s">
        <v>168</v>
      </c>
      <c r="BL7" s="2">
        <f>BL6/PI()*180</f>
        <v>7.9108257184552047</v>
      </c>
      <c r="BM7" s="2" t="s">
        <v>43</v>
      </c>
      <c r="BO7" s="2">
        <v>3</v>
      </c>
      <c r="BP7" s="2">
        <f t="shared" si="21"/>
        <v>3.1415926535897934E-2</v>
      </c>
      <c r="BQ7" s="2">
        <v>-7.4202552572205089</v>
      </c>
      <c r="BR7" s="2">
        <f t="shared" si="22"/>
        <v>0.73042029195962688</v>
      </c>
      <c r="BS7" s="2">
        <v>0.9517810268684519</v>
      </c>
      <c r="BT7" s="2">
        <f t="shared" si="7"/>
        <v>0.38091810924776243</v>
      </c>
      <c r="BU7" s="2">
        <v>-0.81744642662049438</v>
      </c>
      <c r="BV7" s="2">
        <f t="shared" si="8"/>
        <v>6.0656611446268425</v>
      </c>
      <c r="BW7" s="2">
        <f t="shared" si="9"/>
        <v>-0.77802999933880079</v>
      </c>
      <c r="BX7" s="2">
        <f t="shared" si="10"/>
        <v>0.6990043654237289</v>
      </c>
      <c r="BZ7" s="2">
        <v>3</v>
      </c>
      <c r="CA7" s="2">
        <f t="shared" si="23"/>
        <v>3.1415926535897934E-2</v>
      </c>
      <c r="CB7" s="2">
        <v>-4.5683442229139901</v>
      </c>
      <c r="CC7" s="2">
        <f t="shared" si="24"/>
        <v>0.73042029195962688</v>
      </c>
      <c r="CD7" s="2">
        <v>0.83756649672043748</v>
      </c>
      <c r="CE7" s="2">
        <f t="shared" si="11"/>
        <v>0.38091810924776243</v>
      </c>
      <c r="CF7" s="2">
        <v>-0.2346654743662831</v>
      </c>
      <c r="CG7" s="2">
        <f t="shared" si="12"/>
        <v>1.0720326641385804</v>
      </c>
      <c r="CH7" s="2">
        <f t="shared" si="13"/>
        <v>-0.19654793926620737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G7/$C$66</f>
        <v>0.27129738831026123</v>
      </c>
      <c r="H8" s="6" t="s">
        <v>131</v>
      </c>
      <c r="N8" s="6" t="s">
        <v>123</v>
      </c>
      <c r="O8" s="17">
        <v>2.3739199999999998E-2</v>
      </c>
      <c r="U8" s="2">
        <v>4</v>
      </c>
      <c r="V8" s="2">
        <f t="shared" si="15"/>
        <v>0.9375</v>
      </c>
      <c r="W8" s="2">
        <f t="shared" si="0"/>
        <v>5.339351315004004E-2</v>
      </c>
      <c r="X8" s="2">
        <f t="shared" si="16"/>
        <v>1</v>
      </c>
      <c r="Y8" s="2">
        <f t="shared" si="1"/>
        <v>-1.2367950714050613E-2</v>
      </c>
      <c r="Z8" s="2">
        <f t="shared" si="3"/>
        <v>0.96875</v>
      </c>
      <c r="AA8" s="2">
        <f t="shared" si="2"/>
        <v>2.046073996321407E-2</v>
      </c>
      <c r="AB8" s="2">
        <f t="shared" si="4"/>
        <v>1.0924707882854201E-3</v>
      </c>
      <c r="AC8" s="2">
        <f t="shared" si="5"/>
        <v>-2.5305742343803735E-4</v>
      </c>
      <c r="AD8" s="2">
        <f t="shared" si="6"/>
        <v>6.25E-2</v>
      </c>
      <c r="AF8" s="2">
        <v>4</v>
      </c>
      <c r="AG8" s="2">
        <f t="shared" si="25"/>
        <v>2187.5</v>
      </c>
      <c r="AH8" s="2">
        <v>-68.740838206456374</v>
      </c>
      <c r="AI8" s="2">
        <f t="shared" si="26"/>
        <v>2750</v>
      </c>
      <c r="AJ8" s="2">
        <v>218.65474586150776</v>
      </c>
      <c r="AK8" s="2">
        <f t="shared" si="17"/>
        <v>2468.75</v>
      </c>
      <c r="AL8" s="2">
        <v>77.481812306682286</v>
      </c>
      <c r="AM8" s="2">
        <f t="shared" si="18"/>
        <v>-5326.1647237166671</v>
      </c>
      <c r="AN8" s="2">
        <f t="shared" si="19"/>
        <v>16941.765978806659</v>
      </c>
      <c r="AO8" s="2">
        <f t="shared" si="20"/>
        <v>562.5</v>
      </c>
      <c r="AQ8" s="2" t="s">
        <v>169</v>
      </c>
      <c r="AR8" s="2">
        <f>$C$23</f>
        <v>2</v>
      </c>
      <c r="AS8" s="26"/>
      <c r="AY8" s="2" t="s">
        <v>170</v>
      </c>
      <c r="AZ8" s="36">
        <f>$AR$45*AZ7*$AR$27/$AR$46</f>
        <v>1037183.3634002453</v>
      </c>
      <c r="BA8" s="26"/>
      <c r="BC8" s="2" t="s">
        <v>170</v>
      </c>
      <c r="BD8" s="36">
        <f>$AR$45*BD7*$AR$27/$AR$46</f>
        <v>1491843.8349362412</v>
      </c>
      <c r="BE8" s="26"/>
      <c r="BG8" s="2" t="s">
        <v>171</v>
      </c>
      <c r="BH8" s="2">
        <f xml:space="preserve"> $AR$8*$AR$27 / (2*PI()*$AR$19)</f>
        <v>0.67286936241325579</v>
      </c>
      <c r="BI8" s="2"/>
      <c r="BJ8" s="2"/>
      <c r="BK8" s="2" t="s">
        <v>171</v>
      </c>
      <c r="BL8" s="2">
        <f xml:space="preserve"> $AR$8*$AR$28 / (2*PI()*$AR$20)</f>
        <v>0.47184346557538748</v>
      </c>
      <c r="BM8" s="2"/>
      <c r="BO8" s="2">
        <v>4</v>
      </c>
      <c r="BP8" s="2">
        <f t="shared" si="21"/>
        <v>0.38091810924776243</v>
      </c>
      <c r="BQ8" s="2">
        <v>-0.81744643197446343</v>
      </c>
      <c r="BR8" s="2">
        <f t="shared" si="22"/>
        <v>0.73042029195962688</v>
      </c>
      <c r="BS8" s="2">
        <v>0.9517810268684519</v>
      </c>
      <c r="BT8" s="2">
        <f t="shared" si="7"/>
        <v>0.55566920060369462</v>
      </c>
      <c r="BU8" s="2">
        <v>0.1634999185819874</v>
      </c>
      <c r="BV8" s="2">
        <f t="shared" si="8"/>
        <v>-0.13365242507296088</v>
      </c>
      <c r="BW8" s="2">
        <f t="shared" si="9"/>
        <v>0.15561612040087225</v>
      </c>
      <c r="BX8" s="2">
        <f t="shared" si="10"/>
        <v>0.34950218271186445</v>
      </c>
      <c r="BZ8" s="2">
        <v>4</v>
      </c>
      <c r="CA8" s="2">
        <f t="shared" si="23"/>
        <v>0.38091810924776243</v>
      </c>
      <c r="CB8" s="2">
        <v>-0.23466547759696615</v>
      </c>
      <c r="CC8" s="2">
        <f t="shared" si="24"/>
        <v>0.73042029195962688</v>
      </c>
      <c r="CD8" s="2">
        <v>0.83756649672043748</v>
      </c>
      <c r="CE8" s="2">
        <f t="shared" si="11"/>
        <v>0.55566920060369462</v>
      </c>
      <c r="CF8" s="2">
        <v>0.37618018905262679</v>
      </c>
      <c r="CG8" s="2">
        <f t="shared" si="12"/>
        <v>-8.8276503726551686E-2</v>
      </c>
      <c r="CH8" s="2">
        <f t="shared" si="13"/>
        <v>0.31507592308044047</v>
      </c>
      <c r="CI8" s="2">
        <f t="shared" si="14"/>
        <v>0.34950218271186445</v>
      </c>
    </row>
    <row r="9" spans="2:87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$C$67 / $C$22</f>
        <v>2840.670775025882</v>
      </c>
      <c r="H9" s="6" t="s">
        <v>22</v>
      </c>
      <c r="J9" s="52" t="s">
        <v>23</v>
      </c>
      <c r="K9" s="52"/>
      <c r="L9" s="52"/>
      <c r="N9" s="6" t="s">
        <v>122</v>
      </c>
      <c r="O9" s="6">
        <f xml:space="preserve"> $O$8 + O7</f>
        <v>3.5207764909766306E-2</v>
      </c>
      <c r="U9" s="2">
        <v>5</v>
      </c>
      <c r="V9" s="2">
        <f t="shared" si="15"/>
        <v>0.96875</v>
      </c>
      <c r="W9" s="2">
        <f t="shared" si="0"/>
        <v>2.046073996321407E-2</v>
      </c>
      <c r="X9" s="2">
        <f t="shared" si="16"/>
        <v>1</v>
      </c>
      <c r="Y9" s="2">
        <f t="shared" si="1"/>
        <v>-1.2367950714050613E-2</v>
      </c>
      <c r="Z9" s="2">
        <f t="shared" si="3"/>
        <v>0.984375</v>
      </c>
      <c r="AA9" s="2">
        <f t="shared" si="2"/>
        <v>4.0339951676044983E-3</v>
      </c>
      <c r="AB9" s="2">
        <f t="shared" si="4"/>
        <v>8.2538526137217793E-5</v>
      </c>
      <c r="AC9" s="2">
        <f t="shared" si="5"/>
        <v>-4.9892253413650777E-5</v>
      </c>
      <c r="AD9" s="2">
        <f t="shared" si="6"/>
        <v>3.125E-2</v>
      </c>
      <c r="AF9" s="2">
        <v>5</v>
      </c>
      <c r="AG9" s="2">
        <f t="shared" si="25"/>
        <v>2187.5</v>
      </c>
      <c r="AH9" s="2">
        <v>-68.740838206456374</v>
      </c>
      <c r="AI9" s="2">
        <f t="shared" si="26"/>
        <v>2468.75</v>
      </c>
      <c r="AJ9" s="2">
        <v>77.481812306682286</v>
      </c>
      <c r="AK9" s="2">
        <f t="shared" si="17"/>
        <v>2328.125</v>
      </c>
      <c r="AL9" s="2">
        <v>4.975173090856515</v>
      </c>
      <c r="AM9" s="2">
        <f t="shared" si="18"/>
        <v>-341.99756848768317</v>
      </c>
      <c r="AN9" s="2">
        <f t="shared" si="19"/>
        <v>385.48542761900086</v>
      </c>
      <c r="AO9" s="2">
        <f t="shared" si="20"/>
        <v>281.25</v>
      </c>
      <c r="AQ9" s="2" t="s">
        <v>172</v>
      </c>
      <c r="AR9" s="2">
        <f>2*$C$9</f>
        <v>3.048</v>
      </c>
      <c r="AS9" s="26" t="s">
        <v>8</v>
      </c>
      <c r="AU9" s="62" t="s">
        <v>173</v>
      </c>
      <c r="AV9" s="62"/>
      <c r="AW9" s="62"/>
      <c r="AY9" s="2" t="s">
        <v>174</v>
      </c>
      <c r="AZ9" s="2">
        <f xml:space="preserve"> $BH$8 * PI() * $AR$45 * AZ7^2 *$BH$14 * $AR$19 * AZ4</f>
        <v>32.996747848987319</v>
      </c>
      <c r="BA9" s="26" t="s">
        <v>22</v>
      </c>
      <c r="BC9" s="2" t="s">
        <v>174</v>
      </c>
      <c r="BD9" s="2">
        <f xml:space="preserve"> $BL$8 * PI() * $AR$45 * BD7^2 * $BL$14 * $AR$20 * BD4</f>
        <v>105.40215383677703</v>
      </c>
      <c r="BE9" s="26" t="s">
        <v>22</v>
      </c>
      <c r="BG9" s="2" t="s">
        <v>175</v>
      </c>
      <c r="BH9" s="2">
        <f>IF(-$AR$8*($AV$3-$AR$19)/(2*$AR$19*SIN(BH4))&gt;500, 1, 2*ACOS(MIN(1, EXP(-$AR$8*($AV$3-$AR$19)/(2*$AR$19*SIN(BH4)))))/PI() )</f>
        <v>0.99784836428081691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0.99007838647868918</v>
      </c>
      <c r="BM9" s="2"/>
      <c r="BO9" s="2">
        <v>5</v>
      </c>
      <c r="BP9" s="2">
        <f t="shared" si="21"/>
        <v>0.38091810924776243</v>
      </c>
      <c r="BQ9" s="2">
        <v>-0.81744643197446343</v>
      </c>
      <c r="BR9" s="2">
        <f t="shared" si="22"/>
        <v>0.55566920060369462</v>
      </c>
      <c r="BS9" s="2">
        <v>0.1634999185819874</v>
      </c>
      <c r="BT9" s="2">
        <f t="shared" si="7"/>
        <v>0.4682936549257285</v>
      </c>
      <c r="BU9" s="2">
        <v>-0.32836842255673893</v>
      </c>
      <c r="BV9" s="2">
        <f t="shared" si="8"/>
        <v>0.26842359539208915</v>
      </c>
      <c r="BW9" s="2">
        <f t="shared" si="9"/>
        <v>-5.3688210352922448E-2</v>
      </c>
      <c r="BX9" s="2">
        <f t="shared" si="10"/>
        <v>0.1747510913559322</v>
      </c>
      <c r="BZ9" s="2">
        <v>5</v>
      </c>
      <c r="CA9" s="2">
        <f t="shared" si="23"/>
        <v>0.38091810924776243</v>
      </c>
      <c r="CB9" s="2">
        <v>-0.23466547759696615</v>
      </c>
      <c r="CC9" s="2">
        <f t="shared" si="24"/>
        <v>0.55566920060369462</v>
      </c>
      <c r="CD9" s="2">
        <v>0.37618018905262679</v>
      </c>
      <c r="CE9" s="2">
        <f t="shared" si="11"/>
        <v>0.4682936549257285</v>
      </c>
      <c r="CF9" s="2">
        <v>8.2748845150006439E-2</v>
      </c>
      <c r="CG9" s="2">
        <f t="shared" si="12"/>
        <v>-1.9418297267723657E-2</v>
      </c>
      <c r="CH9" s="2">
        <f t="shared" si="13"/>
        <v>3.1128476212415962E-2</v>
      </c>
      <c r="CI9" s="2">
        <f t="shared" si="14"/>
        <v>0.1747510913559322</v>
      </c>
    </row>
    <row r="10" spans="2:87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s="45" t="s">
        <v>215</v>
      </c>
      <c r="G10" s="6">
        <f>AV10</f>
        <v>2840.6709268771965</v>
      </c>
      <c r="H10" s="6" t="s">
        <v>22</v>
      </c>
      <c r="J10" s="6" t="s">
        <v>99</v>
      </c>
      <c r="K10" s="6">
        <f xml:space="preserve"> $C$19 * (G13*G6 + G20*G16 + G27*G25)/3600</f>
        <v>89.897411860948267</v>
      </c>
      <c r="L10" s="6" t="s">
        <v>105</v>
      </c>
      <c r="N10" s="6" t="s">
        <v>41</v>
      </c>
      <c r="O10" s="6">
        <f xml:space="preserve"> O5 * $C$13 * O9</f>
        <v>887.71494729154131</v>
      </c>
      <c r="P10" s="6" t="s">
        <v>22</v>
      </c>
      <c r="U10" s="2">
        <v>6</v>
      </c>
      <c r="V10" s="2">
        <f t="shared" si="15"/>
        <v>0.984375</v>
      </c>
      <c r="W10" s="2">
        <f t="shared" si="0"/>
        <v>4.0339951676044983E-3</v>
      </c>
      <c r="X10" s="2">
        <f t="shared" si="16"/>
        <v>1</v>
      </c>
      <c r="Y10" s="2">
        <f t="shared" si="1"/>
        <v>-1.2367950714050613E-2</v>
      </c>
      <c r="Z10" s="2">
        <f t="shared" si="3"/>
        <v>0.9921875</v>
      </c>
      <c r="AA10" s="2">
        <f t="shared" si="2"/>
        <v>-4.1700054159171662E-3</v>
      </c>
      <c r="AB10" s="2">
        <f t="shared" si="4"/>
        <v>-1.6821781696694435E-5</v>
      </c>
      <c r="AC10" s="2">
        <f t="shared" si="5"/>
        <v>5.1574421461387638E-5</v>
      </c>
      <c r="AD10" s="2">
        <f t="shared" si="6"/>
        <v>1.5625E-2</v>
      </c>
      <c r="AF10" s="2">
        <v>6</v>
      </c>
      <c r="AG10" s="2">
        <f t="shared" si="25"/>
        <v>2187.5</v>
      </c>
      <c r="AH10" s="2">
        <v>-68.740838206456374</v>
      </c>
      <c r="AI10" s="2">
        <f t="shared" si="26"/>
        <v>2328.125</v>
      </c>
      <c r="AJ10" s="2">
        <v>4.975173090856515</v>
      </c>
      <c r="AK10" s="2">
        <f t="shared" si="17"/>
        <v>2257.8125</v>
      </c>
      <c r="AL10" s="2">
        <v>-31.73524768201878</v>
      </c>
      <c r="AM10" s="2">
        <f t="shared" si="18"/>
        <v>2181.5075263514727</v>
      </c>
      <c r="AN10" s="2">
        <f t="shared" si="19"/>
        <v>-157.88835029924644</v>
      </c>
      <c r="AO10" s="2">
        <f t="shared" si="20"/>
        <v>140.625</v>
      </c>
      <c r="AQ10" s="2" t="s">
        <v>176</v>
      </c>
      <c r="AR10" s="3">
        <f>0.21*($AR$9/2)</f>
        <v>0.32003999999999999</v>
      </c>
      <c r="AS10" s="26" t="s">
        <v>8</v>
      </c>
      <c r="AU10" s="4" t="s">
        <v>177</v>
      </c>
      <c r="AV10" s="37">
        <f>AZ9+BD9+AZ18+BD18+AZ27+BD27+AZ36+BD36</f>
        <v>2840.6709268771965</v>
      </c>
      <c r="AW10" s="26" t="s">
        <v>22</v>
      </c>
      <c r="AY10" s="2" t="s">
        <v>178</v>
      </c>
      <c r="AZ10" s="2">
        <f xml:space="preserve"> $BH$8 * PI() * $AR$45 * AZ7^2 * $BH$15 * $AR$19^2 * AZ4</f>
        <v>9.2372034483110141</v>
      </c>
      <c r="BA10" s="26" t="s">
        <v>179</v>
      </c>
      <c r="BC10" s="2" t="s">
        <v>178</v>
      </c>
      <c r="BD10" s="2">
        <f xml:space="preserve"> $BL$8 * PI() * $AR$45 * BD7^2 * $BL$15 * $AR$20^2 * BD4</f>
        <v>30.912593598514356</v>
      </c>
      <c r="BE10" s="26" t="s">
        <v>179</v>
      </c>
      <c r="BG10" s="2" t="s">
        <v>180</v>
      </c>
      <c r="BH10" s="2">
        <f>IF(-$AR$8*($AR$19-$AR$10)/(2*$AR$19*SIN(BH4))&gt;500, 1, 2*ACOS(MIN(1, EXP(-$AR$8*($AR$19-$AR$10)/(2*$AR$19*SIN(BH4)))))/PI() )</f>
        <v>0.52019837020573689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0.74994683158947528</v>
      </c>
      <c r="BM10" s="2"/>
      <c r="BO10" s="2">
        <v>6</v>
      </c>
      <c r="BP10" s="2">
        <f t="shared" si="21"/>
        <v>0.4682936549257285</v>
      </c>
      <c r="BQ10" s="2">
        <v>-0.3283684274046893</v>
      </c>
      <c r="BR10" s="2">
        <f t="shared" si="22"/>
        <v>0.55566920060369462</v>
      </c>
      <c r="BS10" s="2">
        <v>0.1634999185819874</v>
      </c>
      <c r="BT10" s="2">
        <f t="shared" si="7"/>
        <v>0.51198142776471156</v>
      </c>
      <c r="BU10" s="2">
        <v>-7.7135541127493323E-2</v>
      </c>
      <c r="BV10" s="2">
        <f t="shared" si="8"/>
        <v>2.5328876337044719E-2</v>
      </c>
      <c r="BW10" s="2">
        <f t="shared" si="9"/>
        <v>-1.2611654694122698E-2</v>
      </c>
      <c r="BX10" s="2">
        <f t="shared" si="10"/>
        <v>8.7375545677966127E-2</v>
      </c>
      <c r="BZ10" s="2">
        <v>6</v>
      </c>
      <c r="CA10" s="2">
        <f t="shared" si="23"/>
        <v>0.38091810924776243</v>
      </c>
      <c r="CB10" s="2">
        <v>-0.23466547759696615</v>
      </c>
      <c r="CC10" s="2">
        <f t="shared" si="24"/>
        <v>0.4682936549257285</v>
      </c>
      <c r="CD10" s="2">
        <v>8.2748845150006439E-2</v>
      </c>
      <c r="CE10" s="2">
        <f t="shared" si="11"/>
        <v>0.42460588208674543</v>
      </c>
      <c r="CF10" s="2">
        <v>-7.5264029179941572E-2</v>
      </c>
      <c r="CG10" s="2">
        <f t="shared" si="12"/>
        <v>1.7661869353382986E-2</v>
      </c>
      <c r="CH10" s="2">
        <f t="shared" si="13"/>
        <v>-6.2280114959765509E-3</v>
      </c>
      <c r="CI10" s="2">
        <f t="shared" si="14"/>
        <v>8.7375545677966071E-2</v>
      </c>
    </row>
    <row r="11" spans="2:87" x14ac:dyDescent="0.2">
      <c r="B11" s="6" t="s">
        <v>231</v>
      </c>
      <c r="C11" s="17">
        <v>1.37</v>
      </c>
      <c r="D11" s="6" t="s">
        <v>8</v>
      </c>
      <c r="F11" s="45" t="s">
        <v>216</v>
      </c>
      <c r="G11" s="6">
        <f>G9-G10</f>
        <v>-1.5185131451289635E-4</v>
      </c>
      <c r="H11" s="6" t="s">
        <v>22</v>
      </c>
      <c r="J11" s="6" t="s">
        <v>24</v>
      </c>
      <c r="K11" s="6">
        <f xml:space="preserve"> (G6 + G16 + G25)/60</f>
        <v>37.333333333333336</v>
      </c>
      <c r="L11" s="6" t="s">
        <v>106</v>
      </c>
      <c r="N11" s="6" t="s">
        <v>234</v>
      </c>
      <c r="O11" s="6">
        <f xml:space="preserve"> 1.78 * (1 - 0.045 * $C$14^0.68) - 0.64</f>
        <v>0.70601395642148124</v>
      </c>
      <c r="U11" s="2">
        <v>7</v>
      </c>
      <c r="V11" s="2">
        <f t="shared" si="15"/>
        <v>0.984375</v>
      </c>
      <c r="W11" s="2">
        <f t="shared" si="0"/>
        <v>4.0339951676044983E-3</v>
      </c>
      <c r="X11" s="2">
        <f t="shared" si="16"/>
        <v>0.9921875</v>
      </c>
      <c r="Y11" s="2">
        <f t="shared" si="1"/>
        <v>-4.1700054159171662E-3</v>
      </c>
      <c r="Z11" s="2">
        <f t="shared" si="3"/>
        <v>0.98828125</v>
      </c>
      <c r="AA11" s="2">
        <f t="shared" si="2"/>
        <v>-6.8770887188707164E-5</v>
      </c>
      <c r="AB11" s="2">
        <f t="shared" si="4"/>
        <v>-2.7742142659111882E-7</v>
      </c>
      <c r="AC11" s="2">
        <f t="shared" si="5"/>
        <v>2.8677497203433734E-7</v>
      </c>
      <c r="AD11" s="2">
        <f t="shared" si="6"/>
        <v>7.8125E-3</v>
      </c>
      <c r="AF11" s="2">
        <v>7</v>
      </c>
      <c r="AG11" s="2">
        <f t="shared" si="25"/>
        <v>2257.8125</v>
      </c>
      <c r="AH11" s="2">
        <v>-31.73524768201878</v>
      </c>
      <c r="AI11" s="2">
        <f t="shared" si="26"/>
        <v>2328.125</v>
      </c>
      <c r="AJ11" s="2">
        <v>4.975173090856515</v>
      </c>
      <c r="AK11" s="2">
        <f t="shared" si="17"/>
        <v>2292.96875</v>
      </c>
      <c r="AL11" s="2">
        <v>-13.342678656150156</v>
      </c>
      <c r="AM11" s="2">
        <f t="shared" si="18"/>
        <v>423.43321189451069</v>
      </c>
      <c r="AN11" s="2">
        <f t="shared" si="19"/>
        <v>-66.382135810023826</v>
      </c>
      <c r="AO11" s="2">
        <f t="shared" si="20"/>
        <v>70.3125</v>
      </c>
      <c r="AQ11" s="65" t="s">
        <v>181</v>
      </c>
      <c r="AR11" s="3" t="s">
        <v>219</v>
      </c>
      <c r="AS11" s="26"/>
      <c r="AU11" s="4" t="s">
        <v>182</v>
      </c>
      <c r="AV11" s="37">
        <f>AZ10+BD10+AZ19+BD19+AZ28+BD28+AZ37+BD37</f>
        <v>1221.2784719284152</v>
      </c>
      <c r="AW11" s="26" t="s">
        <v>179</v>
      </c>
      <c r="AZ11" s="2"/>
      <c r="BG11" s="2" t="s">
        <v>183</v>
      </c>
      <c r="BH11" s="2">
        <f>IF(BH4=0,1,BH9*BH10)</f>
        <v>0.51907909281134135</v>
      </c>
      <c r="BI11" s="2"/>
      <c r="BJ11" s="2"/>
      <c r="BK11" s="2" t="s">
        <v>183</v>
      </c>
      <c r="BL11" s="2">
        <f>IF(BL4=0,1,BL9*BL10)</f>
        <v>0.74250614896491296</v>
      </c>
      <c r="BM11" s="2"/>
      <c r="BO11" s="2">
        <v>7</v>
      </c>
      <c r="BP11" s="2">
        <f t="shared" si="21"/>
        <v>0.51198142776471156</v>
      </c>
      <c r="BQ11" s="2">
        <v>-7.7135545621335122E-2</v>
      </c>
      <c r="BR11" s="2">
        <f t="shared" si="22"/>
        <v>0.55566920060369462</v>
      </c>
      <c r="BS11" s="2">
        <v>0.1634999185819874</v>
      </c>
      <c r="BT11" s="2">
        <f t="shared" si="7"/>
        <v>0.53382531418420309</v>
      </c>
      <c r="BU11" s="2">
        <v>4.4914691924833786E-2</v>
      </c>
      <c r="BV11" s="2">
        <f t="shared" si="8"/>
        <v>-3.4645192680362287E-3</v>
      </c>
      <c r="BW11" s="2">
        <f t="shared" si="9"/>
        <v>7.3435484728453706E-3</v>
      </c>
      <c r="BX11" s="2">
        <f t="shared" si="10"/>
        <v>4.3687772838983063E-2</v>
      </c>
      <c r="BZ11" s="2">
        <v>7</v>
      </c>
      <c r="CA11" s="2">
        <f t="shared" si="23"/>
        <v>0.42460588208674543</v>
      </c>
      <c r="CB11" s="2">
        <v>-7.5264032287599092E-2</v>
      </c>
      <c r="CC11" s="2">
        <f t="shared" si="24"/>
        <v>0.4682936549257285</v>
      </c>
      <c r="CD11" s="2">
        <v>8.2748845150006439E-2</v>
      </c>
      <c r="CE11" s="2">
        <f t="shared" si="11"/>
        <v>0.44644976850623697</v>
      </c>
      <c r="CF11" s="2">
        <v>4.3153891145158302E-3</v>
      </c>
      <c r="CG11" s="2">
        <f t="shared" si="12"/>
        <v>-3.2479358564847311E-4</v>
      </c>
      <c r="CH11" s="2">
        <f t="shared" si="13"/>
        <v>3.5709346559909384E-4</v>
      </c>
      <c r="CI11" s="2">
        <f t="shared" si="14"/>
        <v>4.3687772838983063E-2</v>
      </c>
    </row>
    <row r="12" spans="2:87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s="45" t="s">
        <v>217</v>
      </c>
      <c r="G12" s="4" t="str">
        <f>IF(ABS(G11)&lt;1, "TRUE", "FALSE")</f>
        <v>TRUE</v>
      </c>
      <c r="N12" s="6" t="s">
        <v>235</v>
      </c>
      <c r="O12" s="6">
        <f xml:space="preserve"> O4 / (O5 * $C$13)</f>
        <v>0.90131336991272859</v>
      </c>
      <c r="U12" s="2">
        <v>8</v>
      </c>
      <c r="V12" s="2">
        <f t="shared" si="15"/>
        <v>0.984375</v>
      </c>
      <c r="W12" s="2">
        <f t="shared" si="0"/>
        <v>4.0339951676044983E-3</v>
      </c>
      <c r="X12" s="2">
        <f t="shared" si="16"/>
        <v>0.98828125</v>
      </c>
      <c r="Y12" s="2">
        <f t="shared" si="1"/>
        <v>-6.8770887188707164E-5</v>
      </c>
      <c r="Z12" s="2">
        <f t="shared" si="3"/>
        <v>0.986328125</v>
      </c>
      <c r="AA12" s="2">
        <f t="shared" si="2"/>
        <v>1.9824195778308518E-3</v>
      </c>
      <c r="AB12" s="2">
        <f t="shared" si="4"/>
        <v>7.9970709971342054E-6</v>
      </c>
      <c r="AC12" s="2">
        <f t="shared" si="5"/>
        <v>-1.3633275314769E-7</v>
      </c>
      <c r="AD12" s="2">
        <f t="shared" si="6"/>
        <v>3.90625E-3</v>
      </c>
      <c r="AF12" s="2">
        <v>8</v>
      </c>
      <c r="AG12" s="2">
        <f t="shared" si="25"/>
        <v>2292.96875</v>
      </c>
      <c r="AH12" s="2">
        <v>-13.342678656150156</v>
      </c>
      <c r="AI12" s="2">
        <f t="shared" si="26"/>
        <v>2328.125</v>
      </c>
      <c r="AJ12" s="2">
        <v>4.975173090856515</v>
      </c>
      <c r="AK12" s="2">
        <f t="shared" si="17"/>
        <v>2310.546875</v>
      </c>
      <c r="AL12" s="2">
        <v>-4.1743566126535825</v>
      </c>
      <c r="AM12" s="2">
        <f t="shared" si="18"/>
        <v>55.69709887881222</v>
      </c>
      <c r="AN12" s="2">
        <f t="shared" si="19"/>
        <v>-20.768146690913056</v>
      </c>
      <c r="AO12" s="2">
        <f t="shared" si="20"/>
        <v>35.15625</v>
      </c>
      <c r="AQ12" s="65"/>
      <c r="AR12" s="3" t="s">
        <v>219</v>
      </c>
      <c r="AS12" s="26"/>
      <c r="AU12" s="4" t="s">
        <v>184</v>
      </c>
      <c r="AV12" s="37">
        <f>AV11*AV5/1000</f>
        <v>72.596186128915846</v>
      </c>
      <c r="AW12" s="26" t="s">
        <v>104</v>
      </c>
      <c r="AY12" s="63" t="s">
        <v>185</v>
      </c>
      <c r="AZ12" s="63"/>
      <c r="BA12" s="63"/>
      <c r="BC12" s="63" t="s">
        <v>186</v>
      </c>
      <c r="BD12" s="63"/>
      <c r="BE12" s="63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0.71679323413160179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1.0620924199330615</v>
      </c>
      <c r="BM12" s="2"/>
      <c r="BO12" s="2">
        <v>8</v>
      </c>
      <c r="BP12" s="2">
        <f t="shared" si="21"/>
        <v>0.51198142776471156</v>
      </c>
      <c r="BQ12" s="2">
        <v>-7.7135545621335122E-2</v>
      </c>
      <c r="BR12" s="2">
        <f t="shared" si="22"/>
        <v>0.53382531418420309</v>
      </c>
      <c r="BS12" s="2">
        <v>4.4914691924833786E-2</v>
      </c>
      <c r="BT12" s="2">
        <f t="shared" si="7"/>
        <v>0.52290337097445727</v>
      </c>
      <c r="BU12" s="2">
        <v>-1.5717891117098245E-2</v>
      </c>
      <c r="BV12" s="2">
        <f t="shared" si="8"/>
        <v>1.2124081073341098E-3</v>
      </c>
      <c r="BW12" s="2">
        <f t="shared" si="9"/>
        <v>-7.0596423723254926E-4</v>
      </c>
      <c r="BX12" s="2">
        <f t="shared" si="10"/>
        <v>2.1843886419491532E-2</v>
      </c>
      <c r="BZ12" s="2">
        <v>8</v>
      </c>
      <c r="CA12" s="2">
        <f t="shared" si="23"/>
        <v>0.42460588208674543</v>
      </c>
      <c r="CB12" s="2">
        <v>-7.5264032287599092E-2</v>
      </c>
      <c r="CC12" s="2">
        <f t="shared" si="24"/>
        <v>0.44644976850623697</v>
      </c>
      <c r="CD12" s="2">
        <v>4.3153891145158302E-3</v>
      </c>
      <c r="CE12" s="2">
        <f t="shared" si="11"/>
        <v>0.4355278252964912</v>
      </c>
      <c r="CF12" s="2">
        <v>-3.5372479790551796E-2</v>
      </c>
      <c r="CG12" s="2">
        <f t="shared" si="12"/>
        <v>2.6622754610485366E-3</v>
      </c>
      <c r="CH12" s="2">
        <f t="shared" si="13"/>
        <v>-1.5264601424157842E-4</v>
      </c>
      <c r="CI12" s="2">
        <f t="shared" si="14"/>
        <v>2.1843886419491532E-2</v>
      </c>
    </row>
    <row r="13" spans="2:87" x14ac:dyDescent="0.2">
      <c r="B13" s="6" t="s">
        <v>232</v>
      </c>
      <c r="C13" s="17">
        <v>20</v>
      </c>
      <c r="D13" s="6" t="s">
        <v>11</v>
      </c>
      <c r="F13" s="41" t="s">
        <v>85</v>
      </c>
      <c r="G13" s="41">
        <f xml:space="preserve"> $C$22 * AV12</f>
        <v>580.76948903132677</v>
      </c>
      <c r="H13" s="41" t="s">
        <v>104</v>
      </c>
      <c r="J13" s="43" t="s">
        <v>54</v>
      </c>
      <c r="K13" s="43"/>
      <c r="L13" s="43"/>
      <c r="N13" s="6" t="s">
        <v>236</v>
      </c>
      <c r="O13" s="6">
        <f xml:space="preserve"> O9 + O12^2 / ( PI() * O11 * $C$14 )</f>
        <v>6.5729359661536133E-2</v>
      </c>
      <c r="U13" s="2">
        <v>9</v>
      </c>
      <c r="V13" s="2">
        <f t="shared" si="15"/>
        <v>0.986328125</v>
      </c>
      <c r="W13" s="2">
        <f t="shared" si="0"/>
        <v>1.9824195778308518E-3</v>
      </c>
      <c r="X13" s="2">
        <f t="shared" si="16"/>
        <v>0.98828125</v>
      </c>
      <c r="Y13" s="2">
        <f t="shared" si="1"/>
        <v>-6.8770887188707164E-5</v>
      </c>
      <c r="Z13" s="2">
        <f t="shared" si="3"/>
        <v>0.9873046875</v>
      </c>
      <c r="AA13" s="2">
        <f t="shared" si="2"/>
        <v>9.5677634561064373E-4</v>
      </c>
      <c r="AB13" s="2">
        <f t="shared" si="4"/>
        <v>1.8967321591439974E-6</v>
      </c>
      <c r="AC13" s="2">
        <f t="shared" si="5"/>
        <v>-6.5798358128813071E-8</v>
      </c>
      <c r="AD13" s="2">
        <f t="shared" si="6"/>
        <v>1.953125E-3</v>
      </c>
      <c r="AF13" s="2">
        <v>9</v>
      </c>
      <c r="AG13" s="2">
        <f t="shared" si="25"/>
        <v>2310.546875</v>
      </c>
      <c r="AH13" s="2">
        <v>-4.1743566126535825</v>
      </c>
      <c r="AI13" s="2">
        <f t="shared" si="26"/>
        <v>2328.125</v>
      </c>
      <c r="AJ13" s="2">
        <v>4.975173090856515</v>
      </c>
      <c r="AK13" s="2">
        <f t="shared" si="17"/>
        <v>2319.3359375</v>
      </c>
      <c r="AL13" s="2">
        <v>0.40276421747034874</v>
      </c>
      <c r="AM13" s="2">
        <f t="shared" si="18"/>
        <v>-1.6812814745375959</v>
      </c>
      <c r="AN13" s="2">
        <f t="shared" si="19"/>
        <v>2.0038216967183606</v>
      </c>
      <c r="AO13" s="2">
        <f t="shared" si="20"/>
        <v>17.578125</v>
      </c>
      <c r="AQ13" s="65"/>
      <c r="AR13" s="3" t="s">
        <v>219</v>
      </c>
      <c r="AS13" s="26"/>
      <c r="AY13" s="2" t="s">
        <v>153</v>
      </c>
      <c r="AZ13" s="2">
        <f>$AR$21-$AR$20</f>
        <v>0.15049499999999993</v>
      </c>
      <c r="BA13" s="26" t="s">
        <v>8</v>
      </c>
      <c r="BC13" s="2" t="s">
        <v>153</v>
      </c>
      <c r="BD13" s="2">
        <f>$AR$22-$AR$21</f>
        <v>0.15049500000000005</v>
      </c>
      <c r="BE13" s="26" t="s">
        <v>8</v>
      </c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6.5038837673069949E-2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5.0837902122030973E-2</v>
      </c>
      <c r="BM13" s="2"/>
      <c r="BO13" s="2">
        <v>9</v>
      </c>
      <c r="BP13" s="2">
        <f t="shared" si="21"/>
        <v>0.52290337097445727</v>
      </c>
      <c r="BQ13" s="2">
        <v>-1.5717895515065097E-2</v>
      </c>
      <c r="BR13" s="2">
        <f t="shared" si="22"/>
        <v>0.53382531418420309</v>
      </c>
      <c r="BS13" s="2">
        <v>4.4914691924833786E-2</v>
      </c>
      <c r="BT13" s="2">
        <f t="shared" si="7"/>
        <v>0.52836434257933018</v>
      </c>
      <c r="BU13" s="2">
        <v>1.4702186298595668E-2</v>
      </c>
      <c r="BV13" s="2">
        <f t="shared" si="8"/>
        <v>-2.3108742808434837E-4</v>
      </c>
      <c r="BW13" s="2">
        <f t="shared" si="9"/>
        <v>6.6034416822293677E-4</v>
      </c>
      <c r="BX13" s="2">
        <f t="shared" si="10"/>
        <v>1.0921943209745821E-2</v>
      </c>
      <c r="BZ13" s="2">
        <v>9</v>
      </c>
      <c r="CA13" s="2">
        <f t="shared" si="23"/>
        <v>0.4355278252964912</v>
      </c>
      <c r="CB13" s="2">
        <v>-3.5372482863179795E-2</v>
      </c>
      <c r="CC13" s="2">
        <f t="shared" si="24"/>
        <v>0.44644976850623697</v>
      </c>
      <c r="CD13" s="2">
        <v>4.3153891145158302E-3</v>
      </c>
      <c r="CE13" s="2">
        <f t="shared" si="11"/>
        <v>0.44098879690136406</v>
      </c>
      <c r="CF13" s="2">
        <v>-1.5497433024044896E-2</v>
      </c>
      <c r="CG13" s="2">
        <f t="shared" si="12"/>
        <v>5.4818268406630472E-4</v>
      </c>
      <c r="CH13" s="2">
        <f t="shared" si="13"/>
        <v>-6.6877453774901488E-5</v>
      </c>
      <c r="CI13" s="2">
        <f t="shared" si="14"/>
        <v>1.0921943209745766E-2</v>
      </c>
    </row>
    <row r="14" spans="2:87" x14ac:dyDescent="0.2">
      <c r="B14" s="6" t="s">
        <v>233</v>
      </c>
      <c r="C14" s="17">
        <v>12</v>
      </c>
      <c r="J14" s="10" t="s">
        <v>82</v>
      </c>
      <c r="K14" s="18">
        <f>C5</f>
        <v>2318.5621202032962</v>
      </c>
      <c r="L14" s="6" t="s">
        <v>7</v>
      </c>
      <c r="N14" s="6" t="s">
        <v>42</v>
      </c>
      <c r="O14" s="6">
        <f xml:space="preserve"> O5 * O13 * $C$13</f>
        <v>1657.2746153295818</v>
      </c>
      <c r="P14" s="6" t="s">
        <v>22</v>
      </c>
      <c r="U14" s="2">
        <v>10</v>
      </c>
      <c r="V14" s="2">
        <f t="shared" si="15"/>
        <v>0.9873046875</v>
      </c>
      <c r="W14" s="2">
        <f t="shared" si="0"/>
        <v>9.5677634561064373E-4</v>
      </c>
      <c r="X14" s="2">
        <f t="shared" si="16"/>
        <v>0.98828125</v>
      </c>
      <c r="Y14" s="2">
        <f t="shared" si="1"/>
        <v>-6.8770887188707164E-5</v>
      </c>
      <c r="Z14" s="2">
        <f t="shared" si="3"/>
        <v>0.98779296875</v>
      </c>
      <c r="AA14" s="2">
        <f t="shared" si="2"/>
        <v>4.4399074683398876E-4</v>
      </c>
      <c r="AB14" s="2">
        <f t="shared" si="4"/>
        <v>4.2479984424076425E-7</v>
      </c>
      <c r="AC14" s="2">
        <f t="shared" si="5"/>
        <v>-3.0533637563350086E-8</v>
      </c>
      <c r="AD14" s="2">
        <f t="shared" si="6"/>
        <v>9.765625E-4</v>
      </c>
      <c r="AF14" s="2">
        <v>10</v>
      </c>
      <c r="AG14" s="2">
        <f t="shared" si="25"/>
        <v>2310.546875</v>
      </c>
      <c r="AH14" s="2">
        <v>-4.1743566126535825</v>
      </c>
      <c r="AI14" s="2">
        <f t="shared" si="26"/>
        <v>2319.3359375</v>
      </c>
      <c r="AJ14" s="2">
        <v>0.40276421747034874</v>
      </c>
      <c r="AK14" s="2">
        <f t="shared" si="17"/>
        <v>2314.94140625</v>
      </c>
      <c r="AL14" s="2">
        <v>-1.8852082178300407</v>
      </c>
      <c r="AM14" s="2">
        <f t="shared" si="18"/>
        <v>7.8695313903277055</v>
      </c>
      <c r="AN14" s="2">
        <f t="shared" si="19"/>
        <v>-0.75929441262298702</v>
      </c>
      <c r="AO14" s="2">
        <f t="shared" si="20"/>
        <v>8.7890625</v>
      </c>
      <c r="AQ14" s="65"/>
      <c r="AR14" s="3" t="s">
        <v>219</v>
      </c>
      <c r="AS14" s="26"/>
      <c r="AU14" s="62" t="s">
        <v>189</v>
      </c>
      <c r="AV14" s="62"/>
      <c r="AW14" s="62"/>
      <c r="AY14" s="2" t="s">
        <v>158</v>
      </c>
      <c r="AZ14" s="2">
        <f>(1+$BH$37)*$AR$3</f>
        <v>14.772300388555006</v>
      </c>
      <c r="BA14" s="26" t="s">
        <v>10</v>
      </c>
      <c r="BC14" s="2" t="s">
        <v>158</v>
      </c>
      <c r="BD14" s="2">
        <f>(1+$BL$37)*$AR$3</f>
        <v>16.42310147000077</v>
      </c>
      <c r="BE14" s="26" t="s">
        <v>10</v>
      </c>
      <c r="BG14" s="2" t="s">
        <v>190</v>
      </c>
      <c r="BH14" s="2">
        <f xml:space="preserve"> BH12*COS(BH4) - BH13*SIN(BH4)</f>
        <v>0.58736048676484731</v>
      </c>
      <c r="BI14" s="2"/>
      <c r="BJ14" s="2"/>
      <c r="BK14" s="2" t="s">
        <v>190</v>
      </c>
      <c r="BL14" s="2">
        <f xml:space="preserve"> BL12*COS(BL4) - BL13*SIN(BL4)</f>
        <v>0.93664218663850651</v>
      </c>
      <c r="BM14" s="2"/>
      <c r="BO14" s="2">
        <v>10</v>
      </c>
      <c r="BP14" s="2">
        <f t="shared" si="21"/>
        <v>0.52290337097445727</v>
      </c>
      <c r="BQ14" s="2">
        <v>-1.5717895515065097E-2</v>
      </c>
      <c r="BR14" s="2">
        <f t="shared" si="22"/>
        <v>0.52836434257933018</v>
      </c>
      <c r="BS14" s="2">
        <v>1.4702186298595668E-2</v>
      </c>
      <c r="BT14" s="2">
        <f t="shared" si="7"/>
        <v>0.52563385677689367</v>
      </c>
      <c r="BU14" s="2">
        <v>-4.8257419504528498E-4</v>
      </c>
      <c r="BV14" s="2">
        <f t="shared" si="8"/>
        <v>7.5850507759884344E-6</v>
      </c>
      <c r="BW14" s="2">
        <f t="shared" si="9"/>
        <v>-7.0948957184506228E-6</v>
      </c>
      <c r="BX14" s="2">
        <f t="shared" si="10"/>
        <v>5.4609716048729107E-3</v>
      </c>
      <c r="BZ14" s="2">
        <v>10</v>
      </c>
      <c r="CA14" s="2">
        <f t="shared" si="23"/>
        <v>0.44098879690136406</v>
      </c>
      <c r="CB14" s="2">
        <v>-1.5497436078589166E-2</v>
      </c>
      <c r="CC14" s="2">
        <f t="shared" si="24"/>
        <v>0.44644976850623697</v>
      </c>
      <c r="CD14" s="2">
        <v>4.3153891145158302E-3</v>
      </c>
      <c r="CE14" s="2">
        <f t="shared" si="11"/>
        <v>0.44371928270380051</v>
      </c>
      <c r="CF14" s="2">
        <v>-5.5825808653861553E-3</v>
      </c>
      <c r="CG14" s="2">
        <f t="shared" si="12"/>
        <v>8.6515690114876928E-5</v>
      </c>
      <c r="CH14" s="2">
        <f t="shared" si="13"/>
        <v>-2.4091008697391779E-5</v>
      </c>
      <c r="CI14" s="2">
        <f t="shared" si="14"/>
        <v>5.4609716048729107E-3</v>
      </c>
    </row>
    <row r="15" spans="2:87" x14ac:dyDescent="0.2">
      <c r="F15" s="50" t="s">
        <v>89</v>
      </c>
      <c r="G15" s="51"/>
      <c r="H15" s="51"/>
      <c r="J15" s="11" t="s">
        <v>55</v>
      </c>
      <c r="K15" s="6">
        <f xml:space="preserve"> 1000 * K10 / ($C$59 * $C$60 * $C$61)</f>
        <v>528.80830506440157</v>
      </c>
      <c r="L15" s="6" t="s">
        <v>7</v>
      </c>
      <c r="N15" s="6" t="s">
        <v>237</v>
      </c>
      <c r="O15" s="6">
        <f>O4/O14</f>
        <v>13.712492781824011</v>
      </c>
      <c r="U15" s="2">
        <v>11</v>
      </c>
      <c r="V15" s="2">
        <f t="shared" si="15"/>
        <v>0.98779296875</v>
      </c>
      <c r="W15" s="2">
        <f t="shared" si="0"/>
        <v>4.4399074683398876E-4</v>
      </c>
      <c r="X15" s="2">
        <f t="shared" si="16"/>
        <v>0.98828125</v>
      </c>
      <c r="Y15" s="2">
        <f t="shared" si="1"/>
        <v>-6.8770887188707164E-5</v>
      </c>
      <c r="Z15" s="2">
        <f t="shared" si="3"/>
        <v>0.988037109375</v>
      </c>
      <c r="AA15" s="2">
        <f t="shared" si="2"/>
        <v>1.8760693641850512E-4</v>
      </c>
      <c r="AB15" s="2">
        <f t="shared" si="4"/>
        <v>8.3295743811688738E-8</v>
      </c>
      <c r="AC15" s="2">
        <f t="shared" si="5"/>
        <v>-1.2901895460255973E-8</v>
      </c>
      <c r="AD15" s="2">
        <f t="shared" si="6"/>
        <v>4.8828125E-4</v>
      </c>
      <c r="AF15" s="2">
        <v>11</v>
      </c>
      <c r="AG15" s="2">
        <f t="shared" si="25"/>
        <v>2314.94140625</v>
      </c>
      <c r="AH15" s="2">
        <v>-1.8852082178300407</v>
      </c>
      <c r="AI15" s="2">
        <f t="shared" si="26"/>
        <v>2319.3359375</v>
      </c>
      <c r="AJ15" s="2">
        <v>0.40276421747034874</v>
      </c>
      <c r="AK15" s="2">
        <f t="shared" si="17"/>
        <v>2317.138671875</v>
      </c>
      <c r="AL15" s="2">
        <v>-0.74107471560387239</v>
      </c>
      <c r="AM15" s="2">
        <f t="shared" si="18"/>
        <v>1.3970801438824805</v>
      </c>
      <c r="AN15" s="2">
        <f t="shared" si="19"/>
        <v>-0.2984783779172549</v>
      </c>
      <c r="AO15" s="2">
        <f t="shared" si="20"/>
        <v>4.39453125</v>
      </c>
      <c r="AQ15" s="65"/>
      <c r="AR15" s="3" t="s">
        <v>219</v>
      </c>
      <c r="AS15" s="26"/>
      <c r="AU15" s="2" t="s">
        <v>191</v>
      </c>
      <c r="AV15" s="2">
        <f>AV10*(AR3/2 + SQRT( (AR3/2)^2 + AV10/(2*AR45*PI()*AV3^2) ) )/1000</f>
        <v>42.642589519492027</v>
      </c>
      <c r="AW15" s="26" t="s">
        <v>104</v>
      </c>
      <c r="AY15" s="2" t="s">
        <v>163</v>
      </c>
      <c r="AZ15" s="2">
        <f>(1-$BH$38)*$AV$5*$AR$21</f>
        <v>35.759701675778906</v>
      </c>
      <c r="BA15" s="26" t="s">
        <v>10</v>
      </c>
      <c r="BC15" s="2" t="s">
        <v>163</v>
      </c>
      <c r="BD15" s="2">
        <f>(1-$BL$38)*$AV$5*$AR$22</f>
        <v>44.630025768226368</v>
      </c>
      <c r="BE15" s="26" t="s">
        <v>10</v>
      </c>
      <c r="BG15" s="2" t="s">
        <v>192</v>
      </c>
      <c r="BH15" s="2">
        <f xml:space="preserve"> BH12*SIN(BH4) + BH13*COS(BH4)</f>
        <v>0.41596904871644824</v>
      </c>
      <c r="BI15" s="2"/>
      <c r="BJ15" s="2"/>
      <c r="BK15" s="2" t="s">
        <v>192</v>
      </c>
      <c r="BL15" s="2">
        <f xml:space="preserve"> BL12*SIN(BL4) + BL13*COS(BL4)</f>
        <v>0.50331522426852227</v>
      </c>
      <c r="BM15" s="2"/>
      <c r="BO15" s="2">
        <v>11</v>
      </c>
      <c r="BP15" s="2">
        <f t="shared" si="21"/>
        <v>0.52563385677689367</v>
      </c>
      <c r="BQ15" s="2">
        <v>-4.8257856865534243E-4</v>
      </c>
      <c r="BR15" s="2">
        <f t="shared" si="22"/>
        <v>0.52836434257933018</v>
      </c>
      <c r="BS15" s="2">
        <v>1.4702186298595668E-2</v>
      </c>
      <c r="BT15" s="2">
        <f t="shared" si="7"/>
        <v>0.52699909967811198</v>
      </c>
      <c r="BU15" s="2">
        <v>7.1162114638918944E-3</v>
      </c>
      <c r="BV15" s="2">
        <f t="shared" si="8"/>
        <v>-3.4341311424936893E-6</v>
      </c>
      <c r="BW15" s="2">
        <f t="shared" si="9"/>
        <v>1.0462386668234083E-4</v>
      </c>
      <c r="BX15" s="2">
        <f t="shared" si="10"/>
        <v>2.7304858024365108E-3</v>
      </c>
      <c r="BZ15" s="2">
        <v>11</v>
      </c>
      <c r="CA15" s="2">
        <f t="shared" si="23"/>
        <v>0.44371928270380051</v>
      </c>
      <c r="CB15" s="2">
        <v>-5.5825839107519065E-3</v>
      </c>
      <c r="CC15" s="2">
        <f t="shared" si="24"/>
        <v>0.44644976850623697</v>
      </c>
      <c r="CD15" s="2">
        <v>4.3153891145158302E-3</v>
      </c>
      <c r="CE15" s="2">
        <f t="shared" si="11"/>
        <v>0.44508452560501877</v>
      </c>
      <c r="CF15" s="2">
        <v>-6.3140534918106062E-4</v>
      </c>
      <c r="CG15" s="2">
        <f t="shared" si="12"/>
        <v>3.5248733435008784E-6</v>
      </c>
      <c r="CH15" s="2">
        <f t="shared" si="13"/>
        <v>-2.7247597707030159E-6</v>
      </c>
      <c r="CI15" s="2">
        <f t="shared" si="14"/>
        <v>2.7304858024364553E-3</v>
      </c>
    </row>
    <row r="16" spans="2:87" x14ac:dyDescent="0.2">
      <c r="B16" s="52" t="s">
        <v>12</v>
      </c>
      <c r="C16" s="52"/>
      <c r="D16" s="52"/>
      <c r="F16" s="9" t="s">
        <v>92</v>
      </c>
      <c r="G16" s="6">
        <f xml:space="preserve"> $C$18/$C$8</f>
        <v>1920</v>
      </c>
      <c r="H16" s="6" t="s">
        <v>14</v>
      </c>
      <c r="J16" s="12" t="s">
        <v>135</v>
      </c>
      <c r="K16" s="6">
        <f xml:space="preserve"> $C$77 * ( $C$22 * (0.0095 * MAX(G9,G26) - 1.9275) +  $C$28 * (0.0095 * MAX(O20) - 1.9275) )</f>
        <v>171.43007019807848</v>
      </c>
      <c r="L16" s="6" t="s">
        <v>7</v>
      </c>
      <c r="N16" s="6" t="s">
        <v>118</v>
      </c>
      <c r="O16" s="6">
        <f>(O13*$C$13)/(0.3048^2)/($C$5*2.20462/1000)^(2/3)</f>
        <v>4.76860283068521</v>
      </c>
      <c r="U16" s="2">
        <v>12</v>
      </c>
      <c r="V16" s="2">
        <f t="shared" si="15"/>
        <v>0.988037109375</v>
      </c>
      <c r="W16" s="2">
        <f t="shared" si="0"/>
        <v>1.8760693641850512E-4</v>
      </c>
      <c r="X16" s="2">
        <f t="shared" si="16"/>
        <v>0.98828125</v>
      </c>
      <c r="Y16" s="2">
        <f t="shared" si="1"/>
        <v>-6.8770887188707164E-5</v>
      </c>
      <c r="Z16" s="2">
        <f t="shared" si="3"/>
        <v>0.9881591796875</v>
      </c>
      <c r="AA16" s="2">
        <f t="shared" si="2"/>
        <v>5.9417276537354624E-5</v>
      </c>
      <c r="AB16" s="2">
        <f t="shared" si="4"/>
        <v>1.1147093221504225E-8</v>
      </c>
      <c r="AC16" s="2">
        <f t="shared" si="5"/>
        <v>-4.0861788218106319E-9</v>
      </c>
      <c r="AD16" s="2">
        <f t="shared" si="6"/>
        <v>2.44140625E-4</v>
      </c>
      <c r="AF16" s="2">
        <v>12</v>
      </c>
      <c r="AG16" s="2">
        <f t="shared" si="25"/>
        <v>2317.138671875</v>
      </c>
      <c r="AH16" s="2">
        <v>-0.74107471560387239</v>
      </c>
      <c r="AI16" s="2">
        <f t="shared" si="26"/>
        <v>2319.3359375</v>
      </c>
      <c r="AJ16" s="2">
        <v>0.40276421747034874</v>
      </c>
      <c r="AK16" s="2">
        <f t="shared" si="17"/>
        <v>2318.2373046875</v>
      </c>
      <c r="AL16" s="2">
        <v>-0.16911863858786091</v>
      </c>
      <c r="AM16" s="2">
        <f t="shared" si="18"/>
        <v>0.12532954699481311</v>
      </c>
      <c r="AN16" s="2">
        <f t="shared" si="19"/>
        <v>-6.8114936130490522E-2</v>
      </c>
      <c r="AO16" s="2">
        <f t="shared" si="20"/>
        <v>2.197265625</v>
      </c>
      <c r="AQ16" s="65"/>
      <c r="AR16" s="3" t="s">
        <v>219</v>
      </c>
      <c r="AS16" s="26"/>
      <c r="AU16" s="2" t="s">
        <v>193</v>
      </c>
      <c r="AV16" s="2">
        <f>AV15/AV12</f>
        <v>0.58739434939140722</v>
      </c>
      <c r="AW16" s="26"/>
      <c r="AY16" s="2" t="s">
        <v>167</v>
      </c>
      <c r="AZ16" s="2">
        <f>SQRT(AZ14^2 + AZ15^2)</f>
        <v>38.690788602849736</v>
      </c>
      <c r="BA16" s="26" t="s">
        <v>10</v>
      </c>
      <c r="BC16" s="2" t="s">
        <v>167</v>
      </c>
      <c r="BD16" s="2">
        <f>SQRT(BD14^2 + BD15^2)</f>
        <v>47.555835204173327</v>
      </c>
      <c r="BE16" s="26" t="s">
        <v>10</v>
      </c>
      <c r="BG16" s="2" t="s">
        <v>38</v>
      </c>
      <c r="BH16" s="2">
        <f xml:space="preserve"> 4*BH11*SIN(BH4)*SIN(BH4) / (BH8*BH14)</f>
        <v>1.3230682439469685</v>
      </c>
      <c r="BI16" s="2"/>
      <c r="BJ16" s="2"/>
      <c r="BK16" s="2" t="s">
        <v>38</v>
      </c>
      <c r="BL16" s="2">
        <f xml:space="preserve"> 4*BL11*SIN(BL4)*SIN(BL4) / (BL8*BL14)</f>
        <v>1.2465817217167796</v>
      </c>
      <c r="BM16" s="2"/>
      <c r="BO16" s="2">
        <v>12</v>
      </c>
      <c r="BP16" s="2">
        <f t="shared" si="21"/>
        <v>0.52563385677689367</v>
      </c>
      <c r="BQ16" s="2">
        <v>-4.8257856865534243E-4</v>
      </c>
      <c r="BR16" s="2">
        <f t="shared" si="22"/>
        <v>0.52699909967811198</v>
      </c>
      <c r="BS16" s="2">
        <v>7.1162114638918944E-3</v>
      </c>
      <c r="BT16" s="2">
        <f t="shared" si="7"/>
        <v>0.52631647822750283</v>
      </c>
      <c r="BU16" s="2">
        <v>3.318409402626829E-3</v>
      </c>
      <c r="BV16" s="2">
        <f t="shared" si="8"/>
        <v>-1.6013932597320851E-6</v>
      </c>
      <c r="BW16" s="2">
        <f t="shared" si="9"/>
        <v>2.3614503032859695E-5</v>
      </c>
      <c r="BX16" s="2">
        <f t="shared" si="10"/>
        <v>1.3652429012183109E-3</v>
      </c>
      <c r="BZ16" s="2">
        <v>12</v>
      </c>
      <c r="CA16" s="2">
        <f t="shared" si="23"/>
        <v>0.44508452560501877</v>
      </c>
      <c r="CB16" s="2">
        <v>-6.3140838992407911E-4</v>
      </c>
      <c r="CC16" s="2">
        <f t="shared" si="24"/>
        <v>0.44644976850623697</v>
      </c>
      <c r="CD16" s="2">
        <v>4.3153891145158302E-3</v>
      </c>
      <c r="CE16" s="2">
        <f t="shared" si="11"/>
        <v>0.44576714705562787</v>
      </c>
      <c r="CF16" s="2">
        <v>1.8425493850256908E-3</v>
      </c>
      <c r="CG16" s="2">
        <f t="shared" si="12"/>
        <v>-1.1634011405546734E-6</v>
      </c>
      <c r="CH16" s="2">
        <f t="shared" si="13"/>
        <v>7.951317559097703E-6</v>
      </c>
      <c r="CI16" s="2">
        <f t="shared" si="14"/>
        <v>1.3652429012181999E-3</v>
      </c>
    </row>
    <row r="17" spans="2:87" x14ac:dyDescent="0.2">
      <c r="B17" s="6" t="s">
        <v>71</v>
      </c>
      <c r="C17" s="6">
        <f>C34*100</f>
        <v>600</v>
      </c>
      <c r="D17" s="6" t="s">
        <v>7</v>
      </c>
      <c r="F17" s="6" t="s">
        <v>239</v>
      </c>
      <c r="G17" s="6">
        <f>O21*$C$11</f>
        <v>53.082443870155544</v>
      </c>
      <c r="H17" s="6" t="s">
        <v>10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15"/>
        <v>0.9881591796875</v>
      </c>
      <c r="W17" s="2">
        <f t="shared" si="0"/>
        <v>5.9417276537354624E-5</v>
      </c>
      <c r="X17" s="2">
        <f t="shared" si="16"/>
        <v>0.98828125</v>
      </c>
      <c r="Y17" s="2">
        <f t="shared" si="1"/>
        <v>-6.8770887188707164E-5</v>
      </c>
      <c r="Z17" s="2">
        <f t="shared" si="3"/>
        <v>0.98822021484375</v>
      </c>
      <c r="AA17" s="2">
        <f t="shared" si="2"/>
        <v>-4.6769923108813671E-6</v>
      </c>
      <c r="AB17" s="2">
        <f t="shared" si="4"/>
        <v>-2.7789414549871946E-10</v>
      </c>
      <c r="AC17" s="2">
        <f t="shared" si="5"/>
        <v>3.2164091059407332E-10</v>
      </c>
      <c r="AD17" s="2">
        <f t="shared" si="6"/>
        <v>1.220703125E-4</v>
      </c>
      <c r="AF17" s="2">
        <v>13</v>
      </c>
      <c r="AG17" s="2">
        <f t="shared" si="25"/>
        <v>2318.2373046875</v>
      </c>
      <c r="AH17" s="2">
        <v>-0.16911863858786091</v>
      </c>
      <c r="AI17" s="2">
        <f t="shared" si="26"/>
        <v>2319.3359375</v>
      </c>
      <c r="AJ17" s="2">
        <v>0.40276421747034874</v>
      </c>
      <c r="AK17" s="2">
        <f t="shared" si="17"/>
        <v>2318.78662109375</v>
      </c>
      <c r="AL17" s="2">
        <v>0.1168321233781171</v>
      </c>
      <c r="AM17" s="2">
        <f t="shared" si="18"/>
        <v>-1.9758489649036162E-2</v>
      </c>
      <c r="AN17" s="2">
        <f t="shared" si="19"/>
        <v>4.7055798747786572E-2</v>
      </c>
      <c r="AO17" s="2">
        <f t="shared" si="20"/>
        <v>1.0986328125</v>
      </c>
      <c r="AQ17" s="65"/>
      <c r="AR17" s="3" t="s">
        <v>219</v>
      </c>
      <c r="AS17" s="26"/>
      <c r="AU17" s="2" t="s">
        <v>190</v>
      </c>
      <c r="AV17" s="2">
        <f>AV10/($AR$45*AV6^2*AR9^4)</f>
        <v>0.35366417809460193</v>
      </c>
      <c r="AW17" s="2"/>
      <c r="AY17" s="2" t="s">
        <v>170</v>
      </c>
      <c r="AZ17" s="36">
        <f>$AR$45*AZ16*$AR$27/$AR$46</f>
        <v>1935992.0679490231</v>
      </c>
      <c r="BA17" s="26"/>
      <c r="BC17" s="2" t="s">
        <v>170</v>
      </c>
      <c r="BD17" s="36">
        <f>$AR$45*BD16*$AR$27/$AR$46</f>
        <v>2379577.2343908572</v>
      </c>
      <c r="BE17" s="26"/>
      <c r="BG17" s="2" t="s">
        <v>194</v>
      </c>
      <c r="BH17" s="2">
        <f xml:space="preserve"> 4*BH11*SIN(BH4)*COS(BH4) / (BH8*BH15)</f>
        <v>3.2200393964440912</v>
      </c>
      <c r="BI17" s="2"/>
      <c r="BJ17" s="2"/>
      <c r="BK17" s="2" t="s">
        <v>194</v>
      </c>
      <c r="BL17" s="2">
        <f xml:space="preserve"> 4*BL11*SIN(BL4)*COS(BL4) / (BL8*BL15)</f>
        <v>4.8611058399820681</v>
      </c>
      <c r="BM17" s="2"/>
      <c r="BO17" s="2">
        <v>13</v>
      </c>
      <c r="BP17" s="2">
        <f t="shared" si="21"/>
        <v>0.52563385677689367</v>
      </c>
      <c r="BQ17" s="2">
        <v>-4.8257856865534243E-4</v>
      </c>
      <c r="BR17" s="2">
        <f t="shared" si="22"/>
        <v>0.52631647822750283</v>
      </c>
      <c r="BS17" s="2">
        <v>3.318409402626829E-3</v>
      </c>
      <c r="BT17" s="2">
        <f t="shared" si="7"/>
        <v>0.52597516750219819</v>
      </c>
      <c r="BU17" s="2">
        <v>1.4183139599080186E-3</v>
      </c>
      <c r="BV17" s="2">
        <f t="shared" si="8"/>
        <v>-6.8444792067630238E-7</v>
      </c>
      <c r="BW17" s="2">
        <f t="shared" si="9"/>
        <v>4.7065463804356602E-6</v>
      </c>
      <c r="BX17" s="2">
        <f t="shared" si="10"/>
        <v>6.8262145060915547E-4</v>
      </c>
      <c r="BZ17" s="2">
        <v>13</v>
      </c>
      <c r="CA17" s="2">
        <f t="shared" si="23"/>
        <v>0.44508452560501877</v>
      </c>
      <c r="CB17" s="2">
        <v>-6.3140838992407911E-4</v>
      </c>
      <c r="CC17" s="2">
        <f t="shared" si="24"/>
        <v>0.44576714705562787</v>
      </c>
      <c r="CD17" s="2">
        <v>1.8425493850256908E-3</v>
      </c>
      <c r="CE17" s="2">
        <f t="shared" si="11"/>
        <v>0.44542583633032329</v>
      </c>
      <c r="CF17" s="2">
        <v>6.0571016679103473E-4</v>
      </c>
      <c r="CG17" s="2">
        <f t="shared" si="12"/>
        <v>-3.8245048117417267E-7</v>
      </c>
      <c r="CH17" s="2">
        <f t="shared" si="13"/>
        <v>1.1160508953246297E-6</v>
      </c>
      <c r="CI17" s="2">
        <f t="shared" si="14"/>
        <v>6.8262145060909996E-4</v>
      </c>
    </row>
    <row r="18" spans="2:87" x14ac:dyDescent="0.2">
      <c r="B18" s="6" t="s">
        <v>13</v>
      </c>
      <c r="C18" s="17">
        <v>96000</v>
      </c>
      <c r="D18" s="6" t="s">
        <v>8</v>
      </c>
      <c r="F18" s="6" t="s">
        <v>240</v>
      </c>
      <c r="G18" s="6">
        <f>G17/$C$72</f>
        <v>0.15954004668299768</v>
      </c>
      <c r="H18" s="6" t="s">
        <v>131</v>
      </c>
      <c r="J18" s="13" t="s">
        <v>56</v>
      </c>
      <c r="K18" s="6">
        <f xml:space="preserve"> $C$77 * (0.2138 * K4 + 0.2138 * K6)</f>
        <v>114.56986570095319</v>
      </c>
      <c r="L18" s="6" t="s">
        <v>7</v>
      </c>
      <c r="N18" s="50" t="s">
        <v>238</v>
      </c>
      <c r="O18" s="55"/>
      <c r="P18" s="55"/>
      <c r="U18" s="2">
        <v>14</v>
      </c>
      <c r="V18" s="2">
        <f t="shared" si="15"/>
        <v>0.9881591796875</v>
      </c>
      <c r="W18" s="2">
        <f t="shared" si="0"/>
        <v>5.9417276537354624E-5</v>
      </c>
      <c r="X18" s="2">
        <f t="shared" si="16"/>
        <v>0.98822021484375</v>
      </c>
      <c r="Y18" s="2">
        <f t="shared" si="1"/>
        <v>-4.6769923108813671E-6</v>
      </c>
      <c r="Z18" s="2">
        <f t="shared" si="3"/>
        <v>0.988189697265625</v>
      </c>
      <c r="AA18" s="2">
        <f t="shared" si="2"/>
        <v>2.7370095362688751E-5</v>
      </c>
      <c r="AB18" s="2">
        <f t="shared" si="4"/>
        <v>1.6262565250186449E-9</v>
      </c>
      <c r="AC18" s="2">
        <f t="shared" si="5"/>
        <v>-1.2800972555938505E-10</v>
      </c>
      <c r="AD18" s="2">
        <f t="shared" si="6"/>
        <v>6.103515625E-5</v>
      </c>
      <c r="AF18" s="2">
        <v>14</v>
      </c>
      <c r="AG18" s="2">
        <f t="shared" si="25"/>
        <v>2318.2373046875</v>
      </c>
      <c r="AH18" s="2">
        <v>-0.16911863858786091</v>
      </c>
      <c r="AI18" s="2">
        <f t="shared" si="26"/>
        <v>2318.78662109375</v>
      </c>
      <c r="AJ18" s="2">
        <v>0.1168321233781171</v>
      </c>
      <c r="AK18" s="2">
        <f t="shared" si="17"/>
        <v>2318.511962890625</v>
      </c>
      <c r="AL18" s="2">
        <v>-2.6141059057408711E-2</v>
      </c>
      <c r="AM18" s="2">
        <f t="shared" si="18"/>
        <v>4.4209403190338323E-3</v>
      </c>
      <c r="AN18" s="2">
        <f t="shared" si="19"/>
        <v>-3.0541154370298199E-3</v>
      </c>
      <c r="AO18" s="2">
        <f t="shared" si="20"/>
        <v>0.54931640625</v>
      </c>
      <c r="AQ18" s="65"/>
      <c r="AR18" s="3" t="s">
        <v>219</v>
      </c>
      <c r="AU18" s="2" t="s">
        <v>192</v>
      </c>
      <c r="AV18" s="2">
        <f>AV11/($AR$45*AV6^2*AR9^5)</f>
        <v>4.9884989572673184E-2</v>
      </c>
      <c r="AW18" s="26"/>
      <c r="AY18" s="2" t="s">
        <v>174</v>
      </c>
      <c r="AZ18" s="2">
        <f xml:space="preserve"> $BH$27 * PI() * $AR$45 * AZ16^2 *$BH$33 * $AR$21 * AZ13</f>
        <v>202.85605662401855</v>
      </c>
      <c r="BA18" s="26" t="s">
        <v>22</v>
      </c>
      <c r="BC18" s="2" t="s">
        <v>174</v>
      </c>
      <c r="BD18" s="2">
        <f xml:space="preserve"> $BL$27 * PI() * $AR$45 * BD16^2 * $BL$33 * $AR$22 * BD13</f>
        <v>318.18947802006772</v>
      </c>
      <c r="BE18" s="26" t="s">
        <v>22</v>
      </c>
      <c r="BG18" s="2" t="s">
        <v>45</v>
      </c>
      <c r="BH18" s="2">
        <f>1/(BH16-1)</f>
        <v>3.0953212478665946</v>
      </c>
      <c r="BI18" s="2"/>
      <c r="BJ18" s="2"/>
      <c r="BK18" s="2" t="s">
        <v>45</v>
      </c>
      <c r="BL18" s="2">
        <f>1/(BL16-1)</f>
        <v>4.0554506353418454</v>
      </c>
      <c r="BM18" s="2"/>
      <c r="BO18" s="2">
        <v>14</v>
      </c>
      <c r="BP18" s="2">
        <f t="shared" si="21"/>
        <v>0.52563385677689367</v>
      </c>
      <c r="BQ18" s="2">
        <v>-4.8257856865534243E-4</v>
      </c>
      <c r="BR18" s="2">
        <f t="shared" si="22"/>
        <v>0.52597516750219819</v>
      </c>
      <c r="BS18" s="2">
        <v>1.4183139599080186E-3</v>
      </c>
      <c r="BT18" s="2">
        <f t="shared" si="7"/>
        <v>0.52580451213954593</v>
      </c>
      <c r="BU18" s="2">
        <v>4.6796880366323235E-4</v>
      </c>
      <c r="BV18" s="2">
        <f t="shared" si="8"/>
        <v>-2.2583171544715563E-7</v>
      </c>
      <c r="BW18" s="2">
        <f t="shared" si="9"/>
        <v>6.6372668703701717E-7</v>
      </c>
      <c r="BX18" s="2">
        <f t="shared" si="10"/>
        <v>3.4131072530452222E-4</v>
      </c>
      <c r="BZ18" s="2">
        <v>14</v>
      </c>
      <c r="CA18" s="2">
        <f t="shared" si="23"/>
        <v>0.44508452560501877</v>
      </c>
      <c r="CB18" s="2">
        <v>-6.3140838992407911E-4</v>
      </c>
      <c r="CC18" s="2">
        <f t="shared" si="24"/>
        <v>0.44542583633032329</v>
      </c>
      <c r="CD18" s="2">
        <v>6.0571016679103473E-4</v>
      </c>
      <c r="CE18" s="2">
        <f t="shared" si="11"/>
        <v>0.44525518096767103</v>
      </c>
      <c r="CF18" s="2">
        <v>-1.2813207939985083E-5</v>
      </c>
      <c r="CG18" s="2">
        <f t="shared" si="12"/>
        <v>8.0903669951484082E-9</v>
      </c>
      <c r="CH18" s="2">
        <f t="shared" si="13"/>
        <v>-7.7610903184565748E-9</v>
      </c>
      <c r="CI18" s="2">
        <f t="shared" si="14"/>
        <v>3.4131072530452222E-4</v>
      </c>
    </row>
    <row r="19" spans="2:87" x14ac:dyDescent="0.2">
      <c r="B19" s="6" t="s">
        <v>263</v>
      </c>
      <c r="C19" s="17">
        <v>1</v>
      </c>
      <c r="F19" s="9" t="s">
        <v>100</v>
      </c>
      <c r="G19" s="6">
        <f xml:space="preserve"> 1/1000 * (O25 + O20 * (O30 * O27 + $C$8 * SIN(O19/180*PI())))</f>
        <v>89.073037283881348</v>
      </c>
      <c r="H19" s="6" t="s">
        <v>104</v>
      </c>
      <c r="J19" s="13" t="s">
        <v>80</v>
      </c>
      <c r="K19" s="6">
        <f xml:space="preserve"> $C$77 * (0.1149 * K4 + 0.1149 * K6)</f>
        <v>61.571925018893936</v>
      </c>
      <c r="L19" s="6" t="s">
        <v>7</v>
      </c>
      <c r="N19" s="6" t="s">
        <v>28</v>
      </c>
      <c r="O19" s="6">
        <f xml:space="preserve"> 90 - $C$80</f>
        <v>85</v>
      </c>
      <c r="P19" s="6" t="s">
        <v>43</v>
      </c>
      <c r="U19" s="2">
        <v>15</v>
      </c>
      <c r="V19" s="2">
        <f t="shared" si="15"/>
        <v>0.988189697265625</v>
      </c>
      <c r="W19" s="2">
        <f t="shared" si="0"/>
        <v>2.7370095362688751E-5</v>
      </c>
      <c r="X19" s="2">
        <f t="shared" si="16"/>
        <v>0.98822021484375</v>
      </c>
      <c r="Y19" s="2">
        <f t="shared" si="1"/>
        <v>-4.6769923108813671E-6</v>
      </c>
      <c r="Z19" s="2">
        <f t="shared" si="3"/>
        <v>0.9882049560546875</v>
      </c>
      <c r="AA19" s="2">
        <f t="shared" si="2"/>
        <v>1.1346539838807956E-5</v>
      </c>
      <c r="AB19" s="2">
        <f t="shared" si="4"/>
        <v>3.1055587742472083E-10</v>
      </c>
      <c r="AC19" s="2">
        <f t="shared" si="5"/>
        <v>-5.3067679581213916E-11</v>
      </c>
      <c r="AD19" s="2">
        <f t="shared" si="6"/>
        <v>3.0517578125E-5</v>
      </c>
      <c r="AF19" s="2">
        <v>15</v>
      </c>
      <c r="AG19" s="2">
        <f t="shared" si="25"/>
        <v>2318.511962890625</v>
      </c>
      <c r="AH19" s="2">
        <v>-2.6141059057408711E-2</v>
      </c>
      <c r="AI19" s="2">
        <f t="shared" si="26"/>
        <v>2318.78662109375</v>
      </c>
      <c r="AJ19" s="2">
        <v>0.1168321233781171</v>
      </c>
      <c r="AK19" s="2">
        <f t="shared" si="17"/>
        <v>2318.6492919921875</v>
      </c>
      <c r="AL19" s="2">
        <v>4.5346081819161554E-2</v>
      </c>
      <c r="AM19" s="2">
        <f t="shared" si="18"/>
        <v>-1.1853946028567897E-3</v>
      </c>
      <c r="AN19" s="2">
        <f t="shared" si="19"/>
        <v>5.2978790258104754E-3</v>
      </c>
      <c r="AO19" s="2">
        <f t="shared" si="20"/>
        <v>0.274658203125</v>
      </c>
      <c r="AQ19" s="65" t="s">
        <v>195</v>
      </c>
      <c r="AR19" s="3">
        <f>0.259375*($AR$9/2)</f>
        <v>0.39528750000000001</v>
      </c>
      <c r="AS19" s="26" t="s">
        <v>8</v>
      </c>
      <c r="AU19" s="2" t="s">
        <v>196</v>
      </c>
      <c r="AV19" s="2">
        <f>2*PI()*AV18</f>
        <v>0.31343663353182699</v>
      </c>
      <c r="AW19" s="26"/>
      <c r="AY19" s="2" t="s">
        <v>178</v>
      </c>
      <c r="AZ19" s="2">
        <f xml:space="preserve"> $BH$27 * PI() * $AR$45 * AZ16^2 * $BH$34 * $AR$21^2 * AZ13</f>
        <v>64.996655092165454</v>
      </c>
      <c r="BA19" s="26" t="s">
        <v>179</v>
      </c>
      <c r="BC19" s="2" t="s">
        <v>178</v>
      </c>
      <c r="BD19" s="2">
        <f xml:space="preserve"> $BL$27 * PI() * $AR$45 * BD16^2 * $BL$34 * $AR$22^2 * BD13</f>
        <v>110.70889399185765</v>
      </c>
      <c r="BE19" s="26" t="s">
        <v>179</v>
      </c>
      <c r="BG19" s="2" t="s">
        <v>197</v>
      </c>
      <c r="BH19" s="2">
        <f>1/(BH17+1)</f>
        <v>0.23696461242580447</v>
      </c>
      <c r="BI19" s="2"/>
      <c r="BJ19" s="2"/>
      <c r="BK19" s="2" t="s">
        <v>197</v>
      </c>
      <c r="BL19" s="2">
        <f>1/(BL17+1)</f>
        <v>0.17061626718603318</v>
      </c>
      <c r="BM19" s="2"/>
      <c r="BO19" s="2">
        <v>15</v>
      </c>
      <c r="BP19" s="2">
        <f t="shared" si="21"/>
        <v>0.52563385677689367</v>
      </c>
      <c r="BQ19" s="2">
        <v>-4.8257856865534243E-4</v>
      </c>
      <c r="BR19" s="2">
        <f t="shared" si="22"/>
        <v>0.52580451213954593</v>
      </c>
      <c r="BS19" s="2">
        <v>4.6796880366323235E-4</v>
      </c>
      <c r="BT19" s="2">
        <f t="shared" si="7"/>
        <v>0.52571918445821986</v>
      </c>
      <c r="BU19" s="2">
        <v>-7.2779864079136614E-6</v>
      </c>
      <c r="BV19" s="2">
        <f t="shared" si="8"/>
        <v>3.5122002634240118E-9</v>
      </c>
      <c r="BW19" s="2">
        <f t="shared" si="9"/>
        <v>-3.405870592388622E-9</v>
      </c>
      <c r="BX19" s="2">
        <f t="shared" si="10"/>
        <v>1.7065536265226111E-4</v>
      </c>
      <c r="BZ19" s="2">
        <v>15</v>
      </c>
      <c r="CA19" s="2">
        <f t="shared" si="23"/>
        <v>0.44525518096767103</v>
      </c>
      <c r="CB19" s="2">
        <v>-1.2816248103619809E-5</v>
      </c>
      <c r="CC19" s="2">
        <f t="shared" si="24"/>
        <v>0.44542583633032329</v>
      </c>
      <c r="CD19" s="2">
        <v>6.0571016679103473E-4</v>
      </c>
      <c r="CE19" s="2">
        <f t="shared" si="11"/>
        <v>0.44534050864899716</v>
      </c>
      <c r="CF19" s="2">
        <v>2.964570945122591E-4</v>
      </c>
      <c r="CG19" s="2">
        <f t="shared" si="12"/>
        <v>-3.799467675347379E-9</v>
      </c>
      <c r="CH19" s="2">
        <f t="shared" si="13"/>
        <v>1.7956707616340602E-7</v>
      </c>
      <c r="CI19" s="2">
        <f t="shared" si="14"/>
        <v>1.7065536265226111E-4</v>
      </c>
    </row>
    <row r="20" spans="2:87" x14ac:dyDescent="0.2">
      <c r="F20" s="42" t="s">
        <v>225</v>
      </c>
      <c r="G20" s="41">
        <f xml:space="preserve"> $C$28 * G19</f>
        <v>89.073037283881348</v>
      </c>
      <c r="H20" s="41" t="s">
        <v>104</v>
      </c>
      <c r="J20" s="14" t="s">
        <v>63</v>
      </c>
      <c r="K20" s="6">
        <f xml:space="preserve"> $C$78 * (14.86 * ($C$5*2.20462)^0.144 * ($C$35/(PI()*$C$36))^0.778 * ($C$35*3.28084)^0.383 * $C$34^0.455 * 0.453592)</f>
        <v>216.53944963780202</v>
      </c>
      <c r="L20" s="6" t="s">
        <v>7</v>
      </c>
      <c r="N20" s="6" t="s">
        <v>21</v>
      </c>
      <c r="O20" s="6">
        <f xml:space="preserve"> O14 / $C$28</f>
        <v>1657.2746153295818</v>
      </c>
      <c r="P20" s="6" t="s">
        <v>22</v>
      </c>
      <c r="U20" s="2">
        <v>16</v>
      </c>
      <c r="V20" s="2">
        <f t="shared" si="15"/>
        <v>0.9882049560546875</v>
      </c>
      <c r="W20" s="2">
        <f t="shared" si="0"/>
        <v>1.1346539838807956E-5</v>
      </c>
      <c r="X20" s="2">
        <f t="shared" si="16"/>
        <v>0.98822021484375</v>
      </c>
      <c r="Y20" s="2">
        <f t="shared" si="1"/>
        <v>-4.6769923108813671E-6</v>
      </c>
      <c r="Z20" s="2">
        <f t="shared" si="3"/>
        <v>0.98821258544921875</v>
      </c>
      <c r="AA20" s="2">
        <f t="shared" si="2"/>
        <v>3.3347708422448719E-6</v>
      </c>
      <c r="AB20" s="2">
        <f t="shared" si="4"/>
        <v>3.7838110214826602E-11</v>
      </c>
      <c r="AC20" s="2">
        <f t="shared" si="5"/>
        <v>-1.5596697587730646E-11</v>
      </c>
      <c r="AD20" s="2">
        <f t="shared" si="6"/>
        <v>1.52587890625E-5</v>
      </c>
      <c r="AF20" s="2">
        <v>16</v>
      </c>
      <c r="AG20" s="2">
        <f t="shared" si="25"/>
        <v>2318.511962890625</v>
      </c>
      <c r="AH20" s="2">
        <v>-2.6141059057408711E-2</v>
      </c>
      <c r="AI20" s="2">
        <f t="shared" si="26"/>
        <v>2318.6492919921875</v>
      </c>
      <c r="AJ20" s="2">
        <v>4.5346081819161554E-2</v>
      </c>
      <c r="AK20" s="2">
        <f t="shared" si="17"/>
        <v>2318.5806274414062</v>
      </c>
      <c r="AL20" s="2">
        <v>9.602648793361368E-3</v>
      </c>
      <c r="AM20" s="2">
        <f t="shared" si="18"/>
        <v>-2.5102340921481401E-4</v>
      </c>
      <c r="AN20" s="2">
        <f t="shared" si="19"/>
        <v>4.3544249786443758E-4</v>
      </c>
      <c r="AO20" s="2">
        <f t="shared" si="20"/>
        <v>0.1373291015625</v>
      </c>
      <c r="AQ20" s="65"/>
      <c r="AR20" s="3">
        <f>0.358125*($AR$9/2)</f>
        <v>0.54578250000000006</v>
      </c>
      <c r="AS20" s="26" t="s">
        <v>8</v>
      </c>
      <c r="AU20" s="2" t="s">
        <v>198</v>
      </c>
      <c r="AV20" s="2">
        <f>AV17/AV19*AV7</f>
        <v>9.9389575940741409E-2</v>
      </c>
      <c r="AW20" s="26"/>
      <c r="BG20" s="7" t="s">
        <v>199</v>
      </c>
      <c r="BH20" s="38">
        <f>SIN(BH4)/(1+BH18) - $AR$3*COS(BH4)/($AV$5*$AR$19*(1-BH19))</f>
        <v>-1.5793220384252571E-8</v>
      </c>
      <c r="BI20" s="38"/>
      <c r="BJ20" s="2"/>
      <c r="BK20" s="7" t="s">
        <v>199</v>
      </c>
      <c r="BL20" s="38">
        <f>SIN(BL4)/(1+BL18) - $AR$3*COS(BL4)/($AV$5*$AR$20*(1-BL19))</f>
        <v>-8.2954977748128655E-9</v>
      </c>
      <c r="BM20" s="38"/>
      <c r="BO20" s="2">
        <v>16</v>
      </c>
      <c r="BP20" s="2">
        <f t="shared" si="21"/>
        <v>0.52571918445821986</v>
      </c>
      <c r="BQ20" s="2">
        <v>-7.2823592544013493E-6</v>
      </c>
      <c r="BR20" s="2">
        <f t="shared" si="22"/>
        <v>0.52580451213954593</v>
      </c>
      <c r="BS20" s="2">
        <v>4.6796880366323235E-4</v>
      </c>
      <c r="BT20" s="2">
        <f t="shared" si="7"/>
        <v>0.52576184829888284</v>
      </c>
      <c r="BU20" s="2">
        <v>2.3035158857860616E-4</v>
      </c>
      <c r="BV20" s="2">
        <f t="shared" si="8"/>
        <v>-1.6775030228514647E-9</v>
      </c>
      <c r="BW20" s="2">
        <f t="shared" si="9"/>
        <v>1.0779735732905542E-7</v>
      </c>
      <c r="BX20" s="2">
        <f t="shared" si="10"/>
        <v>8.5327681326075044E-5</v>
      </c>
      <c r="BZ20" s="2">
        <v>16</v>
      </c>
      <c r="CA20" s="2">
        <f t="shared" si="23"/>
        <v>0.44525518096767103</v>
      </c>
      <c r="CB20" s="2">
        <v>-1.2816248103619809E-5</v>
      </c>
      <c r="CC20" s="2">
        <f t="shared" si="24"/>
        <v>0.44534050864899716</v>
      </c>
      <c r="CD20" s="2">
        <v>2.964570945122591E-4</v>
      </c>
      <c r="CE20" s="2">
        <f t="shared" si="11"/>
        <v>0.44529784480833412</v>
      </c>
      <c r="CF20" s="2">
        <v>1.4182409465066104E-4</v>
      </c>
      <c r="CG20" s="2">
        <f t="shared" si="12"/>
        <v>-1.8176527841141308E-9</v>
      </c>
      <c r="CH20" s="2">
        <f t="shared" si="13"/>
        <v>4.2044759031966596E-8</v>
      </c>
      <c r="CI20" s="2">
        <f t="shared" si="14"/>
        <v>8.5327681326130556E-5</v>
      </c>
    </row>
    <row r="21" spans="2:87" x14ac:dyDescent="0.2">
      <c r="B21" s="52" t="s">
        <v>115</v>
      </c>
      <c r="C21" s="52"/>
      <c r="D21" s="52"/>
      <c r="J21" s="14" t="s">
        <v>64</v>
      </c>
      <c r="K21" s="6">
        <f xml:space="preserve"> $C$78 * C40 * $C$5</f>
        <v>60.282615125285709</v>
      </c>
      <c r="L21" s="6" t="s">
        <v>7</v>
      </c>
      <c r="N21" s="6" t="s">
        <v>29</v>
      </c>
      <c r="O21" s="6">
        <f>$C$7*2*PI()/60</f>
        <v>38.746309394274114</v>
      </c>
      <c r="P21" s="6" t="s">
        <v>30</v>
      </c>
      <c r="U21" s="2">
        <v>17</v>
      </c>
      <c r="V21" s="2">
        <f t="shared" si="15"/>
        <v>0.98821258544921875</v>
      </c>
      <c r="W21" s="2">
        <f t="shared" si="0"/>
        <v>3.3347708422448719E-6</v>
      </c>
      <c r="X21" s="2">
        <f t="shared" si="16"/>
        <v>0.98822021484375</v>
      </c>
      <c r="Y21" s="2">
        <f t="shared" si="1"/>
        <v>-4.6769923108813671E-6</v>
      </c>
      <c r="Z21" s="2">
        <f t="shared" si="3"/>
        <v>0.98821640014648438</v>
      </c>
      <c r="AA21" s="2">
        <f t="shared" si="2"/>
        <v>-6.7111146473397554E-7</v>
      </c>
      <c r="AB21" s="2">
        <f t="shared" si="4"/>
        <v>-2.2380029444911092E-12</v>
      </c>
      <c r="AC21" s="2">
        <f t="shared" si="5"/>
        <v>3.1387831603051355E-12</v>
      </c>
      <c r="AD21" s="2">
        <f t="shared" si="6"/>
        <v>7.62939453125E-6</v>
      </c>
      <c r="AF21" s="2">
        <v>17</v>
      </c>
      <c r="AG21" s="2">
        <f t="shared" si="25"/>
        <v>2318.511962890625</v>
      </c>
      <c r="AH21" s="2">
        <v>-2.6141059057408711E-2</v>
      </c>
      <c r="AI21" s="2">
        <f t="shared" si="26"/>
        <v>2318.5806274414062</v>
      </c>
      <c r="AJ21" s="2">
        <v>9.602648793361368E-3</v>
      </c>
      <c r="AK21" s="2">
        <f t="shared" si="17"/>
        <v>2318.5462951660156</v>
      </c>
      <c r="AL21" s="2">
        <v>-8.2691707787034829E-3</v>
      </c>
      <c r="AM21" s="2">
        <f t="shared" si="18"/>
        <v>2.1616488168188614E-4</v>
      </c>
      <c r="AN21" s="2">
        <f t="shared" si="19"/>
        <v>-7.9405942800216087E-5</v>
      </c>
      <c r="AO21" s="2">
        <f t="shared" si="20"/>
        <v>6.866455078125E-2</v>
      </c>
      <c r="AQ21" s="65"/>
      <c r="AR21" s="3">
        <f>0.456875*($AR$9/2)</f>
        <v>0.69627749999999999</v>
      </c>
      <c r="AS21" s="26" t="s">
        <v>8</v>
      </c>
      <c r="AW21" s="26"/>
      <c r="AY21" s="63" t="s">
        <v>200</v>
      </c>
      <c r="AZ21" s="63"/>
      <c r="BA21" s="63"/>
      <c r="BC21" s="63" t="s">
        <v>201</v>
      </c>
      <c r="BD21" s="63"/>
      <c r="BE21" s="63"/>
      <c r="BG21" s="2"/>
      <c r="BH21" s="2"/>
      <c r="BI21" s="2"/>
      <c r="BJ21" s="2"/>
      <c r="BK21" s="2"/>
      <c r="BL21" s="2"/>
      <c r="BM21" s="2"/>
      <c r="BO21" s="2">
        <v>17</v>
      </c>
      <c r="BP21" s="2">
        <f t="shared" si="21"/>
        <v>0.52571918445821986</v>
      </c>
      <c r="BQ21" s="2">
        <v>-7.2823592544013493E-6</v>
      </c>
      <c r="BR21" s="2">
        <f t="shared" si="22"/>
        <v>0.52576184829888284</v>
      </c>
      <c r="BS21" s="2">
        <v>2.3035158857860616E-4</v>
      </c>
      <c r="BT21" s="2">
        <f t="shared" si="7"/>
        <v>0.52574051637855135</v>
      </c>
      <c r="BU21" s="2">
        <v>1.1153834574452459E-4</v>
      </c>
      <c r="BV21" s="2">
        <f t="shared" si="8"/>
        <v>-8.1226230435325599E-10</v>
      </c>
      <c r="BW21" s="2">
        <f t="shared" si="9"/>
        <v>2.5693035129681057E-8</v>
      </c>
      <c r="BX21" s="2">
        <f t="shared" si="10"/>
        <v>4.2663840662982011E-5</v>
      </c>
      <c r="BZ21" s="2">
        <v>17</v>
      </c>
      <c r="CA21" s="2">
        <f t="shared" si="23"/>
        <v>0.44525518096767103</v>
      </c>
      <c r="CB21" s="2">
        <v>-1.2816248103619809E-5</v>
      </c>
      <c r="CC21" s="2">
        <f t="shared" si="24"/>
        <v>0.44529784480833412</v>
      </c>
      <c r="CD21" s="2">
        <v>1.4182409465066104E-4</v>
      </c>
      <c r="CE21" s="2">
        <f t="shared" si="11"/>
        <v>0.44527651288800257</v>
      </c>
      <c r="CF21" s="2">
        <v>6.4505980895301906E-5</v>
      </c>
      <c r="CG21" s="2">
        <f t="shared" si="12"/>
        <v>-8.2672465532154875E-10</v>
      </c>
      <c r="CH21" s="2">
        <f t="shared" si="13"/>
        <v>9.14850234002903E-9</v>
      </c>
      <c r="CI21" s="2">
        <f t="shared" si="14"/>
        <v>4.2663840663093033E-5</v>
      </c>
    </row>
    <row r="22" spans="2:87" x14ac:dyDescent="0.2">
      <c r="B22" s="6" t="s">
        <v>97</v>
      </c>
      <c r="C22" s="17">
        <v>8</v>
      </c>
      <c r="F22" s="52" t="s">
        <v>84</v>
      </c>
      <c r="G22" s="52"/>
      <c r="H22" s="52"/>
      <c r="J22" s="14" t="s">
        <v>241</v>
      </c>
      <c r="K22" s="6">
        <f xml:space="preserve"> $C$78 * (0.04674 * ($C$5*2.20462)^0.397 * ($C$13*3.28084^2)^0.36 * $C$45^0.397 * $C$14^1.712 * 0.453592)</f>
        <v>378.96131809396007</v>
      </c>
      <c r="L22" s="6" t="s">
        <v>7</v>
      </c>
      <c r="N22" s="6" t="s">
        <v>31</v>
      </c>
      <c r="O22" s="6">
        <f xml:space="preserve"> $C$8 * COS(O19/180*PI()) / (O21 * $C$11)</f>
        <v>8.2094696846333207E-2</v>
      </c>
      <c r="U22" s="2">
        <v>18</v>
      </c>
      <c r="V22" s="2">
        <f t="shared" si="15"/>
        <v>0.98821258544921875</v>
      </c>
      <c r="W22" s="2">
        <f t="shared" si="0"/>
        <v>3.3347708422448719E-6</v>
      </c>
      <c r="X22" s="2">
        <f t="shared" si="16"/>
        <v>0.98821640014648438</v>
      </c>
      <c r="Y22" s="2">
        <f t="shared" si="1"/>
        <v>-6.7111146473397554E-7</v>
      </c>
      <c r="Z22" s="2">
        <f t="shared" si="3"/>
        <v>0.98821449279785156</v>
      </c>
      <c r="AA22" s="2">
        <f t="shared" si="2"/>
        <v>1.3318295062347829E-6</v>
      </c>
      <c r="AB22" s="2">
        <f t="shared" si="4"/>
        <v>4.4413462042331385E-12</v>
      </c>
      <c r="AC22" s="2">
        <f t="shared" si="5"/>
        <v>-8.9380605070515254E-13</v>
      </c>
      <c r="AD22" s="2">
        <f t="shared" si="6"/>
        <v>3.814697265625E-6</v>
      </c>
      <c r="AF22" s="2">
        <v>18</v>
      </c>
      <c r="AG22" s="2">
        <f t="shared" si="25"/>
        <v>2318.5462951660156</v>
      </c>
      <c r="AH22" s="2">
        <v>-8.2691707787034829E-3</v>
      </c>
      <c r="AI22" s="2">
        <f t="shared" si="26"/>
        <v>2318.5806274414062</v>
      </c>
      <c r="AJ22" s="2">
        <v>9.602648793361368E-3</v>
      </c>
      <c r="AK22" s="2">
        <f t="shared" si="17"/>
        <v>2318.5634613037109</v>
      </c>
      <c r="AL22" s="2">
        <v>6.6692721111394349E-4</v>
      </c>
      <c r="AM22" s="2">
        <f t="shared" si="18"/>
        <v>-5.51493500566563E-6</v>
      </c>
      <c r="AN22" s="2">
        <f t="shared" si="19"/>
        <v>6.4042677790631717E-6</v>
      </c>
      <c r="AO22" s="2">
        <f t="shared" si="20"/>
        <v>3.4332275390625E-2</v>
      </c>
      <c r="AQ22" s="65"/>
      <c r="AR22" s="3">
        <f>0.555625*($AR$9/2)</f>
        <v>0.84677250000000004</v>
      </c>
      <c r="AS22" s="26" t="s">
        <v>8</v>
      </c>
      <c r="AU22" s="62" t="s">
        <v>202</v>
      </c>
      <c r="AV22" s="62"/>
      <c r="AW22" s="62"/>
      <c r="AY22" s="2" t="s">
        <v>153</v>
      </c>
      <c r="AZ22" s="2">
        <f>$AR$23-$AR$22</f>
        <v>0.15049500000000005</v>
      </c>
      <c r="BA22" s="26" t="s">
        <v>8</v>
      </c>
      <c r="BC22" s="2" t="s">
        <v>153</v>
      </c>
      <c r="BD22" s="2">
        <f>$AR$24-$AR$23</f>
        <v>0.15049499999999993</v>
      </c>
      <c r="BE22" s="26" t="s">
        <v>8</v>
      </c>
      <c r="BG22" s="63" t="s">
        <v>185</v>
      </c>
      <c r="BH22" s="63"/>
      <c r="BI22" s="63"/>
      <c r="BJ22" s="2"/>
      <c r="BK22" s="63" t="s">
        <v>186</v>
      </c>
      <c r="BL22" s="63"/>
      <c r="BM22" s="63"/>
      <c r="BO22" s="2">
        <v>18</v>
      </c>
      <c r="BP22" s="2">
        <f t="shared" si="21"/>
        <v>0.52571918445821986</v>
      </c>
      <c r="BQ22" s="2">
        <v>-7.2823592544013493E-6</v>
      </c>
      <c r="BR22" s="2">
        <f t="shared" si="22"/>
        <v>0.52574051637855135</v>
      </c>
      <c r="BS22" s="2">
        <v>1.1153834574452459E-4</v>
      </c>
      <c r="BT22" s="2">
        <f t="shared" si="7"/>
        <v>0.5257298504183856</v>
      </c>
      <c r="BU22" s="2">
        <v>5.2130565792007921E-5</v>
      </c>
      <c r="BV22" s="2">
        <f t="shared" si="8"/>
        <v>-3.7963350823260732E-10</v>
      </c>
      <c r="BW22" s="2">
        <f t="shared" si="9"/>
        <v>5.8145570711666657E-9</v>
      </c>
      <c r="BX22" s="2">
        <f t="shared" si="10"/>
        <v>2.1331920331491006E-5</v>
      </c>
      <c r="BZ22" s="2">
        <v>18</v>
      </c>
      <c r="CA22" s="2">
        <f t="shared" si="23"/>
        <v>0.44525518096767103</v>
      </c>
      <c r="CB22" s="2">
        <v>-1.2816248103619809E-5</v>
      </c>
      <c r="CC22" s="2">
        <f t="shared" si="24"/>
        <v>0.44527651288800257</v>
      </c>
      <c r="CD22" s="2">
        <v>6.4505980895301906E-5</v>
      </c>
      <c r="CE22" s="2">
        <f t="shared" si="11"/>
        <v>0.44526584692783677</v>
      </c>
      <c r="CF22" s="2">
        <v>2.5846520824920893E-5</v>
      </c>
      <c r="CG22" s="2">
        <f t="shared" si="12"/>
        <v>-3.3125542350756232E-10</v>
      </c>
      <c r="CH22" s="2">
        <f t="shared" si="13"/>
        <v>1.66725517854237E-9</v>
      </c>
      <c r="CI22" s="2">
        <f t="shared" si="14"/>
        <v>2.1331920331546517E-5</v>
      </c>
    </row>
    <row r="23" spans="2:87" x14ac:dyDescent="0.2">
      <c r="B23" s="6" t="s">
        <v>114</v>
      </c>
      <c r="C23" s="17">
        <v>2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$C$78 * (3.184 * ($C$5*2.20462)^0.887 * ($C$49*3.28084*3.28084)^0.101 * ($C$48)^0.138 ) / ( 174.04 * ($C$50*3.28084)^0.223 ) * 0.453592</f>
        <v>26.005330568252887</v>
      </c>
      <c r="L23" s="6" t="s">
        <v>7</v>
      </c>
      <c r="N23" s="6" t="s">
        <v>32</v>
      </c>
      <c r="O23" s="6">
        <f xml:space="preserve"> O20 / ( $C$70 * PI() * $C$11^2 * O21^2 * $C$11^2)</f>
        <v>9.8902344020852156E-2</v>
      </c>
      <c r="U23" s="2">
        <v>19</v>
      </c>
      <c r="V23" s="2">
        <f t="shared" si="15"/>
        <v>0.98821449279785156</v>
      </c>
      <c r="W23" s="2">
        <f t="shared" si="0"/>
        <v>1.3318295062347829E-6</v>
      </c>
      <c r="X23" s="2">
        <f t="shared" si="16"/>
        <v>0.98821640014648438</v>
      </c>
      <c r="Y23" s="2">
        <f t="shared" si="1"/>
        <v>-6.7111146473397554E-7</v>
      </c>
      <c r="Z23" s="2">
        <f t="shared" si="3"/>
        <v>0.98821544647216797</v>
      </c>
      <c r="AA23" s="2">
        <f t="shared" si="2"/>
        <v>3.3035897506472622E-7</v>
      </c>
      <c r="AB23" s="2">
        <f t="shared" si="4"/>
        <v>4.3998183064068329E-13</v>
      </c>
      <c r="AC23" s="2">
        <f t="shared" si="5"/>
        <v>-2.2170769564370332E-13</v>
      </c>
      <c r="AD23" s="2">
        <f t="shared" si="6"/>
        <v>1.9073486328125E-6</v>
      </c>
      <c r="AF23" s="2">
        <v>19</v>
      </c>
      <c r="AG23" s="2">
        <f t="shared" si="25"/>
        <v>2318.5462951660156</v>
      </c>
      <c r="AH23" s="2">
        <v>-8.2691707787034829E-3</v>
      </c>
      <c r="AI23" s="2">
        <f t="shared" si="26"/>
        <v>2318.5634613037109</v>
      </c>
      <c r="AJ23" s="2">
        <v>6.6692721111394349E-4</v>
      </c>
      <c r="AK23" s="2">
        <f t="shared" si="17"/>
        <v>2318.5548782348633</v>
      </c>
      <c r="AL23" s="2">
        <v>-3.8011196375009604E-3</v>
      </c>
      <c r="AM23" s="2">
        <f t="shared" si="18"/>
        <v>3.143210743277892E-5</v>
      </c>
      <c r="AN23" s="2">
        <f t="shared" si="19"/>
        <v>-2.5350701189489593E-6</v>
      </c>
      <c r="AO23" s="2">
        <f t="shared" si="20"/>
        <v>1.71661376953125E-2</v>
      </c>
      <c r="AQ23" s="65"/>
      <c r="AR23" s="3">
        <f>0.654375*($AR$9/2)</f>
        <v>0.99726750000000008</v>
      </c>
      <c r="AS23" s="26" t="s">
        <v>8</v>
      </c>
      <c r="AU23" s="60" t="s">
        <v>203</v>
      </c>
      <c r="AV23" s="65">
        <f>BH20</f>
        <v>-1.5793220384252571E-8</v>
      </c>
      <c r="AW23" s="65"/>
      <c r="AY23" s="2" t="s">
        <v>158</v>
      </c>
      <c r="AZ23" s="2">
        <f>(1+$BH$56)*$AR$3</f>
        <v>17.962920674291137</v>
      </c>
      <c r="BA23" s="26" t="s">
        <v>10</v>
      </c>
      <c r="BC23" s="2" t="s">
        <v>158</v>
      </c>
      <c r="BD23" s="2">
        <f>(1+$BL$56)*$AR$3</f>
        <v>19.591014710238404</v>
      </c>
      <c r="BE23" s="26" t="s">
        <v>10</v>
      </c>
      <c r="BG23" s="28" t="s">
        <v>154</v>
      </c>
      <c r="BH23" s="29">
        <f>BT68</f>
        <v>0.39174741536451568</v>
      </c>
      <c r="BI23" s="5" t="s">
        <v>155</v>
      </c>
      <c r="BJ23" s="2"/>
      <c r="BK23" s="28" t="s">
        <v>154</v>
      </c>
      <c r="BL23" s="29">
        <f>CE68</f>
        <v>0.35260482062484438</v>
      </c>
      <c r="BM23" s="5" t="s">
        <v>155</v>
      </c>
      <c r="BO23" s="2">
        <v>19</v>
      </c>
      <c r="BP23" s="2">
        <f t="shared" si="21"/>
        <v>0.52571918445821986</v>
      </c>
      <c r="BQ23" s="2">
        <v>-7.2823592544013493E-6</v>
      </c>
      <c r="BR23" s="2">
        <f t="shared" si="22"/>
        <v>0.5257298504183856</v>
      </c>
      <c r="BS23" s="2">
        <v>5.2130565792007921E-5</v>
      </c>
      <c r="BT23" s="2">
        <f t="shared" si="7"/>
        <v>0.52572451743830273</v>
      </c>
      <c r="BU23" s="2">
        <v>2.2426386217938576E-5</v>
      </c>
      <c r="BV23" s="2">
        <f t="shared" si="8"/>
        <v>-1.6331700121698388E-10</v>
      </c>
      <c r="BW23" s="2">
        <f t="shared" si="9"/>
        <v>1.1691002022112267E-9</v>
      </c>
      <c r="BX23" s="2">
        <f t="shared" si="10"/>
        <v>1.0665960165745503E-5</v>
      </c>
      <c r="BZ23" s="2">
        <v>19</v>
      </c>
      <c r="CA23" s="2">
        <f t="shared" si="23"/>
        <v>0.44525518096767103</v>
      </c>
      <c r="CB23" s="2">
        <v>-1.2816248103619809E-5</v>
      </c>
      <c r="CC23" s="2">
        <f t="shared" si="24"/>
        <v>0.44526584692783677</v>
      </c>
      <c r="CD23" s="2">
        <v>2.5846520824920893E-5</v>
      </c>
      <c r="CE23" s="2">
        <f t="shared" si="11"/>
        <v>0.4452605139477539</v>
      </c>
      <c r="CF23" s="2">
        <v>6.5166900246049764E-6</v>
      </c>
      <c r="CG23" s="2">
        <f t="shared" si="12"/>
        <v>-8.3519516169721659E-11</v>
      </c>
      <c r="CH23" s="2">
        <f t="shared" si="13"/>
        <v>1.6843376443050678E-10</v>
      </c>
      <c r="CI23" s="2">
        <f t="shared" si="14"/>
        <v>1.0665960165745503E-5</v>
      </c>
    </row>
    <row r="24" spans="2:87" x14ac:dyDescent="0.2">
      <c r="B24" s="6" t="s">
        <v>128</v>
      </c>
      <c r="C24" s="6">
        <f>$C$23*$C$10/PI()</f>
        <v>0.31022513338460861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$C$78 * ( 1.68 * ($C$5*2.20462)^0.567 * ($C$54*3.28084*3.28084)^1.249 * ($C$53)^0.482 ) / (639.95 * ($C$55*3.28084)^0.747 * (COS($C$56/180*PI()))^0.882 ) * 0.453592</f>
        <v>8.9255373108876075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15"/>
        <v>0.98821544647216797</v>
      </c>
      <c r="W24" s="2">
        <f t="shared" si="0"/>
        <v>3.3035897506472622E-7</v>
      </c>
      <c r="X24" s="2">
        <f t="shared" si="16"/>
        <v>0.98821640014648438</v>
      </c>
      <c r="Y24" s="2">
        <f t="shared" si="1"/>
        <v>-6.7111146473397554E-7</v>
      </c>
      <c r="Z24" s="2">
        <f t="shared" si="3"/>
        <v>0.98821592330932617</v>
      </c>
      <c r="AA24" s="2">
        <f t="shared" si="2"/>
        <v>-1.7037625621441066E-7</v>
      </c>
      <c r="AB24" s="2">
        <f t="shared" si="4"/>
        <v>-5.6285325378357899E-14</v>
      </c>
      <c r="AC24" s="2">
        <f t="shared" si="5"/>
        <v>1.1434145886394423E-13</v>
      </c>
      <c r="AD24" s="2">
        <f t="shared" si="6"/>
        <v>9.5367431640625E-7</v>
      </c>
      <c r="AF24" s="2">
        <v>20</v>
      </c>
      <c r="AG24" s="2">
        <f t="shared" si="25"/>
        <v>2318.5548782348633</v>
      </c>
      <c r="AH24" s="2">
        <v>-3.8011196375009604E-3</v>
      </c>
      <c r="AI24" s="2">
        <f t="shared" si="26"/>
        <v>2318.5634613037109</v>
      </c>
      <c r="AJ24" s="2">
        <v>6.6692721111394349E-4</v>
      </c>
      <c r="AK24" s="2">
        <f t="shared" si="17"/>
        <v>2318.5591697692871</v>
      </c>
      <c r="AL24" s="2">
        <v>-1.5669160611651023E-3</v>
      </c>
      <c r="AM24" s="2">
        <f t="shared" si="18"/>
        <v>5.9560354104103262E-6</v>
      </c>
      <c r="AN24" s="2">
        <f t="shared" si="19"/>
        <v>-1.045018958722487E-6</v>
      </c>
      <c r="AO24" s="2">
        <f t="shared" si="20"/>
        <v>8.58306884765625E-3</v>
      </c>
      <c r="AQ24" s="65"/>
      <c r="AR24" s="3">
        <f>0.753125*($AR$9/2)</f>
        <v>1.1477625</v>
      </c>
      <c r="AS24" s="26" t="s">
        <v>8</v>
      </c>
      <c r="AU24" s="60"/>
      <c r="AV24" s="65">
        <f>BL20</f>
        <v>-8.2954977748128655E-9</v>
      </c>
      <c r="AW24" s="65"/>
      <c r="AY24" s="2" t="s">
        <v>163</v>
      </c>
      <c r="AZ24" s="2">
        <f>(1-$BH$57)*$AV$5*$AR$23</f>
        <v>53.455766034877037</v>
      </c>
      <c r="BA24" s="26" t="s">
        <v>10</v>
      </c>
      <c r="BC24" s="2" t="s">
        <v>163</v>
      </c>
      <c r="BD24" s="2">
        <f>(1-$BL$57)*$AV$5*$AR$24</f>
        <v>62.129485442089496</v>
      </c>
      <c r="BE24" s="26" t="s">
        <v>10</v>
      </c>
      <c r="BG24" s="2" t="s">
        <v>159</v>
      </c>
      <c r="BH24" s="2">
        <f>($AR$37+$AR$5)/180*PI()</f>
        <v>0.55747598038109814</v>
      </c>
      <c r="BI24" s="2" t="s">
        <v>155</v>
      </c>
      <c r="BJ24" s="2"/>
      <c r="BK24" s="2" t="s">
        <v>159</v>
      </c>
      <c r="BL24" s="2">
        <f>($AR$38+$AR$5)/180*PI()</f>
        <v>0.53162329083593196</v>
      </c>
      <c r="BM24" s="2" t="s">
        <v>155</v>
      </c>
      <c r="BO24" s="2">
        <v>20</v>
      </c>
      <c r="BP24" s="2">
        <f t="shared" si="21"/>
        <v>0.52571918445821986</v>
      </c>
      <c r="BQ24" s="2">
        <v>-7.2823592544013493E-6</v>
      </c>
      <c r="BR24" s="2">
        <f t="shared" si="22"/>
        <v>0.52572451743830273</v>
      </c>
      <c r="BS24" s="2">
        <v>2.2426386217938576E-5</v>
      </c>
      <c r="BT24" s="2">
        <f t="shared" si="7"/>
        <v>0.52572185094826129</v>
      </c>
      <c r="BU24" s="2">
        <v>7.5742240356752033E-6</v>
      </c>
      <c r="BV24" s="2">
        <f t="shared" si="8"/>
        <v>-5.5158220501108451E-11</v>
      </c>
      <c r="BW24" s="2">
        <f t="shared" si="9"/>
        <v>1.6986247352524549E-10</v>
      </c>
      <c r="BX24" s="2">
        <f t="shared" si="10"/>
        <v>5.3329800828727514E-6</v>
      </c>
      <c r="BZ24" s="2">
        <v>20</v>
      </c>
      <c r="CA24" s="2">
        <f t="shared" si="23"/>
        <v>0.44525518096767103</v>
      </c>
      <c r="CB24" s="2">
        <v>-1.2816248103619809E-5</v>
      </c>
      <c r="CC24" s="2">
        <f t="shared" si="24"/>
        <v>0.4452605139477539</v>
      </c>
      <c r="CD24" s="2">
        <v>6.5166900246049764E-6</v>
      </c>
      <c r="CE24" s="2">
        <f t="shared" si="11"/>
        <v>0.44525784745771246</v>
      </c>
      <c r="CF24" s="2">
        <v>-3.148250562773347E-6</v>
      </c>
      <c r="CG24" s="2">
        <f t="shared" si="12"/>
        <v>4.0348760304863906E-11</v>
      </c>
      <c r="CH24" s="2">
        <f t="shared" si="13"/>
        <v>-2.0516173037382074E-11</v>
      </c>
      <c r="CI24" s="2">
        <f t="shared" si="14"/>
        <v>5.3329800828727514E-6</v>
      </c>
    </row>
    <row r="25" spans="2:87" x14ac:dyDescent="0.2">
      <c r="B25" s="6" t="s">
        <v>242</v>
      </c>
      <c r="C25" s="17">
        <v>0.75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$C$78*(0.14*$G$13*1000/745.7)*0.453592</f>
        <v>39.566083057119663</v>
      </c>
      <c r="L25" s="6" t="s">
        <v>7</v>
      </c>
      <c r="N25" s="6" t="s">
        <v>33</v>
      </c>
      <c r="O25" s="6">
        <f xml:space="preserve"> ($C$30 * $O$24 / 8) * (1 + 4.65 * O22^2) * ( PI() * $C$70 * O21^3 * $C$11^5)</f>
        <v>867.46185459393394</v>
      </c>
      <c r="P25" s="6" t="s">
        <v>20</v>
      </c>
      <c r="U25" s="2">
        <v>21</v>
      </c>
      <c r="V25" s="2">
        <f t="shared" si="15"/>
        <v>0.98821544647216797</v>
      </c>
      <c r="W25" s="2">
        <f t="shared" si="0"/>
        <v>3.3035897506472622E-7</v>
      </c>
      <c r="X25" s="2">
        <f t="shared" si="16"/>
        <v>0.98821592330932617</v>
      </c>
      <c r="Y25" s="2">
        <f t="shared" si="1"/>
        <v>-1.7037625621441066E-7</v>
      </c>
      <c r="Z25" s="2">
        <f t="shared" si="3"/>
        <v>0.98821568489074707</v>
      </c>
      <c r="AA25" s="2">
        <f t="shared" si="2"/>
        <v>7.9991356538577918E-8</v>
      </c>
      <c r="AB25" s="2">
        <f t="shared" si="4"/>
        <v>2.6425862560121687E-14</v>
      </c>
      <c r="AC25" s="2">
        <f t="shared" si="5"/>
        <v>-1.3628627856555024E-14</v>
      </c>
      <c r="AD25" s="2">
        <f t="shared" si="6"/>
        <v>4.76837158203125E-7</v>
      </c>
      <c r="AF25" s="2">
        <v>21</v>
      </c>
      <c r="AG25" s="2">
        <f t="shared" si="25"/>
        <v>2318.5591697692871</v>
      </c>
      <c r="AH25" s="2">
        <v>-1.5669160611651023E-3</v>
      </c>
      <c r="AI25" s="2">
        <f t="shared" si="26"/>
        <v>2318.5634613037109</v>
      </c>
      <c r="AJ25" s="2">
        <v>6.6692721111394349E-4</v>
      </c>
      <c r="AK25" s="2">
        <f t="shared" si="17"/>
        <v>2318.561315536499</v>
      </c>
      <c r="AL25" s="2">
        <v>-4.50173906301643E-4</v>
      </c>
      <c r="AM25" s="2">
        <f t="shared" si="18"/>
        <v>7.0538472410147827E-7</v>
      </c>
      <c r="AN25" s="2">
        <f t="shared" si="19"/>
        <v>-3.0023322784602449E-7</v>
      </c>
      <c r="AO25" s="2">
        <f t="shared" si="20"/>
        <v>4.291534423828125E-3</v>
      </c>
      <c r="AQ25" s="65"/>
      <c r="AR25" s="3">
        <f>0.851875*($AR$9/2)</f>
        <v>1.2982575000000001</v>
      </c>
      <c r="AS25" s="26" t="s">
        <v>8</v>
      </c>
      <c r="AU25" s="60"/>
      <c r="AV25" s="65">
        <f>BH39</f>
        <v>-6.3222231616588687E-9</v>
      </c>
      <c r="AW25" s="65"/>
      <c r="AY25" s="2" t="s">
        <v>167</v>
      </c>
      <c r="AZ25" s="2">
        <f>SQRT(AZ23^2 + AZ24^2)</f>
        <v>56.393132928809599</v>
      </c>
      <c r="BA25" s="26" t="s">
        <v>10</v>
      </c>
      <c r="BC25" s="2" t="s">
        <v>167</v>
      </c>
      <c r="BD25" s="2">
        <f>SQRT(BD23^2 + BD24^2)</f>
        <v>65.1450751682396</v>
      </c>
      <c r="BE25" s="26" t="s">
        <v>10</v>
      </c>
      <c r="BG25" s="2" t="s">
        <v>28</v>
      </c>
      <c r="BH25" s="2">
        <f>BH24-BH23</f>
        <v>0.16572856501658245</v>
      </c>
      <c r="BI25" s="2" t="s">
        <v>155</v>
      </c>
      <c r="BJ25" s="2"/>
      <c r="BK25" s="2" t="s">
        <v>28</v>
      </c>
      <c r="BL25" s="2">
        <f>BL24-BL23</f>
        <v>0.17901847021108758</v>
      </c>
      <c r="BM25" s="2" t="s">
        <v>155</v>
      </c>
      <c r="BO25" s="2">
        <v>21</v>
      </c>
      <c r="BP25" s="2">
        <f t="shared" si="21"/>
        <v>0.52571918445821986</v>
      </c>
      <c r="BQ25" s="2">
        <v>-7.2823592544013493E-6</v>
      </c>
      <c r="BR25" s="2">
        <f t="shared" si="22"/>
        <v>0.52572185094826129</v>
      </c>
      <c r="BS25" s="2">
        <v>7.5742240356752033E-6</v>
      </c>
      <c r="BT25" s="2">
        <f t="shared" si="7"/>
        <v>0.52572051770324058</v>
      </c>
      <c r="BU25" s="2">
        <v>1.4812484640247536E-7</v>
      </c>
      <c r="BV25" s="2">
        <f t="shared" si="8"/>
        <v>-1.0786983460058448E-12</v>
      </c>
      <c r="BW25" s="2">
        <f t="shared" si="9"/>
        <v>1.1219307719023266E-12</v>
      </c>
      <c r="BX25" s="2">
        <f t="shared" si="10"/>
        <v>2.6664900414363757E-6</v>
      </c>
      <c r="BZ25" s="2">
        <v>21</v>
      </c>
      <c r="CA25" s="2">
        <f t="shared" si="23"/>
        <v>0.44525784745771246</v>
      </c>
      <c r="CB25" s="2">
        <v>-3.1512907173320004E-6</v>
      </c>
      <c r="CC25" s="2">
        <f t="shared" si="24"/>
        <v>0.4452605139477539</v>
      </c>
      <c r="CD25" s="2">
        <v>6.5166900246049764E-6</v>
      </c>
      <c r="CE25" s="2">
        <f t="shared" si="11"/>
        <v>0.44525918070273318</v>
      </c>
      <c r="CF25" s="2">
        <v>1.6842218296675426E-6</v>
      </c>
      <c r="CG25" s="2">
        <f t="shared" si="12"/>
        <v>-5.3074726177592443E-12</v>
      </c>
      <c r="CH25" s="2">
        <f t="shared" si="13"/>
        <v>1.0975551596616417E-11</v>
      </c>
      <c r="CI25" s="2">
        <f t="shared" si="14"/>
        <v>2.6664900414363757E-6</v>
      </c>
    </row>
    <row r="26" spans="2:87" x14ac:dyDescent="0.2">
      <c r="F26" s="6" t="s">
        <v>21</v>
      </c>
      <c r="G26" s="6">
        <f xml:space="preserve"> $C$5 * $C$67 / $C$22</f>
        <v>2840.670775025882</v>
      </c>
      <c r="H26" s="6" t="s">
        <v>22</v>
      </c>
      <c r="J26" s="15" t="s">
        <v>67</v>
      </c>
      <c r="K26" s="6">
        <f xml:space="preserve"> $C$79 * (0.0268 * $C$5)</f>
        <v>49.709971857158678</v>
      </c>
      <c r="L26" s="6" t="s">
        <v>7</v>
      </c>
      <c r="N26" s="6" t="s">
        <v>34</v>
      </c>
      <c r="O26" s="18">
        <f>Z34</f>
        <v>0.9882157607935369</v>
      </c>
      <c r="U26" s="2">
        <v>22</v>
      </c>
      <c r="V26" s="2">
        <f t="shared" si="15"/>
        <v>0.98821568489074707</v>
      </c>
      <c r="W26" s="2">
        <f t="shared" si="0"/>
        <v>7.9991356538577918E-8</v>
      </c>
      <c r="X26" s="2">
        <f t="shared" si="16"/>
        <v>0.98821592330932617</v>
      </c>
      <c r="Y26" s="2">
        <f t="shared" si="1"/>
        <v>-1.7037625621441066E-7</v>
      </c>
      <c r="Z26" s="2">
        <f t="shared" si="3"/>
        <v>0.98821580410003662</v>
      </c>
      <c r="AA26" s="2">
        <f t="shared" si="2"/>
        <v>-4.5192450559561337E-8</v>
      </c>
      <c r="AB26" s="2">
        <f t="shared" si="4"/>
        <v>-3.6150054255619257E-15</v>
      </c>
      <c r="AC26" s="2">
        <f t="shared" si="5"/>
        <v>7.699720535492909E-15</v>
      </c>
      <c r="AD26" s="2">
        <f t="shared" si="6"/>
        <v>2.384185791015625E-7</v>
      </c>
      <c r="AF26" s="2">
        <v>22</v>
      </c>
      <c r="AG26" s="2">
        <f t="shared" si="25"/>
        <v>2318.561315536499</v>
      </c>
      <c r="AH26" s="2">
        <v>-4.50173906301643E-4</v>
      </c>
      <c r="AI26" s="2">
        <f t="shared" si="26"/>
        <v>2318.5634613037109</v>
      </c>
      <c r="AJ26" s="2">
        <v>6.6692721111394349E-4</v>
      </c>
      <c r="AK26" s="2">
        <f t="shared" si="17"/>
        <v>2318.562388420105</v>
      </c>
      <c r="AL26" s="2">
        <v>1.0855630125661264E-4</v>
      </c>
      <c r="AM26" s="2">
        <f t="shared" si="18"/>
        <v>-4.886921419034727E-8</v>
      </c>
      <c r="AN26" s="2">
        <f t="shared" si="19"/>
        <v>7.2399151245917743E-8</v>
      </c>
      <c r="AO26" s="2">
        <f t="shared" si="20"/>
        <v>2.1457672119140625E-3</v>
      </c>
      <c r="AQ26" s="65"/>
      <c r="AR26" s="3">
        <f>0.950625*($AR$9/2)</f>
        <v>1.4487525000000001</v>
      </c>
      <c r="AS26" s="6" t="s">
        <v>8</v>
      </c>
      <c r="AU26" s="60"/>
      <c r="AV26" s="65">
        <f>BL39</f>
        <v>-3.8755218478847553E-9</v>
      </c>
      <c r="AW26" s="65"/>
      <c r="AY26" s="2" t="s">
        <v>170</v>
      </c>
      <c r="AZ26" s="36">
        <f>$AR$45*AZ25*$AR$27/$AR$46</f>
        <v>2821773.9151723809</v>
      </c>
      <c r="BA26" s="26"/>
      <c r="BC26" s="2" t="s">
        <v>170</v>
      </c>
      <c r="BD26" s="36">
        <f>$AR$45*BD25*$AR$27/$AR$46</f>
        <v>3259699.6170392209</v>
      </c>
      <c r="BE26" s="26"/>
      <c r="BG26" s="2" t="s">
        <v>168</v>
      </c>
      <c r="BH26" s="2">
        <f>BH25/PI()*180</f>
        <v>9.4955473202096368</v>
      </c>
      <c r="BI26" s="2" t="s">
        <v>43</v>
      </c>
      <c r="BJ26" s="2"/>
      <c r="BK26" s="2" t="s">
        <v>168</v>
      </c>
      <c r="BL26" s="2">
        <f>BL25/PI()*180</f>
        <v>10.25700279798377</v>
      </c>
      <c r="BM26" s="2" t="s">
        <v>43</v>
      </c>
      <c r="BO26" s="2">
        <v>22</v>
      </c>
      <c r="BP26" s="2">
        <f t="shared" si="21"/>
        <v>0.52571918445821986</v>
      </c>
      <c r="BQ26" s="2">
        <v>-7.2823592544013493E-6</v>
      </c>
      <c r="BR26" s="2">
        <f t="shared" si="22"/>
        <v>0.52572051770324058</v>
      </c>
      <c r="BS26" s="2">
        <v>1.4812484640247536E-7</v>
      </c>
      <c r="BT26" s="2">
        <f t="shared" si="7"/>
        <v>0.52571985108073016</v>
      </c>
      <c r="BU26" s="2">
        <v>-3.5649292727951698E-6</v>
      </c>
      <c r="BV26" s="2">
        <f t="shared" si="8"/>
        <v>2.5961095681026179E-11</v>
      </c>
      <c r="BW26" s="2">
        <f t="shared" si="9"/>
        <v>-5.2805460096847268E-13</v>
      </c>
      <c r="BX26" s="2">
        <f t="shared" si="10"/>
        <v>1.3332450207181878E-6</v>
      </c>
      <c r="BZ26" s="2">
        <v>22</v>
      </c>
      <c r="CA26" s="2">
        <f t="shared" si="23"/>
        <v>0.44525784745771246</v>
      </c>
      <c r="CB26" s="2">
        <v>-3.1512907173320004E-6</v>
      </c>
      <c r="CC26" s="2">
        <f t="shared" si="24"/>
        <v>0.44525918070273318</v>
      </c>
      <c r="CD26" s="2">
        <v>1.6842218296675426E-6</v>
      </c>
      <c r="CE26" s="2">
        <f t="shared" si="11"/>
        <v>0.44525851408022282</v>
      </c>
      <c r="CF26" s="2">
        <v>-7.3201384176435624E-7</v>
      </c>
      <c r="CG26" s="2">
        <f t="shared" si="12"/>
        <v>2.3067884245105514E-12</v>
      </c>
      <c r="CH26" s="2">
        <f t="shared" si="13"/>
        <v>-1.2328736919183312E-12</v>
      </c>
      <c r="CI26" s="2">
        <f t="shared" si="14"/>
        <v>1.3332450207181878E-6</v>
      </c>
    </row>
    <row r="27" spans="2:87" x14ac:dyDescent="0.2">
      <c r="B27" s="52" t="s">
        <v>243</v>
      </c>
      <c r="C27" s="52"/>
      <c r="D27" s="52"/>
      <c r="F27" s="41" t="s">
        <v>86</v>
      </c>
      <c r="G27" s="41">
        <f xml:space="preserve"> 1/1000 * IF( $G$23&gt;=2*SQRT(($C$5*$C$67)/(2*$C$64*$C$22*PI()*$C$9*$C$9)), ($C$5*$C$67)/$C$25 * ( ($G$23/2) - SQRT( ($G$23/2)^2 - ($C$5*$C$67)/(2*$C$64*$C$22*PI()*$C$9*$C$9 ) ) ), 1/$C$25 * SQRT(($C$5*$C$67)^3/(2*$C$64*$C$22*PI()*$C$9*$C$9)) )</f>
        <v>414.59056215301155</v>
      </c>
      <c r="H27" s="41" t="s">
        <v>104</v>
      </c>
      <c r="J27" s="15" t="s">
        <v>68</v>
      </c>
      <c r="K27" s="6">
        <f xml:space="preserve"> $C$79 * (11.5 * ($C$5*2.20462/1000)^0.4 * 0.453592)</f>
        <v>8.0144588860946353</v>
      </c>
      <c r="L27" s="6" t="s">
        <v>7</v>
      </c>
      <c r="N27" s="6" t="s">
        <v>35</v>
      </c>
      <c r="O27" s="6">
        <f xml:space="preserve"> O21 * $C$11 * O26 - $C$8 * SIN(O19/180*PI())</f>
        <v>2.6471727493387007</v>
      </c>
      <c r="P27" s="6" t="s">
        <v>10</v>
      </c>
      <c r="U27" s="2">
        <v>23</v>
      </c>
      <c r="V27" s="2">
        <f t="shared" si="15"/>
        <v>0.98821568489074707</v>
      </c>
      <c r="W27" s="2">
        <f t="shared" si="0"/>
        <v>7.9991356538577918E-8</v>
      </c>
      <c r="X27" s="2">
        <f t="shared" si="16"/>
        <v>0.98821580410003662</v>
      </c>
      <c r="Y27" s="2">
        <f t="shared" si="1"/>
        <v>-4.5192450559561337E-8</v>
      </c>
      <c r="Z27" s="2">
        <f t="shared" si="3"/>
        <v>0.98821574449539185</v>
      </c>
      <c r="AA27" s="2">
        <f t="shared" si="2"/>
        <v>1.7399452878485988E-8</v>
      </c>
      <c r="AB27" s="2">
        <f t="shared" si="4"/>
        <v>1.3918058387791585E-15</v>
      </c>
      <c r="AC27" s="2">
        <f t="shared" si="5"/>
        <v>-7.8632391397439524E-16</v>
      </c>
      <c r="AD27" s="2">
        <f t="shared" si="6"/>
        <v>1.1920928955078125E-7</v>
      </c>
      <c r="AF27" s="2">
        <v>23</v>
      </c>
      <c r="AG27" s="2">
        <f t="shared" si="25"/>
        <v>2318.561315536499</v>
      </c>
      <c r="AH27" s="2">
        <v>-4.50173906301643E-4</v>
      </c>
      <c r="AI27" s="2">
        <f t="shared" si="26"/>
        <v>2318.562388420105</v>
      </c>
      <c r="AJ27" s="2">
        <v>1.0855630125661264E-4</v>
      </c>
      <c r="AK27" s="2">
        <f t="shared" si="17"/>
        <v>2318.561851978302</v>
      </c>
      <c r="AL27" s="2">
        <v>-1.7080879433706286E-4</v>
      </c>
      <c r="AM27" s="2">
        <f t="shared" si="18"/>
        <v>7.6893662177389549E-8</v>
      </c>
      <c r="AN27" s="2">
        <f t="shared" si="19"/>
        <v>-1.8542370935332989E-8</v>
      </c>
      <c r="AO27" s="2">
        <f t="shared" si="20"/>
        <v>1.0728836059570312E-3</v>
      </c>
      <c r="AQ27" s="65" t="s">
        <v>204</v>
      </c>
      <c r="AR27" s="3">
        <f>0.548288*($AR$9/2)</f>
        <v>0.83559091200000002</v>
      </c>
      <c r="AS27" s="26" t="s">
        <v>8</v>
      </c>
      <c r="AU27" s="60"/>
      <c r="AV27" s="65">
        <f>BH58</f>
        <v>-1.9769825110316219E-8</v>
      </c>
      <c r="AW27" s="65"/>
      <c r="AY27" s="2" t="s">
        <v>174</v>
      </c>
      <c r="AZ27" s="2">
        <f xml:space="preserve"> $BH$46 * PI() * $AR$45 * AZ25^2 * $BH$52 * $AR$23 * AZ22</f>
        <v>440.88478291299697</v>
      </c>
      <c r="BA27" s="26" t="s">
        <v>22</v>
      </c>
      <c r="BC27" s="2" t="s">
        <v>174</v>
      </c>
      <c r="BD27" s="2">
        <f xml:space="preserve"> $BL$46 * PI() * $AR$45 * BD25^2 * $BL$52 * $AR$24 * BD22</f>
        <v>555.1931315126734</v>
      </c>
      <c r="BE27" s="26" t="s">
        <v>22</v>
      </c>
      <c r="BG27" s="2" t="s">
        <v>171</v>
      </c>
      <c r="BH27" s="2">
        <f xml:space="preserve"> $AR$8*$AR$29 / (2*PI()*$AR$21)</f>
        <v>0.35771795642666621</v>
      </c>
      <c r="BI27" s="2"/>
      <c r="BJ27" s="2"/>
      <c r="BK27" s="2" t="s">
        <v>171</v>
      </c>
      <c r="BL27" s="2">
        <f xml:space="preserve"> $AR$8*$AR$30 / (2*PI()*$AR$22)</f>
        <v>0.28415899496185482</v>
      </c>
      <c r="BM27" s="2"/>
      <c r="BO27" s="2">
        <v>23</v>
      </c>
      <c r="BP27" s="2">
        <f t="shared" si="21"/>
        <v>0.52571985108073016</v>
      </c>
      <c r="BQ27" s="2">
        <v>-3.569302113315409E-6</v>
      </c>
      <c r="BR27" s="2">
        <f t="shared" si="22"/>
        <v>0.52572051770324058</v>
      </c>
      <c r="BS27" s="2">
        <v>1.4812484640247536E-7</v>
      </c>
      <c r="BT27" s="2">
        <f t="shared" si="7"/>
        <v>0.52572018439198542</v>
      </c>
      <c r="BU27" s="2">
        <v>-1.7084018357899078E-6</v>
      </c>
      <c r="BV27" s="2">
        <f t="shared" si="8"/>
        <v>6.0978022828768426E-12</v>
      </c>
      <c r="BW27" s="2">
        <f t="shared" si="9"/>
        <v>-2.5305675952008703E-13</v>
      </c>
      <c r="BX27" s="2">
        <f t="shared" si="10"/>
        <v>6.6662251041460507E-7</v>
      </c>
      <c r="BZ27" s="2">
        <v>23</v>
      </c>
      <c r="CA27" s="2">
        <f t="shared" si="23"/>
        <v>0.44525851408022282</v>
      </c>
      <c r="CB27" s="2">
        <v>-7.3505399407480798E-7</v>
      </c>
      <c r="CC27" s="2">
        <f t="shared" si="24"/>
        <v>0.44525918070273318</v>
      </c>
      <c r="CD27" s="2">
        <v>1.6842218296675426E-6</v>
      </c>
      <c r="CE27" s="2">
        <f t="shared" si="11"/>
        <v>0.44525884739147803</v>
      </c>
      <c r="CF27" s="2">
        <v>4.7610412537424374E-7</v>
      </c>
      <c r="CG27" s="2">
        <f t="shared" si="12"/>
        <v>-3.49962238951831E-13</v>
      </c>
      <c r="CH27" s="2">
        <f t="shared" si="13"/>
        <v>8.0186496115007387E-13</v>
      </c>
      <c r="CI27" s="2">
        <f t="shared" si="14"/>
        <v>6.6662251035909392E-7</v>
      </c>
    </row>
    <row r="28" spans="2:87" x14ac:dyDescent="0.2">
      <c r="B28" s="6" t="s">
        <v>244</v>
      </c>
      <c r="C28" s="17">
        <v>1</v>
      </c>
      <c r="J28" s="15" t="s">
        <v>69</v>
      </c>
      <c r="K28" s="6">
        <f xml:space="preserve"> $C$79 * (8 * ($C$5/1000))</f>
        <v>14.838797569301097</v>
      </c>
      <c r="L28" s="6" t="s">
        <v>7</v>
      </c>
      <c r="N28" s="6" t="s">
        <v>36</v>
      </c>
      <c r="O28" s="6">
        <f xml:space="preserve"> 1/$C$31 - O25 * SQRT( (2*$C$70*PI()*$C$11^2) / O20^3 )</f>
        <v>1.2889911876536642</v>
      </c>
      <c r="U28" s="2">
        <v>24</v>
      </c>
      <c r="V28" s="2">
        <f t="shared" si="15"/>
        <v>0.98821574449539185</v>
      </c>
      <c r="W28" s="2">
        <f t="shared" si="0"/>
        <v>1.7399452878485988E-8</v>
      </c>
      <c r="X28" s="2">
        <f t="shared" si="16"/>
        <v>0.98821580410003662</v>
      </c>
      <c r="Y28" s="2">
        <f t="shared" si="1"/>
        <v>-4.5192450559561337E-8</v>
      </c>
      <c r="Z28" s="2">
        <f t="shared" si="3"/>
        <v>0.98821577429771423</v>
      </c>
      <c r="AA28" s="2">
        <f t="shared" si="2"/>
        <v>-1.3896498840537674E-8</v>
      </c>
      <c r="AB28" s="2">
        <f t="shared" si="4"/>
        <v>-2.4179147675187041E-16</v>
      </c>
      <c r="AC28" s="2">
        <f t="shared" si="5"/>
        <v>6.2801683680200027E-16</v>
      </c>
      <c r="AD28" s="2">
        <f t="shared" si="6"/>
        <v>5.9604644775390625E-8</v>
      </c>
      <c r="AF28" s="2">
        <v>24</v>
      </c>
      <c r="AG28" s="2">
        <f t="shared" si="25"/>
        <v>2318.561851978302</v>
      </c>
      <c r="AH28" s="2">
        <v>-1.7080879433706286E-4</v>
      </c>
      <c r="AI28" s="2">
        <f t="shared" si="26"/>
        <v>2318.562388420105</v>
      </c>
      <c r="AJ28" s="2">
        <v>1.0855630125661264E-4</v>
      </c>
      <c r="AK28" s="2">
        <f t="shared" si="17"/>
        <v>2318.5621201992035</v>
      </c>
      <c r="AL28" s="2">
        <v>-3.1126244493862032E-5</v>
      </c>
      <c r="AM28" s="2">
        <f t="shared" si="18"/>
        <v>5.3166362942372151E-9</v>
      </c>
      <c r="AN28" s="2">
        <f t="shared" si="19"/>
        <v>-3.3789499742626671E-9</v>
      </c>
      <c r="AO28" s="2">
        <f t="shared" si="20"/>
        <v>5.3644180297851562E-4</v>
      </c>
      <c r="AQ28" s="65"/>
      <c r="AR28" s="3">
        <f>0.530863*($AR$9/2)</f>
        <v>0.80903521199999995</v>
      </c>
      <c r="AS28" s="26" t="s">
        <v>8</v>
      </c>
      <c r="AU28" s="60"/>
      <c r="AV28" s="65">
        <f>BL58</f>
        <v>-4.7432304889349908E-9</v>
      </c>
      <c r="AW28" s="65"/>
      <c r="AY28" s="2" t="s">
        <v>178</v>
      </c>
      <c r="AZ28" s="2">
        <f xml:space="preserve"> $BH$46 * PI() * $AR$45 * AZ25^2 * $BH$53 * $AR$23^2 * AZ22</f>
        <v>166.04865442108016</v>
      </c>
      <c r="BA28" s="26" t="s">
        <v>179</v>
      </c>
      <c r="BC28" s="2" t="s">
        <v>178</v>
      </c>
      <c r="BD28" s="2">
        <f xml:space="preserve"> $BL$46 * PI() * $AR$45 * BD25^2 * $BL$53 * $AR$24^2 * BD22</f>
        <v>227.84592483260056</v>
      </c>
      <c r="BE28" s="26" t="s">
        <v>179</v>
      </c>
      <c r="BG28" s="2" t="s">
        <v>175</v>
      </c>
      <c r="BH28" s="2">
        <f>IF(-$AR$8*($AV$3-$AR$21)/(2*$AR$21*SIN(BH23))&gt;500, 1, 2*ACOS(MIN(1, EXP(-$AR$8*($AV$3-$AR$21)/(2*$AR$21*SIN(BH23)))))/PI() )</f>
        <v>0.9716986739471255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0.93707654972483045</v>
      </c>
      <c r="BM28" s="2"/>
      <c r="BO28" s="2">
        <v>24</v>
      </c>
      <c r="BP28" s="2">
        <f t="shared" si="21"/>
        <v>0.52572018439198542</v>
      </c>
      <c r="BQ28" s="2">
        <v>-1.7127746733125448E-6</v>
      </c>
      <c r="BR28" s="2">
        <f t="shared" si="22"/>
        <v>0.52572051770324058</v>
      </c>
      <c r="BS28" s="2">
        <v>1.4812484640247536E-7</v>
      </c>
      <c r="BT28" s="2">
        <f t="shared" si="7"/>
        <v>0.52572035104761294</v>
      </c>
      <c r="BU28" s="2">
        <v>-7.8013840058843709E-7</v>
      </c>
      <c r="BV28" s="2">
        <f t="shared" si="8"/>
        <v>1.3362012942064315E-12</v>
      </c>
      <c r="BW28" s="2">
        <f t="shared" si="9"/>
        <v>-1.1555788075983503E-13</v>
      </c>
      <c r="BX28" s="2">
        <f t="shared" si="10"/>
        <v>3.3331125515179139E-7</v>
      </c>
      <c r="BZ28" s="2">
        <v>24</v>
      </c>
      <c r="CA28" s="2">
        <f t="shared" si="23"/>
        <v>0.44525851408022282</v>
      </c>
      <c r="CB28" s="2">
        <v>-7.3505399407480798E-7</v>
      </c>
      <c r="CC28" s="2">
        <f t="shared" si="24"/>
        <v>0.44525884739147803</v>
      </c>
      <c r="CD28" s="2">
        <v>4.7610412537424374E-7</v>
      </c>
      <c r="CE28" s="2">
        <f t="shared" si="11"/>
        <v>0.4452586807358504</v>
      </c>
      <c r="CF28" s="2">
        <v>-1.2795482566552163E-7</v>
      </c>
      <c r="CG28" s="2">
        <f t="shared" si="12"/>
        <v>9.4053705666587423E-14</v>
      </c>
      <c r="CH28" s="2">
        <f t="shared" si="13"/>
        <v>-6.0919820360897012E-14</v>
      </c>
      <c r="CI28" s="2">
        <f t="shared" si="14"/>
        <v>3.3331125520730254E-7</v>
      </c>
    </row>
    <row r="29" spans="2:87" x14ac:dyDescent="0.2">
      <c r="B29" s="6" t="s">
        <v>245</v>
      </c>
      <c r="C29" s="17">
        <v>6</v>
      </c>
      <c r="J29" s="15" t="s">
        <v>70</v>
      </c>
      <c r="K29" s="6">
        <f xml:space="preserve"> $C$79 * (13 * ($C$5*2.20462/1000)^1.3 * 0.453592)</f>
        <v>39.338423239186767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15"/>
        <v>0.98821574449539185</v>
      </c>
      <c r="W29" s="2">
        <f t="shared" si="0"/>
        <v>1.7399452878485988E-8</v>
      </c>
      <c r="X29" s="2">
        <f t="shared" si="16"/>
        <v>0.98821577429771423</v>
      </c>
      <c r="Y29" s="2">
        <f t="shared" si="1"/>
        <v>-1.3896498840537674E-8</v>
      </c>
      <c r="Z29" s="2">
        <f t="shared" si="3"/>
        <v>0.98821575939655304</v>
      </c>
      <c r="AA29" s="2">
        <f t="shared" si="2"/>
        <v>1.7514769634630056E-9</v>
      </c>
      <c r="AB29" s="2">
        <f t="shared" si="4"/>
        <v>3.0474740893528291E-17</v>
      </c>
      <c r="AC29" s="2">
        <f t="shared" si="5"/>
        <v>-2.4339397591992104E-17</v>
      </c>
      <c r="AD29" s="2">
        <f t="shared" si="6"/>
        <v>2.9802322387695312E-8</v>
      </c>
      <c r="AF29" s="2">
        <v>25</v>
      </c>
      <c r="AG29" s="2">
        <f t="shared" si="25"/>
        <v>2318.5621201992035</v>
      </c>
      <c r="AH29" s="2">
        <v>-3.1126244493862032E-5</v>
      </c>
      <c r="AI29" s="2">
        <f t="shared" si="26"/>
        <v>2318.562388420105</v>
      </c>
      <c r="AJ29" s="2">
        <v>1.0855630125661264E-4</v>
      </c>
      <c r="AK29" s="2">
        <f t="shared" si="17"/>
        <v>2318.5622543096542</v>
      </c>
      <c r="AL29" s="2">
        <v>3.8715029177183169E-5</v>
      </c>
      <c r="AM29" s="2">
        <f t="shared" si="18"/>
        <v>-1.2050534637560055E-9</v>
      </c>
      <c r="AN29" s="2">
        <f t="shared" si="19"/>
        <v>4.2027603705168446E-9</v>
      </c>
      <c r="AO29" s="2">
        <f t="shared" si="20"/>
        <v>2.6822090148925781E-4</v>
      </c>
      <c r="AQ29" s="65"/>
      <c r="AR29" s="3">
        <f>0.513438*($AR$9/2)</f>
        <v>0.78247951199999999</v>
      </c>
      <c r="AS29" s="26" t="s">
        <v>8</v>
      </c>
      <c r="AU29" s="60"/>
      <c r="AV29" s="65">
        <f>BH77</f>
        <v>4.4808137131258086E-9</v>
      </c>
      <c r="AW29" s="65"/>
      <c r="BG29" s="2" t="s">
        <v>180</v>
      </c>
      <c r="BH29" s="2">
        <f>IF(-$AR$8*($AR$21-$AR$10)/(2*$AR$21*SIN(BH23))&gt;500, 1, 2*ACOS(MIN(1, EXP(-$AR$8*($AR$21-$AR$10)/(2*$AR$21*SIN(BH23)))))/PI() )</f>
        <v>0.843828800768059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0.89441466943322079</v>
      </c>
      <c r="BM29" s="2"/>
      <c r="BO29" s="2">
        <v>25</v>
      </c>
      <c r="BP29" s="2">
        <f t="shared" si="21"/>
        <v>0.52572035104761294</v>
      </c>
      <c r="BQ29" s="2">
        <v>-7.8451123662615085E-7</v>
      </c>
      <c r="BR29" s="2">
        <f t="shared" si="22"/>
        <v>0.52572051770324058</v>
      </c>
      <c r="BS29" s="2">
        <v>1.4812484640247536E-7</v>
      </c>
      <c r="BT29" s="2">
        <f t="shared" si="7"/>
        <v>0.5257204343754267</v>
      </c>
      <c r="BU29" s="2">
        <v>-3.1600675370890841E-7</v>
      </c>
      <c r="BV29" s="2">
        <f t="shared" si="8"/>
        <v>2.4791084913439122E-13</v>
      </c>
      <c r="BW29" s="2">
        <f t="shared" si="9"/>
        <v>-4.6808451855276922E-14</v>
      </c>
      <c r="BX29" s="2">
        <f t="shared" si="10"/>
        <v>1.6665562763140684E-7</v>
      </c>
      <c r="BZ29" s="2">
        <v>25</v>
      </c>
      <c r="CA29" s="2">
        <f t="shared" si="23"/>
        <v>0.4452586807358504</v>
      </c>
      <c r="CB29" s="2">
        <v>-1.3099497740698407E-7</v>
      </c>
      <c r="CC29" s="2">
        <f t="shared" si="24"/>
        <v>0.44525884739147803</v>
      </c>
      <c r="CD29" s="2">
        <v>4.7610412537424374E-7</v>
      </c>
      <c r="CE29" s="2">
        <f t="shared" si="11"/>
        <v>0.44525876406366421</v>
      </c>
      <c r="CF29" s="2">
        <v>1.7407465807695033E-7</v>
      </c>
      <c r="CG29" s="2">
        <f t="shared" si="12"/>
        <v>-2.2802905901918584E-14</v>
      </c>
      <c r="CH29" s="2">
        <f t="shared" si="13"/>
        <v>8.2877662833546973E-14</v>
      </c>
      <c r="CI29" s="2">
        <f t="shared" si="14"/>
        <v>1.6665562763140684E-7</v>
      </c>
    </row>
    <row r="30" spans="2:87" x14ac:dyDescent="0.2">
      <c r="B30" s="6" t="s">
        <v>246</v>
      </c>
      <c r="C30" s="6">
        <f>$C$29*$C$12/PI()</f>
        <v>0.84998288907657626</v>
      </c>
      <c r="J30" s="10" t="s">
        <v>57</v>
      </c>
      <c r="K30" s="10">
        <f>$C$5 - $C$17 - SUM(K15:K29)</f>
        <v>-3.1124080123845488E-5</v>
      </c>
      <c r="L30" s="10" t="s">
        <v>7</v>
      </c>
      <c r="N30" s="6" t="s">
        <v>38</v>
      </c>
      <c r="O30" s="6">
        <f xml:space="preserve"> 1/$C$76 * LN( EXP($C$76 * O28) + EXP($C$76 * O29) )</f>
        <v>1.2895024580940238</v>
      </c>
      <c r="U30" s="2">
        <v>26</v>
      </c>
      <c r="V30" s="2">
        <f>IF(AB29&gt;0, Z29, V29)</f>
        <v>0.98821575939655304</v>
      </c>
      <c r="W30" s="2">
        <f t="shared" si="0"/>
        <v>1.7514769634630056E-9</v>
      </c>
      <c r="X30" s="2">
        <f t="shared" si="16"/>
        <v>0.98821577429771423</v>
      </c>
      <c r="Y30" s="2">
        <f t="shared" si="1"/>
        <v>-1.3896498840537674E-8</v>
      </c>
      <c r="Z30" s="2">
        <f t="shared" si="3"/>
        <v>0.98821576684713364</v>
      </c>
      <c r="AA30" s="2">
        <f t="shared" si="2"/>
        <v>-6.0725109385373344E-9</v>
      </c>
      <c r="AB30" s="2">
        <f t="shared" si="4"/>
        <v>-1.0635863019225257E-17</v>
      </c>
      <c r="AC30" s="2">
        <f t="shared" si="5"/>
        <v>8.4386641216536412E-17</v>
      </c>
      <c r="AD30" s="2">
        <f t="shared" si="6"/>
        <v>1.4901161193847656E-8</v>
      </c>
      <c r="AF30" s="2">
        <v>26</v>
      </c>
      <c r="AG30" s="2">
        <f t="shared" si="25"/>
        <v>2318.5621201992035</v>
      </c>
      <c r="AH30" s="2">
        <v>-3.1126244493862032E-5</v>
      </c>
      <c r="AI30" s="2">
        <f t="shared" si="26"/>
        <v>2318.5622543096542</v>
      </c>
      <c r="AJ30" s="2">
        <v>1.0855630125661264E-4</v>
      </c>
      <c r="AK30" s="2">
        <f t="shared" si="17"/>
        <v>2318.5621872544289</v>
      </c>
      <c r="AL30" s="2">
        <v>3.8715029177183169E-5</v>
      </c>
      <c r="AM30" s="2">
        <f t="shared" si="18"/>
        <v>-1.2050534637560055E-9</v>
      </c>
      <c r="AN30" s="2">
        <f t="shared" si="19"/>
        <v>4.2027603705168446E-9</v>
      </c>
      <c r="AO30" s="2">
        <f t="shared" si="20"/>
        <v>1.3411045074462891E-4</v>
      </c>
      <c r="AQ30" s="65"/>
      <c r="AR30" s="3">
        <f>0.496013*($AR$9/2)</f>
        <v>0.75592381200000003</v>
      </c>
      <c r="AS30" s="26" t="s">
        <v>8</v>
      </c>
      <c r="AU30" s="37" t="s">
        <v>205</v>
      </c>
      <c r="AV30" s="65" t="b">
        <f>IF(AV23&lt;0.00001,IF(AV24&lt;0.00001,IF(AV25&lt;0.00001,IF(AV26&lt;0.00001,IF(AV27&lt;0.00001,IF(AV28&lt;0.00001,IF(AV29&lt;0.00001,TRUE,FALSE),FALSE),FALSE),FALSE),FALSE),FALSE),FALSE)</f>
        <v>1</v>
      </c>
      <c r="AW30" s="65"/>
      <c r="AY30" s="63" t="s">
        <v>206</v>
      </c>
      <c r="AZ30" s="63"/>
      <c r="BA30" s="63"/>
      <c r="BC30" s="63" t="s">
        <v>220</v>
      </c>
      <c r="BD30" s="63"/>
      <c r="BE30" s="63"/>
      <c r="BG30" s="2" t="s">
        <v>183</v>
      </c>
      <c r="BH30" s="2">
        <f>IF(BH23=0,1,BH28*BH29)</f>
        <v>0.81994732674471604</v>
      </c>
      <c r="BI30" s="2"/>
      <c r="BJ30" s="2"/>
      <c r="BK30" s="2" t="s">
        <v>183</v>
      </c>
      <c r="BL30" s="2">
        <f>IF(BL23=0,1,BL28*BL29)</f>
        <v>0.83813501245575728</v>
      </c>
      <c r="BM30" s="2"/>
      <c r="BO30" s="2">
        <v>26</v>
      </c>
      <c r="BP30" s="2">
        <f t="shared" si="21"/>
        <v>0.5257204343754267</v>
      </c>
      <c r="BQ30" s="2">
        <v>-3.2037958901109942E-7</v>
      </c>
      <c r="BR30" s="2">
        <f t="shared" si="22"/>
        <v>0.52572051770324058</v>
      </c>
      <c r="BS30" s="2">
        <v>1.4812484640247536E-7</v>
      </c>
      <c r="BT30" s="2">
        <f t="shared" si="7"/>
        <v>0.5257204760393337</v>
      </c>
      <c r="BU30" s="2">
        <v>-8.3940947429028689E-8</v>
      </c>
      <c r="BV30" s="2">
        <f t="shared" si="8"/>
        <v>2.6892966238514514E-14</v>
      </c>
      <c r="BW30" s="2">
        <f t="shared" si="9"/>
        <v>-1.2433739944803133E-14</v>
      </c>
      <c r="BX30" s="2">
        <f t="shared" si="10"/>
        <v>8.3327813871214573E-8</v>
      </c>
      <c r="BZ30" s="2">
        <v>26</v>
      </c>
      <c r="CA30" s="2">
        <f t="shared" si="23"/>
        <v>0.4452586807358504</v>
      </c>
      <c r="CB30" s="2">
        <v>-1.3099497740698407E-7</v>
      </c>
      <c r="CC30" s="2">
        <f t="shared" si="24"/>
        <v>0.44525876406366421</v>
      </c>
      <c r="CD30" s="2">
        <v>1.7407465807695033E-7</v>
      </c>
      <c r="CE30" s="2">
        <f t="shared" si="11"/>
        <v>0.44525872239975728</v>
      </c>
      <c r="CF30" s="2">
        <v>2.3059918211054686E-8</v>
      </c>
      <c r="CG30" s="2">
        <f t="shared" si="12"/>
        <v>-3.0207334650640092E-15</v>
      </c>
      <c r="CH30" s="2">
        <f t="shared" si="13"/>
        <v>4.0141473778717847E-15</v>
      </c>
      <c r="CI30" s="2">
        <f t="shared" si="14"/>
        <v>8.3327813815703422E-8</v>
      </c>
    </row>
    <row r="31" spans="2:87" x14ac:dyDescent="0.2">
      <c r="B31" s="6" t="s">
        <v>247</v>
      </c>
      <c r="C31" s="17">
        <v>0.75</v>
      </c>
      <c r="J31" s="6" t="s">
        <v>58</v>
      </c>
      <c r="K31" s="4" t="str">
        <f>IF(ABS(K30)&lt;1, "TRUE", "FALSE")</f>
        <v>TRUE</v>
      </c>
      <c r="U31" s="2">
        <v>27</v>
      </c>
      <c r="V31" s="2">
        <f t="shared" si="15"/>
        <v>0.98821575939655304</v>
      </c>
      <c r="W31" s="2">
        <f t="shared" si="0"/>
        <v>1.7514769634630056E-9</v>
      </c>
      <c r="X31" s="2">
        <f t="shared" si="16"/>
        <v>0.98821576684713364</v>
      </c>
      <c r="Y31" s="2">
        <f t="shared" si="1"/>
        <v>-6.0725109385373344E-9</v>
      </c>
      <c r="Z31" s="2">
        <f t="shared" si="3"/>
        <v>0.98821576312184334</v>
      </c>
      <c r="AA31" s="2">
        <f t="shared" si="2"/>
        <v>-2.1605169875371644E-9</v>
      </c>
      <c r="AB31" s="2">
        <f t="shared" si="4"/>
        <v>-3.784095732841833E-18</v>
      </c>
      <c r="AC31" s="2">
        <f t="shared" si="5"/>
        <v>1.311976303971516E-17</v>
      </c>
      <c r="AD31" s="2">
        <f t="shared" si="6"/>
        <v>7.4505805969238281E-9</v>
      </c>
      <c r="AF31" s="2">
        <v>27</v>
      </c>
      <c r="AG31" s="2">
        <f t="shared" si="25"/>
        <v>2318.5621201992035</v>
      </c>
      <c r="AH31" s="2">
        <v>-3.1126244493862032E-5</v>
      </c>
      <c r="AI31" s="2">
        <f t="shared" si="26"/>
        <v>2318.5621872544289</v>
      </c>
      <c r="AJ31" s="2">
        <v>1.0855630125661264E-4</v>
      </c>
      <c r="AK31" s="2">
        <f t="shared" si="17"/>
        <v>2318.5621537268162</v>
      </c>
      <c r="AL31" s="2">
        <v>3.8715029177183169E-5</v>
      </c>
      <c r="AM31" s="2">
        <f t="shared" si="18"/>
        <v>-1.2050534637560055E-9</v>
      </c>
      <c r="AN31" s="2">
        <f t="shared" si="19"/>
        <v>4.2027603705168446E-9</v>
      </c>
      <c r="AO31" s="2">
        <f t="shared" si="20"/>
        <v>6.7055225372314453E-5</v>
      </c>
      <c r="AQ31" s="65"/>
      <c r="AR31" s="3">
        <f>0.478588*($AR$9/2)</f>
        <v>0.72936811200000007</v>
      </c>
      <c r="AS31" s="26" t="s">
        <v>8</v>
      </c>
      <c r="AY31" s="2" t="s">
        <v>153</v>
      </c>
      <c r="AZ31" s="2">
        <f>$AR$25-$AR$24</f>
        <v>0.15049500000000005</v>
      </c>
      <c r="BA31" s="26" t="s">
        <v>8</v>
      </c>
      <c r="BC31" s="2" t="s">
        <v>153</v>
      </c>
      <c r="BD31" s="2">
        <f>2*($AR$9/2 - $AR$26)</f>
        <v>0.15049499999999982</v>
      </c>
      <c r="BE31" s="26" t="s">
        <v>8</v>
      </c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1.2173482797097939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1.2850542947022339</v>
      </c>
      <c r="BM31" s="2"/>
      <c r="BO31" s="2">
        <v>27</v>
      </c>
      <c r="BP31" s="2">
        <f t="shared" si="21"/>
        <v>0.5257204760393337</v>
      </c>
      <c r="BQ31" s="2">
        <v>-8.8313782384275008E-8</v>
      </c>
      <c r="BR31" s="2">
        <f t="shared" si="22"/>
        <v>0.52572051770324058</v>
      </c>
      <c r="BS31" s="2">
        <v>1.4812484640247536E-7</v>
      </c>
      <c r="BT31" s="2">
        <f t="shared" si="7"/>
        <v>0.52572049687128719</v>
      </c>
      <c r="BU31" s="2">
        <v>3.209195130471354E-8</v>
      </c>
      <c r="BV31" s="2">
        <f t="shared" si="8"/>
        <v>-2.8341616038112221E-15</v>
      </c>
      <c r="BW31" s="2">
        <f t="shared" si="9"/>
        <v>4.7536153577664115E-15</v>
      </c>
      <c r="BX31" s="2">
        <f t="shared" si="10"/>
        <v>4.1663906880096135E-8</v>
      </c>
      <c r="BZ31" s="2">
        <v>27</v>
      </c>
      <c r="CA31" s="2">
        <f t="shared" si="23"/>
        <v>0.4452586807358504</v>
      </c>
      <c r="CB31" s="2">
        <v>-1.3099497740698407E-7</v>
      </c>
      <c r="CC31" s="2">
        <f t="shared" si="24"/>
        <v>0.44525872239975728</v>
      </c>
      <c r="CD31" s="2">
        <v>2.3059918211054686E-8</v>
      </c>
      <c r="CE31" s="2">
        <f t="shared" si="11"/>
        <v>0.44525870156780384</v>
      </c>
      <c r="CF31" s="2">
        <v>-5.2447453199877536E-8</v>
      </c>
      <c r="CG31" s="2">
        <f t="shared" si="12"/>
        <v>6.8703529469718118E-15</v>
      </c>
      <c r="CH31" s="2">
        <f t="shared" si="13"/>
        <v>-1.2094339811672943E-15</v>
      </c>
      <c r="CI31" s="2">
        <f t="shared" si="14"/>
        <v>4.1663906880096135E-8</v>
      </c>
    </row>
    <row r="32" spans="2:87" x14ac:dyDescent="0.2">
      <c r="U32" s="2">
        <v>28</v>
      </c>
      <c r="V32" s="2">
        <f t="shared" si="15"/>
        <v>0.98821575939655304</v>
      </c>
      <c r="W32" s="2">
        <f t="shared" si="0"/>
        <v>1.7514769634630056E-9</v>
      </c>
      <c r="X32" s="2">
        <f t="shared" si="16"/>
        <v>0.98821576312184334</v>
      </c>
      <c r="Y32" s="2">
        <f t="shared" si="1"/>
        <v>-2.1605169875371644E-9</v>
      </c>
      <c r="Z32" s="2">
        <f t="shared" si="3"/>
        <v>0.98821576125919819</v>
      </c>
      <c r="AA32" s="2">
        <f t="shared" si="2"/>
        <v>-2.0451995652592814E-10</v>
      </c>
      <c r="AB32" s="2">
        <f t="shared" si="4"/>
        <v>-3.5821199242361854E-19</v>
      </c>
      <c r="AC32" s="2">
        <f t="shared" si="5"/>
        <v>4.4186884036463008E-19</v>
      </c>
      <c r="AD32" s="2">
        <f t="shared" si="6"/>
        <v>3.7252902984619141E-9</v>
      </c>
      <c r="AF32" s="2">
        <v>28</v>
      </c>
      <c r="AG32" s="2">
        <f t="shared" si="25"/>
        <v>2318.5621201992035</v>
      </c>
      <c r="AH32" s="2">
        <v>-3.1126244493862032E-5</v>
      </c>
      <c r="AI32" s="2">
        <f t="shared" si="26"/>
        <v>2318.5621537268162</v>
      </c>
      <c r="AJ32" s="2">
        <v>1.0855630125661264E-4</v>
      </c>
      <c r="AK32" s="2">
        <f t="shared" si="17"/>
        <v>2318.5621369630098</v>
      </c>
      <c r="AL32" s="2">
        <v>3.8715029177183169E-5</v>
      </c>
      <c r="AM32" s="2">
        <f t="shared" si="18"/>
        <v>-1.2050534637560055E-9</v>
      </c>
      <c r="AN32" s="2">
        <f t="shared" si="19"/>
        <v>4.2027603705168446E-9</v>
      </c>
      <c r="AO32" s="2">
        <f t="shared" si="20"/>
        <v>3.3527612686157227E-5</v>
      </c>
      <c r="AQ32" s="65"/>
      <c r="AR32" s="3">
        <f>0.461163*($AR$9/2)</f>
        <v>0.702812412</v>
      </c>
      <c r="AS32" s="26" t="s">
        <v>8</v>
      </c>
      <c r="AY32" s="2" t="s">
        <v>158</v>
      </c>
      <c r="AZ32" s="2">
        <f>(1+$BH$75)*$AR$3</f>
        <v>21.658215601226225</v>
      </c>
      <c r="BA32" s="26" t="s">
        <v>10</v>
      </c>
      <c r="BC32" s="2" t="s">
        <v>158</v>
      </c>
      <c r="BD32" s="2">
        <f>(1+$BL$75)*$AR$3</f>
        <v>25.308755563820178</v>
      </c>
      <c r="BE32" s="26" t="s">
        <v>10</v>
      </c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4.8151363112504439E-2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4.7900255609453712E-2</v>
      </c>
      <c r="BM32" s="2"/>
      <c r="BO32" s="2">
        <v>28</v>
      </c>
      <c r="BP32" s="2">
        <f t="shared" si="21"/>
        <v>0.5257204760393337</v>
      </c>
      <c r="BQ32" s="2">
        <v>-8.8313782384275008E-8</v>
      </c>
      <c r="BR32" s="2">
        <f t="shared" si="22"/>
        <v>0.52572049687128719</v>
      </c>
      <c r="BS32" s="2">
        <v>3.209195130471354E-8</v>
      </c>
      <c r="BT32" s="2">
        <f t="shared" si="7"/>
        <v>0.52572048645531044</v>
      </c>
      <c r="BU32" s="2">
        <v>-2.5924497576435002E-8</v>
      </c>
      <c r="BV32" s="2">
        <f t="shared" si="8"/>
        <v>2.2894904373869456E-15</v>
      </c>
      <c r="BW32" s="2">
        <f t="shared" si="9"/>
        <v>-8.3196771382211629E-16</v>
      </c>
      <c r="BX32" s="2">
        <f t="shared" si="10"/>
        <v>2.0831953495559219E-8</v>
      </c>
      <c r="BZ32" s="2">
        <v>28</v>
      </c>
      <c r="CA32" s="2">
        <f t="shared" si="23"/>
        <v>0.44525870156780384</v>
      </c>
      <c r="CB32" s="2">
        <v>-5.5487604858073247E-8</v>
      </c>
      <c r="CC32" s="2">
        <f t="shared" si="24"/>
        <v>0.44525872239975728</v>
      </c>
      <c r="CD32" s="2">
        <v>2.3059918211054686E-8</v>
      </c>
      <c r="CE32" s="2">
        <f t="shared" si="11"/>
        <v>0.44525871198378053</v>
      </c>
      <c r="CF32" s="2">
        <v>-1.4693767466655849E-8</v>
      </c>
      <c r="CG32" s="2">
        <f t="shared" si="12"/>
        <v>8.1532196306621176E-16</v>
      </c>
      <c r="CH32" s="2">
        <f t="shared" si="13"/>
        <v>-3.3883707599334009E-16</v>
      </c>
      <c r="CI32" s="2">
        <f t="shared" si="14"/>
        <v>2.0831953440048068E-8</v>
      </c>
    </row>
    <row r="33" spans="2:87" x14ac:dyDescent="0.2">
      <c r="B33" s="52" t="s">
        <v>107</v>
      </c>
      <c r="C33" s="52"/>
      <c r="D33" s="52"/>
      <c r="J33" s="44" t="s">
        <v>59</v>
      </c>
      <c r="K33" s="44"/>
      <c r="L33" s="44"/>
      <c r="U33" s="2">
        <v>29</v>
      </c>
      <c r="V33" s="2">
        <f t="shared" si="15"/>
        <v>0.98821575939655304</v>
      </c>
      <c r="W33" s="2">
        <f t="shared" si="0"/>
        <v>1.7514769634630056E-9</v>
      </c>
      <c r="X33" s="2">
        <f t="shared" si="16"/>
        <v>0.98821576125919819</v>
      </c>
      <c r="Y33" s="2">
        <f t="shared" si="1"/>
        <v>-2.0451995652592814E-10</v>
      </c>
      <c r="Z33" s="2">
        <f t="shared" si="3"/>
        <v>0.98821576032787561</v>
      </c>
      <c r="AA33" s="2">
        <f t="shared" si="2"/>
        <v>7.7347850346853875E-10</v>
      </c>
      <c r="AB33" s="2">
        <f t="shared" si="4"/>
        <v>1.3547297805589861E-18</v>
      </c>
      <c r="AC33" s="2">
        <f t="shared" si="5"/>
        <v>-1.581917899031255E-19</v>
      </c>
      <c r="AD33" s="2">
        <f t="shared" si="6"/>
        <v>1.862645149230957E-9</v>
      </c>
      <c r="AF33" s="2">
        <v>29</v>
      </c>
      <c r="AG33" s="2">
        <f t="shared" si="25"/>
        <v>2318.5621201992035</v>
      </c>
      <c r="AH33" s="2">
        <v>-3.1126244493862032E-5</v>
      </c>
      <c r="AI33" s="2">
        <f t="shared" si="26"/>
        <v>2318.5621369630098</v>
      </c>
      <c r="AJ33" s="2">
        <v>1.0855630125661264E-4</v>
      </c>
      <c r="AK33" s="2">
        <f t="shared" si="17"/>
        <v>2318.5621285811067</v>
      </c>
      <c r="AL33" s="2">
        <v>3.8715029177183169E-5</v>
      </c>
      <c r="AM33" s="2">
        <f t="shared" si="18"/>
        <v>-1.2050534637560055E-9</v>
      </c>
      <c r="AN33" s="2">
        <f t="shared" si="19"/>
        <v>4.2027603705168446E-9</v>
      </c>
      <c r="AO33" s="2">
        <f t="shared" si="20"/>
        <v>1.6763806343078613E-5</v>
      </c>
      <c r="AQ33" s="65"/>
      <c r="AR33" s="3">
        <f>0.443738*($AR$9/2)</f>
        <v>0.67625671200000004</v>
      </c>
      <c r="AS33" s="26" t="s">
        <v>8</v>
      </c>
      <c r="AY33" s="2" t="s">
        <v>163</v>
      </c>
      <c r="AZ33" s="2">
        <f>(1-$BH$76)*$AV$5*$AR$25</f>
        <v>70.400701825849026</v>
      </c>
      <c r="BA33" s="26" t="s">
        <v>10</v>
      </c>
      <c r="BC33" s="2" t="s">
        <v>163</v>
      </c>
      <c r="BD33" s="2">
        <f>(1-$BL$76)*$AV$5*$AR$26</f>
        <v>77.00755347924391</v>
      </c>
      <c r="BE33" s="26" t="s">
        <v>10</v>
      </c>
      <c r="BG33" s="2" t="s">
        <v>190</v>
      </c>
      <c r="BH33" s="2">
        <f xml:space="preserve"> BH31*COS(BH23) - BH32*SIN(BH23)</f>
        <v>1.106741607857026</v>
      </c>
      <c r="BI33" s="2"/>
      <c r="BK33" s="2" t="s">
        <v>190</v>
      </c>
      <c r="BL33" s="2">
        <f xml:space="preserve"> BL31*COS(BL23) - BL32*SIN(BL23)</f>
        <v>1.1894510070435194</v>
      </c>
      <c r="BM33" s="2"/>
      <c r="BO33" s="2">
        <v>29</v>
      </c>
      <c r="BP33" s="2">
        <f t="shared" si="21"/>
        <v>0.52572048645531044</v>
      </c>
      <c r="BQ33" s="2">
        <v>-3.029733240678123E-8</v>
      </c>
      <c r="BR33" s="2">
        <f t="shared" si="22"/>
        <v>0.52572049687128719</v>
      </c>
      <c r="BS33" s="2">
        <v>3.209195130471354E-8</v>
      </c>
      <c r="BT33" s="2">
        <f t="shared" si="7"/>
        <v>0.52572049166329882</v>
      </c>
      <c r="BU33" s="2">
        <v>3.0837269821004654E-9</v>
      </c>
      <c r="BV33" s="2">
        <f t="shared" si="8"/>
        <v>-9.3428701428458107E-17</v>
      </c>
      <c r="BW33" s="2">
        <f t="shared" si="9"/>
        <v>9.8962816146599375E-17</v>
      </c>
      <c r="BX33" s="2">
        <f t="shared" si="10"/>
        <v>1.0415976747779609E-8</v>
      </c>
      <c r="BZ33" s="2">
        <v>29</v>
      </c>
      <c r="CA33" s="2">
        <f t="shared" si="23"/>
        <v>0.44525871198378053</v>
      </c>
      <c r="CB33" s="2">
        <v>-1.7733919097095985E-8</v>
      </c>
      <c r="CC33" s="2">
        <f t="shared" si="24"/>
        <v>0.44525872239975728</v>
      </c>
      <c r="CD33" s="2">
        <v>2.3059918211054686E-8</v>
      </c>
      <c r="CE33" s="2">
        <f t="shared" si="11"/>
        <v>0.4452587171917689</v>
      </c>
      <c r="CF33" s="2">
        <v>4.1830755109772966E-9</v>
      </c>
      <c r="CG33" s="2">
        <f t="shared" si="12"/>
        <v>-7.4182322688714824E-17</v>
      </c>
      <c r="CH33" s="2">
        <f t="shared" si="13"/>
        <v>9.6461379153802248E-17</v>
      </c>
      <c r="CI33" s="2">
        <f t="shared" si="14"/>
        <v>1.0415976747779609E-8</v>
      </c>
    </row>
    <row r="34" spans="2:87" x14ac:dyDescent="0.2">
      <c r="B34" s="6" t="s">
        <v>108</v>
      </c>
      <c r="C34" s="17">
        <v>6</v>
      </c>
      <c r="J34" s="6" t="s">
        <v>60</v>
      </c>
      <c r="K34" s="6">
        <f>ROUND($C$17/$C$5 * 100, 2)</f>
        <v>25.88</v>
      </c>
      <c r="L34" s="6" t="s">
        <v>61</v>
      </c>
      <c r="U34" s="2">
        <v>30</v>
      </c>
      <c r="V34" s="2">
        <f t="shared" si="15"/>
        <v>0.98821576032787561</v>
      </c>
      <c r="W34" s="2">
        <f t="shared" si="0"/>
        <v>7.7347850346853875E-10</v>
      </c>
      <c r="X34" s="2">
        <f t="shared" si="16"/>
        <v>0.98821576125919819</v>
      </c>
      <c r="Y34" s="2">
        <f t="shared" si="1"/>
        <v>-2.0451995652592814E-10</v>
      </c>
      <c r="Z34" s="2">
        <f t="shared" si="3"/>
        <v>0.9882157607935369</v>
      </c>
      <c r="AA34" s="2">
        <f t="shared" si="2"/>
        <v>2.8447921796015407E-10</v>
      </c>
      <c r="AB34" s="2">
        <f t="shared" si="4"/>
        <v>2.2003855977572022E-19</v>
      </c>
      <c r="AC34" s="2">
        <f t="shared" si="5"/>
        <v>-5.8181677289740746E-20</v>
      </c>
      <c r="AD34" s="2">
        <f t="shared" si="6"/>
        <v>9.3132257461547852E-10</v>
      </c>
      <c r="AF34" s="2">
        <v>30</v>
      </c>
      <c r="AG34" s="2">
        <f t="shared" si="25"/>
        <v>2318.5621201992035</v>
      </c>
      <c r="AH34" s="2">
        <v>-3.1126244493862032E-5</v>
      </c>
      <c r="AI34" s="2">
        <f t="shared" si="26"/>
        <v>2318.5621285811067</v>
      </c>
      <c r="AJ34" s="2">
        <v>1.0855630125661264E-4</v>
      </c>
      <c r="AK34" s="2">
        <f t="shared" si="17"/>
        <v>2318.5621243901551</v>
      </c>
      <c r="AL34" s="2">
        <v>3.8715029177183169E-5</v>
      </c>
      <c r="AM34" s="2">
        <f t="shared" si="18"/>
        <v>-1.2050534637560055E-9</v>
      </c>
      <c r="AN34" s="2">
        <f t="shared" si="19"/>
        <v>4.2027603705168446E-9</v>
      </c>
      <c r="AO34" s="2">
        <f t="shared" si="20"/>
        <v>8.3819031715393066E-6</v>
      </c>
      <c r="AQ34" s="65"/>
      <c r="AR34" s="3">
        <f>0.426313*($AR$9/2)</f>
        <v>0.64970101199999997</v>
      </c>
      <c r="AS34" s="26" t="s">
        <v>8</v>
      </c>
      <c r="AY34" s="2" t="s">
        <v>167</v>
      </c>
      <c r="AZ34" s="2">
        <f>SQRT(AZ32^2 + AZ33^2)</f>
        <v>73.6568878014901</v>
      </c>
      <c r="BA34" s="26" t="s">
        <v>10</v>
      </c>
      <c r="BC34" s="2" t="s">
        <v>167</v>
      </c>
      <c r="BD34" s="2">
        <f>SQRT(BD32^2 + BD33^2)</f>
        <v>81.059832229334219</v>
      </c>
      <c r="BE34" s="26" t="s">
        <v>10</v>
      </c>
      <c r="BG34" s="2" t="s">
        <v>192</v>
      </c>
      <c r="BH34" s="2">
        <f xml:space="preserve"> BH31*SIN(BH23) + BH32*COS(BH23)</f>
        <v>0.50929205896030971</v>
      </c>
      <c r="BI34" s="2"/>
      <c r="BK34" s="2" t="s">
        <v>192</v>
      </c>
      <c r="BL34" s="2">
        <f xml:space="preserve"> BL31*SIN(BL23) + BL32*COS(BL23)</f>
        <v>0.48873845425059881</v>
      </c>
      <c r="BM34" s="2"/>
      <c r="BO34" s="2">
        <v>30</v>
      </c>
      <c r="BP34" s="2">
        <f t="shared" si="21"/>
        <v>0.52572048645531044</v>
      </c>
      <c r="BQ34" s="2">
        <v>-3.029733240678123E-8</v>
      </c>
      <c r="BR34" s="2">
        <f t="shared" si="22"/>
        <v>0.52572049166329882</v>
      </c>
      <c r="BS34" s="2">
        <v>3.0837269821004654E-9</v>
      </c>
      <c r="BT34" s="5">
        <f t="shared" si="7"/>
        <v>0.52572048905930457</v>
      </c>
      <c r="BU34" s="2">
        <v>-1.1420385595539706E-8</v>
      </c>
      <c r="BV34" s="2">
        <f t="shared" si="8"/>
        <v>3.460072186016827E-16</v>
      </c>
      <c r="BW34" s="2">
        <f t="shared" si="9"/>
        <v>-3.5217351206957282E-17</v>
      </c>
      <c r="BX34" s="2">
        <f t="shared" si="10"/>
        <v>5.2079883738898047E-9</v>
      </c>
      <c r="BZ34" s="2">
        <v>30</v>
      </c>
      <c r="CA34" s="2">
        <f t="shared" si="23"/>
        <v>0.44525871198378053</v>
      </c>
      <c r="CB34" s="2">
        <v>-1.7733919097095985E-8</v>
      </c>
      <c r="CC34" s="2">
        <f t="shared" si="24"/>
        <v>0.4452587171917689</v>
      </c>
      <c r="CD34" s="2">
        <v>4.1830755109772966E-9</v>
      </c>
      <c r="CE34" s="5">
        <f t="shared" si="11"/>
        <v>0.44525871458777472</v>
      </c>
      <c r="CF34" s="2">
        <v>-5.2553461582505179E-9</v>
      </c>
      <c r="CG34" s="2">
        <f t="shared" si="12"/>
        <v>9.3197883597648873E-17</v>
      </c>
      <c r="CH34" s="2">
        <f t="shared" si="13"/>
        <v>-2.1983509816286358E-17</v>
      </c>
      <c r="CI34" s="2">
        <f t="shared" si="14"/>
        <v>5.2079883738898047E-9</v>
      </c>
    </row>
    <row r="35" spans="2:87" x14ac:dyDescent="0.2">
      <c r="B35" s="6" t="s">
        <v>109</v>
      </c>
      <c r="C35" s="17">
        <v>9.1440000000000001</v>
      </c>
      <c r="D35" s="6" t="s">
        <v>8</v>
      </c>
      <c r="J35" s="11" t="s">
        <v>55</v>
      </c>
      <c r="K35" s="6">
        <f>ROUND(K15/$C$5 * 100, 2)</f>
        <v>22.81</v>
      </c>
      <c r="L35" s="6" t="s">
        <v>61</v>
      </c>
      <c r="AF35" s="2">
        <v>31</v>
      </c>
      <c r="AG35" s="2">
        <f t="shared" si="25"/>
        <v>2318.5621201992035</v>
      </c>
      <c r="AH35" s="2">
        <v>-3.1126244493862032E-5</v>
      </c>
      <c r="AI35" s="2">
        <f t="shared" si="26"/>
        <v>2318.5621243901551</v>
      </c>
      <c r="AJ35" s="2">
        <v>1.0855630125661264E-4</v>
      </c>
      <c r="AK35" s="2">
        <f t="shared" si="17"/>
        <v>2318.5621222946793</v>
      </c>
      <c r="AL35" s="2">
        <v>3.8715029177183169E-5</v>
      </c>
      <c r="AM35" s="2">
        <f t="shared" si="18"/>
        <v>-1.2050534637560055E-9</v>
      </c>
      <c r="AN35" s="2">
        <f t="shared" si="19"/>
        <v>4.2027603705168446E-9</v>
      </c>
      <c r="AO35" s="2">
        <f t="shared" si="20"/>
        <v>4.1909515857696533E-6</v>
      </c>
      <c r="AQ35" s="65" t="s">
        <v>223</v>
      </c>
      <c r="AR35" s="3">
        <v>7.359375</v>
      </c>
      <c r="AS35" s="26" t="s">
        <v>43</v>
      </c>
      <c r="AY35" s="2" t="s">
        <v>170</v>
      </c>
      <c r="AZ35" s="36">
        <f>$AR$45*AZ34*$AR$27/$AR$46</f>
        <v>3685609.822979751</v>
      </c>
      <c r="BA35" s="26"/>
      <c r="BC35" s="2" t="s">
        <v>170</v>
      </c>
      <c r="BD35" s="36">
        <f>$AR$45*BD34*$AR$27/$AR$46</f>
        <v>4056034.9864182146</v>
      </c>
      <c r="BE35" s="26"/>
      <c r="BG35" s="2" t="s">
        <v>38</v>
      </c>
      <c r="BH35" s="2">
        <f xml:space="preserve"> 4*BH30*SIN(BH23)*SIN(BH23) / (BH27*BH33)</f>
        <v>1.2076469608591789</v>
      </c>
      <c r="BI35" s="2"/>
      <c r="BK35" s="2" t="s">
        <v>38</v>
      </c>
      <c r="BL35" s="2">
        <f xml:space="preserve"> 4*BL30*SIN(BL23)*SIN(BL23) / (BL27*BL33)</f>
        <v>1.1829562367953981</v>
      </c>
      <c r="BM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:87" x14ac:dyDescent="0.2">
      <c r="B36" s="6" t="s">
        <v>110</v>
      </c>
      <c r="C36" s="17">
        <v>1.8675309360000001</v>
      </c>
      <c r="D36" s="6" t="s">
        <v>8</v>
      </c>
      <c r="J36" s="19" t="s">
        <v>81</v>
      </c>
      <c r="K36" s="6">
        <f>ROUND(SUM(K16:K19)/$C$5 * 100, 2)</f>
        <v>14.99</v>
      </c>
      <c r="L36" s="6" t="s">
        <v>61</v>
      </c>
      <c r="AF36" s="2">
        <v>32</v>
      </c>
      <c r="AG36" s="2">
        <f t="shared" si="25"/>
        <v>2318.5621201992035</v>
      </c>
      <c r="AH36" s="2">
        <v>-3.1126244493862032E-5</v>
      </c>
      <c r="AI36" s="2">
        <f t="shared" si="26"/>
        <v>2318.5621222946793</v>
      </c>
      <c r="AJ36" s="2">
        <v>1.0855630125661264E-4</v>
      </c>
      <c r="AK36" s="2">
        <f t="shared" si="17"/>
        <v>2318.5621212469414</v>
      </c>
      <c r="AL36" s="2">
        <v>3.8715029177183169E-5</v>
      </c>
      <c r="AM36" s="2">
        <f t="shared" si="18"/>
        <v>-1.2050534637560055E-9</v>
      </c>
      <c r="AN36" s="2">
        <f t="shared" si="19"/>
        <v>4.2027603705168446E-9</v>
      </c>
      <c r="AO36" s="2">
        <f t="shared" si="20"/>
        <v>2.0954757928848267E-6</v>
      </c>
      <c r="AQ36" s="65"/>
      <c r="AR36" s="3">
        <v>5.8781249999999998</v>
      </c>
      <c r="AS36" s="26" t="s">
        <v>43</v>
      </c>
      <c r="AY36" s="2" t="s">
        <v>174</v>
      </c>
      <c r="AZ36" s="2">
        <f xml:space="preserve"> $BH$65 * PI() * $AR$45 * AZ34^2 * $BH$71 * $AR$25 * AZ31</f>
        <v>629.72049192603049</v>
      </c>
      <c r="BA36" s="26" t="s">
        <v>22</v>
      </c>
      <c r="BC36" s="2" t="s">
        <v>174</v>
      </c>
      <c r="BD36" s="2">
        <f xml:space="preserve"> $BL$65 * PI() * $AR$45 * BD34^2 * $BL$71 * $AR$26 * BD31</f>
        <v>555.42808419564506</v>
      </c>
      <c r="BE36" s="26" t="s">
        <v>22</v>
      </c>
      <c r="BG36" s="2" t="s">
        <v>194</v>
      </c>
      <c r="BH36" s="2">
        <f xml:space="preserve"> 4*BH30*SIN(BH23)*COS(BH23) / (BH27*BH34)</f>
        <v>6.3527991413666225</v>
      </c>
      <c r="BI36" s="2"/>
      <c r="BK36" s="2" t="s">
        <v>194</v>
      </c>
      <c r="BL36" s="2">
        <f xml:space="preserve"> 4*BL30*SIN(BL23)*COS(BL23) / (BL27*BL34)</f>
        <v>7.823673510603494</v>
      </c>
      <c r="BM36" s="2"/>
      <c r="BO36" s="62" t="s">
        <v>207</v>
      </c>
      <c r="BP36" s="62"/>
      <c r="BQ36" s="62"/>
      <c r="BR36" s="62"/>
      <c r="BS36" s="62"/>
      <c r="BT36" s="62"/>
      <c r="BU36" s="62"/>
      <c r="BV36" s="62"/>
      <c r="BW36" s="62"/>
      <c r="BX36" s="62"/>
      <c r="BZ36" s="62" t="s">
        <v>208</v>
      </c>
      <c r="CA36" s="62"/>
      <c r="CB36" s="62"/>
      <c r="CC36" s="62"/>
      <c r="CD36" s="62"/>
      <c r="CE36" s="62"/>
      <c r="CF36" s="62"/>
      <c r="CG36" s="62"/>
      <c r="CH36" s="62"/>
      <c r="CI36" s="62"/>
    </row>
    <row r="37" spans="2:87" x14ac:dyDescent="0.2">
      <c r="J37" s="20" t="s">
        <v>72</v>
      </c>
      <c r="K37" s="6">
        <f>ROUND(SUM(K20:K25)/$C$5 * 100, 2)</f>
        <v>31.5</v>
      </c>
      <c r="L37" s="6" t="s">
        <v>61</v>
      </c>
      <c r="AF37" s="2">
        <v>33</v>
      </c>
      <c r="AG37" s="2">
        <f t="shared" si="25"/>
        <v>2318.5621201992035</v>
      </c>
      <c r="AH37" s="2">
        <v>-3.1126244493862032E-5</v>
      </c>
      <c r="AI37" s="2">
        <f t="shared" si="26"/>
        <v>2318.5621212469414</v>
      </c>
      <c r="AJ37" s="2">
        <v>1.0855630125661264E-4</v>
      </c>
      <c r="AK37" s="2">
        <f t="shared" si="17"/>
        <v>2318.5621207230724</v>
      </c>
      <c r="AL37" s="2">
        <v>3.8715029177183169E-5</v>
      </c>
      <c r="AM37" s="2">
        <f t="shared" si="18"/>
        <v>-1.2050534637560055E-9</v>
      </c>
      <c r="AN37" s="2">
        <f t="shared" si="19"/>
        <v>4.2027603705168446E-9</v>
      </c>
      <c r="AO37" s="2">
        <f t="shared" si="20"/>
        <v>1.0477378964424133E-6</v>
      </c>
      <c r="AQ37" s="65"/>
      <c r="AR37" s="3">
        <v>4.3968749999999996</v>
      </c>
      <c r="AS37" s="26" t="s">
        <v>43</v>
      </c>
      <c r="AY37" s="2" t="s">
        <v>178</v>
      </c>
      <c r="AZ37" s="2">
        <f xml:space="preserve"> $BH$65 * PI() * $AR$45 * AZ34^2 * $BH$72 * $AR$25^2 * AZ31</f>
        <v>289.55784779102174</v>
      </c>
      <c r="BA37" s="26" t="s">
        <v>179</v>
      </c>
      <c r="BC37" s="2" t="s">
        <v>178</v>
      </c>
      <c r="BD37" s="2">
        <f xml:space="preserve"> $BL$65 * PI() * $AR$45 * BD34^2 * $BL$72 * $AR$26^2 * BD31</f>
        <v>321.97069875286434</v>
      </c>
      <c r="BE37" s="26" t="s">
        <v>179</v>
      </c>
      <c r="BG37" s="2" t="s">
        <v>45</v>
      </c>
      <c r="BH37" s="2">
        <f>1/(BH35-1)</f>
        <v>4.8158662947066952</v>
      </c>
      <c r="BI37" s="2"/>
      <c r="BK37" s="2" t="s">
        <v>45</v>
      </c>
      <c r="BL37" s="2">
        <f>1/(BL35-1)</f>
        <v>5.4657879803152642</v>
      </c>
      <c r="BM37" s="2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52" t="s">
        <v>111</v>
      </c>
      <c r="C38" s="52"/>
      <c r="D38" s="52"/>
      <c r="J38" s="15" t="s">
        <v>73</v>
      </c>
      <c r="K38" s="6">
        <f>ROUND(SUM(K26:K29)/$C$5*100, 2)</f>
        <v>4.83</v>
      </c>
      <c r="L38" s="6" t="s">
        <v>61</v>
      </c>
      <c r="AF38" s="2">
        <v>34</v>
      </c>
      <c r="AG38" s="2">
        <f t="shared" si="25"/>
        <v>2318.5621201992035</v>
      </c>
      <c r="AH38" s="2">
        <v>-3.1126244493862032E-5</v>
      </c>
      <c r="AI38" s="2">
        <f t="shared" si="26"/>
        <v>2318.5621207230724</v>
      </c>
      <c r="AJ38" s="2">
        <v>1.0855630125661264E-4</v>
      </c>
      <c r="AK38" s="2">
        <f t="shared" si="17"/>
        <v>2318.562120461138</v>
      </c>
      <c r="AL38" s="2">
        <v>3.8715029177183169E-5</v>
      </c>
      <c r="AM38" s="2">
        <f t="shared" si="18"/>
        <v>-1.2050534637560055E-9</v>
      </c>
      <c r="AN38" s="2">
        <f t="shared" si="19"/>
        <v>4.2027603705168446E-9</v>
      </c>
      <c r="AO38" s="2">
        <f t="shared" si="20"/>
        <v>5.2386894822120667E-7</v>
      </c>
      <c r="AQ38" s="65"/>
      <c r="AR38" s="3">
        <v>2.9156249999999999</v>
      </c>
      <c r="AS38" s="26" t="s">
        <v>43</v>
      </c>
      <c r="BG38" s="2" t="s">
        <v>197</v>
      </c>
      <c r="BH38" s="2">
        <f>1/(BH36+1)</f>
        <v>0.13600262713203068</v>
      </c>
      <c r="BI38" s="2"/>
      <c r="BK38" s="2" t="s">
        <v>197</v>
      </c>
      <c r="BL38" s="2">
        <f>1/(BL36+1)</f>
        <v>0.11333148249403042</v>
      </c>
      <c r="BM38" s="2"/>
      <c r="BO38" s="30">
        <v>0</v>
      </c>
      <c r="BP38" s="30"/>
      <c r="BQ38" s="30">
        <f>$BH$39</f>
        <v>-6.3222231616588687E-9</v>
      </c>
      <c r="BR38" s="30"/>
      <c r="BS38" s="30">
        <f>$BH$39</f>
        <v>-6.3222231616588687E-9</v>
      </c>
      <c r="BT38" s="30"/>
      <c r="BU38" s="30">
        <f>$BH$39</f>
        <v>-6.3222231616588687E-9</v>
      </c>
      <c r="BV38" s="30"/>
      <c r="BW38" s="30"/>
      <c r="BX38" s="30"/>
      <c r="BZ38" s="30">
        <v>0</v>
      </c>
      <c r="CA38" s="30"/>
      <c r="CB38" s="30">
        <f>$BL$39</f>
        <v>-3.8755218478847553E-9</v>
      </c>
      <c r="CC38" s="30"/>
      <c r="CD38" s="30">
        <f>$BL$39</f>
        <v>-3.8755218478847553E-9</v>
      </c>
      <c r="CE38" s="30"/>
      <c r="CF38" s="30">
        <f>$BL$39</f>
        <v>-3.8755218478847553E-9</v>
      </c>
      <c r="CG38" s="30"/>
      <c r="CH38" s="30"/>
      <c r="CI38" s="30"/>
    </row>
    <row r="39" spans="2:87" x14ac:dyDescent="0.2">
      <c r="B39" s="6" t="s">
        <v>124</v>
      </c>
      <c r="C39" s="22" t="s">
        <v>125</v>
      </c>
      <c r="J39" s="10" t="s">
        <v>62</v>
      </c>
      <c r="K39" s="10">
        <f>SUM(K34:K38)</f>
        <v>100.01</v>
      </c>
      <c r="L39" s="10" t="s">
        <v>61</v>
      </c>
      <c r="AF39" s="2">
        <v>35</v>
      </c>
      <c r="AG39" s="2">
        <f t="shared" si="25"/>
        <v>2318.5621201992035</v>
      </c>
      <c r="AH39" s="2">
        <v>-3.1126244493862032E-5</v>
      </c>
      <c r="AI39" s="2">
        <f t="shared" si="26"/>
        <v>2318.562120461138</v>
      </c>
      <c r="AJ39" s="2">
        <v>1.0855630125661264E-4</v>
      </c>
      <c r="AK39" s="2">
        <f t="shared" si="17"/>
        <v>2318.5621203301707</v>
      </c>
      <c r="AL39" s="2">
        <v>3.8715029177183169E-5</v>
      </c>
      <c r="AM39" s="2">
        <f t="shared" si="18"/>
        <v>-1.2050534637560055E-9</v>
      </c>
      <c r="AN39" s="2">
        <f t="shared" si="19"/>
        <v>4.2027603705168446E-9</v>
      </c>
      <c r="AO39" s="2">
        <f t="shared" si="20"/>
        <v>2.6193447411060333E-7</v>
      </c>
      <c r="AQ39" s="65"/>
      <c r="AR39" s="3">
        <v>1.434375</v>
      </c>
      <c r="AS39" s="26" t="s">
        <v>43</v>
      </c>
      <c r="BG39" s="7" t="s">
        <v>199</v>
      </c>
      <c r="BH39" s="38">
        <f>SIN(BH23)/(1+BH37) - $AR$3*COS(BH23)/($AV$5*$AR$21*(1-BH38))</f>
        <v>-6.3222231616588687E-9</v>
      </c>
      <c r="BI39" s="38"/>
      <c r="BK39" s="7" t="s">
        <v>199</v>
      </c>
      <c r="BL39" s="38">
        <f>SIN(BL23)/(1+BL37) - $AR$3*COS(BL23)/($AV$5*$AR$22*(1-BL38))</f>
        <v>-3.8755218478847553E-9</v>
      </c>
      <c r="BM39" s="38"/>
      <c r="BO39" s="2">
        <v>1</v>
      </c>
      <c r="BP39" s="3">
        <f>0.01*PI()</f>
        <v>3.1415926535897934E-2</v>
      </c>
      <c r="BQ39" s="2">
        <f t="dataTable" ref="BQ39:BQ68" dt2D="0" dtr="0" r1="BH23" ca="1"/>
        <v>-3.2979016972064916</v>
      </c>
      <c r="BR39" s="3">
        <f>0.9*PI()</f>
        <v>2.8274333882308138</v>
      </c>
      <c r="BS39" s="2">
        <f t="dataTable" ref="BS39:BS68" dt2D="0" dtr="0" r1="BH23"/>
        <v>0.58400998761771972</v>
      </c>
      <c r="BT39" s="2">
        <f t="shared" ref="BT39:BT68" si="27">(BP39+BR39)/2</f>
        <v>1.4294246573833558</v>
      </c>
      <c r="BU39" s="2">
        <f t="dataTable" ref="BU39:BU68" dt2D="0" dtr="0" r1="BH23" ca="1"/>
        <v>1.1267624137456502</v>
      </c>
      <c r="BV39" s="2">
        <f t="shared" ref="BV39:BV68" si="28">BQ39*BU39</f>
        <v>-3.7159516766402629</v>
      </c>
      <c r="BW39" s="2">
        <f t="shared" ref="BW39:BW68" si="29">BS39*BU39</f>
        <v>0.6580405032997092</v>
      </c>
      <c r="BX39" s="2">
        <f t="shared" ref="BX39:BX68" si="30">BR39-BP39</f>
        <v>2.7960174616949161</v>
      </c>
      <c r="BZ39" s="2">
        <v>1</v>
      </c>
      <c r="CA39" s="3">
        <f>0.01*PI()</f>
        <v>3.1415926535897934E-2</v>
      </c>
      <c r="CB39" s="2">
        <f t="dataTable" ref="CB39:CB68" dt2D="0" dtr="0" r1="BL23" ca="1"/>
        <v>-2.5942912313800126</v>
      </c>
      <c r="CC39" s="3">
        <f>0.9*PI()</f>
        <v>2.8274333882308138</v>
      </c>
      <c r="CD39" s="2">
        <f t="dataTable" ref="CD39:CD68" dt2D="0" dtr="0" r1="BL23" ca="1"/>
        <v>0.52898865172676024</v>
      </c>
      <c r="CE39" s="2">
        <f t="shared" ref="CE39:CE68" si="31">(CA39+CC39)/2</f>
        <v>1.4294246573833558</v>
      </c>
      <c r="CF39" s="2">
        <f t="dataTable" ref="CF39:CF68" dt2D="0" dtr="0" r1="BL23"/>
        <v>1.1106350314475022</v>
      </c>
      <c r="CG39" s="2">
        <f t="shared" ref="CG39:CG68" si="32">CB39*CF39</f>
        <v>-2.8813107233477195</v>
      </c>
      <c r="CH39" s="2">
        <f t="shared" ref="CH39:CH68" si="33">CD39*CF39</f>
        <v>0.58751332784592214</v>
      </c>
      <c r="CI39" s="2">
        <f t="shared" ref="CI39:CI68" si="34">CC39-CA39</f>
        <v>2.7960174616949161</v>
      </c>
    </row>
    <row r="40" spans="2:87" x14ac:dyDescent="0.2">
      <c r="B40" s="6" t="s">
        <v>126</v>
      </c>
      <c r="C40" s="6">
        <f>IF(C39="wheeled",0.0325,0.014)</f>
        <v>3.2500000000000001E-2</v>
      </c>
      <c r="AF40" s="2">
        <v>36</v>
      </c>
      <c r="AG40" s="2">
        <f t="shared" si="25"/>
        <v>2318.5621201992035</v>
      </c>
      <c r="AH40" s="2">
        <v>-3.1126244493862032E-5</v>
      </c>
      <c r="AI40" s="2">
        <f t="shared" si="26"/>
        <v>2318.5621203301707</v>
      </c>
      <c r="AJ40" s="2">
        <v>1.0855630125661264E-4</v>
      </c>
      <c r="AK40" s="2">
        <f t="shared" si="17"/>
        <v>2318.5621202646871</v>
      </c>
      <c r="AL40" s="2">
        <v>3.8715029177183169E-5</v>
      </c>
      <c r="AM40" s="2">
        <f t="shared" si="18"/>
        <v>-1.2050534637560055E-9</v>
      </c>
      <c r="AN40" s="2">
        <f t="shared" si="19"/>
        <v>4.2027603705168446E-9</v>
      </c>
      <c r="AO40" s="2">
        <f t="shared" si="20"/>
        <v>1.3096723705530167E-7</v>
      </c>
      <c r="AQ40" s="65"/>
      <c r="AR40" s="3">
        <v>-4.6875E-2</v>
      </c>
      <c r="AS40" s="26" t="s">
        <v>43</v>
      </c>
      <c r="BO40" s="2">
        <v>2</v>
      </c>
      <c r="BP40" s="2">
        <f t="shared" ref="BP40:BP68" si="35">IF(BV39&gt;0,BT39,BP39)</f>
        <v>3.1415926535897934E-2</v>
      </c>
      <c r="BQ40" s="2">
        <v>-3.2979016972064916</v>
      </c>
      <c r="BR40" s="2">
        <f t="shared" ref="BR40:BR68" si="36">IF(BW39&gt;0,BT39,BR39)</f>
        <v>1.4294246573833558</v>
      </c>
      <c r="BS40" s="2">
        <v>1.1267624136787948</v>
      </c>
      <c r="BT40" s="2">
        <f t="shared" si="27"/>
        <v>0.73042029195962688</v>
      </c>
      <c r="BU40" s="2">
        <v>0.81595103039981176</v>
      </c>
      <c r="BV40" s="2">
        <f t="shared" si="28"/>
        <v>-2.6909262879929248</v>
      </c>
      <c r="BW40" s="2">
        <f t="shared" si="29"/>
        <v>0.91938295245699153</v>
      </c>
      <c r="BX40" s="2">
        <f t="shared" si="30"/>
        <v>1.3980087308474578</v>
      </c>
      <c r="BZ40" s="2">
        <v>2</v>
      </c>
      <c r="CA40" s="2">
        <f t="shared" ref="CA40:CA68" si="37">IF(CG39&gt;0,CE39,CA39)</f>
        <v>3.1415926535897934E-2</v>
      </c>
      <c r="CB40" s="2">
        <v>-2.5942912313800126</v>
      </c>
      <c r="CC40" s="2">
        <f t="shared" ref="CC40:CC68" si="38">IF(CH39&gt;0,CE39,CC39)</f>
        <v>1.4294246573833558</v>
      </c>
      <c r="CD40" s="2">
        <v>1.1106350315362992</v>
      </c>
      <c r="CE40" s="2">
        <f t="shared" si="31"/>
        <v>0.73042029195962688</v>
      </c>
      <c r="CF40" s="2">
        <v>0.81286835659315082</v>
      </c>
      <c r="CG40" s="2">
        <f t="shared" si="32"/>
        <v>-2.1088172497758926</v>
      </c>
      <c r="CH40" s="2">
        <f t="shared" si="33"/>
        <v>0.90280007285969377</v>
      </c>
      <c r="CI40" s="2">
        <f t="shared" si="34"/>
        <v>1.3980087308474578</v>
      </c>
    </row>
    <row r="41" spans="2:87" x14ac:dyDescent="0.2">
      <c r="B41" s="6" t="s">
        <v>112</v>
      </c>
      <c r="C41" s="17">
        <v>0.30480000000000002</v>
      </c>
      <c r="D41" s="6" t="s">
        <v>8</v>
      </c>
      <c r="J41" s="52" t="s">
        <v>116</v>
      </c>
      <c r="K41" s="52"/>
      <c r="L41" s="52"/>
      <c r="AF41" s="2">
        <v>37</v>
      </c>
      <c r="AG41" s="2">
        <f t="shared" si="25"/>
        <v>2318.5621201992035</v>
      </c>
      <c r="AH41" s="2">
        <v>-3.1126244493862032E-5</v>
      </c>
      <c r="AI41" s="2">
        <f t="shared" si="26"/>
        <v>2318.5621202646871</v>
      </c>
      <c r="AJ41" s="2">
        <v>1.0855630125661264E-4</v>
      </c>
      <c r="AK41" s="2">
        <f t="shared" si="17"/>
        <v>2318.5621202319453</v>
      </c>
      <c r="AL41" s="2">
        <v>3.8715029177183169E-5</v>
      </c>
      <c r="AM41" s="2">
        <f t="shared" si="18"/>
        <v>-1.2050534637560055E-9</v>
      </c>
      <c r="AN41" s="2">
        <f t="shared" si="19"/>
        <v>4.2027603705168446E-9</v>
      </c>
      <c r="AO41" s="2">
        <f t="shared" si="20"/>
        <v>6.5483618527650833E-8</v>
      </c>
      <c r="AQ41" s="65"/>
      <c r="AR41" s="3">
        <v>-1.528125</v>
      </c>
      <c r="AS41" s="26" t="s">
        <v>43</v>
      </c>
      <c r="AU41" s="23" t="s">
        <v>143</v>
      </c>
      <c r="AV41" s="59" t="s">
        <v>218</v>
      </c>
      <c r="AW41" s="59"/>
      <c r="AX41" s="24"/>
      <c r="AY41" s="24"/>
      <c r="AZ41" s="24"/>
      <c r="BA41" s="24"/>
      <c r="BB41" s="24"/>
      <c r="BC41" s="24"/>
      <c r="BD41" s="24"/>
      <c r="BE41" s="25"/>
      <c r="BG41" s="63" t="s">
        <v>200</v>
      </c>
      <c r="BH41" s="63"/>
      <c r="BI41" s="63"/>
      <c r="BJ41" s="2"/>
      <c r="BK41" s="63" t="s">
        <v>201</v>
      </c>
      <c r="BL41" s="63"/>
      <c r="BM41" s="63"/>
      <c r="BO41" s="2">
        <v>3</v>
      </c>
      <c r="BP41" s="2">
        <f t="shared" si="35"/>
        <v>3.1415926535897934E-2</v>
      </c>
      <c r="BQ41" s="2">
        <v>-3.2979016972064916</v>
      </c>
      <c r="BR41" s="2">
        <f t="shared" si="36"/>
        <v>0.73042029195962688</v>
      </c>
      <c r="BS41" s="2">
        <v>0.81595102894956328</v>
      </c>
      <c r="BT41" s="2">
        <f t="shared" si="27"/>
        <v>0.38091810924776243</v>
      </c>
      <c r="BU41" s="2">
        <v>-3.2683673263310835E-2</v>
      </c>
      <c r="BV41" s="2">
        <f t="shared" si="28"/>
        <v>0.10778754152601523</v>
      </c>
      <c r="BW41" s="2">
        <f t="shared" si="29"/>
        <v>-2.6668276829049806E-2</v>
      </c>
      <c r="BX41" s="2">
        <f t="shared" si="30"/>
        <v>0.6990043654237289</v>
      </c>
      <c r="BZ41" s="2">
        <v>3</v>
      </c>
      <c r="CA41" s="2">
        <f t="shared" si="37"/>
        <v>3.1415926535897934E-2</v>
      </c>
      <c r="CB41" s="2">
        <v>-2.5942912313800126</v>
      </c>
      <c r="CC41" s="2">
        <f t="shared" si="38"/>
        <v>0.73042029195962688</v>
      </c>
      <c r="CD41" s="2">
        <v>0.81286835779409394</v>
      </c>
      <c r="CE41" s="2">
        <f t="shared" si="31"/>
        <v>0.38091810924776243</v>
      </c>
      <c r="CF41" s="2">
        <v>7.6464446186001955E-2</v>
      </c>
      <c r="CG41" s="2">
        <f t="shared" si="32"/>
        <v>-0.19837104225267371</v>
      </c>
      <c r="CH41" s="2">
        <f t="shared" si="33"/>
        <v>6.2155528800850277E-2</v>
      </c>
      <c r="CI41" s="2">
        <f t="shared" si="34"/>
        <v>0.6990043654237289</v>
      </c>
    </row>
    <row r="42" spans="2:87" x14ac:dyDescent="0.2">
      <c r="B42" s="6" t="s">
        <v>113</v>
      </c>
      <c r="C42" s="17">
        <v>5.7</v>
      </c>
      <c r="J42" s="6" t="s">
        <v>60</v>
      </c>
      <c r="K42" s="6">
        <f>ROUND(C17,2)</f>
        <v>600</v>
      </c>
      <c r="L42" s="6" t="s">
        <v>7</v>
      </c>
      <c r="AF42" s="2">
        <v>38</v>
      </c>
      <c r="AG42" s="2">
        <f t="shared" si="25"/>
        <v>2318.5621201992035</v>
      </c>
      <c r="AH42" s="2">
        <v>-3.1126244493862032E-5</v>
      </c>
      <c r="AI42" s="2">
        <f t="shared" si="26"/>
        <v>2318.5621202319453</v>
      </c>
      <c r="AJ42" s="2">
        <v>1.0855630125661264E-4</v>
      </c>
      <c r="AK42" s="2">
        <f t="shared" si="17"/>
        <v>2318.5621202155744</v>
      </c>
      <c r="AL42" s="2">
        <v>3.8715029177183169E-5</v>
      </c>
      <c r="AM42" s="2">
        <f t="shared" si="18"/>
        <v>-1.2050534637560055E-9</v>
      </c>
      <c r="AN42" s="2">
        <f t="shared" si="19"/>
        <v>4.2027603705168446E-9</v>
      </c>
      <c r="AO42" s="2">
        <f t="shared" si="20"/>
        <v>3.2741809263825417E-8</v>
      </c>
      <c r="AQ42" s="65"/>
      <c r="AR42" s="3">
        <v>-3.0093749999999999</v>
      </c>
      <c r="AS42" s="26" t="s">
        <v>43</v>
      </c>
      <c r="AU42" s="27"/>
      <c r="AV42" s="60" t="s">
        <v>148</v>
      </c>
      <c r="AW42" s="60"/>
      <c r="AX42" s="60"/>
      <c r="AY42" s="60" t="s">
        <v>149</v>
      </c>
      <c r="AZ42" s="60"/>
      <c r="BA42" s="60"/>
      <c r="BB42" s="60"/>
      <c r="BC42" s="60" t="s">
        <v>150</v>
      </c>
      <c r="BD42" s="60"/>
      <c r="BE42" s="64"/>
      <c r="BG42" s="28" t="s">
        <v>154</v>
      </c>
      <c r="BH42" s="29">
        <f>BT102</f>
        <v>0.32417847438656577</v>
      </c>
      <c r="BI42" s="5" t="s">
        <v>155</v>
      </c>
      <c r="BJ42" s="2"/>
      <c r="BK42" s="28" t="s">
        <v>154</v>
      </c>
      <c r="BL42" s="29">
        <f>CE102</f>
        <v>0.30545693322985862</v>
      </c>
      <c r="BM42" s="5" t="s">
        <v>155</v>
      </c>
      <c r="BO42" s="2">
        <v>4</v>
      </c>
      <c r="BP42" s="2">
        <f t="shared" si="35"/>
        <v>0.38091810924776243</v>
      </c>
      <c r="BQ42" s="2">
        <v>-3.2683673263310835E-2</v>
      </c>
      <c r="BR42" s="2">
        <f t="shared" si="36"/>
        <v>0.73042029195962688</v>
      </c>
      <c r="BS42" s="2">
        <v>0.81595102894956328</v>
      </c>
      <c r="BT42" s="2">
        <f t="shared" si="27"/>
        <v>0.55566920060369462</v>
      </c>
      <c r="BU42" s="2">
        <v>0.45389466197065342</v>
      </c>
      <c r="BV42" s="2">
        <f t="shared" si="28"/>
        <v>-1.4834944827809754E-2</v>
      </c>
      <c r="BW42" s="2">
        <f t="shared" si="29"/>
        <v>0.37035581646966886</v>
      </c>
      <c r="BX42" s="2">
        <f t="shared" si="30"/>
        <v>0.34950218271186445</v>
      </c>
      <c r="BZ42" s="2">
        <v>4</v>
      </c>
      <c r="CA42" s="2">
        <f t="shared" si="37"/>
        <v>3.1415926535897934E-2</v>
      </c>
      <c r="CB42" s="2">
        <v>-2.5942912313800126</v>
      </c>
      <c r="CC42" s="2">
        <f t="shared" si="38"/>
        <v>0.38091810924776243</v>
      </c>
      <c r="CD42" s="2">
        <v>7.6464448055292983E-2</v>
      </c>
      <c r="CE42" s="2">
        <f t="shared" si="31"/>
        <v>0.20616701789183017</v>
      </c>
      <c r="CF42" s="2">
        <v>-0.37189751201659166</v>
      </c>
      <c r="CG42" s="2">
        <f t="shared" si="32"/>
        <v>0.96481045439668656</v>
      </c>
      <c r="CH42" s="2">
        <f t="shared" si="33"/>
        <v>-2.8436937989485371E-2</v>
      </c>
      <c r="CI42" s="2">
        <f t="shared" si="34"/>
        <v>0.34950218271186451</v>
      </c>
    </row>
    <row r="43" spans="2:87" x14ac:dyDescent="0.2">
      <c r="J43" s="11" t="s">
        <v>55</v>
      </c>
      <c r="K43" s="6">
        <f>ROUND(K15, 2)</f>
        <v>528.80999999999995</v>
      </c>
      <c r="L43" s="6" t="s">
        <v>7</v>
      </c>
      <c r="AF43" s="2">
        <v>39</v>
      </c>
      <c r="AG43" s="2">
        <f t="shared" si="25"/>
        <v>2318.5621201992035</v>
      </c>
      <c r="AH43" s="2">
        <v>-3.1126244493862032E-5</v>
      </c>
      <c r="AI43" s="2">
        <f t="shared" si="26"/>
        <v>2318.5621202155744</v>
      </c>
      <c r="AJ43" s="2">
        <v>1.0855630125661264E-4</v>
      </c>
      <c r="AK43" s="2">
        <f t="shared" si="17"/>
        <v>2318.5621202073889</v>
      </c>
      <c r="AL43" s="2">
        <v>3.8715029177183169E-5</v>
      </c>
      <c r="AM43" s="2">
        <f t="shared" si="18"/>
        <v>-1.2050534637560055E-9</v>
      </c>
      <c r="AN43" s="2">
        <f t="shared" si="19"/>
        <v>4.2027603705168446E-9</v>
      </c>
      <c r="AO43" s="2">
        <f t="shared" si="20"/>
        <v>1.6370904631912708E-8</v>
      </c>
      <c r="AQ43" s="2"/>
      <c r="AR43" s="2"/>
      <c r="AS43" s="26"/>
      <c r="AU43" s="27"/>
      <c r="AV43" s="4" t="s">
        <v>156</v>
      </c>
      <c r="AW43" s="2">
        <v>-180</v>
      </c>
      <c r="AX43" s="2">
        <v>-9.5</v>
      </c>
      <c r="AY43" s="60" t="s">
        <v>156</v>
      </c>
      <c r="AZ43" s="60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G43" s="2" t="s">
        <v>159</v>
      </c>
      <c r="BH43" s="2">
        <f>($AR$39+$AR$5)/180*PI()</f>
        <v>0.50577060129076601</v>
      </c>
      <c r="BI43" s="2" t="s">
        <v>155</v>
      </c>
      <c r="BJ43" s="2"/>
      <c r="BK43" s="2" t="s">
        <v>159</v>
      </c>
      <c r="BL43" s="2">
        <f>($AR$40+$AR$5)/180*PI()</f>
        <v>0.47991791174559995</v>
      </c>
      <c r="BM43" s="2" t="s">
        <v>155</v>
      </c>
      <c r="BO43" s="2">
        <v>5</v>
      </c>
      <c r="BP43" s="2">
        <f t="shared" si="35"/>
        <v>0.38091810924776243</v>
      </c>
      <c r="BQ43" s="2">
        <v>-3.2683673263310835E-2</v>
      </c>
      <c r="BR43" s="2">
        <f t="shared" si="36"/>
        <v>0.55566920060369462</v>
      </c>
      <c r="BS43" s="2">
        <v>0.45389466001754153</v>
      </c>
      <c r="BT43" s="2">
        <f t="shared" si="27"/>
        <v>0.4682936549257285</v>
      </c>
      <c r="BU43" s="2">
        <v>0.22390147910425487</v>
      </c>
      <c r="BV43" s="2">
        <f t="shared" si="28"/>
        <v>-7.3179227862154844E-3</v>
      </c>
      <c r="BW43" s="2">
        <f t="shared" si="29"/>
        <v>0.10162768573545045</v>
      </c>
      <c r="BX43" s="2">
        <f t="shared" si="30"/>
        <v>0.1747510913559322</v>
      </c>
      <c r="BZ43" s="2">
        <v>5</v>
      </c>
      <c r="CA43" s="2">
        <f t="shared" si="37"/>
        <v>0.20616701789183017</v>
      </c>
      <c r="CB43" s="2">
        <v>-0.37189751000056021</v>
      </c>
      <c r="CC43" s="2">
        <f t="shared" si="38"/>
        <v>0.38091810924776243</v>
      </c>
      <c r="CD43" s="2">
        <v>7.6464448055292983E-2</v>
      </c>
      <c r="CE43" s="2">
        <f t="shared" si="31"/>
        <v>0.2935425635697963</v>
      </c>
      <c r="CF43" s="2">
        <v>-0.16068436023504951</v>
      </c>
      <c r="CG43" s="2">
        <f t="shared" si="32"/>
        <v>5.9758113467447943E-2</v>
      </c>
      <c r="CH43" s="2">
        <f t="shared" si="33"/>
        <v>-1.2286640916490928E-2</v>
      </c>
      <c r="CI43" s="2">
        <f t="shared" si="34"/>
        <v>0.17475109135593225</v>
      </c>
    </row>
    <row r="44" spans="2:87" x14ac:dyDescent="0.2">
      <c r="B44" s="52" t="s">
        <v>248</v>
      </c>
      <c r="C44" s="52"/>
      <c r="D44" s="52"/>
      <c r="J44" s="19" t="s">
        <v>81</v>
      </c>
      <c r="K44" s="6">
        <f>ROUND(SUM(K16:K19), 2)</f>
        <v>347.57</v>
      </c>
      <c r="L44" s="6" t="s">
        <v>7</v>
      </c>
      <c r="AF44" s="2">
        <v>40</v>
      </c>
      <c r="AG44" s="2">
        <f t="shared" si="25"/>
        <v>2318.5621201992035</v>
      </c>
      <c r="AH44" s="2">
        <v>-3.1126244493862032E-5</v>
      </c>
      <c r="AI44" s="2">
        <f t="shared" si="26"/>
        <v>2318.5621202073889</v>
      </c>
      <c r="AJ44" s="2">
        <v>1.0855630125661264E-4</v>
      </c>
      <c r="AK44" s="5">
        <f t="shared" si="17"/>
        <v>2318.5621202032962</v>
      </c>
      <c r="AL44" s="2">
        <v>3.8715029177183169E-5</v>
      </c>
      <c r="AM44" s="2">
        <f t="shared" si="18"/>
        <v>-1.2050534637560055E-9</v>
      </c>
      <c r="AN44" s="2">
        <f t="shared" si="19"/>
        <v>4.2027603705168446E-9</v>
      </c>
      <c r="AO44" s="2">
        <f t="shared" si="20"/>
        <v>8.1854523159563541E-9</v>
      </c>
      <c r="AQ44" s="62" t="s">
        <v>209</v>
      </c>
      <c r="AR44" s="62"/>
      <c r="AS44" s="62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G44" s="2" t="s">
        <v>28</v>
      </c>
      <c r="BH44" s="2">
        <f>BH43-BH42</f>
        <v>0.18159212690420024</v>
      </c>
      <c r="BI44" s="2" t="s">
        <v>155</v>
      </c>
      <c r="BJ44" s="2"/>
      <c r="BK44" s="2" t="s">
        <v>28</v>
      </c>
      <c r="BL44" s="2">
        <f>BL43-BL42</f>
        <v>0.17446097851574133</v>
      </c>
      <c r="BM44" s="2" t="s">
        <v>155</v>
      </c>
      <c r="BO44" s="2">
        <v>6</v>
      </c>
      <c r="BP44" s="2">
        <f t="shared" si="35"/>
        <v>0.38091810924776243</v>
      </c>
      <c r="BQ44" s="2">
        <v>-3.2683673263310835E-2</v>
      </c>
      <c r="BR44" s="2">
        <f t="shared" si="36"/>
        <v>0.4682936549257285</v>
      </c>
      <c r="BS44" s="2">
        <v>0.2239014769258123</v>
      </c>
      <c r="BT44" s="2">
        <f t="shared" si="27"/>
        <v>0.42460588208674543</v>
      </c>
      <c r="BU44" s="2">
        <v>9.8043314979277915E-2</v>
      </c>
      <c r="BV44" s="2">
        <f t="shared" si="28"/>
        <v>-3.2044156724345884E-3</v>
      </c>
      <c r="BW44" s="2">
        <f t="shared" si="29"/>
        <v>2.195204302656294E-2</v>
      </c>
      <c r="BX44" s="2">
        <f t="shared" si="30"/>
        <v>8.7375545677966071E-2</v>
      </c>
      <c r="BZ44" s="2">
        <v>6</v>
      </c>
      <c r="CA44" s="2">
        <f t="shared" si="37"/>
        <v>0.2935425635697963</v>
      </c>
      <c r="CB44" s="2">
        <v>-0.1606843582679664</v>
      </c>
      <c r="CC44" s="2">
        <f t="shared" si="38"/>
        <v>0.38091810924776243</v>
      </c>
      <c r="CD44" s="2">
        <v>7.6464448055292983E-2</v>
      </c>
      <c r="CE44" s="2">
        <f t="shared" si="31"/>
        <v>0.33723033640877936</v>
      </c>
      <c r="CF44" s="2">
        <v>-4.1909184186738023E-2</v>
      </c>
      <c r="CG44" s="2">
        <f t="shared" si="32"/>
        <v>6.7341503665800046E-3</v>
      </c>
      <c r="CH44" s="2">
        <f t="shared" si="33"/>
        <v>-3.2045626372865358E-3</v>
      </c>
      <c r="CI44" s="2">
        <f t="shared" si="34"/>
        <v>8.7375545677966127E-2</v>
      </c>
    </row>
    <row r="45" spans="2:87" x14ac:dyDescent="0.2">
      <c r="B45" s="6" t="s">
        <v>113</v>
      </c>
      <c r="C45" s="17">
        <v>3</v>
      </c>
      <c r="J45" s="20" t="s">
        <v>72</v>
      </c>
      <c r="K45" s="6">
        <f>ROUND(SUM(K20:K25), 2)</f>
        <v>730.28</v>
      </c>
      <c r="L45" s="6" t="s">
        <v>7</v>
      </c>
      <c r="AQ45" s="2" t="s">
        <v>19</v>
      </c>
      <c r="AR45" s="2">
        <f>$C$64</f>
        <v>1.0397562309141399</v>
      </c>
      <c r="AS45" s="26" t="s">
        <v>16</v>
      </c>
      <c r="AU45" s="33" t="s">
        <v>164</v>
      </c>
      <c r="AV45" s="34">
        <v>-1.4875000000000001E-4</v>
      </c>
      <c r="AW45" s="34">
        <v>-2.818766E-2</v>
      </c>
      <c r="AX45" s="34">
        <v>-0.15965826999999999</v>
      </c>
      <c r="AY45" s="34">
        <v>-4.4100000000000001E-6</v>
      </c>
      <c r="AZ45" s="34">
        <v>3.8060999999999998E-4</v>
      </c>
      <c r="BA45" s="34">
        <v>-2.2518899999999999E-3</v>
      </c>
      <c r="BB45" s="34">
        <v>6.2865899999999999E-3</v>
      </c>
      <c r="BC45" s="34">
        <v>-2.0911000000000001E-4</v>
      </c>
      <c r="BD45" s="34">
        <v>4.150877E-2</v>
      </c>
      <c r="BE45" s="35">
        <v>-0.59881362999999999</v>
      </c>
      <c r="BG45" s="2" t="s">
        <v>168</v>
      </c>
      <c r="BH45" s="2">
        <f>BH44/PI()*180</f>
        <v>10.404462464414722</v>
      </c>
      <c r="BI45" s="2" t="s">
        <v>43</v>
      </c>
      <c r="BJ45" s="2"/>
      <c r="BK45" s="2" t="s">
        <v>168</v>
      </c>
      <c r="BL45" s="2">
        <f>BL44/PI()*180</f>
        <v>9.9958777586745082</v>
      </c>
      <c r="BM45" s="2" t="s">
        <v>43</v>
      </c>
      <c r="BO45" s="2">
        <v>7</v>
      </c>
      <c r="BP45" s="2">
        <f t="shared" si="35"/>
        <v>0.38091810924776243</v>
      </c>
      <c r="BQ45" s="2">
        <v>-3.2683673263310835E-2</v>
      </c>
      <c r="BR45" s="2">
        <f t="shared" si="36"/>
        <v>0.42460588208674543</v>
      </c>
      <c r="BS45" s="2">
        <v>9.8043312702294994E-2</v>
      </c>
      <c r="BT45" s="2">
        <f t="shared" si="27"/>
        <v>0.4027619956672539</v>
      </c>
      <c r="BU45" s="2">
        <v>3.3095753753979884E-2</v>
      </c>
      <c r="BV45" s="2">
        <f t="shared" si="28"/>
        <v>-1.0816908020980715E-3</v>
      </c>
      <c r="BW45" s="2">
        <f t="shared" si="29"/>
        <v>3.2448173344196032E-3</v>
      </c>
      <c r="BX45" s="2">
        <f t="shared" si="30"/>
        <v>4.3687772838983008E-2</v>
      </c>
      <c r="BZ45" s="2">
        <v>7</v>
      </c>
      <c r="CA45" s="2">
        <f t="shared" si="37"/>
        <v>0.33723033640877936</v>
      </c>
      <c r="CB45" s="2">
        <v>-4.190918226275954E-2</v>
      </c>
      <c r="CC45" s="2">
        <f t="shared" si="38"/>
        <v>0.38091810924776243</v>
      </c>
      <c r="CD45" s="2">
        <v>7.6464448055292983E-2</v>
      </c>
      <c r="CE45" s="2">
        <f t="shared" si="31"/>
        <v>0.35907422282827089</v>
      </c>
      <c r="CF45" s="2">
        <v>1.7573229489309977E-2</v>
      </c>
      <c r="CG45" s="2">
        <f t="shared" si="32"/>
        <v>-7.3647967761279254E-4</v>
      </c>
      <c r="CH45" s="2">
        <f t="shared" si="33"/>
        <v>1.3437272934490856E-3</v>
      </c>
      <c r="CI45" s="2">
        <f t="shared" si="34"/>
        <v>4.3687772838983063E-2</v>
      </c>
    </row>
    <row r="46" spans="2:87" x14ac:dyDescent="0.2">
      <c r="J46" s="15" t="s">
        <v>73</v>
      </c>
      <c r="K46" s="6">
        <f>ROUND(SUM(K26:K29), 2)</f>
        <v>111.9</v>
      </c>
      <c r="L46" s="6" t="s">
        <v>7</v>
      </c>
      <c r="AQ46" s="2" t="s">
        <v>31</v>
      </c>
      <c r="AR46" s="36">
        <f>$C$65</f>
        <v>1.7363179204150701E-5</v>
      </c>
      <c r="AS46" s="26" t="s">
        <v>210</v>
      </c>
      <c r="BG46" s="2" t="s">
        <v>171</v>
      </c>
      <c r="BH46" s="2">
        <f xml:space="preserve"> $AR$8*$AR$31 / (2*PI()*$AR$23)</f>
        <v>0.23280121002319468</v>
      </c>
      <c r="BI46" s="2"/>
      <c r="BJ46" s="2"/>
      <c r="BK46" s="2" t="s">
        <v>171</v>
      </c>
      <c r="BL46" s="2">
        <f xml:space="preserve"> $AR$8*$AR$32 / (2*PI()*$AR$24)</f>
        <v>0.19491152470330353</v>
      </c>
      <c r="BM46" s="2"/>
      <c r="BO46" s="2">
        <v>8</v>
      </c>
      <c r="BP46" s="2">
        <f t="shared" si="35"/>
        <v>0.38091810924776243</v>
      </c>
      <c r="BQ46" s="2">
        <v>-3.2683673263310835E-2</v>
      </c>
      <c r="BR46" s="2">
        <f t="shared" si="36"/>
        <v>0.4027619956672539</v>
      </c>
      <c r="BS46" s="2">
        <v>3.309575143241586E-2</v>
      </c>
      <c r="BT46" s="2">
        <f t="shared" si="27"/>
        <v>0.39184005245750819</v>
      </c>
      <c r="BU46" s="2">
        <v>2.7906048823221619E-4</v>
      </c>
      <c r="BV46" s="2">
        <f t="shared" si="28"/>
        <v>-9.1207218180817522E-6</v>
      </c>
      <c r="BW46" s="2">
        <f t="shared" si="29"/>
        <v>9.2357165531420378E-6</v>
      </c>
      <c r="BX46" s="2">
        <f t="shared" si="30"/>
        <v>2.1843886419491476E-2</v>
      </c>
      <c r="BZ46" s="2">
        <v>8</v>
      </c>
      <c r="CA46" s="2">
        <f t="shared" si="37"/>
        <v>0.33723033640877936</v>
      </c>
      <c r="CB46" s="2">
        <v>-4.190918226275954E-2</v>
      </c>
      <c r="CC46" s="2">
        <f t="shared" si="38"/>
        <v>0.35907422282827089</v>
      </c>
      <c r="CD46" s="2">
        <v>1.7573231387304121E-2</v>
      </c>
      <c r="CE46" s="2">
        <f t="shared" si="31"/>
        <v>0.34815227961852513</v>
      </c>
      <c r="CF46" s="2">
        <v>-1.2119721265985019E-2</v>
      </c>
      <c r="CG46" s="2">
        <f t="shared" si="32"/>
        <v>5.0792760751000891E-4</v>
      </c>
      <c r="CH46" s="2">
        <f t="shared" si="33"/>
        <v>-2.1298266615678516E-4</v>
      </c>
      <c r="CI46" s="2">
        <f t="shared" si="34"/>
        <v>2.1843886419491532E-2</v>
      </c>
    </row>
    <row r="47" spans="2:87" x14ac:dyDescent="0.2">
      <c r="B47" s="52" t="s">
        <v>249</v>
      </c>
      <c r="C47" s="52"/>
      <c r="D47" s="52"/>
      <c r="J47" s="10" t="s">
        <v>62</v>
      </c>
      <c r="K47" s="10">
        <f>SUM(K42:K46)</f>
        <v>2318.56</v>
      </c>
      <c r="L47" s="6" t="s">
        <v>7</v>
      </c>
      <c r="AF47" s="60" t="s">
        <v>222</v>
      </c>
      <c r="AG47" s="60"/>
      <c r="AH47" s="60"/>
      <c r="AI47" s="60"/>
      <c r="AU47" s="23" t="s">
        <v>143</v>
      </c>
      <c r="AV47" s="59" t="s">
        <v>218</v>
      </c>
      <c r="AW47" s="59"/>
      <c r="AX47" s="24"/>
      <c r="AY47" s="24"/>
      <c r="AZ47" s="24"/>
      <c r="BA47" s="24"/>
      <c r="BB47" s="24"/>
      <c r="BC47" s="24"/>
      <c r="BD47" s="25"/>
      <c r="BG47" s="2" t="s">
        <v>175</v>
      </c>
      <c r="BH47" s="2">
        <f>IF(-$AR$8*($AV$3-$AR$23)/(2*$AR$23*SIN(BH42))&gt;500, 1, 2*ACOS(MIN(1, EXP(-$AR$8*($AV$3-$AR$23)/(2*$AR$23*SIN(BH42)))))/PI() )</f>
        <v>0.87798588429203661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0.78170994046054898</v>
      </c>
      <c r="BM47" s="2"/>
      <c r="BO47" s="2">
        <v>9</v>
      </c>
      <c r="BP47" s="2">
        <f t="shared" si="35"/>
        <v>0.38091810924776243</v>
      </c>
      <c r="BQ47" s="2">
        <v>-3.2683673263310835E-2</v>
      </c>
      <c r="BR47" s="2">
        <f t="shared" si="36"/>
        <v>0.39184005245750819</v>
      </c>
      <c r="BS47" s="2">
        <v>2.7905814571477228E-4</v>
      </c>
      <c r="BT47" s="2">
        <f t="shared" si="27"/>
        <v>0.38637908085263528</v>
      </c>
      <c r="BU47" s="2">
        <v>-1.6188423613494207E-2</v>
      </c>
      <c r="BV47" s="2">
        <f t="shared" si="28"/>
        <v>5.2909714803151041E-4</v>
      </c>
      <c r="BW47" s="2">
        <f t="shared" si="29"/>
        <v>-4.517511475626927E-6</v>
      </c>
      <c r="BX47" s="2">
        <f t="shared" si="30"/>
        <v>1.0921943209745766E-2</v>
      </c>
      <c r="BZ47" s="2">
        <v>9</v>
      </c>
      <c r="CA47" s="2">
        <f t="shared" si="37"/>
        <v>0.34815227961852513</v>
      </c>
      <c r="CB47" s="2">
        <v>-1.211971935464666E-2</v>
      </c>
      <c r="CC47" s="2">
        <f t="shared" si="38"/>
        <v>0.35907422282827089</v>
      </c>
      <c r="CD47" s="2">
        <v>1.7573231387304121E-2</v>
      </c>
      <c r="CE47" s="2">
        <f t="shared" si="31"/>
        <v>0.35361325122339804</v>
      </c>
      <c r="CF47" s="2">
        <v>2.7422938150798992E-3</v>
      </c>
      <c r="CG47" s="2">
        <f t="shared" si="32"/>
        <v>-3.3235831426751681E-5</v>
      </c>
      <c r="CH47" s="2">
        <f t="shared" si="33"/>
        <v>4.8190963744372051E-5</v>
      </c>
      <c r="CI47" s="2">
        <f t="shared" si="34"/>
        <v>1.0921943209745766E-2</v>
      </c>
    </row>
    <row r="48" spans="2:87" x14ac:dyDescent="0.2">
      <c r="B48" s="6" t="s">
        <v>250</v>
      </c>
      <c r="C48" s="17">
        <v>4.3036300000000001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U48" s="27"/>
      <c r="AV48" s="60" t="s">
        <v>148</v>
      </c>
      <c r="AW48" s="60"/>
      <c r="AX48" s="60"/>
      <c r="AY48" s="60" t="s">
        <v>149</v>
      </c>
      <c r="AZ48" s="60"/>
      <c r="BA48" s="60"/>
      <c r="BB48" s="60" t="s">
        <v>150</v>
      </c>
      <c r="BC48" s="60"/>
      <c r="BD48" s="64"/>
      <c r="BG48" s="2" t="s">
        <v>180</v>
      </c>
      <c r="BH48" s="2">
        <f>IF(-$AR$8*($AR$23-$AR$10)/(2*$AR$23*SIN(BH42))&gt;500, 1, 2*ACOS(MIN(1, EXP(-$AR$8*($AR$23-$AR$10)/(2*$AR$23*SIN(BH42)))))/PI() )</f>
        <v>0.92431331352673152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0.94205419571468507</v>
      </c>
      <c r="BM48" s="2"/>
      <c r="BO48" s="2">
        <v>10</v>
      </c>
      <c r="BP48" s="2">
        <f t="shared" si="35"/>
        <v>0.38637908085263528</v>
      </c>
      <c r="BQ48" s="2">
        <v>-1.6188423613494207E-2</v>
      </c>
      <c r="BR48" s="2">
        <f t="shared" si="36"/>
        <v>0.39184005245750819</v>
      </c>
      <c r="BS48" s="2">
        <v>2.7905814571477228E-4</v>
      </c>
      <c r="BT48" s="2">
        <f t="shared" si="27"/>
        <v>0.38910956665507174</v>
      </c>
      <c r="BU48" s="2">
        <v>-7.9506403028658662E-3</v>
      </c>
      <c r="BV48" s="2">
        <f t="shared" si="28"/>
        <v>1.2870833322131252E-4</v>
      </c>
      <c r="BW48" s="2">
        <f t="shared" si="29"/>
        <v>-2.2186909401628842E-6</v>
      </c>
      <c r="BX48" s="2">
        <f t="shared" si="30"/>
        <v>5.4609716048729107E-3</v>
      </c>
      <c r="BZ48" s="2">
        <v>10</v>
      </c>
      <c r="CA48" s="2">
        <f t="shared" si="37"/>
        <v>0.34815227961852513</v>
      </c>
      <c r="CB48" s="2">
        <v>-1.211971935464666E-2</v>
      </c>
      <c r="CC48" s="2">
        <f t="shared" si="38"/>
        <v>0.35361325122339804</v>
      </c>
      <c r="CD48" s="2">
        <v>2.7422957198326992E-3</v>
      </c>
      <c r="CE48" s="2">
        <f t="shared" si="31"/>
        <v>0.35088276542096158</v>
      </c>
      <c r="CF48" s="2">
        <v>-4.6852452431103767E-3</v>
      </c>
      <c r="CG48" s="2">
        <f t="shared" si="32"/>
        <v>5.6783857454191032E-5</v>
      </c>
      <c r="CH48" s="2">
        <f t="shared" si="33"/>
        <v>-1.2848327976548099E-5</v>
      </c>
      <c r="CI48" s="2">
        <f t="shared" si="34"/>
        <v>5.4609716048729107E-3</v>
      </c>
    </row>
    <row r="49" spans="2:87" x14ac:dyDescent="0.2">
      <c r="B49" s="6" t="s">
        <v>251</v>
      </c>
      <c r="C49" s="17">
        <f>39.5112*0.3048^2</f>
        <v>3.6707105940480003</v>
      </c>
      <c r="D49" s="6" t="s">
        <v>11</v>
      </c>
      <c r="AF49" s="2">
        <v>0</v>
      </c>
      <c r="AH49" s="2">
        <f>$G$11</f>
        <v>-1.5185131451289635E-4</v>
      </c>
      <c r="AJ49" s="2">
        <f>$G$11</f>
        <v>-1.5185131451289635E-4</v>
      </c>
      <c r="AL49" s="2">
        <f>$G$11</f>
        <v>-1.5185131451289635E-4</v>
      </c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48" t="s">
        <v>156</v>
      </c>
      <c r="BC49" s="34">
        <v>19.25</v>
      </c>
      <c r="BD49" s="35">
        <v>180</v>
      </c>
      <c r="BG49" s="2" t="s">
        <v>183</v>
      </c>
      <c r="BH49" s="2">
        <f>IF(BH42=0,1,BH47*BH48)</f>
        <v>0.81153404193966983</v>
      </c>
      <c r="BI49" s="2"/>
      <c r="BJ49" s="2"/>
      <c r="BK49" s="2" t="s">
        <v>183</v>
      </c>
      <c r="BL49" s="2">
        <f>IF(BL42=0,1,BL47*BL48)</f>
        <v>0.73641312924273683</v>
      </c>
      <c r="BM49" s="2"/>
      <c r="BO49" s="2">
        <v>11</v>
      </c>
      <c r="BP49" s="2">
        <f t="shared" si="35"/>
        <v>0.38910956665507174</v>
      </c>
      <c r="BQ49" s="2">
        <v>-7.9506403028658662E-3</v>
      </c>
      <c r="BR49" s="2">
        <f t="shared" si="36"/>
        <v>0.39184005245750819</v>
      </c>
      <c r="BS49" s="2">
        <v>2.7905814571477228E-4</v>
      </c>
      <c r="BT49" s="2">
        <f t="shared" si="27"/>
        <v>0.39047480955628999</v>
      </c>
      <c r="BU49" s="2">
        <v>-3.8347104272160384E-3</v>
      </c>
      <c r="BV49" s="2">
        <f t="shared" si="28"/>
        <v>3.048840327244382E-5</v>
      </c>
      <c r="BW49" s="2">
        <f t="shared" si="29"/>
        <v>-1.07010718117201E-6</v>
      </c>
      <c r="BX49" s="2">
        <f t="shared" si="30"/>
        <v>2.7304858024364553E-3</v>
      </c>
      <c r="BZ49" s="2">
        <v>11</v>
      </c>
      <c r="CA49" s="2">
        <f t="shared" si="37"/>
        <v>0.35088276542096158</v>
      </c>
      <c r="CB49" s="2">
        <v>-4.6852433350429781E-3</v>
      </c>
      <c r="CC49" s="2">
        <f t="shared" si="38"/>
        <v>0.35361325122339804</v>
      </c>
      <c r="CD49" s="2">
        <v>2.7422957198326992E-3</v>
      </c>
      <c r="CE49" s="2">
        <f t="shared" si="31"/>
        <v>0.35224800832217984</v>
      </c>
      <c r="CF49" s="2">
        <v>-9.7055545030240442E-4</v>
      </c>
      <c r="CG49" s="2">
        <f t="shared" si="32"/>
        <v>4.547288454818977E-6</v>
      </c>
      <c r="CH49" s="2">
        <f t="shared" si="33"/>
        <v>-2.6615500572245815E-6</v>
      </c>
      <c r="CI49" s="2">
        <f t="shared" si="34"/>
        <v>2.7304858024364553E-3</v>
      </c>
    </row>
    <row r="50" spans="2:87" x14ac:dyDescent="0.2">
      <c r="B50" s="6" t="s">
        <v>252</v>
      </c>
      <c r="C50" s="17">
        <f>0.15*3.7875*0.3048</f>
        <v>0.1731645</v>
      </c>
      <c r="D50" s="6" t="s">
        <v>8</v>
      </c>
      <c r="AF50" s="2">
        <v>1</v>
      </c>
      <c r="AG50" s="3">
        <v>50</v>
      </c>
      <c r="AH50" s="2">
        <f t="dataTable" ref="AH50:AH79" dt2D="0" dtr="0" r1="C6" ca="1"/>
        <v>2522.0347157997626</v>
      </c>
      <c r="AI50" s="3">
        <v>1500</v>
      </c>
      <c r="AJ50" s="2">
        <f t="dataTable" ref="AJ50:AJ79" dt2D="0" dtr="0" r1="C6" ca="1"/>
        <v>-15207.305176780414</v>
      </c>
      <c r="AK50" s="2">
        <f t="shared" ref="AK50:AK79" si="39">(AG50+AI50)/2</f>
        <v>775</v>
      </c>
      <c r="AL50" s="2">
        <f t="dataTable" ref="AL50:AL79" dt2D="0" dtr="0" r1="C6" ca="1"/>
        <v>-2196.2573523868973</v>
      </c>
      <c r="AM50" s="2">
        <f t="shared" ref="AM50:AM79" si="40">AH50*AL50</f>
        <v>-5539037.2875502277</v>
      </c>
      <c r="AN50" s="2">
        <f t="shared" ref="AN50:AN79" si="41">AJ50*AL50</f>
        <v>33399155.804495309</v>
      </c>
      <c r="AO50" s="2">
        <f t="shared" ref="AO50:AO79" si="42">AI50-AG50</f>
        <v>1450</v>
      </c>
      <c r="AU50" s="61" t="s">
        <v>160</v>
      </c>
      <c r="AV50" s="47">
        <v>-8.4939000000000004E-12</v>
      </c>
      <c r="AW50" s="24">
        <v>-4.8275424E-9</v>
      </c>
      <c r="AX50" s="25">
        <v>-1.06847729E-6</v>
      </c>
      <c r="AY50" s="47">
        <v>3.7013959E-9</v>
      </c>
      <c r="AZ50" s="24">
        <v>-1.9300005930000001E-7</v>
      </c>
      <c r="BA50" s="25">
        <v>-1.9024789776000001E-6</v>
      </c>
      <c r="BB50" s="47">
        <v>1.0310799999999999E-11</v>
      </c>
      <c r="BC50" s="24">
        <v>-5.7492829999999999E-9</v>
      </c>
      <c r="BD50" s="25">
        <v>1.2571656448000001E-6</v>
      </c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1.2975621868930123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1.2624099551907708</v>
      </c>
      <c r="BM50" s="2"/>
      <c r="BO50" s="2">
        <v>12</v>
      </c>
      <c r="BP50" s="2">
        <f t="shared" si="35"/>
        <v>0.39047480955628999</v>
      </c>
      <c r="BQ50" s="2">
        <v>-3.8347104272160384E-3</v>
      </c>
      <c r="BR50" s="2">
        <f t="shared" si="36"/>
        <v>0.39184005245750819</v>
      </c>
      <c r="BS50" s="2">
        <v>2.7905814571477228E-4</v>
      </c>
      <c r="BT50" s="2">
        <f t="shared" si="27"/>
        <v>0.39115743100689909</v>
      </c>
      <c r="BU50" s="2">
        <v>-1.7775465857159528E-3</v>
      </c>
      <c r="BV50" s="2">
        <f t="shared" si="28"/>
        <v>6.8163764271072316E-6</v>
      </c>
      <c r="BW50" s="2">
        <f t="shared" si="29"/>
        <v>-4.9603885413151829E-7</v>
      </c>
      <c r="BX50" s="2">
        <f t="shared" si="30"/>
        <v>1.3652429012181999E-3</v>
      </c>
      <c r="BZ50" s="2">
        <v>12</v>
      </c>
      <c r="CA50" s="2">
        <f t="shared" si="37"/>
        <v>0.35224800832217984</v>
      </c>
      <c r="CB50" s="2">
        <v>-9.7055354388687898E-4</v>
      </c>
      <c r="CC50" s="2">
        <f t="shared" si="38"/>
        <v>0.35361325122339804</v>
      </c>
      <c r="CD50" s="2">
        <v>2.7422957198326992E-3</v>
      </c>
      <c r="CE50" s="2">
        <f t="shared" si="31"/>
        <v>0.35293062977278894</v>
      </c>
      <c r="CF50" s="2">
        <v>8.8610579473015483E-4</v>
      </c>
      <c r="CG50" s="2">
        <f t="shared" si="32"/>
        <v>-8.6001311933405113E-7</v>
      </c>
      <c r="CH50" s="2">
        <f t="shared" si="33"/>
        <v>2.4299641282074561E-6</v>
      </c>
      <c r="CI50" s="2">
        <f t="shared" si="34"/>
        <v>1.3652429012181999E-3</v>
      </c>
    </row>
    <row r="51" spans="2:87" x14ac:dyDescent="0.2">
      <c r="AF51" s="2">
        <v>2</v>
      </c>
      <c r="AG51" s="2">
        <f t="shared" ref="AG51:AG79" si="43">IF(AM50&gt;0, AK50, AG50)</f>
        <v>50</v>
      </c>
      <c r="AH51" s="2">
        <v>2522.0347157997626</v>
      </c>
      <c r="AI51" s="2">
        <f t="shared" ref="AI51:AI79" si="44">IF(AN50&gt;0, AK50, AI50)</f>
        <v>775</v>
      </c>
      <c r="AJ51" s="2">
        <v>-2196.2573523868973</v>
      </c>
      <c r="AK51" s="2">
        <f t="shared" si="39"/>
        <v>412.5</v>
      </c>
      <c r="AL51" s="2">
        <v>1199.4831512322899</v>
      </c>
      <c r="AM51" s="2">
        <f t="shared" si="40"/>
        <v>3025138.1484247316</v>
      </c>
      <c r="AN51" s="2">
        <f t="shared" si="41"/>
        <v>-2634373.6899581212</v>
      </c>
      <c r="AO51" s="2">
        <f t="shared" si="42"/>
        <v>725</v>
      </c>
      <c r="AU51" s="61"/>
      <c r="AV51" s="27">
        <v>-1.1499587328259999E-4</v>
      </c>
      <c r="AW51" s="2">
        <v>-6.1271552300758998E-3</v>
      </c>
      <c r="AX51" s="31">
        <v>-0.159010230133804</v>
      </c>
      <c r="AY51" s="27">
        <v>-7.5438686490999997E-5</v>
      </c>
      <c r="AZ51" s="2">
        <v>3.1904202837819998E-4</v>
      </c>
      <c r="BA51" s="31">
        <v>0.119153856516412</v>
      </c>
      <c r="BB51" s="27">
        <v>-1.3598505110960001E-4</v>
      </c>
      <c r="BC51" s="2">
        <v>7.5612407541648004E-3</v>
      </c>
      <c r="BD51" s="31">
        <v>-0.21971859837524699</v>
      </c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4.7928267608356959E-2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4.7911437779839777E-2</v>
      </c>
      <c r="BM51" s="2"/>
      <c r="BO51" s="2">
        <v>13</v>
      </c>
      <c r="BP51" s="2">
        <f t="shared" si="35"/>
        <v>0.39115743100689909</v>
      </c>
      <c r="BQ51" s="2">
        <v>-1.7775465857159528E-3</v>
      </c>
      <c r="BR51" s="2">
        <f t="shared" si="36"/>
        <v>0.39184005245750819</v>
      </c>
      <c r="BS51" s="2">
        <v>2.7905814571477228E-4</v>
      </c>
      <c r="BT51" s="2">
        <f t="shared" si="27"/>
        <v>0.39149874173220367</v>
      </c>
      <c r="BU51" s="2">
        <v>-7.4917239673576164E-4</v>
      </c>
      <c r="BV51" s="2">
        <f t="shared" si="28"/>
        <v>1.3316888359302903E-6</v>
      </c>
      <c r="BW51" s="2">
        <f t="shared" si="29"/>
        <v>-2.0906265985377335E-7</v>
      </c>
      <c r="BX51" s="2">
        <f t="shared" si="30"/>
        <v>6.8262145060909996E-4</v>
      </c>
      <c r="BZ51" s="2">
        <v>13</v>
      </c>
      <c r="CA51" s="2">
        <f t="shared" si="37"/>
        <v>0.35224800832217984</v>
      </c>
      <c r="CB51" s="2">
        <v>-9.7055354388687898E-4</v>
      </c>
      <c r="CC51" s="2">
        <f t="shared" si="38"/>
        <v>0.35293062977278894</v>
      </c>
      <c r="CD51" s="2">
        <v>8.861077003156706E-4</v>
      </c>
      <c r="CE51" s="2">
        <f t="shared" si="31"/>
        <v>0.35258931904748436</v>
      </c>
      <c r="CF51" s="2">
        <v>-4.2166488738483443E-5</v>
      </c>
      <c r="CG51" s="2">
        <f t="shared" si="32"/>
        <v>4.0924835078401278E-8</v>
      </c>
      <c r="CH51" s="2">
        <f t="shared" si="33"/>
        <v>-3.7364050366444187E-8</v>
      </c>
      <c r="CI51" s="2">
        <f t="shared" si="34"/>
        <v>6.8262145060909996E-4</v>
      </c>
    </row>
    <row r="52" spans="2:87" x14ac:dyDescent="0.2">
      <c r="B52" s="52" t="s">
        <v>253</v>
      </c>
      <c r="C52" s="52"/>
      <c r="D52" s="52"/>
      <c r="AF52" s="2">
        <v>3</v>
      </c>
      <c r="AG52" s="2">
        <f t="shared" si="43"/>
        <v>412.5</v>
      </c>
      <c r="AH52" s="2">
        <v>1199.4831512322899</v>
      </c>
      <c r="AI52" s="2">
        <f t="shared" si="44"/>
        <v>775</v>
      </c>
      <c r="AJ52" s="2">
        <v>-2196.2573523868973</v>
      </c>
      <c r="AK52" s="2">
        <f t="shared" si="39"/>
        <v>593.75</v>
      </c>
      <c r="AL52" s="2">
        <v>-239.23848319583931</v>
      </c>
      <c r="AM52" s="2">
        <f t="shared" si="40"/>
        <v>-286962.52971977857</v>
      </c>
      <c r="AN52" s="2">
        <f t="shared" si="41"/>
        <v>525429.27769275126</v>
      </c>
      <c r="AO52" s="2">
        <f t="shared" si="42"/>
        <v>362.5</v>
      </c>
      <c r="AU52" s="61"/>
      <c r="AV52" s="56">
        <v>-2.4012358386552801</v>
      </c>
      <c r="AW52" s="57"/>
      <c r="AX52" s="58"/>
      <c r="AY52" s="56">
        <v>0.149391545914075</v>
      </c>
      <c r="AZ52" s="57"/>
      <c r="BA52" s="58"/>
      <c r="BB52" s="56">
        <v>3.65120250353774</v>
      </c>
      <c r="BC52" s="57"/>
      <c r="BD52" s="58"/>
      <c r="BG52" s="2" t="s">
        <v>190</v>
      </c>
      <c r="BH52" s="2">
        <f xml:space="preserve"> BH50*COS(BH42) - BH51*SIN(BH42)</f>
        <v>1.2147091122634617</v>
      </c>
      <c r="BI52" s="2"/>
      <c r="BJ52" s="2"/>
      <c r="BK52" s="2" t="s">
        <v>190</v>
      </c>
      <c r="BL52" s="2">
        <f xml:space="preserve"> BL50*COS(BL42) - BL51*SIN(BL42)</f>
        <v>1.1895641845111062</v>
      </c>
      <c r="BM52" s="2"/>
      <c r="BO52" s="2">
        <v>14</v>
      </c>
      <c r="BP52" s="2">
        <f t="shared" si="35"/>
        <v>0.39149874173220367</v>
      </c>
      <c r="BQ52" s="2">
        <v>-7.4917239673576164E-4</v>
      </c>
      <c r="BR52" s="2">
        <f t="shared" si="36"/>
        <v>0.39184005245750819</v>
      </c>
      <c r="BS52" s="2">
        <v>2.7905814571477228E-4</v>
      </c>
      <c r="BT52" s="2">
        <f t="shared" si="27"/>
        <v>0.39166939709485593</v>
      </c>
      <c r="BU52" s="2">
        <v>-2.3503815974969255E-4</v>
      </c>
      <c r="BV52" s="2">
        <f t="shared" si="28"/>
        <v>1.7608410146403999E-7</v>
      </c>
      <c r="BW52" s="2">
        <f t="shared" si="29"/>
        <v>-6.5589313031961627E-8</v>
      </c>
      <c r="BX52" s="2">
        <f t="shared" si="30"/>
        <v>3.4131072530452222E-4</v>
      </c>
      <c r="BZ52" s="2">
        <v>14</v>
      </c>
      <c r="CA52" s="2">
        <f t="shared" si="37"/>
        <v>0.35258931904748436</v>
      </c>
      <c r="CB52" s="2">
        <v>-4.2164582737626299E-5</v>
      </c>
      <c r="CC52" s="2">
        <f t="shared" si="38"/>
        <v>0.35293062977278894</v>
      </c>
      <c r="CD52" s="2">
        <v>8.861077003156706E-4</v>
      </c>
      <c r="CE52" s="2">
        <f t="shared" si="31"/>
        <v>0.35275997441013662</v>
      </c>
      <c r="CF52" s="2">
        <v>4.2198433977775479E-4</v>
      </c>
      <c r="CG52" s="2">
        <f t="shared" si="32"/>
        <v>-1.7792793608541751E-8</v>
      </c>
      <c r="CH52" s="2">
        <f t="shared" si="33"/>
        <v>3.7392357288969285E-7</v>
      </c>
      <c r="CI52" s="2">
        <f t="shared" si="34"/>
        <v>3.4131072530457773E-4</v>
      </c>
    </row>
    <row r="53" spans="2:87" x14ac:dyDescent="0.2">
      <c r="B53" s="6" t="s">
        <v>254</v>
      </c>
      <c r="C53" s="17">
        <v>1.1798999999999999</v>
      </c>
      <c r="AF53" s="2">
        <v>4</v>
      </c>
      <c r="AG53" s="2">
        <f t="shared" si="43"/>
        <v>412.5</v>
      </c>
      <c r="AH53" s="2">
        <v>1199.4831512322899</v>
      </c>
      <c r="AI53" s="2">
        <f t="shared" si="44"/>
        <v>593.75</v>
      </c>
      <c r="AJ53" s="2">
        <v>-239.23848319583931</v>
      </c>
      <c r="AK53" s="2">
        <f t="shared" si="39"/>
        <v>503.125</v>
      </c>
      <c r="AL53" s="2">
        <v>544.90948836359121</v>
      </c>
      <c r="AM53" s="2">
        <f t="shared" si="40"/>
        <v>653609.75023873511</v>
      </c>
      <c r="AN53" s="2">
        <f t="shared" si="41"/>
        <v>-130363.31947512641</v>
      </c>
      <c r="AO53" s="2">
        <f t="shared" si="42"/>
        <v>181.25</v>
      </c>
      <c r="AU53" s="61" t="s">
        <v>164</v>
      </c>
      <c r="AV53" s="47">
        <v>-1.0006E-12</v>
      </c>
      <c r="AW53" s="24">
        <v>-5.4488110000000002E-10</v>
      </c>
      <c r="AX53" s="25">
        <v>-8.9150928300000004E-8</v>
      </c>
      <c r="AY53" s="2">
        <v>-7.9540000000000002E-13</v>
      </c>
      <c r="AZ53" s="2">
        <v>4.1436390000000001E-10</v>
      </c>
      <c r="BA53" s="2">
        <v>-5.42459956E-8</v>
      </c>
      <c r="BB53" s="47">
        <v>5.9965836000000003E-9</v>
      </c>
      <c r="BC53" s="24">
        <v>-6.3543269799999999E-8</v>
      </c>
      <c r="BD53" s="25">
        <v>-1.1662640125E-6</v>
      </c>
      <c r="BG53" s="2" t="s">
        <v>192</v>
      </c>
      <c r="BH53" s="2">
        <f xml:space="preserve"> BH50*SIN(BH42) + BH51*COS(BH42)</f>
        <v>0.4587445043535972</v>
      </c>
      <c r="BI53" s="2"/>
      <c r="BJ53" s="2"/>
      <c r="BK53" s="2" t="s">
        <v>192</v>
      </c>
      <c r="BL53" s="2">
        <f xml:space="preserve"> BL50*SIN(BL42) + BL51*COS(BL42)</f>
        <v>0.42533686856810621</v>
      </c>
      <c r="BM53" s="2"/>
      <c r="BO53" s="2">
        <v>15</v>
      </c>
      <c r="BP53" s="2">
        <f t="shared" si="35"/>
        <v>0.39166939709485593</v>
      </c>
      <c r="BQ53" s="2">
        <v>-2.3503815974969255E-4</v>
      </c>
      <c r="BR53" s="2">
        <f t="shared" si="36"/>
        <v>0.39184005245750819</v>
      </c>
      <c r="BS53" s="2">
        <v>2.7905814571477228E-4</v>
      </c>
      <c r="BT53" s="2">
        <f t="shared" si="27"/>
        <v>0.39175472477618206</v>
      </c>
      <c r="BU53" s="2">
        <v>2.2015629272689741E-5</v>
      </c>
      <c r="BV53" s="2">
        <f t="shared" si="28"/>
        <v>-5.1745129899844594E-9</v>
      </c>
      <c r="BW53" s="2">
        <f t="shared" si="29"/>
        <v>6.1436406815806597E-9</v>
      </c>
      <c r="BX53" s="2">
        <f t="shared" si="30"/>
        <v>1.7065536265226111E-4</v>
      </c>
      <c r="BZ53" s="2">
        <v>15</v>
      </c>
      <c r="CA53" s="2">
        <f t="shared" si="37"/>
        <v>0.35258931904748436</v>
      </c>
      <c r="CB53" s="2">
        <v>-4.2164582737626299E-5</v>
      </c>
      <c r="CC53" s="2">
        <f t="shared" si="38"/>
        <v>0.35275997441013662</v>
      </c>
      <c r="CD53" s="2">
        <v>4.2198624557102798E-4</v>
      </c>
      <c r="CE53" s="2">
        <f t="shared" si="31"/>
        <v>0.35267464672881049</v>
      </c>
      <c r="CF53" s="2">
        <v>1.8991258447934034E-4</v>
      </c>
      <c r="CG53" s="2">
        <f t="shared" si="32"/>
        <v>-8.0075848811955903E-9</v>
      </c>
      <c r="CH53" s="2">
        <f t="shared" si="33"/>
        <v>8.0140498511127508E-8</v>
      </c>
      <c r="CI53" s="2">
        <f t="shared" si="34"/>
        <v>1.7065536265226111E-4</v>
      </c>
    </row>
    <row r="54" spans="2:87" x14ac:dyDescent="0.2">
      <c r="B54" s="6" t="s">
        <v>255</v>
      </c>
      <c r="C54" s="17">
        <f>27.34325*0.3048^2</f>
        <v>2.5402710484800002</v>
      </c>
      <c r="D54" s="6" t="s">
        <v>11</v>
      </c>
      <c r="AF54" s="2">
        <v>5</v>
      </c>
      <c r="AG54" s="2">
        <f t="shared" si="43"/>
        <v>503.125</v>
      </c>
      <c r="AH54" s="2">
        <v>544.90948836359121</v>
      </c>
      <c r="AI54" s="2">
        <f t="shared" si="44"/>
        <v>593.75</v>
      </c>
      <c r="AJ54" s="2">
        <v>-239.23848319583931</v>
      </c>
      <c r="AK54" s="2">
        <f t="shared" si="39"/>
        <v>548.4375</v>
      </c>
      <c r="AL54" s="2">
        <v>169.03229117021738</v>
      </c>
      <c r="AM54" s="2">
        <f t="shared" si="40"/>
        <v>92107.299298488724</v>
      </c>
      <c r="AN54" s="2">
        <f t="shared" si="41"/>
        <v>-40439.028950680266</v>
      </c>
      <c r="AO54" s="2">
        <f t="shared" si="42"/>
        <v>90.625</v>
      </c>
      <c r="AU54" s="61"/>
      <c r="AV54" s="27">
        <v>-2.5152080542999999E-6</v>
      </c>
      <c r="AW54" s="2">
        <v>3.1024404767040001E-4</v>
      </c>
      <c r="AX54" s="31">
        <v>2.5353308848270002E-4</v>
      </c>
      <c r="AY54" s="2">
        <v>-2.3838353068999999E-6</v>
      </c>
      <c r="AZ54" s="2">
        <v>6.7252067827910001E-4</v>
      </c>
      <c r="BA54" s="2">
        <v>-1.27258419497411E-2</v>
      </c>
      <c r="BB54" s="27">
        <v>9.3159135848999998E-6</v>
      </c>
      <c r="BC54" s="2">
        <v>1.3749855601419999E-4</v>
      </c>
      <c r="BD54" s="31">
        <v>-3.8346064905490001E-4</v>
      </c>
      <c r="BG54" s="2" t="s">
        <v>38</v>
      </c>
      <c r="BH54" s="2">
        <f xml:space="preserve"> 4*BH49*SIN(BH42)*SIN(BH42) / (BH46*BH52)</f>
        <v>1.1646899477499091</v>
      </c>
      <c r="BI54" s="2"/>
      <c r="BJ54" s="2"/>
      <c r="BK54" s="2" t="s">
        <v>38</v>
      </c>
      <c r="BL54" s="2">
        <f xml:space="preserve"> 4*BL49*SIN(BL42)*SIN(BL42) / (BL46*BL52)</f>
        <v>1.1489647415807365</v>
      </c>
      <c r="BM54" s="2"/>
      <c r="BO54" s="2">
        <v>16</v>
      </c>
      <c r="BP54" s="2">
        <f t="shared" si="35"/>
        <v>0.39166939709485593</v>
      </c>
      <c r="BQ54" s="2">
        <v>-2.3503815974969255E-4</v>
      </c>
      <c r="BR54" s="2">
        <f t="shared" si="36"/>
        <v>0.39175472477618206</v>
      </c>
      <c r="BS54" s="2">
        <v>2.2013286595248815E-5</v>
      </c>
      <c r="BT54" s="2">
        <f t="shared" si="27"/>
        <v>0.39171206093551902</v>
      </c>
      <c r="BU54" s="2">
        <v>-1.0651015102998429E-4</v>
      </c>
      <c r="BV54" s="2">
        <f t="shared" si="28"/>
        <v>2.5033949892749328E-8</v>
      </c>
      <c r="BW54" s="2">
        <f t="shared" si="29"/>
        <v>-2.3446384799262801E-9</v>
      </c>
      <c r="BX54" s="2">
        <f t="shared" si="30"/>
        <v>8.5327681326130556E-5</v>
      </c>
      <c r="BZ54" s="2">
        <v>16</v>
      </c>
      <c r="CA54" s="2">
        <f t="shared" si="37"/>
        <v>0.35258931904748436</v>
      </c>
      <c r="CB54" s="2">
        <v>-4.2164582737626299E-5</v>
      </c>
      <c r="CC54" s="2">
        <f t="shared" si="38"/>
        <v>0.35267464672881049</v>
      </c>
      <c r="CD54" s="2">
        <v>1.8991449037643326E-4</v>
      </c>
      <c r="CE54" s="2">
        <f t="shared" si="31"/>
        <v>0.35263198288814745</v>
      </c>
      <c r="CF54" s="2">
        <v>7.3873961017038858E-5</v>
      </c>
      <c r="CG54" s="2">
        <f t="shared" si="32"/>
        <v>-3.1148647414591149E-9</v>
      </c>
      <c r="CH54" s="2">
        <f t="shared" si="33"/>
        <v>1.4029735658639433E-8</v>
      </c>
      <c r="CI54" s="2">
        <f t="shared" si="34"/>
        <v>8.5327681326130556E-5</v>
      </c>
    </row>
    <row r="55" spans="2:87" x14ac:dyDescent="0.2">
      <c r="B55" s="6" t="s">
        <v>256</v>
      </c>
      <c r="C55" s="17">
        <f>0.115*9.73719*0.3048</f>
        <v>0.34130798388000005</v>
      </c>
      <c r="D55" s="6" t="s">
        <v>8</v>
      </c>
      <c r="AF55" s="2">
        <v>6</v>
      </c>
      <c r="AG55" s="2">
        <f t="shared" si="43"/>
        <v>548.4375</v>
      </c>
      <c r="AH55" s="2">
        <v>169.03229117021738</v>
      </c>
      <c r="AI55" s="2">
        <f t="shared" si="44"/>
        <v>593.75</v>
      </c>
      <c r="AJ55" s="2">
        <v>-239.23848319583931</v>
      </c>
      <c r="AK55" s="2">
        <f t="shared" si="39"/>
        <v>571.09375</v>
      </c>
      <c r="AL55" s="2">
        <v>-31.053898866225609</v>
      </c>
      <c r="AM55" s="2">
        <f t="shared" si="40"/>
        <v>-5249.1116751263307</v>
      </c>
      <c r="AN55" s="2">
        <f t="shared" si="41"/>
        <v>7429.2876620728084</v>
      </c>
      <c r="AO55" s="2">
        <f t="shared" si="42"/>
        <v>45.3125</v>
      </c>
      <c r="AU55" s="66"/>
      <c r="AV55" s="56">
        <v>-1.5880058514071E-2</v>
      </c>
      <c r="AW55" s="57"/>
      <c r="AX55" s="58"/>
      <c r="AY55" s="57">
        <v>0.110802661807325</v>
      </c>
      <c r="AZ55" s="57"/>
      <c r="BA55" s="57"/>
      <c r="BB55" s="56">
        <v>7.4721088420790002E-3</v>
      </c>
      <c r="BC55" s="57"/>
      <c r="BD55" s="58"/>
      <c r="BG55" s="2" t="s">
        <v>194</v>
      </c>
      <c r="BH55" s="2">
        <f xml:space="preserve"> 4*BH49*SIN(BH42)*COS(BH42) / (BH46*BH53)</f>
        <v>9.1776087230557692</v>
      </c>
      <c r="BI55" s="2"/>
      <c r="BJ55" s="2"/>
      <c r="BK55" s="2" t="s">
        <v>194</v>
      </c>
      <c r="BL55" s="2">
        <f xml:space="preserve"> 4*BL49*SIN(BL42)*COS(BL42) / (BL46*BL53)</f>
        <v>10.190662793305028</v>
      </c>
      <c r="BM55" s="2"/>
      <c r="BO55" s="2">
        <v>17</v>
      </c>
      <c r="BP55" s="2">
        <f t="shared" si="35"/>
        <v>0.39171206093551902</v>
      </c>
      <c r="BQ55" s="2">
        <v>-1.0651015102998429E-4</v>
      </c>
      <c r="BR55" s="2">
        <f t="shared" si="36"/>
        <v>0.39175472477618206</v>
      </c>
      <c r="BS55" s="2">
        <v>2.2013286595248815E-5</v>
      </c>
      <c r="BT55" s="2">
        <f t="shared" si="27"/>
        <v>0.39173339285585052</v>
      </c>
      <c r="BU55" s="2">
        <v>-4.2246982070129335E-5</v>
      </c>
      <c r="BV55" s="2">
        <f t="shared" si="28"/>
        <v>4.4997324408505136E-9</v>
      </c>
      <c r="BW55" s="2">
        <f t="shared" si="29"/>
        <v>-9.2999492409409519E-10</v>
      </c>
      <c r="BX55" s="2">
        <f t="shared" si="30"/>
        <v>4.2663840663037522E-5</v>
      </c>
      <c r="BZ55" s="2">
        <v>17</v>
      </c>
      <c r="CA55" s="2">
        <f t="shared" si="37"/>
        <v>0.35258931904748436</v>
      </c>
      <c r="CB55" s="2">
        <v>-4.2164582737626299E-5</v>
      </c>
      <c r="CC55" s="2">
        <f t="shared" si="38"/>
        <v>0.35263198288814745</v>
      </c>
      <c r="CD55" s="2">
        <v>7.387586696602777E-5</v>
      </c>
      <c r="CE55" s="2">
        <f t="shared" si="31"/>
        <v>0.35261065096781591</v>
      </c>
      <c r="CF55" s="2">
        <v>1.5853964226597572E-5</v>
      </c>
      <c r="CG55" s="2">
        <f t="shared" si="32"/>
        <v>-6.6847578635174091E-10</v>
      </c>
      <c r="CH55" s="2">
        <f t="shared" si="33"/>
        <v>1.1712253520882856E-9</v>
      </c>
      <c r="CI55" s="2">
        <f t="shared" si="34"/>
        <v>4.2663840663093033E-5</v>
      </c>
    </row>
    <row r="56" spans="2:87" x14ac:dyDescent="0.2">
      <c r="B56" s="6" t="s">
        <v>257</v>
      </c>
      <c r="C56" s="17">
        <v>35</v>
      </c>
      <c r="D56" s="6" t="s">
        <v>43</v>
      </c>
      <c r="AF56" s="2">
        <v>7</v>
      </c>
      <c r="AG56" s="2">
        <f t="shared" si="43"/>
        <v>548.4375</v>
      </c>
      <c r="AH56" s="2">
        <v>169.03229117021738</v>
      </c>
      <c r="AI56" s="2">
        <f t="shared" si="44"/>
        <v>571.09375</v>
      </c>
      <c r="AJ56" s="2">
        <v>-31.053898866225609</v>
      </c>
      <c r="AK56" s="2">
        <f t="shared" si="39"/>
        <v>559.765625</v>
      </c>
      <c r="AL56" s="2">
        <v>70.001495438642905</v>
      </c>
      <c r="AM56" s="2">
        <f t="shared" si="40"/>
        <v>11832.513159335331</v>
      </c>
      <c r="AN56" s="2">
        <f t="shared" si="41"/>
        <v>-2173.81935983617</v>
      </c>
      <c r="AO56" s="2">
        <f t="shared" si="42"/>
        <v>22.65625</v>
      </c>
      <c r="BG56" s="2" t="s">
        <v>45</v>
      </c>
      <c r="BH56" s="2">
        <f>1/(BH54-1)</f>
        <v>6.0720160135004475</v>
      </c>
      <c r="BI56" s="2"/>
      <c r="BJ56" s="2"/>
      <c r="BK56" s="2" t="s">
        <v>45</v>
      </c>
      <c r="BL56" s="2">
        <f>1/(BL54-1)</f>
        <v>6.7129979174166943</v>
      </c>
      <c r="BM56" s="2"/>
      <c r="BO56" s="2">
        <v>18</v>
      </c>
      <c r="BP56" s="2">
        <f t="shared" si="35"/>
        <v>0.39173339285585052</v>
      </c>
      <c r="BQ56" s="2">
        <v>-4.2246982070129335E-5</v>
      </c>
      <c r="BR56" s="2">
        <f t="shared" si="36"/>
        <v>0.39175472477618206</v>
      </c>
      <c r="BS56" s="2">
        <v>2.2013286595248815E-5</v>
      </c>
      <c r="BT56" s="2">
        <f t="shared" si="27"/>
        <v>0.39174405881601626</v>
      </c>
      <c r="BU56" s="2">
        <v>-1.0115606664681809E-5</v>
      </c>
      <c r="BV56" s="2">
        <f t="shared" si="28"/>
        <v>4.2735385339129319E-10</v>
      </c>
      <c r="BW56" s="2">
        <f t="shared" si="29"/>
        <v>-2.2267774859444964E-10</v>
      </c>
      <c r="BX56" s="2">
        <f t="shared" si="30"/>
        <v>2.1331920331546517E-5</v>
      </c>
      <c r="BZ56" s="2">
        <v>18</v>
      </c>
      <c r="CA56" s="2">
        <f t="shared" si="37"/>
        <v>0.35258931904748436</v>
      </c>
      <c r="CB56" s="2">
        <v>-4.2164582737626299E-5</v>
      </c>
      <c r="CC56" s="2">
        <f t="shared" si="38"/>
        <v>0.35261065096781591</v>
      </c>
      <c r="CD56" s="2">
        <v>1.585587020151713E-5</v>
      </c>
      <c r="CE56" s="2">
        <f t="shared" si="31"/>
        <v>0.35259998500765011</v>
      </c>
      <c r="CF56" s="2">
        <v>-1.3156205259060028E-5</v>
      </c>
      <c r="CG56" s="2">
        <f t="shared" si="32"/>
        <v>5.5472590515883074E-10</v>
      </c>
      <c r="CH56" s="2">
        <f t="shared" si="33"/>
        <v>-2.0860308293217286E-10</v>
      </c>
      <c r="CI56" s="2">
        <f t="shared" si="34"/>
        <v>2.1331920331546517E-5</v>
      </c>
    </row>
    <row r="57" spans="2:87" x14ac:dyDescent="0.2">
      <c r="AF57" s="2">
        <v>8</v>
      </c>
      <c r="AG57" s="2">
        <f t="shared" si="43"/>
        <v>559.765625</v>
      </c>
      <c r="AH57" s="2">
        <v>70.001495438642905</v>
      </c>
      <c r="AI57" s="2">
        <f t="shared" si="44"/>
        <v>571.09375</v>
      </c>
      <c r="AJ57" s="2">
        <v>-31.053898866225609</v>
      </c>
      <c r="AK57" s="2">
        <f t="shared" si="39"/>
        <v>565.4296875</v>
      </c>
      <c r="AL57" s="2">
        <v>19.726873107869778</v>
      </c>
      <c r="AM57" s="2">
        <f t="shared" si="40"/>
        <v>1380.9106178792338</v>
      </c>
      <c r="AN57" s="2">
        <f t="shared" si="41"/>
        <v>-612.59632243865371</v>
      </c>
      <c r="AO57" s="2">
        <f t="shared" si="42"/>
        <v>11.328125</v>
      </c>
      <c r="BG57" s="2" t="s">
        <v>197</v>
      </c>
      <c r="BH57" s="2">
        <f>1/(BH55+1)</f>
        <v>9.8254907140874606E-2</v>
      </c>
      <c r="BI57" s="2"/>
      <c r="BJ57" s="2"/>
      <c r="BK57" s="2" t="s">
        <v>197</v>
      </c>
      <c r="BL57" s="2">
        <f>1/(BL55+1)</f>
        <v>8.9360212033040981E-2</v>
      </c>
      <c r="BM57" s="2"/>
      <c r="BO57" s="2">
        <v>19</v>
      </c>
      <c r="BP57" s="2">
        <f t="shared" si="35"/>
        <v>0.39174405881601626</v>
      </c>
      <c r="BQ57" s="2">
        <v>-1.0115606664681809E-5</v>
      </c>
      <c r="BR57" s="2">
        <f t="shared" si="36"/>
        <v>0.39175472477618206</v>
      </c>
      <c r="BS57" s="2">
        <v>2.2013286595248815E-5</v>
      </c>
      <c r="BT57" s="2">
        <f t="shared" si="27"/>
        <v>0.39174939179609913</v>
      </c>
      <c r="BU57" s="2">
        <v>5.9500287415276132E-6</v>
      </c>
      <c r="BV57" s="2">
        <f t="shared" si="28"/>
        <v>-6.0188150392845036E-11</v>
      </c>
      <c r="BW57" s="2">
        <f t="shared" si="29"/>
        <v>1.30979687937215E-10</v>
      </c>
      <c r="BX57" s="2">
        <f t="shared" si="30"/>
        <v>1.0665960165801014E-5</v>
      </c>
      <c r="BZ57" s="2">
        <v>19</v>
      </c>
      <c r="CA57" s="2">
        <f t="shared" si="37"/>
        <v>0.35259998500765011</v>
      </c>
      <c r="CB57" s="2">
        <v>-1.3154299271164738E-5</v>
      </c>
      <c r="CC57" s="2">
        <f t="shared" si="38"/>
        <v>0.35261065096781591</v>
      </c>
      <c r="CD57" s="2">
        <v>1.585587020151713E-5</v>
      </c>
      <c r="CE57" s="2">
        <f t="shared" si="31"/>
        <v>0.35260531798773298</v>
      </c>
      <c r="CF57" s="2">
        <v>1.3488937360209285E-6</v>
      </c>
      <c r="CG57" s="2">
        <f t="shared" si="32"/>
        <v>-1.7743751888618779E-11</v>
      </c>
      <c r="CH57" s="2">
        <f t="shared" si="33"/>
        <v>2.1387883993987356E-11</v>
      </c>
      <c r="CI57" s="2">
        <f t="shared" si="34"/>
        <v>1.0665960165801014E-5</v>
      </c>
    </row>
    <row r="58" spans="2:87" x14ac:dyDescent="0.2">
      <c r="B58" s="50" t="s">
        <v>2</v>
      </c>
      <c r="C58" s="51"/>
      <c r="D58" s="51"/>
      <c r="AF58" s="2">
        <v>9</v>
      </c>
      <c r="AG58" s="2">
        <f t="shared" si="43"/>
        <v>565.4296875</v>
      </c>
      <c r="AH58" s="2">
        <v>19.726873107869778</v>
      </c>
      <c r="AI58" s="2">
        <f t="shared" si="44"/>
        <v>571.09375</v>
      </c>
      <c r="AJ58" s="2">
        <v>-31.053898866225609</v>
      </c>
      <c r="AK58" s="2">
        <f t="shared" si="39"/>
        <v>568.26171875</v>
      </c>
      <c r="AL58" s="2">
        <v>-5.6002441737628033</v>
      </c>
      <c r="AM58" s="2">
        <f t="shared" si="40"/>
        <v>-110.47530618890585</v>
      </c>
      <c r="AN58" s="2">
        <f t="shared" si="41"/>
        <v>173.9094161981993</v>
      </c>
      <c r="AO58" s="2">
        <f t="shared" si="42"/>
        <v>5.6640625</v>
      </c>
      <c r="BG58" s="7" t="s">
        <v>199</v>
      </c>
      <c r="BH58" s="38">
        <f>SIN(BH42)/(1+BH56) - $AR$3*COS(BH42)/($AV$5*$AR$23*(1-BH57))</f>
        <v>-1.9769825110316219E-8</v>
      </c>
      <c r="BI58" s="38"/>
      <c r="BJ58" s="2"/>
      <c r="BK58" s="7" t="s">
        <v>199</v>
      </c>
      <c r="BL58" s="38">
        <f>SIN(BL42)/(1+BL56) - $AR$3*COS(BL42)/($AV$5*$AR$24*(1-BL57))</f>
        <v>-4.7432304889349908E-9</v>
      </c>
      <c r="BM58" s="38"/>
      <c r="BO58" s="2">
        <v>20</v>
      </c>
      <c r="BP58" s="2">
        <f t="shared" si="35"/>
        <v>0.39174405881601626</v>
      </c>
      <c r="BQ58" s="2">
        <v>-1.0115606664681809E-5</v>
      </c>
      <c r="BR58" s="2">
        <f t="shared" si="36"/>
        <v>0.39174939179609913</v>
      </c>
      <c r="BS58" s="2">
        <v>5.9476860541085586E-6</v>
      </c>
      <c r="BT58" s="2">
        <f t="shared" si="27"/>
        <v>0.3917467253060577</v>
      </c>
      <c r="BU58" s="2">
        <v>-2.0827846027027253E-6</v>
      </c>
      <c r="BV58" s="2">
        <f t="shared" si="28"/>
        <v>2.1068629808196341E-11</v>
      </c>
      <c r="BW58" s="2">
        <f t="shared" si="29"/>
        <v>-1.2387748935207035E-11</v>
      </c>
      <c r="BX58" s="2">
        <f t="shared" si="30"/>
        <v>5.3329800828727514E-6</v>
      </c>
      <c r="BZ58" s="2">
        <v>20</v>
      </c>
      <c r="CA58" s="2">
        <f t="shared" si="37"/>
        <v>0.35259998500765011</v>
      </c>
      <c r="CB58" s="2">
        <v>-1.3154299271164738E-5</v>
      </c>
      <c r="CC58" s="2">
        <f t="shared" si="38"/>
        <v>0.35260531798773298</v>
      </c>
      <c r="CD58" s="2">
        <v>1.3507997174214137E-6</v>
      </c>
      <c r="CE58" s="2">
        <f t="shared" si="31"/>
        <v>0.35260265149769154</v>
      </c>
      <c r="CF58" s="2">
        <v>-5.9036521987548829E-6</v>
      </c>
      <c r="CG58" s="2">
        <f t="shared" si="32"/>
        <v>7.7658407815291453E-11</v>
      </c>
      <c r="CH58" s="2">
        <f t="shared" si="33"/>
        <v>-7.9746517218324027E-12</v>
      </c>
      <c r="CI58" s="2">
        <f t="shared" si="34"/>
        <v>5.3329800828727514E-6</v>
      </c>
    </row>
    <row r="59" spans="2:87" x14ac:dyDescent="0.2">
      <c r="B59" s="6" t="s">
        <v>3</v>
      </c>
      <c r="C59" s="17">
        <v>250</v>
      </c>
      <c r="D59" s="6" t="s">
        <v>4</v>
      </c>
      <c r="AF59" s="2">
        <v>10</v>
      </c>
      <c r="AG59" s="2">
        <f t="shared" si="43"/>
        <v>565.4296875</v>
      </c>
      <c r="AH59" s="2">
        <v>19.726873107869778</v>
      </c>
      <c r="AI59" s="2">
        <f t="shared" si="44"/>
        <v>568.26171875</v>
      </c>
      <c r="AJ59" s="2">
        <v>-5.6002441737628033</v>
      </c>
      <c r="AK59" s="2">
        <f t="shared" si="39"/>
        <v>566.845703125</v>
      </c>
      <c r="AL59" s="2">
        <v>7.0791316434074361</v>
      </c>
      <c r="AM59" s="2">
        <f t="shared" si="40"/>
        <v>139.64913164340413</v>
      </c>
      <c r="AN59" s="2">
        <f t="shared" si="41"/>
        <v>-39.644865741292392</v>
      </c>
      <c r="AO59" s="2">
        <f t="shared" si="42"/>
        <v>2.83203125</v>
      </c>
      <c r="BG59" s="2"/>
      <c r="BH59" s="2"/>
      <c r="BI59" s="2"/>
      <c r="BJ59" s="2"/>
      <c r="BK59" s="2"/>
      <c r="BL59" s="2"/>
      <c r="BM59" s="2"/>
      <c r="BO59" s="2">
        <v>21</v>
      </c>
      <c r="BP59" s="2">
        <f t="shared" si="35"/>
        <v>0.3917467253060577</v>
      </c>
      <c r="BQ59" s="2">
        <v>-2.0827846027027253E-6</v>
      </c>
      <c r="BR59" s="2">
        <f t="shared" si="36"/>
        <v>0.39174939179609913</v>
      </c>
      <c r="BS59" s="2">
        <v>5.9476860541085586E-6</v>
      </c>
      <c r="BT59" s="2">
        <f t="shared" si="27"/>
        <v>0.39174805855107842</v>
      </c>
      <c r="BU59" s="2">
        <v>1.9336231591587927E-6</v>
      </c>
      <c r="BV59" s="2">
        <f t="shared" si="28"/>
        <v>-4.0273205433253348E-12</v>
      </c>
      <c r="BW59" s="2">
        <f t="shared" si="29"/>
        <v>1.1500583497630085E-11</v>
      </c>
      <c r="BX59" s="2">
        <f t="shared" si="30"/>
        <v>2.6664900414363757E-6</v>
      </c>
      <c r="BZ59" s="2">
        <v>21</v>
      </c>
      <c r="CA59" s="2">
        <f t="shared" si="37"/>
        <v>0.35260265149769154</v>
      </c>
      <c r="CB59" s="2">
        <v>-5.9017462141069954E-6</v>
      </c>
      <c r="CC59" s="2">
        <f t="shared" si="38"/>
        <v>0.35260531798773298</v>
      </c>
      <c r="CD59" s="2">
        <v>1.3507997174214137E-6</v>
      </c>
      <c r="CE59" s="2">
        <f t="shared" si="31"/>
        <v>0.35260398474271226</v>
      </c>
      <c r="CF59" s="2">
        <v>-2.2773783406801473E-6</v>
      </c>
      <c r="CG59" s="2">
        <f t="shared" si="32"/>
        <v>1.344050900019833E-11</v>
      </c>
      <c r="CH59" s="2">
        <f t="shared" si="33"/>
        <v>-3.0762820190523911E-12</v>
      </c>
      <c r="CI59" s="2">
        <f t="shared" si="34"/>
        <v>2.6664900414363757E-6</v>
      </c>
    </row>
    <row r="60" spans="2:87" x14ac:dyDescent="0.2">
      <c r="B60" s="6" t="s">
        <v>5</v>
      </c>
      <c r="C60" s="17">
        <v>0.85</v>
      </c>
      <c r="AF60" s="2">
        <v>11</v>
      </c>
      <c r="AG60" s="2">
        <f t="shared" si="43"/>
        <v>566.845703125</v>
      </c>
      <c r="AH60" s="2">
        <v>7.0791316434074361</v>
      </c>
      <c r="AI60" s="2">
        <f t="shared" si="44"/>
        <v>568.26171875</v>
      </c>
      <c r="AJ60" s="2">
        <v>-5.6002441737628033</v>
      </c>
      <c r="AK60" s="2">
        <f t="shared" si="39"/>
        <v>567.5537109375</v>
      </c>
      <c r="AL60" s="2">
        <v>0.74339802891108775</v>
      </c>
      <c r="AM60" s="2">
        <f t="shared" si="40"/>
        <v>5.2626125101111976</v>
      </c>
      <c r="AN60" s="2">
        <f t="shared" si="41"/>
        <v>-4.1632104801960708</v>
      </c>
      <c r="AO60" s="2">
        <f t="shared" si="42"/>
        <v>1.416015625</v>
      </c>
      <c r="BG60" s="63" t="s">
        <v>206</v>
      </c>
      <c r="BH60" s="63"/>
      <c r="BI60" s="63"/>
      <c r="BJ60" s="2"/>
      <c r="BK60" s="63" t="s">
        <v>220</v>
      </c>
      <c r="BL60" s="63"/>
      <c r="BM60" s="63"/>
      <c r="BO60" s="2">
        <v>22</v>
      </c>
      <c r="BP60" s="2">
        <f t="shared" si="35"/>
        <v>0.3917467253060577</v>
      </c>
      <c r="BQ60" s="2">
        <v>-2.0827846027027253E-6</v>
      </c>
      <c r="BR60" s="2">
        <f t="shared" si="36"/>
        <v>0.39174805855107842</v>
      </c>
      <c r="BS60" s="2">
        <v>1.9312804692417362E-6</v>
      </c>
      <c r="BT60" s="2">
        <f t="shared" si="27"/>
        <v>0.39174739192856806</v>
      </c>
      <c r="BU60" s="2">
        <v>-7.4580449330174936E-8</v>
      </c>
      <c r="BV60" s="2">
        <f t="shared" si="28"/>
        <v>1.5533501152753912E-13</v>
      </c>
      <c r="BW60" s="2">
        <f t="shared" si="29"/>
        <v>-1.440357651786398E-13</v>
      </c>
      <c r="BX60" s="2">
        <f t="shared" si="30"/>
        <v>1.3332450207181878E-6</v>
      </c>
      <c r="BZ60" s="2">
        <v>22</v>
      </c>
      <c r="CA60" s="2">
        <f t="shared" si="37"/>
        <v>0.35260398474271226</v>
      </c>
      <c r="CB60" s="2">
        <v>-2.275472357655961E-6</v>
      </c>
      <c r="CC60" s="2">
        <f t="shared" si="38"/>
        <v>0.35260531798773298</v>
      </c>
      <c r="CD60" s="2">
        <v>1.3507997174214137E-6</v>
      </c>
      <c r="CE60" s="2">
        <f t="shared" si="31"/>
        <v>0.35260465136522262</v>
      </c>
      <c r="CF60" s="2">
        <v>-4.6424207963274844E-7</v>
      </c>
      <c r="CG60" s="2">
        <f t="shared" si="32"/>
        <v>1.0563700194650365E-12</v>
      </c>
      <c r="CH60" s="2">
        <f t="shared" si="33"/>
        <v>-6.2709806998304601E-13</v>
      </c>
      <c r="CI60" s="2">
        <f t="shared" si="34"/>
        <v>1.3332450207181878E-6</v>
      </c>
    </row>
    <row r="61" spans="2:87" x14ac:dyDescent="0.2">
      <c r="B61" s="6" t="s">
        <v>6</v>
      </c>
      <c r="C61" s="17">
        <v>0.8</v>
      </c>
      <c r="AF61" s="2">
        <v>12</v>
      </c>
      <c r="AG61" s="2">
        <f t="shared" si="43"/>
        <v>567.5537109375</v>
      </c>
      <c r="AH61" s="2">
        <v>0.74339802891108775</v>
      </c>
      <c r="AI61" s="2">
        <f t="shared" si="44"/>
        <v>568.26171875</v>
      </c>
      <c r="AJ61" s="2">
        <v>-5.6002441737628033</v>
      </c>
      <c r="AK61" s="2">
        <f t="shared" si="39"/>
        <v>567.90771484375</v>
      </c>
      <c r="AL61" s="2">
        <v>-2.4274344989034944</v>
      </c>
      <c r="AM61" s="2">
        <f t="shared" si="40"/>
        <v>-1.8045500217956316</v>
      </c>
      <c r="AN61" s="2">
        <f t="shared" si="41"/>
        <v>13.594225909675124</v>
      </c>
      <c r="AO61" s="2">
        <f t="shared" si="42"/>
        <v>0.7080078125</v>
      </c>
      <c r="BG61" s="28" t="s">
        <v>154</v>
      </c>
      <c r="BH61" s="29">
        <f>BT136</f>
        <v>0.29845304820079138</v>
      </c>
      <c r="BI61" s="5" t="s">
        <v>155</v>
      </c>
      <c r="BJ61" s="2"/>
      <c r="BK61" s="28" t="s">
        <v>154</v>
      </c>
      <c r="BL61" s="29">
        <f>CE136</f>
        <v>0.31753231045413233</v>
      </c>
      <c r="BM61" s="5" t="s">
        <v>155</v>
      </c>
      <c r="BO61" s="2">
        <v>23</v>
      </c>
      <c r="BP61" s="2">
        <f t="shared" si="35"/>
        <v>0.39174739192856806</v>
      </c>
      <c r="BQ61" s="2">
        <v>-7.4580449330174936E-8</v>
      </c>
      <c r="BR61" s="2">
        <f t="shared" si="36"/>
        <v>0.39174805855107842</v>
      </c>
      <c r="BS61" s="2">
        <v>1.9312804692417362E-6</v>
      </c>
      <c r="BT61" s="2">
        <f t="shared" si="27"/>
        <v>0.39174772523982326</v>
      </c>
      <c r="BU61" s="2">
        <v>9.2952142291546913E-7</v>
      </c>
      <c r="BV61" s="2">
        <f t="shared" si="28"/>
        <v>-6.9324125383059253E-14</v>
      </c>
      <c r="BW61" s="2">
        <f t="shared" si="29"/>
        <v>1.7951665698184336E-12</v>
      </c>
      <c r="BX61" s="2">
        <f t="shared" si="30"/>
        <v>6.6662251035909392E-7</v>
      </c>
      <c r="BZ61" s="2">
        <v>23</v>
      </c>
      <c r="CA61" s="2">
        <f t="shared" si="37"/>
        <v>0.35260465136522262</v>
      </c>
      <c r="CB61" s="2">
        <v>-4.6233609741347381E-7</v>
      </c>
      <c r="CC61" s="2">
        <f t="shared" si="38"/>
        <v>0.35260531798773298</v>
      </c>
      <c r="CD61" s="2">
        <v>1.3507997174214137E-6</v>
      </c>
      <c r="CE61" s="2">
        <f t="shared" si="31"/>
        <v>0.35260498467647783</v>
      </c>
      <c r="CF61" s="2">
        <v>4.4232588398973594E-7</v>
      </c>
      <c r="CG61" s="2">
        <f t="shared" si="32"/>
        <v>-2.0450322298877946E-13</v>
      </c>
      <c r="CH61" s="2">
        <f t="shared" si="33"/>
        <v>5.9749367910151227E-13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567.5537109375</v>
      </c>
      <c r="AH62" s="2">
        <v>0.74339802891108775</v>
      </c>
      <c r="AI62" s="2">
        <f t="shared" si="44"/>
        <v>567.90771484375</v>
      </c>
      <c r="AJ62" s="2">
        <v>-2.4274344989034944</v>
      </c>
      <c r="AK62" s="2">
        <f t="shared" si="39"/>
        <v>567.730712890625</v>
      </c>
      <c r="AL62" s="2">
        <v>-0.84177109161555563</v>
      </c>
      <c r="AM62" s="2">
        <f t="shared" si="40"/>
        <v>-0.62577097030133877</v>
      </c>
      <c r="AN62" s="2">
        <f t="shared" si="41"/>
        <v>2.0433441879672536</v>
      </c>
      <c r="AO62" s="2">
        <f t="shared" si="42"/>
        <v>0.35400390625</v>
      </c>
      <c r="BG62" s="2" t="s">
        <v>159</v>
      </c>
      <c r="BH62" s="2">
        <f>($AR$41+$AR$5)/180*PI()</f>
        <v>0.45406522220043405</v>
      </c>
      <c r="BI62" s="2" t="s">
        <v>155</v>
      </c>
      <c r="BJ62" s="2"/>
      <c r="BK62" s="2" t="s">
        <v>159</v>
      </c>
      <c r="BL62" s="2">
        <f>($AR$42+$AR$5)/180*PI()</f>
        <v>0.42821253265526799</v>
      </c>
      <c r="BM62" s="2" t="s">
        <v>155</v>
      </c>
      <c r="BO62" s="2">
        <v>24</v>
      </c>
      <c r="BP62" s="2">
        <f t="shared" si="35"/>
        <v>0.39174739192856806</v>
      </c>
      <c r="BQ62" s="2">
        <v>-7.4580449330174936E-8</v>
      </c>
      <c r="BR62" s="2">
        <f t="shared" si="36"/>
        <v>0.39174772523982326</v>
      </c>
      <c r="BS62" s="2">
        <v>9.2717873237391224E-7</v>
      </c>
      <c r="BT62" s="2">
        <f t="shared" si="27"/>
        <v>0.39174755858419563</v>
      </c>
      <c r="BU62" s="2">
        <v>4.2747050378599827E-7</v>
      </c>
      <c r="BV62" s="2">
        <f t="shared" si="28"/>
        <v>-3.1880942247755998E-14</v>
      </c>
      <c r="BW62" s="2">
        <f t="shared" si="29"/>
        <v>3.9634155982753953E-13</v>
      </c>
      <c r="BX62" s="2">
        <f t="shared" si="30"/>
        <v>3.3331125520730254E-7</v>
      </c>
      <c r="BZ62" s="2">
        <v>24</v>
      </c>
      <c r="CA62" s="2">
        <f t="shared" si="37"/>
        <v>0.35260465136522262</v>
      </c>
      <c r="CB62" s="2">
        <v>-4.6233609741347381E-7</v>
      </c>
      <c r="CC62" s="2">
        <f t="shared" si="38"/>
        <v>0.35260498467647783</v>
      </c>
      <c r="CD62" s="2">
        <v>4.4423186579961582E-7</v>
      </c>
      <c r="CE62" s="2">
        <f t="shared" si="31"/>
        <v>0.3526048180208502</v>
      </c>
      <c r="CF62" s="2">
        <v>-1.095808385698227E-8</v>
      </c>
      <c r="CG62" s="2">
        <f t="shared" si="32"/>
        <v>5.06631772556677E-15</v>
      </c>
      <c r="CH62" s="2">
        <f t="shared" si="33"/>
        <v>-4.8679300373758844E-15</v>
      </c>
      <c r="CI62" s="2">
        <f t="shared" si="34"/>
        <v>3.3331125520730254E-7</v>
      </c>
    </row>
    <row r="63" spans="2:87" x14ac:dyDescent="0.2">
      <c r="B63" s="52" t="s">
        <v>272</v>
      </c>
      <c r="C63" s="54"/>
      <c r="D63" s="54"/>
      <c r="AF63" s="2">
        <v>14</v>
      </c>
      <c r="AG63" s="2">
        <f t="shared" si="43"/>
        <v>567.5537109375</v>
      </c>
      <c r="AH63" s="2">
        <v>0.74339802891108775</v>
      </c>
      <c r="AI63" s="2">
        <f t="shared" si="44"/>
        <v>567.730712890625</v>
      </c>
      <c r="AJ63" s="2">
        <v>-0.84177109161555563</v>
      </c>
      <c r="AK63" s="2">
        <f t="shared" si="39"/>
        <v>567.6422119140625</v>
      </c>
      <c r="AL63" s="2">
        <v>-4.9124745506105683E-2</v>
      </c>
      <c r="AM63" s="2">
        <f t="shared" si="40"/>
        <v>-3.651923897999778E-2</v>
      </c>
      <c r="AN63" s="2">
        <f t="shared" si="41"/>
        <v>4.135179065001094E-2</v>
      </c>
      <c r="AO63" s="2">
        <f t="shared" si="42"/>
        <v>0.177001953125</v>
      </c>
      <c r="BG63" s="2" t="s">
        <v>28</v>
      </c>
      <c r="BH63" s="2">
        <f>BH62-BH61</f>
        <v>0.15561217399964267</v>
      </c>
      <c r="BI63" s="2" t="s">
        <v>155</v>
      </c>
      <c r="BJ63" s="2"/>
      <c r="BK63" s="2" t="s">
        <v>28</v>
      </c>
      <c r="BL63" s="2">
        <f>BL62-BL61</f>
        <v>0.11068022220113566</v>
      </c>
      <c r="BM63" s="2" t="s">
        <v>155</v>
      </c>
      <c r="BO63" s="2">
        <v>25</v>
      </c>
      <c r="BP63" s="2">
        <f t="shared" si="35"/>
        <v>0.39174739192856806</v>
      </c>
      <c r="BQ63" s="2">
        <v>-7.4580449330174936E-8</v>
      </c>
      <c r="BR63" s="2">
        <f t="shared" si="36"/>
        <v>0.39174755858419563</v>
      </c>
      <c r="BS63" s="2">
        <v>4.2512781293913005E-7</v>
      </c>
      <c r="BT63" s="2">
        <f t="shared" si="27"/>
        <v>0.39174747525638187</v>
      </c>
      <c r="BU63" s="2">
        <v>1.764450316271704E-7</v>
      </c>
      <c r="BV63" s="2">
        <f t="shared" si="28"/>
        <v>-1.3159349740831296E-14</v>
      </c>
      <c r="BW63" s="2">
        <f t="shared" si="29"/>
        <v>7.5011690399634586E-14</v>
      </c>
      <c r="BX63" s="2">
        <f t="shared" si="30"/>
        <v>1.6665562757589569E-7</v>
      </c>
      <c r="BZ63" s="2">
        <v>25</v>
      </c>
      <c r="CA63" s="2">
        <f t="shared" si="37"/>
        <v>0.3526048180208502</v>
      </c>
      <c r="CB63" s="2">
        <v>-9.0521018458744607E-9</v>
      </c>
      <c r="CC63" s="2">
        <f t="shared" si="38"/>
        <v>0.35260498467647783</v>
      </c>
      <c r="CD63" s="2">
        <v>4.4423186579961582E-7</v>
      </c>
      <c r="CE63" s="2">
        <f t="shared" si="31"/>
        <v>0.35260490134866401</v>
      </c>
      <c r="CF63" s="2">
        <v>2.1568390357745715E-7</v>
      </c>
      <c r="CG63" s="2">
        <f t="shared" si="32"/>
        <v>-1.9523926616989091E-15</v>
      </c>
      <c r="CH63" s="2">
        <f t="shared" si="33"/>
        <v>9.5813662909158225E-14</v>
      </c>
      <c r="CI63" s="2">
        <f t="shared" si="34"/>
        <v>1.6665562763140684E-7</v>
      </c>
    </row>
    <row r="64" spans="2:87" x14ac:dyDescent="0.2">
      <c r="B64" s="6" t="s">
        <v>15</v>
      </c>
      <c r="C64" s="17">
        <v>1.0397562309141399</v>
      </c>
      <c r="D64" s="6" t="s">
        <v>16</v>
      </c>
      <c r="AF64" s="2">
        <v>15</v>
      </c>
      <c r="AG64" s="2">
        <f t="shared" si="43"/>
        <v>567.5537109375</v>
      </c>
      <c r="AH64" s="2">
        <v>0.74339802891108775</v>
      </c>
      <c r="AI64" s="2">
        <f t="shared" si="44"/>
        <v>567.6422119140625</v>
      </c>
      <c r="AJ64" s="2">
        <v>-4.9124745506105683E-2</v>
      </c>
      <c r="AK64" s="2">
        <f t="shared" si="39"/>
        <v>567.59796142578125</v>
      </c>
      <c r="AL64" s="2">
        <v>0.34715208816351151</v>
      </c>
      <c r="AM64" s="2">
        <f t="shared" si="40"/>
        <v>0.2580721780731226</v>
      </c>
      <c r="AN64" s="2">
        <f t="shared" si="41"/>
        <v>-1.7053757982945665E-2</v>
      </c>
      <c r="AO64" s="2">
        <f t="shared" si="42"/>
        <v>8.85009765625E-2</v>
      </c>
      <c r="BG64" s="2" t="s">
        <v>168</v>
      </c>
      <c r="BH64" s="2">
        <f>BH63/PI()*180</f>
        <v>8.915920811034928</v>
      </c>
      <c r="BI64" s="2" t="s">
        <v>43</v>
      </c>
      <c r="BJ64" s="2"/>
      <c r="BK64" s="2" t="s">
        <v>168</v>
      </c>
      <c r="BL64" s="2">
        <f>BL63/PI()*180</f>
        <v>6.3415096076952286</v>
      </c>
      <c r="BM64" s="2" t="s">
        <v>43</v>
      </c>
      <c r="BO64" s="2">
        <v>26</v>
      </c>
      <c r="BP64" s="2">
        <f t="shared" si="35"/>
        <v>0.39174739192856806</v>
      </c>
      <c r="BQ64" s="2">
        <v>-7.4580449330174936E-8</v>
      </c>
      <c r="BR64" s="2">
        <f t="shared" si="36"/>
        <v>0.39174747525638187</v>
      </c>
      <c r="BS64" s="2">
        <v>1.7410234062764651E-7</v>
      </c>
      <c r="BT64" s="2">
        <f t="shared" si="27"/>
        <v>0.39174743359247499</v>
      </c>
      <c r="BU64" s="2">
        <v>5.093229217545403E-8</v>
      </c>
      <c r="BV64" s="2">
        <f t="shared" si="28"/>
        <v>-3.7985532358611146E-15</v>
      </c>
      <c r="BW64" s="2">
        <f t="shared" si="29"/>
        <v>8.8674312812777129E-15</v>
      </c>
      <c r="BX64" s="2">
        <f t="shared" si="30"/>
        <v>8.3327813815703422E-8</v>
      </c>
      <c r="BZ64" s="2">
        <v>26</v>
      </c>
      <c r="CA64" s="2">
        <f t="shared" si="37"/>
        <v>0.3526048180208502</v>
      </c>
      <c r="CB64" s="2">
        <v>-9.0521018458744607E-9</v>
      </c>
      <c r="CC64" s="2">
        <f t="shared" si="38"/>
        <v>0.35260490134866401</v>
      </c>
      <c r="CD64" s="2">
        <v>2.1758988549142044E-7</v>
      </c>
      <c r="CE64" s="2">
        <f t="shared" si="31"/>
        <v>0.35260485968475708</v>
      </c>
      <c r="CF64" s="2">
        <v>1.0236291048820734E-7</v>
      </c>
      <c r="CG64" s="2">
        <f t="shared" si="32"/>
        <v>-9.2659949097938383E-16</v>
      </c>
      <c r="CH64" s="2">
        <f t="shared" si="33"/>
        <v>2.2273133971697554E-14</v>
      </c>
      <c r="CI64" s="2">
        <f t="shared" si="34"/>
        <v>8.3327813815703422E-8</v>
      </c>
    </row>
    <row r="65" spans="2:87" x14ac:dyDescent="0.2">
      <c r="B65" s="6" t="s">
        <v>214</v>
      </c>
      <c r="C65" s="39">
        <v>1.7363179204150701E-5</v>
      </c>
      <c r="D65" s="6" t="s">
        <v>210</v>
      </c>
      <c r="AF65" s="2">
        <v>16</v>
      </c>
      <c r="AG65" s="2">
        <f t="shared" si="43"/>
        <v>567.59796142578125</v>
      </c>
      <c r="AH65" s="2">
        <v>0.34715208816351151</v>
      </c>
      <c r="AI65" s="2">
        <f t="shared" si="44"/>
        <v>567.6422119140625</v>
      </c>
      <c r="AJ65" s="2">
        <v>-4.9124745506105683E-2</v>
      </c>
      <c r="AK65" s="2">
        <f t="shared" si="39"/>
        <v>567.62008666992188</v>
      </c>
      <c r="AL65" s="2">
        <v>0.14901753294407172</v>
      </c>
      <c r="AM65" s="2">
        <f t="shared" si="40"/>
        <v>5.1731747734509365E-2</v>
      </c>
      <c r="AN65" s="2">
        <f t="shared" si="41"/>
        <v>-7.3204483818252427E-3</v>
      </c>
      <c r="AO65" s="2">
        <f t="shared" si="42"/>
        <v>4.425048828125E-2</v>
      </c>
      <c r="AQ65" s="2"/>
      <c r="AR65" s="2"/>
      <c r="AS65" s="26"/>
      <c r="BG65" s="2" t="s">
        <v>171</v>
      </c>
      <c r="BH65" s="2">
        <f xml:space="preserve"> $AR$8*$AR$33 / (2*PI()*$AR$25)</f>
        <v>0.16580624184935927</v>
      </c>
      <c r="BI65" s="2"/>
      <c r="BJ65" s="2"/>
      <c r="BK65" s="2" t="s">
        <v>171</v>
      </c>
      <c r="BL65" s="2">
        <f xml:space="preserve"> $AR$8*$AR$34 / (2*PI()*$AR$26)</f>
        <v>0.14274781591970581</v>
      </c>
      <c r="BM65" s="2"/>
      <c r="BO65" s="2">
        <v>27</v>
      </c>
      <c r="BP65" s="2">
        <f t="shared" si="35"/>
        <v>0.39174739192856806</v>
      </c>
      <c r="BQ65" s="2">
        <v>-7.4580449330174936E-8</v>
      </c>
      <c r="BR65" s="2">
        <f t="shared" si="36"/>
        <v>0.39174743359247499</v>
      </c>
      <c r="BS65" s="2">
        <v>4.8589601092663415E-8</v>
      </c>
      <c r="BT65" s="2">
        <f t="shared" si="27"/>
        <v>0.3917474127605215</v>
      </c>
      <c r="BU65" s="2">
        <v>-1.1824078452460363E-8</v>
      </c>
      <c r="BV65" s="2">
        <f t="shared" si="28"/>
        <v>8.8184508389973331E-16</v>
      </c>
      <c r="BW65" s="2">
        <f t="shared" si="29"/>
        <v>-5.7452725529340596E-16</v>
      </c>
      <c r="BX65" s="2">
        <f t="shared" si="30"/>
        <v>4.1663906935607287E-8</v>
      </c>
      <c r="BZ65" s="2">
        <v>27</v>
      </c>
      <c r="CA65" s="2">
        <f t="shared" si="37"/>
        <v>0.3526048180208502</v>
      </c>
      <c r="CB65" s="2">
        <v>-9.0521018458744607E-9</v>
      </c>
      <c r="CC65" s="2">
        <f t="shared" si="38"/>
        <v>0.35260485968475708</v>
      </c>
      <c r="CD65" s="2">
        <v>1.0426889245074289E-7</v>
      </c>
      <c r="CE65" s="2">
        <f t="shared" si="31"/>
        <v>0.35260483885280364</v>
      </c>
      <c r="CF65" s="2">
        <v>4.5702413416226495E-8</v>
      </c>
      <c r="CG65" s="2">
        <f t="shared" si="32"/>
        <v>-4.1370290084594157E-16</v>
      </c>
      <c r="CH65" s="2">
        <f t="shared" si="33"/>
        <v>4.7653400292359096E-15</v>
      </c>
      <c r="CI65" s="2">
        <f t="shared" si="34"/>
        <v>4.1663906880096135E-8</v>
      </c>
    </row>
    <row r="66" spans="2:87" x14ac:dyDescent="0.2">
      <c r="B66" s="6" t="s">
        <v>132</v>
      </c>
      <c r="C66" s="17">
        <v>333.91694458017901</v>
      </c>
      <c r="D66" s="6" t="s">
        <v>10</v>
      </c>
      <c r="AF66" s="2">
        <v>17</v>
      </c>
      <c r="AG66" s="2">
        <f t="shared" si="43"/>
        <v>567.62008666992188</v>
      </c>
      <c r="AH66" s="2">
        <v>0.14901753294407172</v>
      </c>
      <c r="AI66" s="2">
        <f t="shared" si="44"/>
        <v>567.6422119140625</v>
      </c>
      <c r="AJ66" s="2">
        <v>-4.9124745506105683E-2</v>
      </c>
      <c r="AK66" s="2">
        <f t="shared" si="39"/>
        <v>567.63114929199219</v>
      </c>
      <c r="AL66" s="2">
        <v>4.9947359122143098E-2</v>
      </c>
      <c r="AM66" s="2">
        <f t="shared" si="40"/>
        <v>7.4430322334533405E-3</v>
      </c>
      <c r="AN66" s="2">
        <f t="shared" si="41"/>
        <v>-2.4536513055773458E-3</v>
      </c>
      <c r="AO66" s="2">
        <f t="shared" si="42"/>
        <v>2.2125244140625E-2</v>
      </c>
      <c r="BG66" s="2" t="s">
        <v>175</v>
      </c>
      <c r="BH66" s="2">
        <f>IF(-$AR$8*($AV$3-$AR$25)/(2*$AR$25*SIN(BH61))&gt;500, 1, 2*ACOS(MIN(1, EXP(-$AR$8*($AV$3-$AR$25)/(2*$AR$25*SIN(BH61)))))/PI() )</f>
        <v>0.62652219370491069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0.3571160488535281</v>
      </c>
      <c r="BM66" s="2"/>
      <c r="BO66" s="2">
        <v>28</v>
      </c>
      <c r="BP66" s="2">
        <f t="shared" si="35"/>
        <v>0.3917474127605215</v>
      </c>
      <c r="BQ66" s="2">
        <v>-1.1824078452460363E-8</v>
      </c>
      <c r="BR66" s="2">
        <f t="shared" si="36"/>
        <v>0.39174743359247499</v>
      </c>
      <c r="BS66" s="2">
        <v>4.8589601092663415E-8</v>
      </c>
      <c r="BT66" s="2">
        <f t="shared" si="27"/>
        <v>0.39174742317649824</v>
      </c>
      <c r="BU66" s="2">
        <v>1.9554106958641349E-8</v>
      </c>
      <c r="BV66" s="2">
        <f t="shared" si="28"/>
        <v>-2.3120929474677638E-16</v>
      </c>
      <c r="BW66" s="2">
        <f t="shared" si="29"/>
        <v>9.5012625684365688E-16</v>
      </c>
      <c r="BX66" s="2">
        <f t="shared" si="30"/>
        <v>2.0831953495559219E-8</v>
      </c>
      <c r="BZ66" s="2">
        <v>28</v>
      </c>
      <c r="CA66" s="2">
        <f t="shared" si="37"/>
        <v>0.3526048180208502</v>
      </c>
      <c r="CB66" s="2">
        <v>-9.0521018458744607E-9</v>
      </c>
      <c r="CC66" s="2">
        <f t="shared" si="38"/>
        <v>0.35260483885280364</v>
      </c>
      <c r="CD66" s="2">
        <v>4.7608395413456517E-8</v>
      </c>
      <c r="CE66" s="2">
        <f t="shared" si="31"/>
        <v>0.35260482843682694</v>
      </c>
      <c r="CF66" s="2">
        <v>1.737216487329718E-8</v>
      </c>
      <c r="CG66" s="2">
        <f t="shared" si="32"/>
        <v>-1.5725460571640886E-16</v>
      </c>
      <c r="CH66" s="2">
        <f t="shared" si="33"/>
        <v>8.2706089447569189E-16</v>
      </c>
      <c r="CI66" s="2">
        <f t="shared" si="34"/>
        <v>2.0831953440048068E-8</v>
      </c>
    </row>
    <row r="67" spans="2:87" x14ac:dyDescent="0.2">
      <c r="B67" s="6" t="s">
        <v>17</v>
      </c>
      <c r="C67" s="1">
        <v>9.80149119240094</v>
      </c>
      <c r="D67" s="6" t="s">
        <v>18</v>
      </c>
      <c r="AF67" s="2">
        <v>18</v>
      </c>
      <c r="AG67" s="2">
        <f t="shared" si="43"/>
        <v>567.63114929199219</v>
      </c>
      <c r="AH67" s="2">
        <v>4.9947359122143098E-2</v>
      </c>
      <c r="AI67" s="2">
        <f t="shared" si="44"/>
        <v>567.6422119140625</v>
      </c>
      <c r="AJ67" s="2">
        <v>-4.9124745506105683E-2</v>
      </c>
      <c r="AK67" s="2">
        <f t="shared" si="39"/>
        <v>567.63668060302734</v>
      </c>
      <c r="AL67" s="2">
        <v>4.115481592634751E-4</v>
      </c>
      <c r="AM67" s="2">
        <f t="shared" si="40"/>
        <v>2.0555743706789734E-5</v>
      </c>
      <c r="AN67" s="2">
        <f t="shared" si="41"/>
        <v>-2.0217198587324465E-5</v>
      </c>
      <c r="AO67" s="2">
        <f t="shared" si="42"/>
        <v>1.10626220703125E-2</v>
      </c>
      <c r="BG67" s="2" t="s">
        <v>180</v>
      </c>
      <c r="BH67" s="2">
        <f>IF(-$AR$8*($AR$25-$AR$10)/(2*$AR$25*SIN(BH61))&gt;500, 1, 2*ACOS(MIN(1, EXP(-$AR$8*($AR$25-$AR$10)/(2*$AR$25*SIN(BH61)))))/PI() )</f>
        <v>0.95086076638392469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0.94743754940070424</v>
      </c>
      <c r="BM67" s="2"/>
      <c r="BO67" s="2">
        <v>29</v>
      </c>
      <c r="BP67" s="2">
        <f t="shared" si="35"/>
        <v>0.3917474127605215</v>
      </c>
      <c r="BQ67" s="2">
        <v>-1.1824078452460363E-8</v>
      </c>
      <c r="BR67" s="2">
        <f t="shared" si="36"/>
        <v>0.39174742317649824</v>
      </c>
      <c r="BS67" s="2">
        <v>1.721141583421737E-8</v>
      </c>
      <c r="BT67" s="2">
        <f t="shared" si="27"/>
        <v>0.39174741796850987</v>
      </c>
      <c r="BU67" s="2">
        <v>3.865014391868371E-9</v>
      </c>
      <c r="BV67" s="2">
        <f t="shared" si="28"/>
        <v>-4.5700233389339995E-17</v>
      </c>
      <c r="BW67" s="2">
        <f t="shared" si="29"/>
        <v>6.6522369903681303E-17</v>
      </c>
      <c r="BX67" s="2">
        <f t="shared" si="30"/>
        <v>1.0415976747779609E-8</v>
      </c>
      <c r="BZ67" s="2">
        <v>29</v>
      </c>
      <c r="CA67" s="2">
        <f t="shared" si="37"/>
        <v>0.3526048180208502</v>
      </c>
      <c r="CB67" s="2">
        <v>-9.0521018458744607E-9</v>
      </c>
      <c r="CC67" s="2">
        <f t="shared" si="38"/>
        <v>0.35260482843682694</v>
      </c>
      <c r="CD67" s="2">
        <v>1.9278146877466096E-8</v>
      </c>
      <c r="CE67" s="2">
        <f t="shared" si="31"/>
        <v>0.35260482322883857</v>
      </c>
      <c r="CF67" s="2">
        <v>3.2070405150963488E-9</v>
      </c>
      <c r="CG67" s="2">
        <f t="shared" si="32"/>
        <v>-2.9030457366497838E-17</v>
      </c>
      <c r="CH67" s="2">
        <f t="shared" si="33"/>
        <v>6.1825798092011935E-17</v>
      </c>
      <c r="CI67" s="2">
        <f t="shared" si="34"/>
        <v>1.0415976747779609E-8</v>
      </c>
    </row>
    <row r="68" spans="2:87" x14ac:dyDescent="0.2">
      <c r="AF68" s="2">
        <v>19</v>
      </c>
      <c r="AG68" s="2">
        <f t="shared" si="43"/>
        <v>567.63668060302734</v>
      </c>
      <c r="AH68" s="2">
        <v>4.115481592634751E-4</v>
      </c>
      <c r="AI68" s="2">
        <f t="shared" si="44"/>
        <v>567.6422119140625</v>
      </c>
      <c r="AJ68" s="2">
        <v>-4.9124745506105683E-2</v>
      </c>
      <c r="AK68" s="2">
        <f t="shared" si="39"/>
        <v>567.63944625854492</v>
      </c>
      <c r="AL68" s="2">
        <v>-2.4356538336633093E-2</v>
      </c>
      <c r="AM68" s="2">
        <f t="shared" si="40"/>
        <v>-1.0023888518471613E-5</v>
      </c>
      <c r="AN68" s="2">
        <f t="shared" si="41"/>
        <v>1.1965087471968072E-3</v>
      </c>
      <c r="AO68" s="2">
        <f t="shared" si="42"/>
        <v>5.53131103515625E-3</v>
      </c>
      <c r="BG68" s="2" t="s">
        <v>183</v>
      </c>
      <c r="BH68" s="2">
        <f>IF(BH61=0,1,BH66*BH67)</f>
        <v>0.59573537326278914</v>
      </c>
      <c r="BI68" s="2"/>
      <c r="BJ68" s="2"/>
      <c r="BK68" s="2" t="s">
        <v>183</v>
      </c>
      <c r="BL68" s="2">
        <f>IF(BL61=0,1,BL66*BL67)</f>
        <v>0.33834515417744881</v>
      </c>
      <c r="BM68" s="2"/>
      <c r="BO68" s="2">
        <v>30</v>
      </c>
      <c r="BP68" s="2">
        <f t="shared" si="35"/>
        <v>0.3917474127605215</v>
      </c>
      <c r="BQ68" s="2">
        <v>-1.1824078452460363E-8</v>
      </c>
      <c r="BR68" s="2">
        <f t="shared" si="36"/>
        <v>0.39174741796850987</v>
      </c>
      <c r="BS68" s="2">
        <v>1.5223232813221799E-9</v>
      </c>
      <c r="BT68" s="5">
        <f t="shared" si="27"/>
        <v>0.39174741536451568</v>
      </c>
      <c r="BU68" s="2">
        <v>-3.9795320372348897E-9</v>
      </c>
      <c r="BV68" s="2">
        <f t="shared" si="28"/>
        <v>4.7054299012344752E-17</v>
      </c>
      <c r="BW68" s="2">
        <f t="shared" si="29"/>
        <v>-6.0581342690501565E-18</v>
      </c>
      <c r="BX68" s="2">
        <f t="shared" si="30"/>
        <v>5.2079883738898047E-9</v>
      </c>
      <c r="BZ68" s="2">
        <v>30</v>
      </c>
      <c r="CA68" s="2">
        <f t="shared" si="37"/>
        <v>0.3526048180208502</v>
      </c>
      <c r="CB68" s="2">
        <v>-9.0521018458744607E-9</v>
      </c>
      <c r="CC68" s="2">
        <f t="shared" si="38"/>
        <v>0.35260482322883857</v>
      </c>
      <c r="CD68" s="2">
        <v>5.1130225192652645E-9</v>
      </c>
      <c r="CE68" s="5">
        <f t="shared" si="31"/>
        <v>0.35260482062484438</v>
      </c>
      <c r="CF68" s="2">
        <v>-3.8755218478847553E-9</v>
      </c>
      <c r="CG68" s="2">
        <f t="shared" si="32"/>
        <v>3.5081618472964394E-17</v>
      </c>
      <c r="CH68" s="2">
        <f t="shared" si="33"/>
        <v>-1.9815630482139286E-17</v>
      </c>
      <c r="CI68" s="2">
        <f t="shared" si="34"/>
        <v>5.2079883738898047E-9</v>
      </c>
    </row>
    <row r="69" spans="2:87" x14ac:dyDescent="0.2">
      <c r="B69" s="52" t="s">
        <v>273</v>
      </c>
      <c r="C69" s="54"/>
      <c r="D69" s="54"/>
      <c r="AF69" s="2">
        <v>20</v>
      </c>
      <c r="AG69" s="2">
        <f t="shared" si="43"/>
        <v>567.63668060302734</v>
      </c>
      <c r="AH69" s="2">
        <v>4.115481592634751E-4</v>
      </c>
      <c r="AI69" s="2">
        <f t="shared" si="44"/>
        <v>567.63944625854492</v>
      </c>
      <c r="AJ69" s="2">
        <v>-2.4356538336633093E-2</v>
      </c>
      <c r="AK69" s="2">
        <f t="shared" si="39"/>
        <v>567.63806343078613</v>
      </c>
      <c r="AL69" s="2">
        <v>-1.1972480003805686E-2</v>
      </c>
      <c r="AM69" s="2">
        <f t="shared" si="40"/>
        <v>-4.9272521073849928E-6</v>
      </c>
      <c r="AN69" s="2">
        <f t="shared" si="41"/>
        <v>2.9160816819726629E-4</v>
      </c>
      <c r="AO69" s="2">
        <f t="shared" si="42"/>
        <v>2.765655517578125E-3</v>
      </c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1.1626150163672593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0.89378317251754558</v>
      </c>
      <c r="BM69" s="2"/>
    </row>
    <row r="70" spans="2:87" x14ac:dyDescent="0.2">
      <c r="B70" s="6" t="s">
        <v>15</v>
      </c>
      <c r="C70" s="17">
        <v>1.00854450666398</v>
      </c>
      <c r="D70" s="6" t="s">
        <v>16</v>
      </c>
      <c r="AF70" s="2">
        <v>21</v>
      </c>
      <c r="AG70" s="2">
        <f t="shared" si="43"/>
        <v>567.63668060302734</v>
      </c>
      <c r="AH70" s="2">
        <v>4.115481592634751E-4</v>
      </c>
      <c r="AI70" s="2">
        <f t="shared" si="44"/>
        <v>567.63806343078613</v>
      </c>
      <c r="AJ70" s="2">
        <v>-1.1972480003805686E-2</v>
      </c>
      <c r="AK70" s="2">
        <f t="shared" si="39"/>
        <v>567.63737201690674</v>
      </c>
      <c r="AL70" s="2">
        <v>-5.7804621524155664E-3</v>
      </c>
      <c r="AM70" s="2">
        <f t="shared" si="40"/>
        <v>-2.3789385585188116E-6</v>
      </c>
      <c r="AN70" s="2">
        <f t="shared" si="41"/>
        <v>6.9206467532550937E-5</v>
      </c>
      <c r="AO70" s="2">
        <f t="shared" si="42"/>
        <v>1.3828277587890625E-3</v>
      </c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4.8791770269737404E-2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5.6455398734632983E-2</v>
      </c>
      <c r="BM70" s="2"/>
      <c r="BO70" s="62" t="s">
        <v>211</v>
      </c>
      <c r="BP70" s="62"/>
      <c r="BQ70" s="62"/>
      <c r="BR70" s="62"/>
      <c r="BS70" s="62"/>
      <c r="BT70" s="62"/>
      <c r="BU70" s="62"/>
      <c r="BV70" s="62"/>
      <c r="BW70" s="62"/>
      <c r="BX70" s="62"/>
      <c r="BZ70" s="62" t="s">
        <v>212</v>
      </c>
      <c r="CA70" s="62"/>
      <c r="CB70" s="62"/>
      <c r="CC70" s="62"/>
      <c r="CD70" s="62"/>
      <c r="CE70" s="62"/>
      <c r="CF70" s="62"/>
      <c r="CG70" s="62"/>
      <c r="CH70" s="62"/>
      <c r="CI70" s="62"/>
    </row>
    <row r="71" spans="2:87" x14ac:dyDescent="0.2">
      <c r="B71" s="6" t="s">
        <v>214</v>
      </c>
      <c r="C71" s="39">
        <v>1.7265641515845801E-5</v>
      </c>
      <c r="D71" s="6" t="s">
        <v>210</v>
      </c>
      <c r="AF71" s="2">
        <v>22</v>
      </c>
      <c r="AG71" s="2">
        <f t="shared" si="43"/>
        <v>567.63668060302734</v>
      </c>
      <c r="AH71" s="2">
        <v>4.115481592634751E-4</v>
      </c>
      <c r="AI71" s="2">
        <f t="shared" si="44"/>
        <v>567.63737201690674</v>
      </c>
      <c r="AJ71" s="2">
        <v>-5.7804621524155664E-3</v>
      </c>
      <c r="AK71" s="2">
        <f t="shared" si="39"/>
        <v>567.63702630996704</v>
      </c>
      <c r="AL71" s="2">
        <v>-2.6844560543395346E-3</v>
      </c>
      <c r="AM71" s="2">
        <f t="shared" si="40"/>
        <v>-1.1047829477871268E-6</v>
      </c>
      <c r="AN71" s="2">
        <f t="shared" si="41"/>
        <v>1.5517396621932506E-5</v>
      </c>
      <c r="AO71" s="2">
        <f t="shared" si="42"/>
        <v>6.9141387939453125E-4</v>
      </c>
      <c r="BG71" s="2" t="s">
        <v>190</v>
      </c>
      <c r="BH71" s="2">
        <f xml:space="preserve"> BH69*COS(BH61) - BH70*SIN(BH61)</f>
        <v>1.0968718851959192</v>
      </c>
      <c r="BI71" s="2"/>
      <c r="BJ71" s="2"/>
      <c r="BK71" s="2" t="s">
        <v>190</v>
      </c>
      <c r="BL71" s="2">
        <f xml:space="preserve"> BL69*COS(BL61) - BL70*SIN(BL61)</f>
        <v>0.8314751765546512</v>
      </c>
      <c r="BM71" s="2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2:87" x14ac:dyDescent="0.2">
      <c r="B72" s="6" t="s">
        <v>132</v>
      </c>
      <c r="C72" s="17">
        <v>332.721752148093</v>
      </c>
      <c r="D72" s="6" t="s">
        <v>10</v>
      </c>
      <c r="AF72" s="2">
        <v>23</v>
      </c>
      <c r="AG72" s="2">
        <f t="shared" si="43"/>
        <v>567.63668060302734</v>
      </c>
      <c r="AH72" s="2">
        <v>4.115481592634751E-4</v>
      </c>
      <c r="AI72" s="2">
        <f t="shared" si="44"/>
        <v>567.63702630996704</v>
      </c>
      <c r="AJ72" s="2">
        <v>-2.6844560543395346E-3</v>
      </c>
      <c r="AK72" s="2">
        <f t="shared" si="39"/>
        <v>567.63685345649719</v>
      </c>
      <c r="AL72" s="2">
        <v>-1.1364537117515283E-3</v>
      </c>
      <c r="AM72" s="2">
        <f t="shared" si="40"/>
        <v>-4.677054331594854E-7</v>
      </c>
      <c r="AN72" s="2">
        <f t="shared" si="41"/>
        <v>3.0507600469880264E-6</v>
      </c>
      <c r="AO72" s="2">
        <f t="shared" si="42"/>
        <v>3.4570693969726562E-4</v>
      </c>
      <c r="BG72" s="2" t="s">
        <v>192</v>
      </c>
      <c r="BH72" s="2">
        <f xml:space="preserve"> BH69*SIN(BH61) + BH70*COS(BH61)</f>
        <v>0.38849244599534671</v>
      </c>
      <c r="BI72" s="2"/>
      <c r="BJ72" s="2"/>
      <c r="BK72" s="2" t="s">
        <v>192</v>
      </c>
      <c r="BL72" s="2">
        <f xml:space="preserve"> BL69*SIN(BL61) + BL70*COS(BL61)</f>
        <v>0.332692954982859</v>
      </c>
      <c r="BM72" s="2"/>
      <c r="BO72" s="30">
        <v>0</v>
      </c>
      <c r="BP72" s="30"/>
      <c r="BQ72" s="30">
        <f>$BH$58</f>
        <v>-1.9769825110316219E-8</v>
      </c>
      <c r="BR72" s="30"/>
      <c r="BS72" s="30">
        <f>$BH$58</f>
        <v>-1.9769825110316219E-8</v>
      </c>
      <c r="BT72" s="30"/>
      <c r="BU72" s="30">
        <f>$BH$58</f>
        <v>-1.9769825110316219E-8</v>
      </c>
      <c r="BV72" s="30"/>
      <c r="BW72" s="30"/>
      <c r="BX72" s="30"/>
      <c r="BZ72" s="30">
        <v>0</v>
      </c>
      <c r="CA72" s="30"/>
      <c r="CB72" s="30">
        <f>$BL$58</f>
        <v>-4.7432304889349908E-9</v>
      </c>
      <c r="CC72" s="30"/>
      <c r="CD72" s="30">
        <f>$BL$58</f>
        <v>-4.7432304889349908E-9</v>
      </c>
      <c r="CE72" s="30"/>
      <c r="CF72" s="30">
        <f>$BL$58</f>
        <v>-4.7432304889349908E-9</v>
      </c>
      <c r="CG72" s="30"/>
      <c r="CH72" s="30"/>
      <c r="CI72" s="30"/>
    </row>
    <row r="73" spans="2:87" x14ac:dyDescent="0.2">
      <c r="B73" s="6" t="s">
        <v>17</v>
      </c>
      <c r="C73" s="1">
        <v>9.8005536647414697</v>
      </c>
      <c r="D73" s="6" t="s">
        <v>18</v>
      </c>
      <c r="AF73" s="2">
        <v>24</v>
      </c>
      <c r="AG73" s="2">
        <f t="shared" si="43"/>
        <v>567.63668060302734</v>
      </c>
      <c r="AH73" s="2">
        <v>4.115481592634751E-4</v>
      </c>
      <c r="AI73" s="2">
        <f t="shared" si="44"/>
        <v>567.63685345649719</v>
      </c>
      <c r="AJ73" s="2">
        <v>-1.1364537117515283E-3</v>
      </c>
      <c r="AK73" s="2">
        <f t="shared" si="39"/>
        <v>567.63676702976227</v>
      </c>
      <c r="AL73" s="2">
        <v>-3.624527180363657E-4</v>
      </c>
      <c r="AM73" s="2">
        <f t="shared" si="40"/>
        <v>-1.4916674892790965E-7</v>
      </c>
      <c r="AN73" s="2">
        <f t="shared" si="41"/>
        <v>4.1191073674685792E-7</v>
      </c>
      <c r="AO73" s="2">
        <f t="shared" si="42"/>
        <v>1.7285346984863281E-4</v>
      </c>
      <c r="BG73" s="2" t="s">
        <v>38</v>
      </c>
      <c r="BH73" s="2">
        <f xml:space="preserve"> 4*BH68*SIN(BH61)*SIN(BH61) / (BH65*BH71)</f>
        <v>1.1328575873910056</v>
      </c>
      <c r="BI73" s="2"/>
      <c r="BJ73" s="2"/>
      <c r="BK73" s="2" t="s">
        <v>38</v>
      </c>
      <c r="BL73" s="2">
        <f xml:space="preserve"> 4*BL68*SIN(BL61)*SIN(BL61) / (BL65*BL71)</f>
        <v>1.1115563822924117</v>
      </c>
      <c r="BM73" s="2"/>
      <c r="BO73" s="2">
        <v>1</v>
      </c>
      <c r="BP73" s="3">
        <f>0.01*PI()</f>
        <v>3.1415926535897934E-2</v>
      </c>
      <c r="BQ73" s="2">
        <f t="dataTable" ref="BQ73:BQ102" dt2D="0" dtr="0" r1="BH42" ca="1"/>
        <v>-2.1486499329039503</v>
      </c>
      <c r="BR73" s="3">
        <f>0.9*PI()</f>
        <v>2.8274333882308138</v>
      </c>
      <c r="BS73" s="2">
        <f t="dataTable" ref="BS73:BS102" dt2D="0" dtr="0" r1="BH42" ca="1"/>
        <v>0.49859422825555971</v>
      </c>
      <c r="BT73" s="2">
        <f t="shared" ref="BT73:BT102" si="45">(BP73+BR73)/2</f>
        <v>1.4294246573833558</v>
      </c>
      <c r="BU73" s="2">
        <f t="dataTable" ref="BU73:BU102" dt2D="0" dtr="0" r1="BH42" ca="1"/>
        <v>1.1059467257203179</v>
      </c>
      <c r="BV73" s="2">
        <f t="shared" ref="BV73:BV102" si="46">BQ73*BU73</f>
        <v>-2.3762923580143047</v>
      </c>
      <c r="BW73" s="2">
        <f t="shared" ref="BW73:BW102" si="47">BS73*BU73</f>
        <v>0.55141865420228509</v>
      </c>
      <c r="BX73" s="2">
        <f t="shared" ref="BX73:BX102" si="48">BR73-BP73</f>
        <v>2.7960174616949161</v>
      </c>
      <c r="BZ73" s="2">
        <v>1</v>
      </c>
      <c r="CA73" s="3">
        <f>0.01*PI()</f>
        <v>3.1415926535897934E-2</v>
      </c>
      <c r="CB73" s="2">
        <f t="dataTable" ref="CB73:CB102" dt2D="0" dtr="0" r1="BL42"/>
        <v>-1.8401823275912057</v>
      </c>
      <c r="CC73" s="3">
        <f>0.9*PI()</f>
        <v>2.8274333882308138</v>
      </c>
      <c r="CD73" s="2">
        <f t="dataTable" ref="CD73:CD102" dt2D="0" dtr="0" r1="BL42" ca="1"/>
        <v>0.48502167921118056</v>
      </c>
      <c r="CE73" s="2">
        <f t="shared" ref="CE73:CE102" si="49">(CA73+CC73)/2</f>
        <v>1.4294246573833558</v>
      </c>
      <c r="CF73" s="2">
        <f t="dataTable" ref="CF73:CF102" dt2D="0" dtr="0" r1="BL42" ca="1"/>
        <v>1.1104849490056208</v>
      </c>
      <c r="CG73" s="2">
        <f t="shared" ref="CG73:CG102" si="50">CB73*CF73</f>
        <v>-2.0434947782161648</v>
      </c>
      <c r="CH73" s="2">
        <f t="shared" ref="CH73:CH102" si="51">CD73*CF73</f>
        <v>0.53860927470544839</v>
      </c>
      <c r="CI73" s="2">
        <f t="shared" ref="CI73:CI102" si="52">CC73-CA73</f>
        <v>2.7960174616949161</v>
      </c>
    </row>
    <row r="74" spans="2:87" x14ac:dyDescent="0.2">
      <c r="AF74" s="2">
        <v>25</v>
      </c>
      <c r="AG74" s="2">
        <f t="shared" si="43"/>
        <v>567.63668060302734</v>
      </c>
      <c r="AH74" s="2">
        <v>4.115481592634751E-4</v>
      </c>
      <c r="AI74" s="2">
        <f t="shared" si="44"/>
        <v>567.63676702976227</v>
      </c>
      <c r="AJ74" s="2">
        <v>-3.624527180363657E-4</v>
      </c>
      <c r="AK74" s="2">
        <f t="shared" si="39"/>
        <v>567.63672381639481</v>
      </c>
      <c r="AL74" s="2">
        <v>2.4547735847590957E-5</v>
      </c>
      <c r="AM74" s="2">
        <f t="shared" si="40"/>
        <v>1.010257550216208E-8</v>
      </c>
      <c r="AN74" s="2">
        <f t="shared" si="41"/>
        <v>-8.8973935795980715E-9</v>
      </c>
      <c r="AO74" s="2">
        <f t="shared" si="42"/>
        <v>8.6426734924316406E-5</v>
      </c>
      <c r="BG74" s="2" t="s">
        <v>194</v>
      </c>
      <c r="BH74" s="2">
        <f xml:space="preserve"> 4*BH68*SIN(BH61)*COS(BH61) / (BH65*BH72)</f>
        <v>10.396876938474854</v>
      </c>
      <c r="BI74" s="2"/>
      <c r="BJ74" s="2"/>
      <c r="BK74" s="2" t="s">
        <v>194</v>
      </c>
      <c r="BL74" s="2">
        <f xml:space="preserve"> 4*BL68*SIN(BL61)*COS(BL61) / (BL65*BL72)</f>
        <v>8.452781577494731</v>
      </c>
      <c r="BM74" s="2"/>
      <c r="BO74" s="2">
        <v>2</v>
      </c>
      <c r="BP74" s="2">
        <f t="shared" ref="BP74:BP102" si="53">IF(BV73&gt;0,BT73,BP73)</f>
        <v>3.1415926535897934E-2</v>
      </c>
      <c r="BQ74" s="2">
        <v>-2.1486499329039503</v>
      </c>
      <c r="BR74" s="2">
        <f t="shared" ref="BR74:BR102" si="54">IF(BW73&gt;0,BT73,BR73)</f>
        <v>1.4294246573833558</v>
      </c>
      <c r="BS74" s="2">
        <v>1.1059467257203179</v>
      </c>
      <c r="BT74" s="2">
        <f t="shared" si="45"/>
        <v>0.73042029195962688</v>
      </c>
      <c r="BU74" s="2">
        <v>0.81885382895224368</v>
      </c>
      <c r="BV74" s="2">
        <f t="shared" si="46"/>
        <v>-1.7594302246363811</v>
      </c>
      <c r="BW74" s="2">
        <f t="shared" si="47"/>
        <v>0.90560871097327922</v>
      </c>
      <c r="BX74" s="2">
        <f t="shared" si="48"/>
        <v>1.3980087308474578</v>
      </c>
      <c r="BZ74" s="2">
        <v>2</v>
      </c>
      <c r="CA74" s="2">
        <f t="shared" ref="CA74:CA102" si="55">IF(CG73&gt;0,CE73,CA73)</f>
        <v>3.1415926535897934E-2</v>
      </c>
      <c r="CB74" s="2">
        <v>-1.8401823275912057</v>
      </c>
      <c r="CC74" s="2">
        <f t="shared" ref="CC74:CC102" si="56">IF(CH73&gt;0,CE73,CC73)</f>
        <v>1.4294246573833558</v>
      </c>
      <c r="CD74" s="2">
        <v>1.1104849490056208</v>
      </c>
      <c r="CE74" s="2">
        <f t="shared" si="49"/>
        <v>0.73042029195962688</v>
      </c>
      <c r="CF74" s="2">
        <v>0.77896313263904882</v>
      </c>
      <c r="CG74" s="2">
        <f t="shared" si="50"/>
        <v>-1.4334341905274619</v>
      </c>
      <c r="CH74" s="2">
        <f t="shared" si="51"/>
        <v>0.86502683462593277</v>
      </c>
      <c r="CI74" s="2">
        <f t="shared" si="52"/>
        <v>1.3980087308474578</v>
      </c>
    </row>
    <row r="75" spans="2:87" x14ac:dyDescent="0.2">
      <c r="B75" s="52" t="s">
        <v>74</v>
      </c>
      <c r="C75" s="52"/>
      <c r="D75" s="52"/>
      <c r="AF75" s="2">
        <v>26</v>
      </c>
      <c r="AG75" s="2">
        <f t="shared" si="43"/>
        <v>567.63672381639481</v>
      </c>
      <c r="AH75" s="2">
        <v>2.4547735847590957E-5</v>
      </c>
      <c r="AI75" s="2">
        <f t="shared" si="44"/>
        <v>567.63676702976227</v>
      </c>
      <c r="AJ75" s="2">
        <v>-3.624527180363657E-4</v>
      </c>
      <c r="AK75" s="2">
        <f t="shared" si="39"/>
        <v>567.63674542307854</v>
      </c>
      <c r="AL75" s="2">
        <v>-1.6895248791115591E-4</v>
      </c>
      <c r="AM75" s="2">
        <f t="shared" si="40"/>
        <v>-4.1474010440363598E-9</v>
      </c>
      <c r="AN75" s="2">
        <f t="shared" si="41"/>
        <v>6.1237288462404676E-8</v>
      </c>
      <c r="AO75" s="2">
        <f t="shared" si="42"/>
        <v>4.3213367462158203E-5</v>
      </c>
      <c r="BG75" s="2" t="s">
        <v>45</v>
      </c>
      <c r="BH75" s="2">
        <f>1/(BH73-1)</f>
        <v>7.5268565359158357</v>
      </c>
      <c r="BI75" s="2"/>
      <c r="BJ75" s="2"/>
      <c r="BK75" s="2" t="s">
        <v>45</v>
      </c>
      <c r="BL75" s="2">
        <f>1/(BL73-1)</f>
        <v>8.9640769936299911</v>
      </c>
      <c r="BM75" s="2"/>
      <c r="BO75" s="2">
        <v>3</v>
      </c>
      <c r="BP75" s="2">
        <f t="shared" si="53"/>
        <v>3.1415926535897934E-2</v>
      </c>
      <c r="BQ75" s="2">
        <v>-2.1486499329039503</v>
      </c>
      <c r="BR75" s="2">
        <f t="shared" si="54"/>
        <v>0.73042029195962688</v>
      </c>
      <c r="BS75" s="2">
        <v>0.81885382895224368</v>
      </c>
      <c r="BT75" s="2">
        <f t="shared" si="45"/>
        <v>0.38091810924776243</v>
      </c>
      <c r="BU75" s="2">
        <v>0.144006383195975</v>
      </c>
      <c r="BV75" s="2">
        <f t="shared" si="46"/>
        <v>-0.30941930559177228</v>
      </c>
      <c r="BW75" s="2">
        <f t="shared" si="47"/>
        <v>0.11792017827358817</v>
      </c>
      <c r="BX75" s="2">
        <f t="shared" si="48"/>
        <v>0.6990043654237289</v>
      </c>
      <c r="BZ75" s="2">
        <v>3</v>
      </c>
      <c r="CA75" s="2">
        <f t="shared" si="55"/>
        <v>3.1415926535897934E-2</v>
      </c>
      <c r="CB75" s="2">
        <v>-1.8401823275912057</v>
      </c>
      <c r="CC75" s="2">
        <f t="shared" si="56"/>
        <v>0.73042029195962688</v>
      </c>
      <c r="CD75" s="2">
        <v>0.77896313263904882</v>
      </c>
      <c r="CE75" s="2">
        <f t="shared" si="49"/>
        <v>0.38091810924776243</v>
      </c>
      <c r="CF75" s="2">
        <v>0.18832167334452687</v>
      </c>
      <c r="CG75" s="2">
        <f t="shared" si="50"/>
        <v>-0.3465462151910022</v>
      </c>
      <c r="CH75" s="2">
        <f t="shared" si="51"/>
        <v>0.1466956406122803</v>
      </c>
      <c r="CI75" s="2">
        <f t="shared" si="52"/>
        <v>0.6990043654237289</v>
      </c>
    </row>
    <row r="76" spans="2:87" x14ac:dyDescent="0.2">
      <c r="B76" s="6" t="s">
        <v>264</v>
      </c>
      <c r="C76" s="17">
        <v>30</v>
      </c>
      <c r="AF76" s="2">
        <v>27</v>
      </c>
      <c r="AG76" s="2">
        <f t="shared" si="43"/>
        <v>567.63672381639481</v>
      </c>
      <c r="AH76" s="2">
        <v>2.4547735847590957E-5</v>
      </c>
      <c r="AI76" s="2">
        <f t="shared" si="44"/>
        <v>567.63674542307854</v>
      </c>
      <c r="AJ76" s="2">
        <v>-3.624527180363657E-4</v>
      </c>
      <c r="AK76" s="2">
        <f t="shared" si="39"/>
        <v>567.63673461973667</v>
      </c>
      <c r="AL76" s="2">
        <v>-1.6895248791115591E-4</v>
      </c>
      <c r="AM76" s="2">
        <f t="shared" si="40"/>
        <v>-4.1474010440363598E-9</v>
      </c>
      <c r="AN76" s="2">
        <f t="shared" si="41"/>
        <v>6.1237288462404676E-8</v>
      </c>
      <c r="AO76" s="2">
        <f t="shared" si="42"/>
        <v>2.1606683731079102E-5</v>
      </c>
      <c r="BG76" s="2" t="s">
        <v>197</v>
      </c>
      <c r="BH76" s="2">
        <f>1/(BH74+1)</f>
        <v>8.7743335775091857E-2</v>
      </c>
      <c r="BI76" s="2"/>
      <c r="BK76" s="2" t="s">
        <v>197</v>
      </c>
      <c r="BL76" s="2">
        <f>1/(BL74+1)</f>
        <v>0.10578896717351527</v>
      </c>
      <c r="BM76" s="2"/>
      <c r="BO76" s="2">
        <v>4</v>
      </c>
      <c r="BP76" s="2">
        <f t="shared" si="53"/>
        <v>3.1415926535897934E-2</v>
      </c>
      <c r="BQ76" s="2">
        <v>-2.1486499329039503</v>
      </c>
      <c r="BR76" s="2">
        <f t="shared" si="54"/>
        <v>0.38091810924776243</v>
      </c>
      <c r="BS76" s="2">
        <v>0.144006383195975</v>
      </c>
      <c r="BT76" s="2">
        <f t="shared" si="45"/>
        <v>0.20616701789183017</v>
      </c>
      <c r="BU76" s="2">
        <v>-0.30133068681998287</v>
      </c>
      <c r="BV76" s="2">
        <f t="shared" si="46"/>
        <v>0.64745416001765743</v>
      </c>
      <c r="BW76" s="2">
        <f t="shared" si="47"/>
        <v>-4.3393542354904786E-2</v>
      </c>
      <c r="BX76" s="2">
        <f t="shared" si="48"/>
        <v>0.34950218271186451</v>
      </c>
      <c r="BZ76" s="2">
        <v>4</v>
      </c>
      <c r="CA76" s="2">
        <f t="shared" si="55"/>
        <v>3.1415926535897934E-2</v>
      </c>
      <c r="CB76" s="2">
        <v>-1.8401823275912057</v>
      </c>
      <c r="CC76" s="2">
        <f t="shared" si="56"/>
        <v>0.38091810924776243</v>
      </c>
      <c r="CD76" s="2">
        <v>0.18832167334452687</v>
      </c>
      <c r="CE76" s="2">
        <f t="shared" si="49"/>
        <v>0.20616701789183017</v>
      </c>
      <c r="CF76" s="2">
        <v>-0.25810665327566368</v>
      </c>
      <c r="CG76" s="2">
        <f t="shared" si="50"/>
        <v>0.47496330199158709</v>
      </c>
      <c r="CH76" s="2">
        <f t="shared" si="51"/>
        <v>-4.8607076846228593E-2</v>
      </c>
      <c r="CI76" s="2">
        <f t="shared" si="52"/>
        <v>0.34950218271186451</v>
      </c>
    </row>
    <row r="77" spans="2:87" x14ac:dyDescent="0.2">
      <c r="B77" s="6" t="s">
        <v>266</v>
      </c>
      <c r="C77" s="17">
        <v>0.8</v>
      </c>
      <c r="AF77" s="2">
        <v>28</v>
      </c>
      <c r="AG77" s="2">
        <f t="shared" si="43"/>
        <v>567.63672381639481</v>
      </c>
      <c r="AH77" s="2">
        <v>2.4547735847590957E-5</v>
      </c>
      <c r="AI77" s="2">
        <f t="shared" si="44"/>
        <v>567.63673461973667</v>
      </c>
      <c r="AJ77" s="2">
        <v>-3.624527180363657E-4</v>
      </c>
      <c r="AK77" s="2">
        <f t="shared" si="39"/>
        <v>567.63672921806574</v>
      </c>
      <c r="AL77" s="2">
        <v>-1.6895248791115591E-4</v>
      </c>
      <c r="AM77" s="2">
        <f t="shared" si="40"/>
        <v>-4.1474010440363598E-9</v>
      </c>
      <c r="AN77" s="2">
        <f t="shared" si="41"/>
        <v>6.1237288462404676E-8</v>
      </c>
      <c r="AO77" s="2">
        <f t="shared" si="42"/>
        <v>1.0803341865539551E-5</v>
      </c>
      <c r="BG77" s="7" t="s">
        <v>199</v>
      </c>
      <c r="BH77" s="38">
        <f>SIN(BH61)/(1+BH75) - $AR$3*COS(BH61)/($AV$5*$AR$25*(1-BH76))</f>
        <v>4.4808137131258086E-9</v>
      </c>
      <c r="BI77" s="38"/>
      <c r="BK77" s="7" t="s">
        <v>199</v>
      </c>
      <c r="BL77" s="38">
        <f>SIN(BL61)/(1+BL75) - $AR$3*COS(BL61)/($AV$5*$AR$26*(1-BL76))</f>
        <v>4.9173158878090817E-9</v>
      </c>
      <c r="BM77" s="38"/>
      <c r="BO77" s="2">
        <v>5</v>
      </c>
      <c r="BP77" s="2">
        <f t="shared" si="53"/>
        <v>0.20616701789183017</v>
      </c>
      <c r="BQ77" s="2">
        <v>-0.30133068681998287</v>
      </c>
      <c r="BR77" s="2">
        <f t="shared" si="54"/>
        <v>0.38091810924776243</v>
      </c>
      <c r="BS77" s="2">
        <v>0.144006383195975</v>
      </c>
      <c r="BT77" s="2">
        <f t="shared" si="45"/>
        <v>0.2935425635697963</v>
      </c>
      <c r="BU77" s="2">
        <v>-7.9571876282066245E-2</v>
      </c>
      <c r="BV77" s="2">
        <f t="shared" si="46"/>
        <v>2.3977448131629726E-2</v>
      </c>
      <c r="BW77" s="2">
        <f t="shared" si="47"/>
        <v>-1.1458858107497947E-2</v>
      </c>
      <c r="BX77" s="2">
        <f t="shared" si="48"/>
        <v>0.17475109135593225</v>
      </c>
      <c r="BZ77" s="2">
        <v>5</v>
      </c>
      <c r="CA77" s="2">
        <f t="shared" si="55"/>
        <v>0.20616701789183017</v>
      </c>
      <c r="CB77" s="2">
        <v>-0.25810665471783123</v>
      </c>
      <c r="CC77" s="2">
        <f t="shared" si="56"/>
        <v>0.38091810924776243</v>
      </c>
      <c r="CD77" s="2">
        <v>0.18832167334452687</v>
      </c>
      <c r="CE77" s="2">
        <f t="shared" si="49"/>
        <v>0.2935425635697963</v>
      </c>
      <c r="CF77" s="2">
        <v>-3.0704415704063879E-2</v>
      </c>
      <c r="CG77" s="2">
        <f t="shared" si="50"/>
        <v>7.9250140224415705E-3</v>
      </c>
      <c r="CH77" s="2">
        <f t="shared" si="51"/>
        <v>-5.7823069444552788E-3</v>
      </c>
      <c r="CI77" s="2">
        <f t="shared" si="52"/>
        <v>0.17475109135593225</v>
      </c>
    </row>
    <row r="78" spans="2:87" x14ac:dyDescent="0.2">
      <c r="B78" s="6" t="s">
        <v>267</v>
      </c>
      <c r="C78" s="17">
        <v>0.8</v>
      </c>
      <c r="AF78" s="2">
        <v>29</v>
      </c>
      <c r="AG78" s="2">
        <f t="shared" si="43"/>
        <v>567.63672381639481</v>
      </c>
      <c r="AH78" s="2">
        <v>2.4547735847590957E-5</v>
      </c>
      <c r="AI78" s="2">
        <f t="shared" si="44"/>
        <v>567.63672921806574</v>
      </c>
      <c r="AJ78" s="2">
        <v>-3.624527180363657E-4</v>
      </c>
      <c r="AK78" s="2">
        <f t="shared" si="39"/>
        <v>567.63672651723027</v>
      </c>
      <c r="AL78" s="2">
        <v>-1.6895248791115591E-4</v>
      </c>
      <c r="AM78" s="2">
        <f t="shared" si="40"/>
        <v>-4.1474010440363598E-9</v>
      </c>
      <c r="AN78" s="2">
        <f t="shared" si="41"/>
        <v>6.1237288462404676E-8</v>
      </c>
      <c r="AO78" s="2">
        <f t="shared" si="42"/>
        <v>5.4016709327697754E-6</v>
      </c>
      <c r="BO78" s="2">
        <v>6</v>
      </c>
      <c r="BP78" s="2">
        <f t="shared" si="53"/>
        <v>0.2935425635697963</v>
      </c>
      <c r="BQ78" s="2">
        <v>-7.9571876282066245E-2</v>
      </c>
      <c r="BR78" s="2">
        <f t="shared" si="54"/>
        <v>0.38091810924776243</v>
      </c>
      <c r="BS78" s="2">
        <v>0.144006383195975</v>
      </c>
      <c r="BT78" s="2">
        <f t="shared" si="45"/>
        <v>0.33723033640877936</v>
      </c>
      <c r="BU78" s="2">
        <v>3.3625022634560166E-2</v>
      </c>
      <c r="BV78" s="2">
        <f t="shared" si="46"/>
        <v>-2.6756061410588986E-3</v>
      </c>
      <c r="BW78" s="2">
        <f t="shared" si="47"/>
        <v>4.8422178944858042E-3</v>
      </c>
      <c r="BX78" s="2">
        <f t="shared" si="48"/>
        <v>8.7375545677966127E-2</v>
      </c>
      <c r="BZ78" s="2">
        <v>6</v>
      </c>
      <c r="CA78" s="2">
        <f t="shared" si="55"/>
        <v>0.2935425635697963</v>
      </c>
      <c r="CB78" s="2">
        <v>-3.070441710352614E-2</v>
      </c>
      <c r="CC78" s="2">
        <f t="shared" si="56"/>
        <v>0.38091810924776243</v>
      </c>
      <c r="CD78" s="2">
        <v>0.18832167334452687</v>
      </c>
      <c r="CE78" s="2">
        <f t="shared" si="49"/>
        <v>0.33723033640877936</v>
      </c>
      <c r="CF78" s="2">
        <v>8.0764864862431021E-2</v>
      </c>
      <c r="CG78" s="2">
        <f t="shared" si="50"/>
        <v>-2.4798380980460043E-3</v>
      </c>
      <c r="CH78" s="2">
        <f t="shared" si="51"/>
        <v>1.5209774498337591E-2</v>
      </c>
      <c r="CI78" s="2">
        <f t="shared" si="52"/>
        <v>8.7375545677966127E-2</v>
      </c>
    </row>
    <row r="79" spans="2:87" x14ac:dyDescent="0.2">
      <c r="B79" s="6" t="s">
        <v>268</v>
      </c>
      <c r="C79" s="17">
        <v>0.8</v>
      </c>
      <c r="AF79" s="2">
        <v>30</v>
      </c>
      <c r="AG79" s="2">
        <f t="shared" si="43"/>
        <v>567.63672381639481</v>
      </c>
      <c r="AH79" s="2">
        <v>2.4547735847590957E-5</v>
      </c>
      <c r="AI79" s="2">
        <f t="shared" si="44"/>
        <v>567.63672651723027</v>
      </c>
      <c r="AJ79" s="2">
        <v>-3.624527180363657E-4</v>
      </c>
      <c r="AK79" s="5">
        <f t="shared" si="39"/>
        <v>567.63672516681254</v>
      </c>
      <c r="AL79" s="2">
        <v>-1.6895248791115591E-4</v>
      </c>
      <c r="AM79" s="2">
        <f t="shared" si="40"/>
        <v>-4.1474010440363598E-9</v>
      </c>
      <c r="AN79" s="2">
        <f t="shared" si="41"/>
        <v>6.1237288462404676E-8</v>
      </c>
      <c r="AO79" s="2">
        <f t="shared" si="42"/>
        <v>2.7008354663848877E-6</v>
      </c>
      <c r="BO79" s="2">
        <v>7</v>
      </c>
      <c r="BP79" s="2">
        <f t="shared" si="53"/>
        <v>0.2935425635697963</v>
      </c>
      <c r="BQ79" s="2">
        <v>-7.9571876282066245E-2</v>
      </c>
      <c r="BR79" s="2">
        <f t="shared" si="54"/>
        <v>0.33723033640877936</v>
      </c>
      <c r="BS79" s="2">
        <v>3.3625022634560166E-2</v>
      </c>
      <c r="BT79" s="2">
        <f t="shared" si="45"/>
        <v>0.31538644998928783</v>
      </c>
      <c r="BU79" s="2">
        <v>-2.2765541093449033E-2</v>
      </c>
      <c r="BV79" s="2">
        <f t="shared" si="46"/>
        <v>1.8114968193822217E-3</v>
      </c>
      <c r="BW79" s="2">
        <f t="shared" si="47"/>
        <v>-7.6549183455523338E-4</v>
      </c>
      <c r="BX79" s="2">
        <f t="shared" si="48"/>
        <v>4.3687772838983063E-2</v>
      </c>
      <c r="BZ79" s="2">
        <v>7</v>
      </c>
      <c r="CA79" s="2">
        <f t="shared" si="55"/>
        <v>0.2935425635697963</v>
      </c>
      <c r="CB79" s="2">
        <v>-3.070441710352614E-2</v>
      </c>
      <c r="CC79" s="2">
        <f t="shared" si="56"/>
        <v>0.33723033640877936</v>
      </c>
      <c r="CD79" s="2">
        <v>8.0764864862431021E-2</v>
      </c>
      <c r="CE79" s="2">
        <f t="shared" si="49"/>
        <v>0.31538644998928783</v>
      </c>
      <c r="CF79" s="2">
        <v>2.5430473702394235E-2</v>
      </c>
      <c r="CG79" s="2">
        <f t="shared" si="50"/>
        <v>-7.8082787169856532E-4</v>
      </c>
      <c r="CH79" s="2">
        <f t="shared" si="51"/>
        <v>2.0538887719614763E-3</v>
      </c>
      <c r="CI79" s="2">
        <f t="shared" si="52"/>
        <v>4.3687772838983063E-2</v>
      </c>
    </row>
    <row r="80" spans="2:87" x14ac:dyDescent="0.2">
      <c r="B80" s="6" t="s">
        <v>258</v>
      </c>
      <c r="C80" s="17">
        <v>5</v>
      </c>
      <c r="D80" s="6" t="s">
        <v>43</v>
      </c>
      <c r="BO80" s="2">
        <v>8</v>
      </c>
      <c r="BP80" s="2">
        <f t="shared" si="53"/>
        <v>0.31538644998928783</v>
      </c>
      <c r="BQ80" s="2">
        <v>-2.2765541093449033E-2</v>
      </c>
      <c r="BR80" s="2">
        <f t="shared" si="54"/>
        <v>0.33723033640877936</v>
      </c>
      <c r="BS80" s="2">
        <v>3.3625022634560166E-2</v>
      </c>
      <c r="BT80" s="2">
        <f t="shared" si="45"/>
        <v>0.3263083931990336</v>
      </c>
      <c r="BU80" s="2">
        <v>5.5023743510676792E-3</v>
      </c>
      <c r="BV80" s="2">
        <f t="shared" si="46"/>
        <v>-1.252645294007712E-4</v>
      </c>
      <c r="BW80" s="2">
        <f t="shared" si="47"/>
        <v>1.8501746209847401E-4</v>
      </c>
      <c r="BX80" s="2">
        <f t="shared" si="48"/>
        <v>2.1843886419491532E-2</v>
      </c>
      <c r="BZ80" s="2">
        <v>8</v>
      </c>
      <c r="CA80" s="2">
        <f t="shared" si="55"/>
        <v>0.2935425635697963</v>
      </c>
      <c r="CB80" s="2">
        <v>-3.070441710352614E-2</v>
      </c>
      <c r="CC80" s="2">
        <f t="shared" si="56"/>
        <v>0.31538644998928783</v>
      </c>
      <c r="CD80" s="2">
        <v>2.5430473702394235E-2</v>
      </c>
      <c r="CE80" s="2">
        <f t="shared" si="49"/>
        <v>0.30446450677954207</v>
      </c>
      <c r="CF80" s="2">
        <v>-2.5500660972769956E-3</v>
      </c>
      <c r="CG80" s="2">
        <f t="shared" si="50"/>
        <v>7.8298293092353936E-5</v>
      </c>
      <c r="CH80" s="2">
        <f t="shared" si="51"/>
        <v>-6.4849388826169736E-5</v>
      </c>
      <c r="CI80" s="2">
        <f t="shared" si="52"/>
        <v>2.1843886419491532E-2</v>
      </c>
    </row>
    <row r="81" spans="67:87" x14ac:dyDescent="0.2">
      <c r="BO81" s="2">
        <v>9</v>
      </c>
      <c r="BP81" s="2">
        <f t="shared" si="53"/>
        <v>0.31538644998928783</v>
      </c>
      <c r="BQ81" s="2">
        <v>-2.2765541093449033E-2</v>
      </c>
      <c r="BR81" s="2">
        <f t="shared" si="54"/>
        <v>0.3263083931990336</v>
      </c>
      <c r="BS81" s="2">
        <v>5.5023743510676792E-3</v>
      </c>
      <c r="BT81" s="2">
        <f t="shared" si="45"/>
        <v>0.32084742159416069</v>
      </c>
      <c r="BU81" s="2">
        <v>-8.6158232047045119E-3</v>
      </c>
      <c r="BV81" s="2">
        <f t="shared" si="46"/>
        <v>1.961438772205923E-4</v>
      </c>
      <c r="BW81" s="2">
        <f t="shared" si="47"/>
        <v>-4.740748461489984E-5</v>
      </c>
      <c r="BX81" s="2">
        <f t="shared" si="48"/>
        <v>1.0921943209745766E-2</v>
      </c>
      <c r="BZ81" s="2">
        <v>9</v>
      </c>
      <c r="CA81" s="2">
        <f t="shared" si="55"/>
        <v>0.30446450677954207</v>
      </c>
      <c r="CB81" s="2">
        <v>-2.5500674893371225E-3</v>
      </c>
      <c r="CC81" s="2">
        <f t="shared" si="56"/>
        <v>0.31538644998928783</v>
      </c>
      <c r="CD81" s="2">
        <v>2.5430473702394235E-2</v>
      </c>
      <c r="CE81" s="2">
        <f t="shared" si="49"/>
        <v>0.30992547838441498</v>
      </c>
      <c r="CF81" s="2">
        <v>1.1463668283298291E-2</v>
      </c>
      <c r="CG81" s="2">
        <f t="shared" si="50"/>
        <v>-2.9233127797784073E-5</v>
      </c>
      <c r="CH81" s="2">
        <f t="shared" si="51"/>
        <v>2.9152651481138803E-4</v>
      </c>
      <c r="CI81" s="2">
        <f t="shared" si="52"/>
        <v>1.0921943209745766E-2</v>
      </c>
    </row>
    <row r="82" spans="67:87" x14ac:dyDescent="0.2">
      <c r="BO82" s="2">
        <v>10</v>
      </c>
      <c r="BP82" s="2">
        <f t="shared" si="53"/>
        <v>0.32084742159416069</v>
      </c>
      <c r="BQ82" s="2">
        <v>-8.6158232047045119E-3</v>
      </c>
      <c r="BR82" s="2">
        <f t="shared" si="54"/>
        <v>0.3263083931990336</v>
      </c>
      <c r="BS82" s="2">
        <v>5.5023743510676792E-3</v>
      </c>
      <c r="BT82" s="2">
        <f t="shared" si="45"/>
        <v>0.32357790739659714</v>
      </c>
      <c r="BU82" s="2">
        <v>-1.5524737829711935E-3</v>
      </c>
      <c r="BV82" s="2">
        <f t="shared" si="46"/>
        <v>1.3375839644018604E-5</v>
      </c>
      <c r="BW82" s="2">
        <f t="shared" si="47"/>
        <v>-8.5422919241257051E-6</v>
      </c>
      <c r="BX82" s="2">
        <f t="shared" si="48"/>
        <v>5.4609716048729107E-3</v>
      </c>
      <c r="BZ82" s="2">
        <v>10</v>
      </c>
      <c r="CA82" s="2">
        <f t="shared" si="55"/>
        <v>0.30446450677954207</v>
      </c>
      <c r="CB82" s="2">
        <v>-2.5500674893371225E-3</v>
      </c>
      <c r="CC82" s="2">
        <f t="shared" si="56"/>
        <v>0.30992547838441498</v>
      </c>
      <c r="CD82" s="2">
        <v>1.1463668283298291E-2</v>
      </c>
      <c r="CE82" s="2">
        <f t="shared" si="49"/>
        <v>0.30719499258197852</v>
      </c>
      <c r="CF82" s="2">
        <v>4.4624558288847219E-3</v>
      </c>
      <c r="CG82" s="2">
        <f t="shared" si="50"/>
        <v>-1.1379563531841871E-5</v>
      </c>
      <c r="CH82" s="2">
        <f t="shared" si="51"/>
        <v>5.1156113351205371E-5</v>
      </c>
      <c r="CI82" s="2">
        <f t="shared" si="52"/>
        <v>5.4609716048729107E-3</v>
      </c>
    </row>
    <row r="83" spans="67:87" x14ac:dyDescent="0.2">
      <c r="BO83" s="2">
        <v>11</v>
      </c>
      <c r="BP83" s="2">
        <f t="shared" si="53"/>
        <v>0.32357790739659714</v>
      </c>
      <c r="BQ83" s="2">
        <v>-1.5524737829711935E-3</v>
      </c>
      <c r="BR83" s="2">
        <f t="shared" si="54"/>
        <v>0.3263083931990336</v>
      </c>
      <c r="BS83" s="2">
        <v>5.5023743510676792E-3</v>
      </c>
      <c r="BT83" s="2">
        <f t="shared" si="45"/>
        <v>0.3249431502978154</v>
      </c>
      <c r="BU83" s="2">
        <v>1.9760508010129227E-3</v>
      </c>
      <c r="BV83" s="2">
        <f t="shared" si="46"/>
        <v>-3.067767062391789E-6</v>
      </c>
      <c r="BW83" s="2">
        <f t="shared" si="47"/>
        <v>1.0872971243900249E-5</v>
      </c>
      <c r="BX83" s="2">
        <f t="shared" si="48"/>
        <v>2.7304858024364553E-3</v>
      </c>
      <c r="BZ83" s="2">
        <v>11</v>
      </c>
      <c r="CA83" s="2">
        <f t="shared" si="55"/>
        <v>0.30446450677954207</v>
      </c>
      <c r="CB83" s="2">
        <v>-2.5500674893371225E-3</v>
      </c>
      <c r="CC83" s="2">
        <f t="shared" si="56"/>
        <v>0.30719499258197852</v>
      </c>
      <c r="CD83" s="2">
        <v>4.4624558288847219E-3</v>
      </c>
      <c r="CE83" s="2">
        <f t="shared" si="49"/>
        <v>0.30582974968076027</v>
      </c>
      <c r="CF83" s="2">
        <v>9.5758161270129843E-4</v>
      </c>
      <c r="CG83" s="2">
        <f t="shared" si="50"/>
        <v>-2.441897738936593E-6</v>
      </c>
      <c r="CH83" s="2">
        <f t="shared" si="51"/>
        <v>4.2731656492317417E-6</v>
      </c>
      <c r="CI83" s="2">
        <f t="shared" si="52"/>
        <v>2.7304858024364553E-3</v>
      </c>
    </row>
    <row r="84" spans="67:87" x14ac:dyDescent="0.2">
      <c r="BO84" s="2">
        <v>12</v>
      </c>
      <c r="BP84" s="2">
        <f t="shared" si="53"/>
        <v>0.32357790739659714</v>
      </c>
      <c r="BQ84" s="2">
        <v>-1.5524737829711935E-3</v>
      </c>
      <c r="BR84" s="2">
        <f t="shared" si="54"/>
        <v>0.3249431502978154</v>
      </c>
      <c r="BS84" s="2">
        <v>1.9760508010129227E-3</v>
      </c>
      <c r="BT84" s="2">
        <f t="shared" si="45"/>
        <v>0.32426052884720624</v>
      </c>
      <c r="BU84" s="2">
        <v>2.1205894878001397E-4</v>
      </c>
      <c r="BV84" s="2">
        <f t="shared" si="46"/>
        <v>-3.2921595842540285E-7</v>
      </c>
      <c r="BW84" s="2">
        <f t="shared" si="47"/>
        <v>4.1903925559870493E-7</v>
      </c>
      <c r="BX84" s="2">
        <f t="shared" si="48"/>
        <v>1.3652429012182554E-3</v>
      </c>
      <c r="BZ84" s="2">
        <v>12</v>
      </c>
      <c r="CA84" s="2">
        <f t="shared" si="55"/>
        <v>0.30446450677954207</v>
      </c>
      <c r="CB84" s="2">
        <v>-2.5500674893371225E-3</v>
      </c>
      <c r="CC84" s="2">
        <f t="shared" si="56"/>
        <v>0.30582974968076027</v>
      </c>
      <c r="CD84" s="2">
        <v>9.5758161270129843E-4</v>
      </c>
      <c r="CE84" s="2">
        <f t="shared" si="49"/>
        <v>0.30514712823015117</v>
      </c>
      <c r="CF84" s="2">
        <v>-7.958989549209719E-4</v>
      </c>
      <c r="CG84" s="2">
        <f t="shared" si="50"/>
        <v>2.0295960497413626E-6</v>
      </c>
      <c r="CH84" s="2">
        <f t="shared" si="51"/>
        <v>-7.6213820480050232E-7</v>
      </c>
      <c r="CI84" s="2">
        <f t="shared" si="52"/>
        <v>1.3652429012181999E-3</v>
      </c>
    </row>
    <row r="85" spans="67:87" x14ac:dyDescent="0.2">
      <c r="BO85" s="2">
        <v>13</v>
      </c>
      <c r="BP85" s="2">
        <f t="shared" si="53"/>
        <v>0.32357790739659714</v>
      </c>
      <c r="BQ85" s="2">
        <v>-1.5524737829711935E-3</v>
      </c>
      <c r="BR85" s="2">
        <f t="shared" si="54"/>
        <v>0.32426052884720624</v>
      </c>
      <c r="BS85" s="2">
        <v>2.1205894878001397E-4</v>
      </c>
      <c r="BT85" s="2">
        <f t="shared" si="45"/>
        <v>0.32391921812190172</v>
      </c>
      <c r="BU85" s="2">
        <v>-6.7014039703926914E-4</v>
      </c>
      <c r="BV85" s="2">
        <f t="shared" si="46"/>
        <v>1.0403753973133717E-6</v>
      </c>
      <c r="BW85" s="2">
        <f t="shared" si="47"/>
        <v>-1.421092681311686E-7</v>
      </c>
      <c r="BX85" s="2">
        <f t="shared" si="48"/>
        <v>6.8262145060909996E-4</v>
      </c>
      <c r="BZ85" s="2">
        <v>13</v>
      </c>
      <c r="CA85" s="2">
        <f t="shared" si="55"/>
        <v>0.30514712823015117</v>
      </c>
      <c r="CB85" s="2">
        <v>-7.9590034650325187E-4</v>
      </c>
      <c r="CC85" s="2">
        <f t="shared" si="56"/>
        <v>0.30582974968076027</v>
      </c>
      <c r="CD85" s="2">
        <v>9.5758161270129843E-4</v>
      </c>
      <c r="CE85" s="2">
        <f t="shared" si="49"/>
        <v>0.30548843895545574</v>
      </c>
      <c r="CF85" s="2">
        <v>8.0927577092257397E-5</v>
      </c>
      <c r="CG85" s="2">
        <f t="shared" si="50"/>
        <v>-6.4410286649396296E-8</v>
      </c>
      <c r="CH85" s="2">
        <f t="shared" si="51"/>
        <v>7.7494759784012498E-8</v>
      </c>
      <c r="CI85" s="2">
        <f t="shared" si="52"/>
        <v>6.8262145060909996E-4</v>
      </c>
    </row>
    <row r="86" spans="67:87" x14ac:dyDescent="0.2">
      <c r="BO86" s="2">
        <v>14</v>
      </c>
      <c r="BP86" s="2">
        <f t="shared" si="53"/>
        <v>0.32391921812190172</v>
      </c>
      <c r="BQ86" s="2">
        <v>-6.7014039703926914E-4</v>
      </c>
      <c r="BR86" s="2">
        <f t="shared" si="54"/>
        <v>0.32426052884720624</v>
      </c>
      <c r="BS86" s="2">
        <v>2.1205894878001397E-4</v>
      </c>
      <c r="BT86" s="2">
        <f t="shared" si="45"/>
        <v>0.32408987348455398</v>
      </c>
      <c r="BU86" s="2">
        <v>-2.2902389521429339E-4</v>
      </c>
      <c r="BV86" s="2">
        <f t="shared" si="46"/>
        <v>1.5347816407038654E-7</v>
      </c>
      <c r="BW86" s="2">
        <f t="shared" si="47"/>
        <v>-4.8566566464647131E-8</v>
      </c>
      <c r="BX86" s="2">
        <f t="shared" si="48"/>
        <v>3.4131072530452222E-4</v>
      </c>
      <c r="BZ86" s="2">
        <v>14</v>
      </c>
      <c r="CA86" s="2">
        <f t="shared" si="55"/>
        <v>0.30514712823015117</v>
      </c>
      <c r="CB86" s="2">
        <v>-7.9590034650325187E-4</v>
      </c>
      <c r="CC86" s="2">
        <f t="shared" si="56"/>
        <v>0.30548843895545574</v>
      </c>
      <c r="CD86" s="2">
        <v>8.0927577092257397E-5</v>
      </c>
      <c r="CE86" s="2">
        <f t="shared" si="49"/>
        <v>0.30531778359280348</v>
      </c>
      <c r="CF86" s="2">
        <v>-3.5746418006878805E-4</v>
      </c>
      <c r="CG86" s="2">
        <f t="shared" si="50"/>
        <v>2.8450586477924922E-7</v>
      </c>
      <c r="CH86" s="2">
        <f t="shared" si="51"/>
        <v>-2.8928709990237427E-8</v>
      </c>
      <c r="CI86" s="2">
        <f t="shared" si="52"/>
        <v>3.4131072530457773E-4</v>
      </c>
    </row>
    <row r="87" spans="67:87" x14ac:dyDescent="0.2">
      <c r="BO87" s="2">
        <v>15</v>
      </c>
      <c r="BP87" s="2">
        <f t="shared" si="53"/>
        <v>0.32408987348455398</v>
      </c>
      <c r="BQ87" s="2">
        <v>-2.2902389521429339E-4</v>
      </c>
      <c r="BR87" s="2">
        <f t="shared" si="54"/>
        <v>0.32426052884720624</v>
      </c>
      <c r="BS87" s="2">
        <v>2.1205894878001397E-4</v>
      </c>
      <c r="BT87" s="2">
        <f t="shared" si="45"/>
        <v>0.32417520116588011</v>
      </c>
      <c r="BU87" s="2">
        <v>-8.4782567651639495E-6</v>
      </c>
      <c r="BV87" s="2">
        <f t="shared" si="46"/>
        <v>1.9417233889847824E-9</v>
      </c>
      <c r="BW87" s="2">
        <f t="shared" si="47"/>
        <v>-1.7978902171077088E-9</v>
      </c>
      <c r="BX87" s="2">
        <f t="shared" si="48"/>
        <v>1.7065536265226111E-4</v>
      </c>
      <c r="BZ87" s="2">
        <v>15</v>
      </c>
      <c r="CA87" s="2">
        <f t="shared" si="55"/>
        <v>0.30531778359280348</v>
      </c>
      <c r="CB87" s="2">
        <v>-3.5746557153133046E-4</v>
      </c>
      <c r="CC87" s="2">
        <f t="shared" si="56"/>
        <v>0.30548843895545574</v>
      </c>
      <c r="CD87" s="2">
        <v>8.0927577092257397E-5</v>
      </c>
      <c r="CE87" s="2">
        <f t="shared" si="49"/>
        <v>0.30540311127412961</v>
      </c>
      <c r="CF87" s="2">
        <v>-1.382629176205491E-4</v>
      </c>
      <c r="CG87" s="2">
        <f t="shared" si="50"/>
        <v>4.9424232868818847E-8</v>
      </c>
      <c r="CH87" s="2">
        <f t="shared" si="51"/>
        <v>-1.1189282924737421E-8</v>
      </c>
      <c r="CI87" s="2">
        <f t="shared" si="52"/>
        <v>1.7065536265226111E-4</v>
      </c>
    </row>
    <row r="88" spans="67:87" x14ac:dyDescent="0.2">
      <c r="BO88" s="2">
        <v>16</v>
      </c>
      <c r="BP88" s="2">
        <f t="shared" si="53"/>
        <v>0.32417520116588011</v>
      </c>
      <c r="BQ88" s="2">
        <v>-8.4782567651639495E-6</v>
      </c>
      <c r="BR88" s="2">
        <f t="shared" si="54"/>
        <v>0.32426052884720624</v>
      </c>
      <c r="BS88" s="2">
        <v>2.1205894878001397E-4</v>
      </c>
      <c r="BT88" s="2">
        <f t="shared" si="45"/>
        <v>0.32421786500654315</v>
      </c>
      <c r="BU88" s="2">
        <v>1.0179140127228314E-4</v>
      </c>
      <c r="BV88" s="2">
        <f t="shared" si="46"/>
        <v>-8.6301363647225282E-10</v>
      </c>
      <c r="BW88" s="2">
        <f t="shared" si="47"/>
        <v>2.1585777548644939E-8</v>
      </c>
      <c r="BX88" s="2">
        <f t="shared" si="48"/>
        <v>8.5327681326130556E-5</v>
      </c>
      <c r="BZ88" s="2">
        <v>16</v>
      </c>
      <c r="CA88" s="2">
        <f t="shared" si="55"/>
        <v>0.30540311127412961</v>
      </c>
      <c r="CB88" s="2">
        <v>-1.382643090231811E-4</v>
      </c>
      <c r="CC88" s="2">
        <f t="shared" si="56"/>
        <v>0.30548843895545574</v>
      </c>
      <c r="CD88" s="2">
        <v>8.0927577092257397E-5</v>
      </c>
      <c r="CE88" s="2">
        <f t="shared" si="49"/>
        <v>0.30544577511479265</v>
      </c>
      <c r="CF88" s="2">
        <v>-2.866632346587572E-5</v>
      </c>
      <c r="CG88" s="2">
        <f t="shared" si="50"/>
        <v>3.9635294062443084E-9</v>
      </c>
      <c r="CH88" s="2">
        <f t="shared" si="51"/>
        <v>-2.3198961022362445E-9</v>
      </c>
      <c r="CI88" s="2">
        <f t="shared" si="52"/>
        <v>8.5327681326130556E-5</v>
      </c>
    </row>
    <row r="89" spans="67:87" x14ac:dyDescent="0.2">
      <c r="BO89" s="2">
        <v>17</v>
      </c>
      <c r="BP89" s="2">
        <f t="shared" si="53"/>
        <v>0.32417520116588011</v>
      </c>
      <c r="BQ89" s="2">
        <v>-8.4782567651639495E-6</v>
      </c>
      <c r="BR89" s="2">
        <f t="shared" si="54"/>
        <v>0.32421786500654315</v>
      </c>
      <c r="BS89" s="2">
        <v>1.0179140127228314E-4</v>
      </c>
      <c r="BT89" s="2">
        <f t="shared" si="45"/>
        <v>0.32419653308621166</v>
      </c>
      <c r="BU89" s="2">
        <v>4.6656835925994178E-5</v>
      </c>
      <c r="BV89" s="2">
        <f t="shared" si="46"/>
        <v>-3.9556863483070454E-10</v>
      </c>
      <c r="BW89" s="2">
        <f t="shared" si="47"/>
        <v>4.7492647078379499E-9</v>
      </c>
      <c r="BX89" s="2">
        <f t="shared" si="48"/>
        <v>4.2663840663037522E-5</v>
      </c>
      <c r="BZ89" s="2">
        <v>17</v>
      </c>
      <c r="CA89" s="2">
        <f t="shared" si="55"/>
        <v>0.30544577511479265</v>
      </c>
      <c r="CB89" s="2">
        <v>-2.8667714838545577E-5</v>
      </c>
      <c r="CC89" s="2">
        <f t="shared" si="56"/>
        <v>0.30548843895545574</v>
      </c>
      <c r="CD89" s="2">
        <v>8.0927577092257397E-5</v>
      </c>
      <c r="CE89" s="2">
        <f t="shared" si="49"/>
        <v>0.3054671070351242</v>
      </c>
      <c r="CF89" s="2">
        <v>2.6130963616678715E-5</v>
      </c>
      <c r="CG89" s="2">
        <f t="shared" si="50"/>
        <v>-7.4911501341935496E-10</v>
      </c>
      <c r="CH89" s="2">
        <f t="shared" si="51"/>
        <v>2.1147155725837398E-9</v>
      </c>
      <c r="CI89" s="2">
        <f t="shared" si="52"/>
        <v>4.2663840663093033E-5</v>
      </c>
    </row>
    <row r="90" spans="67:87" x14ac:dyDescent="0.2">
      <c r="BO90" s="2">
        <v>18</v>
      </c>
      <c r="BP90" s="2">
        <f t="shared" si="53"/>
        <v>0.32417520116588011</v>
      </c>
      <c r="BQ90" s="2">
        <v>-8.4782567651639495E-6</v>
      </c>
      <c r="BR90" s="2">
        <f t="shared" si="54"/>
        <v>0.32419653308621166</v>
      </c>
      <c r="BS90" s="2">
        <v>4.6656835925994178E-5</v>
      </c>
      <c r="BT90" s="2">
        <f t="shared" si="45"/>
        <v>0.32418586712604591</v>
      </c>
      <c r="BU90" s="2">
        <v>1.9089355480554626E-5</v>
      </c>
      <c r="BV90" s="2">
        <f t="shared" si="46"/>
        <v>-1.6184445724563179E-10</v>
      </c>
      <c r="BW90" s="2">
        <f t="shared" si="47"/>
        <v>8.9064892658921495E-10</v>
      </c>
      <c r="BX90" s="2">
        <f t="shared" si="48"/>
        <v>2.1331920331546517E-5</v>
      </c>
      <c r="BZ90" s="2">
        <v>18</v>
      </c>
      <c r="CA90" s="2">
        <f t="shared" si="55"/>
        <v>0.30544577511479265</v>
      </c>
      <c r="CB90" s="2">
        <v>-2.8667714838545577E-5</v>
      </c>
      <c r="CC90" s="2">
        <f t="shared" si="56"/>
        <v>0.3054671070351242</v>
      </c>
      <c r="CD90" s="2">
        <v>2.6130963616678715E-5</v>
      </c>
      <c r="CE90" s="2">
        <f t="shared" si="49"/>
        <v>0.3054564410749584</v>
      </c>
      <c r="CF90" s="2">
        <v>-1.2675957367577761E-6</v>
      </c>
      <c r="CG90" s="2">
        <f t="shared" si="50"/>
        <v>3.6339073111928014E-11</v>
      </c>
      <c r="CH90" s="2">
        <f t="shared" si="51"/>
        <v>-3.31234980778745E-11</v>
      </c>
      <c r="CI90" s="2">
        <f t="shared" si="52"/>
        <v>2.1331920331546517E-5</v>
      </c>
    </row>
    <row r="91" spans="67:87" x14ac:dyDescent="0.2">
      <c r="BO91" s="2">
        <v>19</v>
      </c>
      <c r="BP91" s="2">
        <f t="shared" si="53"/>
        <v>0.32417520116588011</v>
      </c>
      <c r="BQ91" s="2">
        <v>-8.4782567651639495E-6</v>
      </c>
      <c r="BR91" s="2">
        <f t="shared" si="54"/>
        <v>0.32418586712604591</v>
      </c>
      <c r="BS91" s="2">
        <v>1.9089355480554626E-5</v>
      </c>
      <c r="BT91" s="2">
        <f t="shared" si="45"/>
        <v>0.32418053414596304</v>
      </c>
      <c r="BU91" s="2">
        <v>5.3055658305808939E-6</v>
      </c>
      <c r="BV91" s="2">
        <f t="shared" si="46"/>
        <v>-4.4981949396145154E-11</v>
      </c>
      <c r="BW91" s="2">
        <f t="shared" si="47"/>
        <v>1.0127983216544274E-10</v>
      </c>
      <c r="BX91" s="2">
        <f t="shared" si="48"/>
        <v>1.0665960165801014E-5</v>
      </c>
      <c r="BZ91" s="2">
        <v>19</v>
      </c>
      <c r="CA91" s="2">
        <f t="shared" si="55"/>
        <v>0.3054564410749584</v>
      </c>
      <c r="CB91" s="2">
        <v>-1.2689871019336274E-6</v>
      </c>
      <c r="CC91" s="2">
        <f t="shared" si="56"/>
        <v>0.3054671070351242</v>
      </c>
      <c r="CD91" s="2">
        <v>2.6130963616678715E-5</v>
      </c>
      <c r="CE91" s="2">
        <f t="shared" si="49"/>
        <v>0.30546177405504127</v>
      </c>
      <c r="CF91" s="2">
        <v>1.2431704988380421E-5</v>
      </c>
      <c r="CG91" s="2">
        <f t="shared" si="50"/>
        <v>-1.577567328529869E-11</v>
      </c>
      <c r="CH91" s="2">
        <f t="shared" si="51"/>
        <v>3.2485243074465207E-10</v>
      </c>
      <c r="CI91" s="2">
        <f t="shared" si="52"/>
        <v>1.0665960165801014E-5</v>
      </c>
    </row>
    <row r="92" spans="67:87" x14ac:dyDescent="0.2">
      <c r="BO92" s="2">
        <v>20</v>
      </c>
      <c r="BP92" s="2">
        <f t="shared" si="53"/>
        <v>0.32417520116588011</v>
      </c>
      <c r="BQ92" s="2">
        <v>-8.4782567651639495E-6</v>
      </c>
      <c r="BR92" s="2">
        <f t="shared" si="54"/>
        <v>0.32418053414596304</v>
      </c>
      <c r="BS92" s="2">
        <v>5.3055658305808939E-6</v>
      </c>
      <c r="BT92" s="2">
        <f t="shared" si="45"/>
        <v>0.3241778676559216</v>
      </c>
      <c r="BU92" s="2">
        <v>-1.5863413493980016E-6</v>
      </c>
      <c r="BV92" s="2">
        <f t="shared" si="46"/>
        <v>1.3449409277392916E-11</v>
      </c>
      <c r="BW92" s="2">
        <f t="shared" si="47"/>
        <v>-8.4164384590036242E-12</v>
      </c>
      <c r="BX92" s="2">
        <f t="shared" si="48"/>
        <v>5.3329800829282625E-6</v>
      </c>
      <c r="BZ92" s="2">
        <v>20</v>
      </c>
      <c r="CA92" s="2">
        <f t="shared" si="55"/>
        <v>0.3054564410749584</v>
      </c>
      <c r="CB92" s="2">
        <v>-1.2689871019336274E-6</v>
      </c>
      <c r="CC92" s="2">
        <f t="shared" si="56"/>
        <v>0.30546177405504127</v>
      </c>
      <c r="CD92" s="2">
        <v>1.2431704988380421E-5</v>
      </c>
      <c r="CE92" s="2">
        <f t="shared" si="49"/>
        <v>0.30545910756499983</v>
      </c>
      <c r="CF92" s="2">
        <v>5.5820598878278394E-6</v>
      </c>
      <c r="CG92" s="2">
        <f t="shared" si="50"/>
        <v>-7.083561999874599E-12</v>
      </c>
      <c r="CH92" s="2">
        <f t="shared" si="51"/>
        <v>6.93945217529476E-11</v>
      </c>
      <c r="CI92" s="2">
        <f t="shared" si="52"/>
        <v>5.3329800828727514E-6</v>
      </c>
    </row>
    <row r="93" spans="67:87" x14ac:dyDescent="0.2">
      <c r="BO93" s="2">
        <v>21</v>
      </c>
      <c r="BP93" s="2">
        <f t="shared" si="53"/>
        <v>0.3241778676559216</v>
      </c>
      <c r="BQ93" s="2">
        <v>-1.5863413493980016E-6</v>
      </c>
      <c r="BR93" s="2">
        <f t="shared" si="54"/>
        <v>0.32418053414596304</v>
      </c>
      <c r="BS93" s="2">
        <v>5.3055658305808939E-6</v>
      </c>
      <c r="BT93" s="2">
        <f t="shared" si="45"/>
        <v>0.32417920090094232</v>
      </c>
      <c r="BU93" s="2">
        <v>1.8596132700873791E-6</v>
      </c>
      <c r="BV93" s="2">
        <f t="shared" si="46"/>
        <v>-2.9499814242288434E-12</v>
      </c>
      <c r="BW93" s="2">
        <f t="shared" si="47"/>
        <v>9.8663006238703977E-12</v>
      </c>
      <c r="BX93" s="2">
        <f t="shared" si="48"/>
        <v>2.6664900414363757E-6</v>
      </c>
      <c r="BZ93" s="2">
        <v>21</v>
      </c>
      <c r="CA93" s="2">
        <f t="shared" si="55"/>
        <v>0.3054564410749584</v>
      </c>
      <c r="CB93" s="2">
        <v>-1.2689871019336274E-6</v>
      </c>
      <c r="CC93" s="2">
        <f t="shared" si="56"/>
        <v>0.30545910756499983</v>
      </c>
      <c r="CD93" s="2">
        <v>5.5820598878278394E-6</v>
      </c>
      <c r="CE93" s="2">
        <f t="shared" si="49"/>
        <v>0.30545777431997911</v>
      </c>
      <c r="CF93" s="2">
        <v>2.1572333910244157E-6</v>
      </c>
      <c r="CG93" s="2">
        <f t="shared" si="50"/>
        <v>-2.7375013490705248E-12</v>
      </c>
      <c r="CH93" s="2">
        <f t="shared" si="51"/>
        <v>1.204180598072022E-11</v>
      </c>
      <c r="CI93" s="2">
        <f t="shared" si="52"/>
        <v>2.6664900414363757E-6</v>
      </c>
    </row>
    <row r="94" spans="67:87" x14ac:dyDescent="0.2">
      <c r="BO94" s="2">
        <v>22</v>
      </c>
      <c r="BP94" s="2">
        <f t="shared" si="53"/>
        <v>0.3241778676559216</v>
      </c>
      <c r="BQ94" s="2">
        <v>-1.5863413493980016E-6</v>
      </c>
      <c r="BR94" s="2">
        <f t="shared" si="54"/>
        <v>0.32417920090094232</v>
      </c>
      <c r="BS94" s="2">
        <v>1.8596132700873791E-6</v>
      </c>
      <c r="BT94" s="2">
        <f t="shared" si="45"/>
        <v>0.32417853427843196</v>
      </c>
      <c r="BU94" s="2">
        <v>1.3663621777765256E-7</v>
      </c>
      <c r="BV94" s="2">
        <f t="shared" si="46"/>
        <v>-2.1675168208604059E-13</v>
      </c>
      <c r="BW94" s="2">
        <f t="shared" si="47"/>
        <v>2.5409052375387177E-13</v>
      </c>
      <c r="BX94" s="2">
        <f t="shared" si="48"/>
        <v>1.3332450207181878E-6</v>
      </c>
      <c r="BZ94" s="2">
        <v>22</v>
      </c>
      <c r="CA94" s="2">
        <f t="shared" si="55"/>
        <v>0.3054564410749584</v>
      </c>
      <c r="CB94" s="2">
        <v>-1.2689871019336274E-6</v>
      </c>
      <c r="CC94" s="2">
        <f t="shared" si="56"/>
        <v>0.30545777431997911</v>
      </c>
      <c r="CD94" s="2">
        <v>2.1572333910244157E-6</v>
      </c>
      <c r="CE94" s="2">
        <f t="shared" si="49"/>
        <v>0.30545710769746875</v>
      </c>
      <c r="CF94" s="2">
        <v>4.4481915598831856E-7</v>
      </c>
      <c r="CG94" s="2">
        <f t="shared" si="50"/>
        <v>-5.6446977164217853E-13</v>
      </c>
      <c r="CH94" s="2">
        <f t="shared" si="51"/>
        <v>9.5957873626529896E-13</v>
      </c>
      <c r="CI94" s="2">
        <f t="shared" si="52"/>
        <v>1.3332450207181878E-6</v>
      </c>
    </row>
    <row r="95" spans="67:87" x14ac:dyDescent="0.2">
      <c r="BO95" s="2">
        <v>23</v>
      </c>
      <c r="BP95" s="2">
        <f t="shared" si="53"/>
        <v>0.3241778676559216</v>
      </c>
      <c r="BQ95" s="2">
        <v>-1.5863413493980016E-6</v>
      </c>
      <c r="BR95" s="2">
        <f t="shared" si="54"/>
        <v>0.32417853427843196</v>
      </c>
      <c r="BS95" s="2">
        <v>1.3663621777765256E-7</v>
      </c>
      <c r="BT95" s="2">
        <f t="shared" si="45"/>
        <v>0.32417820096717676</v>
      </c>
      <c r="BU95" s="2">
        <v>-7.248525014380558E-7</v>
      </c>
      <c r="BV95" s="2">
        <f t="shared" si="46"/>
        <v>1.1498634952457624E-12</v>
      </c>
      <c r="BW95" s="2">
        <f t="shared" si="47"/>
        <v>-9.9041104243166403E-14</v>
      </c>
      <c r="BX95" s="2">
        <f t="shared" si="48"/>
        <v>6.6662251035909392E-7</v>
      </c>
      <c r="BZ95" s="2">
        <v>23</v>
      </c>
      <c r="CA95" s="2">
        <f t="shared" si="55"/>
        <v>0.3054564410749584</v>
      </c>
      <c r="CB95" s="2">
        <v>-1.2689871019336274E-6</v>
      </c>
      <c r="CC95" s="2">
        <f t="shared" si="56"/>
        <v>0.30545710769746875</v>
      </c>
      <c r="CD95" s="2">
        <v>4.4481915598831856E-7</v>
      </c>
      <c r="CE95" s="2">
        <f t="shared" si="49"/>
        <v>0.30545677438621355</v>
      </c>
      <c r="CF95" s="2">
        <v>-4.1138820824210276E-7</v>
      </c>
      <c r="CG95" s="2">
        <f t="shared" si="50"/>
        <v>5.2204633014681358E-13</v>
      </c>
      <c r="CH95" s="2">
        <f t="shared" si="51"/>
        <v>-1.8299335557379879E-13</v>
      </c>
      <c r="CI95" s="2">
        <f t="shared" si="52"/>
        <v>6.6662251035909392E-7</v>
      </c>
    </row>
    <row r="96" spans="67:87" x14ac:dyDescent="0.2">
      <c r="BO96" s="2">
        <v>24</v>
      </c>
      <c r="BP96" s="2">
        <f t="shared" si="53"/>
        <v>0.32417820096717676</v>
      </c>
      <c r="BQ96" s="2">
        <v>-7.248525014380558E-7</v>
      </c>
      <c r="BR96" s="2">
        <f t="shared" si="54"/>
        <v>0.32417853427843196</v>
      </c>
      <c r="BS96" s="2">
        <v>1.3663621777765256E-7</v>
      </c>
      <c r="BT96" s="2">
        <f t="shared" si="45"/>
        <v>0.32417836762280439</v>
      </c>
      <c r="BU96" s="2">
        <v>-2.9410812572849832E-7</v>
      </c>
      <c r="BV96" s="2">
        <f t="shared" si="46"/>
        <v>2.1318501062756023E-13</v>
      </c>
      <c r="BW96" s="2">
        <f t="shared" si="47"/>
        <v>-4.0185821917216316E-14</v>
      </c>
      <c r="BX96" s="2">
        <f t="shared" si="48"/>
        <v>3.3331125520730254E-7</v>
      </c>
      <c r="BZ96" s="2">
        <v>24</v>
      </c>
      <c r="CA96" s="2">
        <f t="shared" si="55"/>
        <v>0.30545677438621355</v>
      </c>
      <c r="CB96" s="2">
        <v>-4.1277957318203162E-7</v>
      </c>
      <c r="CC96" s="2">
        <f t="shared" si="56"/>
        <v>0.30545710769746875</v>
      </c>
      <c r="CD96" s="2">
        <v>4.4481915598831856E-7</v>
      </c>
      <c r="CE96" s="2">
        <f t="shared" si="49"/>
        <v>0.30545694104184118</v>
      </c>
      <c r="CF96" s="2">
        <v>1.6715494571828415E-8</v>
      </c>
      <c r="CG96" s="2">
        <f t="shared" si="50"/>
        <v>-6.8998147148858995E-15</v>
      </c>
      <c r="CH96" s="2">
        <f t="shared" si="51"/>
        <v>7.4353721873680362E-15</v>
      </c>
      <c r="CI96" s="2">
        <f t="shared" si="52"/>
        <v>3.3331125520730254E-7</v>
      </c>
    </row>
    <row r="97" spans="67:87" x14ac:dyDescent="0.2">
      <c r="BO97" s="2">
        <v>25</v>
      </c>
      <c r="BP97" s="2">
        <f t="shared" si="53"/>
        <v>0.32417836762280439</v>
      </c>
      <c r="BQ97" s="2">
        <v>-2.9410812572849832E-7</v>
      </c>
      <c r="BR97" s="2">
        <f t="shared" si="54"/>
        <v>0.32417853427843196</v>
      </c>
      <c r="BS97" s="2">
        <v>1.3663621777765256E-7</v>
      </c>
      <c r="BT97" s="2">
        <f t="shared" si="45"/>
        <v>0.32417845095061815</v>
      </c>
      <c r="BU97" s="2">
        <v>-7.873595005841727E-8</v>
      </c>
      <c r="BV97" s="2">
        <f t="shared" si="46"/>
        <v>2.3156882699133751E-14</v>
      </c>
      <c r="BW97" s="2">
        <f t="shared" si="47"/>
        <v>-1.0758182419112278E-14</v>
      </c>
      <c r="BX97" s="2">
        <f t="shared" si="48"/>
        <v>1.6665562757589569E-7</v>
      </c>
      <c r="BZ97" s="2">
        <v>25</v>
      </c>
      <c r="CA97" s="2">
        <f t="shared" si="55"/>
        <v>0.30545677438621355</v>
      </c>
      <c r="CB97" s="2">
        <v>-4.1277957318203162E-7</v>
      </c>
      <c r="CC97" s="2">
        <f t="shared" si="56"/>
        <v>0.30545694104184118</v>
      </c>
      <c r="CD97" s="2">
        <v>1.6715494571828415E-8</v>
      </c>
      <c r="CE97" s="2">
        <f t="shared" si="49"/>
        <v>0.30545685771402736</v>
      </c>
      <c r="CF97" s="2">
        <v>-1.9733635182178633E-7</v>
      </c>
      <c r="CG97" s="2">
        <f t="shared" si="50"/>
        <v>8.1456415078296183E-14</v>
      </c>
      <c r="CH97" s="2">
        <f t="shared" si="51"/>
        <v>-3.2985747177014919E-15</v>
      </c>
      <c r="CI97" s="2">
        <f t="shared" si="52"/>
        <v>1.6665562763140684E-7</v>
      </c>
    </row>
    <row r="98" spans="67:87" x14ac:dyDescent="0.2">
      <c r="BO98" s="2">
        <v>26</v>
      </c>
      <c r="BP98" s="2">
        <f t="shared" si="53"/>
        <v>0.32417845095061815</v>
      </c>
      <c r="BQ98" s="2">
        <v>-7.873595005841727E-8</v>
      </c>
      <c r="BR98" s="2">
        <f t="shared" si="54"/>
        <v>0.32417853427843196</v>
      </c>
      <c r="BS98" s="2">
        <v>1.3663621777765256E-7</v>
      </c>
      <c r="BT98" s="2">
        <f t="shared" si="45"/>
        <v>0.32417849261452503</v>
      </c>
      <c r="BU98" s="2">
        <v>2.8950134782490533E-8</v>
      </c>
      <c r="BV98" s="2">
        <f t="shared" si="46"/>
        <v>-2.2794163664186233E-15</v>
      </c>
      <c r="BW98" s="2">
        <f t="shared" si="47"/>
        <v>3.9556369208327708E-15</v>
      </c>
      <c r="BX98" s="2">
        <f t="shared" si="48"/>
        <v>8.3327813815703422E-8</v>
      </c>
      <c r="BZ98" s="2">
        <v>26</v>
      </c>
      <c r="CA98" s="2">
        <f t="shared" si="55"/>
        <v>0.30545685771402736</v>
      </c>
      <c r="CB98" s="2">
        <v>-1.9872771670620404E-7</v>
      </c>
      <c r="CC98" s="2">
        <f t="shared" si="56"/>
        <v>0.30545694104184118</v>
      </c>
      <c r="CD98" s="2">
        <v>1.6715494571828415E-8</v>
      </c>
      <c r="CE98" s="2">
        <f t="shared" si="49"/>
        <v>0.3054568993779343</v>
      </c>
      <c r="CF98" s="2">
        <v>-9.0310427268425197E-8</v>
      </c>
      <c r="CG98" s="2">
        <f t="shared" si="50"/>
        <v>1.7947185005815846E-14</v>
      </c>
      <c r="CH98" s="2">
        <f t="shared" si="51"/>
        <v>-1.5095834567848664E-15</v>
      </c>
      <c r="CI98" s="2">
        <f t="shared" si="52"/>
        <v>8.3327813815703422E-8</v>
      </c>
    </row>
    <row r="99" spans="67:87" x14ac:dyDescent="0.2">
      <c r="BO99" s="2">
        <v>27</v>
      </c>
      <c r="BP99" s="2">
        <f t="shared" si="53"/>
        <v>0.32417845095061815</v>
      </c>
      <c r="BQ99" s="2">
        <v>-7.873595005841727E-8</v>
      </c>
      <c r="BR99" s="2">
        <f t="shared" si="54"/>
        <v>0.32417849261452503</v>
      </c>
      <c r="BS99" s="2">
        <v>2.8950134782490533E-8</v>
      </c>
      <c r="BT99" s="2">
        <f t="shared" si="45"/>
        <v>0.32417847178257159</v>
      </c>
      <c r="BU99" s="2">
        <v>-2.4892907367346506E-8</v>
      </c>
      <c r="BV99" s="2">
        <f t="shared" si="46"/>
        <v>1.959966711284202E-15</v>
      </c>
      <c r="BW99" s="2">
        <f t="shared" si="47"/>
        <v>-7.2065302341273291E-16</v>
      </c>
      <c r="BX99" s="2">
        <f t="shared" si="48"/>
        <v>4.1663906880096135E-8</v>
      </c>
      <c r="BZ99" s="2">
        <v>27</v>
      </c>
      <c r="CA99" s="2">
        <f t="shared" si="55"/>
        <v>0.3054568993779343</v>
      </c>
      <c r="CB99" s="2">
        <v>-9.1701792125087334E-8</v>
      </c>
      <c r="CC99" s="2">
        <f t="shared" si="56"/>
        <v>0.30545694104184118</v>
      </c>
      <c r="CD99" s="2">
        <v>1.6715494571828415E-8</v>
      </c>
      <c r="CE99" s="2">
        <f t="shared" si="49"/>
        <v>0.30545692020988774</v>
      </c>
      <c r="CF99" s="2">
        <v>-3.6797466095028764E-8</v>
      </c>
      <c r="CG99" s="2">
        <f t="shared" si="50"/>
        <v>3.3743935865762768E-15</v>
      </c>
      <c r="CH99" s="2">
        <f t="shared" si="51"/>
        <v>-6.1508784476849348E-16</v>
      </c>
      <c r="CI99" s="2">
        <f t="shared" si="52"/>
        <v>4.1663906880096135E-8</v>
      </c>
    </row>
    <row r="100" spans="67:87" x14ac:dyDescent="0.2">
      <c r="BO100" s="2">
        <v>28</v>
      </c>
      <c r="BP100" s="2">
        <f t="shared" si="53"/>
        <v>0.32417847178257159</v>
      </c>
      <c r="BQ100" s="2">
        <v>-2.4892907367346506E-8</v>
      </c>
      <c r="BR100" s="2">
        <f t="shared" si="54"/>
        <v>0.32417849261452503</v>
      </c>
      <c r="BS100" s="2">
        <v>2.8950134782490533E-8</v>
      </c>
      <c r="BT100" s="2">
        <f t="shared" si="45"/>
        <v>0.32417848219854828</v>
      </c>
      <c r="BU100" s="2">
        <v>2.0286136381830744E-9</v>
      </c>
      <c r="BV100" s="2">
        <f t="shared" si="46"/>
        <v>-5.0498091379427052E-17</v>
      </c>
      <c r="BW100" s="2">
        <f t="shared" si="47"/>
        <v>5.8728638246998491E-17</v>
      </c>
      <c r="BX100" s="2">
        <f t="shared" si="48"/>
        <v>2.0831953440048068E-8</v>
      </c>
      <c r="BZ100" s="2">
        <v>28</v>
      </c>
      <c r="CA100" s="2">
        <f t="shared" si="55"/>
        <v>0.30545692020988774</v>
      </c>
      <c r="CB100" s="2">
        <v>-3.8188830937813112E-8</v>
      </c>
      <c r="CC100" s="2">
        <f t="shared" si="56"/>
        <v>0.30545694104184118</v>
      </c>
      <c r="CD100" s="2">
        <v>1.6715494571828415E-8</v>
      </c>
      <c r="CE100" s="2">
        <f t="shared" si="49"/>
        <v>0.30545693062586443</v>
      </c>
      <c r="CF100" s="2">
        <v>-1.004098570955847E-8</v>
      </c>
      <c r="CG100" s="2">
        <f t="shared" si="50"/>
        <v>3.8345350571132585E-16</v>
      </c>
      <c r="CH100" s="2">
        <f t="shared" si="51"/>
        <v>-1.6784004212393129E-16</v>
      </c>
      <c r="CI100" s="2">
        <f t="shared" si="52"/>
        <v>2.0831953440048068E-8</v>
      </c>
    </row>
    <row r="101" spans="67:87" x14ac:dyDescent="0.2">
      <c r="BO101" s="2">
        <v>29</v>
      </c>
      <c r="BP101" s="2">
        <f t="shared" si="53"/>
        <v>0.32417847178257159</v>
      </c>
      <c r="BQ101" s="2">
        <v>-2.4892907367346506E-8</v>
      </c>
      <c r="BR101" s="2">
        <f t="shared" si="54"/>
        <v>0.32417848219854828</v>
      </c>
      <c r="BS101" s="2">
        <v>2.0286136381830744E-9</v>
      </c>
      <c r="BT101" s="2">
        <f t="shared" si="45"/>
        <v>0.32417847699055991</v>
      </c>
      <c r="BU101" s="2">
        <v>1.5489374331767447E-8</v>
      </c>
      <c r="BV101" s="2">
        <f t="shared" si="46"/>
        <v>-3.8557556041884176E-16</v>
      </c>
      <c r="BW101" s="2">
        <f t="shared" si="47"/>
        <v>3.142195601634629E-17</v>
      </c>
      <c r="BX101" s="2">
        <f t="shared" si="48"/>
        <v>1.0415976692268458E-8</v>
      </c>
      <c r="BZ101" s="2">
        <v>29</v>
      </c>
      <c r="CA101" s="2">
        <f t="shared" si="55"/>
        <v>0.30545693062586443</v>
      </c>
      <c r="CB101" s="2">
        <v>-1.1432350545403924E-8</v>
      </c>
      <c r="CC101" s="2">
        <f t="shared" si="56"/>
        <v>0.30545694104184118</v>
      </c>
      <c r="CD101" s="2">
        <v>1.6715494571828415E-8</v>
      </c>
      <c r="CE101" s="2">
        <f t="shared" si="49"/>
        <v>0.30545693583385281</v>
      </c>
      <c r="CF101" s="2">
        <v>3.3372542992959886E-9</v>
      </c>
      <c r="CG101" s="2">
        <f t="shared" si="50"/>
        <v>-3.8152661008708085E-17</v>
      </c>
      <c r="CH101" s="2">
        <f t="shared" si="51"/>
        <v>5.5783856124693143E-17</v>
      </c>
      <c r="CI101" s="2">
        <f t="shared" si="52"/>
        <v>1.0415976747779609E-8</v>
      </c>
    </row>
    <row r="102" spans="67:87" x14ac:dyDescent="0.2">
      <c r="BO102" s="2">
        <v>30</v>
      </c>
      <c r="BP102" s="2">
        <f t="shared" si="53"/>
        <v>0.32417847178257159</v>
      </c>
      <c r="BQ102" s="2">
        <v>-1.143214679172333E-8</v>
      </c>
      <c r="BR102" s="2">
        <f t="shared" si="54"/>
        <v>0.32417847699055991</v>
      </c>
      <c r="BS102" s="2">
        <v>-1.143214679172333E-8</v>
      </c>
      <c r="BT102" s="5">
        <f t="shared" si="45"/>
        <v>0.32417847438656577</v>
      </c>
      <c r="BU102" s="2">
        <v>1.5489374331767447E-8</v>
      </c>
      <c r="BV102" s="2">
        <f t="shared" si="46"/>
        <v>-1.7707680107271692E-16</v>
      </c>
      <c r="BW102" s="2">
        <f t="shared" si="47"/>
        <v>-1.7707680107271692E-16</v>
      </c>
      <c r="BX102" s="2">
        <f t="shared" si="48"/>
        <v>5.2079883183786535E-9</v>
      </c>
      <c r="BZ102" s="2">
        <v>30</v>
      </c>
      <c r="CA102" s="2">
        <f t="shared" si="55"/>
        <v>0.30545693062586443</v>
      </c>
      <c r="CB102" s="2">
        <v>-1.1432350545403924E-8</v>
      </c>
      <c r="CC102" s="2">
        <f t="shared" si="56"/>
        <v>0.30545693583385281</v>
      </c>
      <c r="CD102" s="2">
        <v>3.3372542992959886E-9</v>
      </c>
      <c r="CE102" s="5">
        <f t="shared" si="49"/>
        <v>0.30545693322985862</v>
      </c>
      <c r="CF102" s="2">
        <v>-3.3518656600284302E-9</v>
      </c>
      <c r="CG102" s="2">
        <f t="shared" si="50"/>
        <v>3.8319703206546706E-17</v>
      </c>
      <c r="CH102" s="2">
        <f t="shared" si="51"/>
        <v>-1.1186028084592466E-17</v>
      </c>
      <c r="CI102" s="2">
        <f t="shared" si="52"/>
        <v>5.2079883738898047E-9</v>
      </c>
    </row>
    <row r="104" spans="67:87" x14ac:dyDescent="0.2">
      <c r="BO104" s="62" t="s">
        <v>213</v>
      </c>
      <c r="BP104" s="62"/>
      <c r="BQ104" s="62"/>
      <c r="BR104" s="62"/>
      <c r="BS104" s="62"/>
      <c r="BT104" s="62"/>
      <c r="BU104" s="62"/>
      <c r="BV104" s="62"/>
      <c r="BW104" s="62"/>
      <c r="BX104" s="62"/>
      <c r="BZ104" s="62" t="s">
        <v>221</v>
      </c>
      <c r="CA104" s="62"/>
      <c r="CB104" s="62"/>
      <c r="CC104" s="62"/>
      <c r="CD104" s="62"/>
      <c r="CE104" s="62"/>
      <c r="CF104" s="62"/>
      <c r="CG104" s="62"/>
      <c r="CH104" s="62"/>
      <c r="CI104" s="62"/>
    </row>
    <row r="105" spans="67:87" x14ac:dyDescent="0.2"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67:87" x14ac:dyDescent="0.2">
      <c r="BO106" s="30">
        <v>0</v>
      </c>
      <c r="BP106" s="30"/>
      <c r="BQ106" s="30">
        <f>$BH$77</f>
        <v>4.4808137131258086E-9</v>
      </c>
      <c r="BR106" s="30"/>
      <c r="BS106" s="30">
        <f>$BH$77</f>
        <v>4.4808137131258086E-9</v>
      </c>
      <c r="BT106" s="30"/>
      <c r="BU106" s="30">
        <f>$BH$77</f>
        <v>4.4808137131258086E-9</v>
      </c>
      <c r="BV106" s="30"/>
      <c r="BW106" s="30"/>
      <c r="BX106" s="30"/>
      <c r="BZ106" s="30">
        <v>0</v>
      </c>
      <c r="CA106" s="30"/>
      <c r="CB106" s="30">
        <f>$BL$77</f>
        <v>4.9173158878090817E-9</v>
      </c>
      <c r="CC106" s="30"/>
      <c r="CD106" s="30">
        <f>$BL$77</f>
        <v>4.9173158878090817E-9</v>
      </c>
      <c r="CE106" s="30"/>
      <c r="CF106" s="30">
        <f>$BL$77</f>
        <v>4.9173158878090817E-9</v>
      </c>
      <c r="CG106" s="30"/>
      <c r="CH106" s="30"/>
      <c r="CI106" s="30"/>
    </row>
    <row r="107" spans="67:87" x14ac:dyDescent="0.2">
      <c r="BO107" s="2">
        <v>1</v>
      </c>
      <c r="BP107" s="3">
        <f>0.01*PI()</f>
        <v>3.1415926535897934E-2</v>
      </c>
      <c r="BQ107" s="2">
        <f t="dataTable" ref="BQ107:BQ136" dt2D="0" dtr="0" r1="BH61" ca="1"/>
        <v>-1.617316535253525</v>
      </c>
      <c r="BR107" s="3">
        <f>0.9*PI()</f>
        <v>2.8274333882308138</v>
      </c>
      <c r="BS107" s="2">
        <f t="dataTable" ref="BS107:BS136" dt2D="0" dtr="0" r1="BH61" ca="1"/>
        <v>0.49030875465174434</v>
      </c>
      <c r="BT107" s="2">
        <f t="shared" ref="BT107:BT136" si="57">(BP107+BR107)/2</f>
        <v>1.4294246573833558</v>
      </c>
      <c r="BU107" s="2">
        <f t="dataTable" ref="BU107:BU136" dt2D="0" dtr="0" r1="BH61"/>
        <v>1.1298007873968419</v>
      </c>
      <c r="BV107" s="2">
        <f t="shared" ref="BV107:BV136" si="58">BQ107*BU107</f>
        <v>-1.8272454949993648</v>
      </c>
      <c r="BW107" s="2">
        <f t="shared" ref="BW107:BW136" si="59">BS107*BU107</f>
        <v>0.55395121707310568</v>
      </c>
      <c r="BX107" s="2">
        <f t="shared" ref="BX107:BX136" si="60">BR107-BP107</f>
        <v>2.7960174616949161</v>
      </c>
      <c r="BZ107" s="2">
        <v>1</v>
      </c>
      <c r="CA107" s="3">
        <f>0.01*PI()</f>
        <v>3.1415926535897934E-2</v>
      </c>
      <c r="CB107" s="2">
        <f t="dataTable" ref="CB107:CB136" dt2D="0" dtr="0" r1="BL61"/>
        <v>-1.640599211143249</v>
      </c>
      <c r="CC107" s="3">
        <f>0.9*PI()</f>
        <v>2.8274333882308138</v>
      </c>
      <c r="CD107" s="2">
        <f t="dataTable" ref="CD107:CD136" dt2D="0" dtr="0" r1="BL61" ca="1"/>
        <v>0.55739052468305306</v>
      </c>
      <c r="CE107" s="2">
        <f t="shared" ref="CE107:CE136" si="61">(CA107+CC107)/2</f>
        <v>1.4294246573833558</v>
      </c>
      <c r="CF107" s="2">
        <f t="dataTable" ref="CF107:CF136" dt2D="0" dtr="0" r1="BL61" ca="1"/>
        <v>1.2115949915013042</v>
      </c>
      <c r="CG107" s="2">
        <f t="shared" ref="CG107:CG136" si="62">CB107*CF107</f>
        <v>-1.9877417872821512</v>
      </c>
      <c r="CH107" s="2">
        <f t="shared" ref="CH107:CH136" si="63">CD107*CF107</f>
        <v>0.67533156801627114</v>
      </c>
      <c r="CI107" s="2">
        <f t="shared" ref="CI107:CI136" si="64">CC107-CA107</f>
        <v>2.7960174616949161</v>
      </c>
    </row>
    <row r="108" spans="67:87" x14ac:dyDescent="0.2">
      <c r="BO108" s="2">
        <v>2</v>
      </c>
      <c r="BP108" s="2">
        <f t="shared" ref="BP108:BP136" si="65">IF(BV107&gt;0,BT107,BP107)</f>
        <v>3.1415926535897934E-2</v>
      </c>
      <c r="BQ108" s="2">
        <v>-1.617316535253525</v>
      </c>
      <c r="BR108" s="2">
        <f t="shared" ref="BR108:BR136" si="66">IF(BW107&gt;0,BT107,BR107)</f>
        <v>1.4294246573833558</v>
      </c>
      <c r="BS108" s="2">
        <v>1.129800787462498</v>
      </c>
      <c r="BT108" s="2">
        <f t="shared" si="57"/>
        <v>0.73042029195962688</v>
      </c>
      <c r="BU108" s="2">
        <v>0.79039151942770003</v>
      </c>
      <c r="BV108" s="2">
        <f t="shared" si="58"/>
        <v>-1.278313273694577</v>
      </c>
      <c r="BW108" s="2">
        <f t="shared" si="59"/>
        <v>0.89298496105309577</v>
      </c>
      <c r="BX108" s="2">
        <f t="shared" si="60"/>
        <v>1.3980087308474578</v>
      </c>
      <c r="BZ108" s="2">
        <v>2</v>
      </c>
      <c r="CA108" s="2">
        <f t="shared" ref="CA108:CA136" si="67">IF(CG107&gt;0,CE107,CA107)</f>
        <v>3.1415926535897934E-2</v>
      </c>
      <c r="CB108" s="2">
        <v>-1.640599211143249</v>
      </c>
      <c r="CC108" s="2">
        <f t="shared" ref="CC108:CC136" si="68">IF(CH107&gt;0,CE107,CC107)</f>
        <v>1.4294246573833558</v>
      </c>
      <c r="CD108" s="2">
        <v>1.2115949915013042</v>
      </c>
      <c r="CE108" s="2">
        <f t="shared" si="61"/>
        <v>0.73042029195962688</v>
      </c>
      <c r="CF108" s="2">
        <v>0.86063080138885073</v>
      </c>
      <c r="CG108" s="2">
        <f t="shared" si="62"/>
        <v>-1.4119502138441307</v>
      </c>
      <c r="CH108" s="2">
        <f t="shared" si="63"/>
        <v>1.0427359684944852</v>
      </c>
      <c r="CI108" s="2">
        <f t="shared" si="64"/>
        <v>1.3980087308474578</v>
      </c>
    </row>
    <row r="109" spans="67:87" x14ac:dyDescent="0.2">
      <c r="BO109" s="2">
        <v>3</v>
      </c>
      <c r="BP109" s="2">
        <f t="shared" si="65"/>
        <v>3.1415926535897934E-2</v>
      </c>
      <c r="BQ109" s="2">
        <v>-1.617316535253525</v>
      </c>
      <c r="BR109" s="2">
        <f t="shared" si="66"/>
        <v>0.73042029195962688</v>
      </c>
      <c r="BS109" s="2">
        <v>0.79039152016882441</v>
      </c>
      <c r="BT109" s="2">
        <f t="shared" si="57"/>
        <v>0.38091810924776243</v>
      </c>
      <c r="BU109" s="2">
        <v>0.21586750100182522</v>
      </c>
      <c r="BV109" s="2">
        <f t="shared" si="58"/>
        <v>-0.34912607879410884</v>
      </c>
      <c r="BW109" s="2">
        <f t="shared" si="59"/>
        <v>0.17061984227187788</v>
      </c>
      <c r="BX109" s="2">
        <f t="shared" si="60"/>
        <v>0.6990043654237289</v>
      </c>
      <c r="BZ109" s="2">
        <v>3</v>
      </c>
      <c r="CA109" s="2">
        <f t="shared" si="67"/>
        <v>3.1415926535897934E-2</v>
      </c>
      <c r="CB109" s="2">
        <v>-1.640599211143249</v>
      </c>
      <c r="CC109" s="2">
        <f t="shared" si="68"/>
        <v>0.73042029195962688</v>
      </c>
      <c r="CD109" s="2">
        <v>0.86063080138885073</v>
      </c>
      <c r="CE109" s="2">
        <f t="shared" si="61"/>
        <v>0.38091810924776243</v>
      </c>
      <c r="CF109" s="2">
        <v>0.21247732364151839</v>
      </c>
      <c r="CG109" s="2">
        <f t="shared" si="62"/>
        <v>-0.34859012955210389</v>
      </c>
      <c r="CH109" s="2">
        <f t="shared" si="63"/>
        <v>0.18286452932255817</v>
      </c>
      <c r="CI109" s="2">
        <f t="shared" si="64"/>
        <v>0.6990043654237289</v>
      </c>
    </row>
    <row r="110" spans="67:87" x14ac:dyDescent="0.2">
      <c r="BO110" s="2">
        <v>4</v>
      </c>
      <c r="BP110" s="2">
        <f t="shared" si="65"/>
        <v>3.1415926535897934E-2</v>
      </c>
      <c r="BQ110" s="2">
        <v>-1.617316535253525</v>
      </c>
      <c r="BR110" s="2">
        <f t="shared" si="66"/>
        <v>0.38091810924776243</v>
      </c>
      <c r="BS110" s="2">
        <v>0.21586750216881809</v>
      </c>
      <c r="BT110" s="2">
        <f t="shared" si="57"/>
        <v>0.20616701789183017</v>
      </c>
      <c r="BU110" s="2">
        <v>-0.25687914565213232</v>
      </c>
      <c r="BV110" s="2">
        <f t="shared" si="58"/>
        <v>0.41545488982499224</v>
      </c>
      <c r="BW110" s="2">
        <f t="shared" si="59"/>
        <v>-5.545185953118581E-2</v>
      </c>
      <c r="BX110" s="2">
        <f t="shared" si="60"/>
        <v>0.34950218271186451</v>
      </c>
      <c r="BZ110" s="2">
        <v>4</v>
      </c>
      <c r="CA110" s="2">
        <f t="shared" si="67"/>
        <v>3.1415926535897934E-2</v>
      </c>
      <c r="CB110" s="2">
        <v>-1.640599211143249</v>
      </c>
      <c r="CC110" s="2">
        <f t="shared" si="68"/>
        <v>0.38091810924776243</v>
      </c>
      <c r="CD110" s="2">
        <v>0.21247732364151839</v>
      </c>
      <c r="CE110" s="2">
        <f t="shared" si="61"/>
        <v>0.20616701789183017</v>
      </c>
      <c r="CF110" s="2">
        <v>-0.40680673655677935</v>
      </c>
      <c r="CG110" s="2">
        <f t="shared" si="62"/>
        <v>0.66740681108281175</v>
      </c>
      <c r="CH110" s="2">
        <f t="shared" si="63"/>
        <v>-8.6437206622924714E-2</v>
      </c>
      <c r="CI110" s="2">
        <f t="shared" si="64"/>
        <v>0.34950218271186451</v>
      </c>
    </row>
    <row r="111" spans="67:87" x14ac:dyDescent="0.2">
      <c r="BO111" s="2">
        <v>5</v>
      </c>
      <c r="BP111" s="2">
        <f t="shared" si="65"/>
        <v>0.20616701789183017</v>
      </c>
      <c r="BQ111" s="2">
        <v>-0.25687914437830589</v>
      </c>
      <c r="BR111" s="2">
        <f t="shared" si="66"/>
        <v>0.38091810924776243</v>
      </c>
      <c r="BS111" s="2">
        <v>0.21586750216881809</v>
      </c>
      <c r="BT111" s="2">
        <f t="shared" si="57"/>
        <v>0.2935425635697963</v>
      </c>
      <c r="BU111" s="2">
        <v>-1.337084681589773E-2</v>
      </c>
      <c r="BV111" s="2">
        <f t="shared" si="58"/>
        <v>3.4346916896812046E-3</v>
      </c>
      <c r="BW111" s="2">
        <f t="shared" si="59"/>
        <v>-2.8863313040297378E-3</v>
      </c>
      <c r="BX111" s="2">
        <f t="shared" si="60"/>
        <v>0.17475109135593225</v>
      </c>
      <c r="BZ111" s="2">
        <v>5</v>
      </c>
      <c r="CA111" s="2">
        <f t="shared" si="67"/>
        <v>0.20616701789183017</v>
      </c>
      <c r="CB111" s="2">
        <v>-0.40680673773689446</v>
      </c>
      <c r="CC111" s="2">
        <f t="shared" si="68"/>
        <v>0.38091810924776243</v>
      </c>
      <c r="CD111" s="2">
        <v>0.21247732364151839</v>
      </c>
      <c r="CE111" s="2">
        <f t="shared" si="61"/>
        <v>0.2935425635697963</v>
      </c>
      <c r="CF111" s="2">
        <v>-8.4611611543314064E-2</v>
      </c>
      <c r="CG111" s="2">
        <f t="shared" si="62"/>
        <v>3.4420573666596954E-2</v>
      </c>
      <c r="CH111" s="2">
        <f t="shared" si="63"/>
        <v>-1.7978048769719177E-2</v>
      </c>
      <c r="CI111" s="2">
        <f t="shared" si="64"/>
        <v>0.17475109135593225</v>
      </c>
    </row>
    <row r="112" spans="67:87" x14ac:dyDescent="0.2">
      <c r="BO112" s="2">
        <v>6</v>
      </c>
      <c r="BP112" s="2">
        <f t="shared" si="65"/>
        <v>0.2935425635697963</v>
      </c>
      <c r="BQ112" s="2">
        <v>-1.3370845582243177E-2</v>
      </c>
      <c r="BR112" s="2">
        <f t="shared" si="66"/>
        <v>0.38091810924776243</v>
      </c>
      <c r="BS112" s="2">
        <v>0.21586750216881809</v>
      </c>
      <c r="BT112" s="2">
        <f t="shared" si="57"/>
        <v>0.33723033640877936</v>
      </c>
      <c r="BU112" s="2">
        <v>0.10371356676226207</v>
      </c>
      <c r="BV112" s="2">
        <f t="shared" si="58"/>
        <v>-1.3867380859618745E-3</v>
      </c>
      <c r="BW112" s="2">
        <f t="shared" si="59"/>
        <v>2.2388388597988466E-2</v>
      </c>
      <c r="BX112" s="2">
        <f t="shared" si="60"/>
        <v>8.7375545677966127E-2</v>
      </c>
      <c r="BZ112" s="2">
        <v>6</v>
      </c>
      <c r="CA112" s="2">
        <f t="shared" si="67"/>
        <v>0.2935425635697963</v>
      </c>
      <c r="CB112" s="2">
        <v>-8.4611612679326959E-2</v>
      </c>
      <c r="CC112" s="2">
        <f t="shared" si="68"/>
        <v>0.38091810924776243</v>
      </c>
      <c r="CD112" s="2">
        <v>0.21247732364151839</v>
      </c>
      <c r="CE112" s="2">
        <f t="shared" si="61"/>
        <v>0.33723033640877936</v>
      </c>
      <c r="CF112" s="2">
        <v>6.7833203708025508E-2</v>
      </c>
      <c r="CG112" s="2">
        <f t="shared" si="62"/>
        <v>-5.7394767589413398E-3</v>
      </c>
      <c r="CH112" s="2">
        <f t="shared" si="63"/>
        <v>1.4413017577911181E-2</v>
      </c>
      <c r="CI112" s="2">
        <f t="shared" si="64"/>
        <v>8.7375545677966127E-2</v>
      </c>
    </row>
    <row r="113" spans="67:87" x14ac:dyDescent="0.2">
      <c r="BO113" s="2">
        <v>7</v>
      </c>
      <c r="BP113" s="2">
        <f t="shared" si="65"/>
        <v>0.2935425635697963</v>
      </c>
      <c r="BQ113" s="2">
        <v>-1.3370845582243177E-2</v>
      </c>
      <c r="BR113" s="2">
        <f t="shared" si="66"/>
        <v>0.33723033640877936</v>
      </c>
      <c r="BS113" s="2">
        <v>0.10371356796563858</v>
      </c>
      <c r="BT113" s="2">
        <f t="shared" si="57"/>
        <v>0.31538644998928783</v>
      </c>
      <c r="BU113" s="2">
        <v>4.5720393325404486E-2</v>
      </c>
      <c r="BV113" s="2">
        <f t="shared" si="58"/>
        <v>-6.1132031911340502E-4</v>
      </c>
      <c r="BW113" s="2">
        <f t="shared" si="59"/>
        <v>4.7418251205700668E-3</v>
      </c>
      <c r="BX113" s="2">
        <f t="shared" si="60"/>
        <v>4.3687772838983063E-2</v>
      </c>
      <c r="BZ113" s="2">
        <v>7</v>
      </c>
      <c r="CA113" s="2">
        <f t="shared" si="67"/>
        <v>0.2935425635697963</v>
      </c>
      <c r="CB113" s="2">
        <v>-8.4611612679326959E-2</v>
      </c>
      <c r="CC113" s="2">
        <f t="shared" si="68"/>
        <v>0.33723033640877936</v>
      </c>
      <c r="CD113" s="2">
        <v>6.7833203708025508E-2</v>
      </c>
      <c r="CE113" s="2">
        <f t="shared" si="61"/>
        <v>0.31538644998928783</v>
      </c>
      <c r="CF113" s="2">
        <v>-7.4817498932866384E-3</v>
      </c>
      <c r="CG113" s="2">
        <f t="shared" si="62"/>
        <v>6.3304292413436485E-4</v>
      </c>
      <c r="CH113" s="2">
        <f t="shared" si="63"/>
        <v>-5.0751106460381068E-4</v>
      </c>
      <c r="CI113" s="2">
        <f t="shared" si="64"/>
        <v>4.3687772838983063E-2</v>
      </c>
    </row>
    <row r="114" spans="67:87" x14ac:dyDescent="0.2">
      <c r="BO114" s="2">
        <v>8</v>
      </c>
      <c r="BP114" s="2">
        <f t="shared" si="65"/>
        <v>0.2935425635697963</v>
      </c>
      <c r="BQ114" s="2">
        <v>-1.3370845582243177E-2</v>
      </c>
      <c r="BR114" s="2">
        <f t="shared" si="66"/>
        <v>0.31538644998928783</v>
      </c>
      <c r="BS114" s="2">
        <v>4.5720394544728996E-2</v>
      </c>
      <c r="BT114" s="2">
        <f t="shared" si="57"/>
        <v>0.30446450677954207</v>
      </c>
      <c r="BU114" s="2">
        <v>1.6301884513259368E-2</v>
      </c>
      <c r="BV114" s="2">
        <f t="shared" si="58"/>
        <v>-2.1796998052635248E-4</v>
      </c>
      <c r="BW114" s="2">
        <f t="shared" si="59"/>
        <v>7.4532859176882574E-4</v>
      </c>
      <c r="BX114" s="2">
        <f t="shared" si="60"/>
        <v>2.1843886419491532E-2</v>
      </c>
      <c r="BZ114" s="2">
        <v>8</v>
      </c>
      <c r="CA114" s="2">
        <f t="shared" si="67"/>
        <v>0.31538644998928783</v>
      </c>
      <c r="CB114" s="2">
        <v>-7.4817510131667646E-3</v>
      </c>
      <c r="CC114" s="2">
        <f t="shared" si="68"/>
        <v>0.33723033640877936</v>
      </c>
      <c r="CD114" s="2">
        <v>6.7833203708025508E-2</v>
      </c>
      <c r="CE114" s="2">
        <f t="shared" si="61"/>
        <v>0.3263083931990336</v>
      </c>
      <c r="CF114" s="2">
        <v>3.0412762167816798E-2</v>
      </c>
      <c r="CG114" s="2">
        <f t="shared" si="62"/>
        <v>-2.2754071416226319E-4</v>
      </c>
      <c r="CH114" s="2">
        <f t="shared" si="63"/>
        <v>2.0629950914532484E-3</v>
      </c>
      <c r="CI114" s="2">
        <f t="shared" si="64"/>
        <v>2.1843886419491532E-2</v>
      </c>
    </row>
    <row r="115" spans="67:87" x14ac:dyDescent="0.2">
      <c r="BO115" s="2">
        <v>9</v>
      </c>
      <c r="BP115" s="2">
        <f t="shared" si="65"/>
        <v>0.2935425635697963</v>
      </c>
      <c r="BQ115" s="2">
        <v>-1.3370845582243177E-2</v>
      </c>
      <c r="BR115" s="2">
        <f t="shared" si="66"/>
        <v>0.30446450677954207</v>
      </c>
      <c r="BS115" s="2">
        <v>1.6301885739956209E-2</v>
      </c>
      <c r="BT115" s="2">
        <f t="shared" si="57"/>
        <v>0.29900353517466915</v>
      </c>
      <c r="BU115" s="2">
        <v>1.4959234085798467E-3</v>
      </c>
      <c r="BV115" s="2">
        <f t="shared" si="58"/>
        <v>-2.0001760898983998E-5</v>
      </c>
      <c r="BW115" s="2">
        <f t="shared" si="59"/>
        <v>2.438637248239449E-5</v>
      </c>
      <c r="BX115" s="2">
        <f t="shared" si="60"/>
        <v>1.0921943209745766E-2</v>
      </c>
      <c r="BZ115" s="2">
        <v>9</v>
      </c>
      <c r="CA115" s="2">
        <f t="shared" si="67"/>
        <v>0.31538644998928783</v>
      </c>
      <c r="CB115" s="2">
        <v>-7.4817510131667646E-3</v>
      </c>
      <c r="CC115" s="2">
        <f t="shared" si="68"/>
        <v>0.3263083931990336</v>
      </c>
      <c r="CD115" s="2">
        <v>3.0412762167816798E-2</v>
      </c>
      <c r="CE115" s="2">
        <f t="shared" si="61"/>
        <v>0.32084742159416069</v>
      </c>
      <c r="CF115" s="2">
        <v>1.1523604819505241E-2</v>
      </c>
      <c r="CG115" s="2">
        <f t="shared" si="62"/>
        <v>-8.6216742033666746E-5</v>
      </c>
      <c r="CH115" s="2">
        <f t="shared" si="63"/>
        <v>3.5046465269152034E-4</v>
      </c>
      <c r="CI115" s="2">
        <f t="shared" si="64"/>
        <v>1.0921943209745766E-2</v>
      </c>
    </row>
    <row r="116" spans="67:87" x14ac:dyDescent="0.2">
      <c r="BO116" s="2">
        <v>10</v>
      </c>
      <c r="BP116" s="2">
        <f t="shared" si="65"/>
        <v>0.2935425635697963</v>
      </c>
      <c r="BQ116" s="2">
        <v>-1.3370845582243177E-2</v>
      </c>
      <c r="BR116" s="2">
        <f t="shared" si="66"/>
        <v>0.29900353517466915</v>
      </c>
      <c r="BS116" s="2">
        <v>1.4959246388079397E-3</v>
      </c>
      <c r="BT116" s="2">
        <f t="shared" si="57"/>
        <v>0.29627304937223276</v>
      </c>
      <c r="BU116" s="2">
        <v>-5.930038525638899E-3</v>
      </c>
      <c r="BV116" s="2">
        <f t="shared" si="58"/>
        <v>7.9289629423070717E-5</v>
      </c>
      <c r="BW116" s="2">
        <f t="shared" si="59"/>
        <v>-8.8708907395835375E-6</v>
      </c>
      <c r="BX116" s="2">
        <f t="shared" si="60"/>
        <v>5.4609716048728552E-3</v>
      </c>
      <c r="BZ116" s="2">
        <v>10</v>
      </c>
      <c r="CA116" s="2">
        <f t="shared" si="67"/>
        <v>0.31538644998928783</v>
      </c>
      <c r="CB116" s="2">
        <v>-7.4817510131667646E-3</v>
      </c>
      <c r="CC116" s="2">
        <f t="shared" si="68"/>
        <v>0.32084742159416069</v>
      </c>
      <c r="CD116" s="2">
        <v>1.1523604819505241E-2</v>
      </c>
      <c r="CE116" s="2">
        <f t="shared" si="61"/>
        <v>0.31811693579172429</v>
      </c>
      <c r="CF116" s="2">
        <v>2.0352974480788225E-3</v>
      </c>
      <c r="CG116" s="2">
        <f t="shared" si="62"/>
        <v>-1.522758874425946E-5</v>
      </c>
      <c r="CH116" s="2">
        <f t="shared" si="63"/>
        <v>2.3453963481807836E-5</v>
      </c>
      <c r="CI116" s="2">
        <f t="shared" si="64"/>
        <v>5.4609716048728552E-3</v>
      </c>
    </row>
    <row r="117" spans="67:87" x14ac:dyDescent="0.2">
      <c r="BO117" s="2">
        <v>11</v>
      </c>
      <c r="BP117" s="2">
        <f t="shared" si="65"/>
        <v>0.29627304937223276</v>
      </c>
      <c r="BQ117" s="2">
        <v>-5.9300372936844023E-3</v>
      </c>
      <c r="BR117" s="2">
        <f t="shared" si="66"/>
        <v>0.29900353517466915</v>
      </c>
      <c r="BS117" s="2">
        <v>1.4959246388079397E-3</v>
      </c>
      <c r="BT117" s="2">
        <f t="shared" si="57"/>
        <v>0.29763829227345096</v>
      </c>
      <c r="BU117" s="2">
        <v>-2.2151792434003878E-3</v>
      </c>
      <c r="BV117" s="2">
        <f t="shared" si="58"/>
        <v>1.3136095525559897E-5</v>
      </c>
      <c r="BW117" s="2">
        <f t="shared" si="59"/>
        <v>-3.3137412095785705E-6</v>
      </c>
      <c r="BX117" s="2">
        <f t="shared" si="60"/>
        <v>2.7304858024363998E-3</v>
      </c>
      <c r="BZ117" s="2">
        <v>11</v>
      </c>
      <c r="CA117" s="2">
        <f t="shared" si="67"/>
        <v>0.31538644998928783</v>
      </c>
      <c r="CB117" s="2">
        <v>-7.4817510131667646E-3</v>
      </c>
      <c r="CC117" s="2">
        <f t="shared" si="68"/>
        <v>0.31811693579172429</v>
      </c>
      <c r="CD117" s="2">
        <v>2.0352974480788225E-3</v>
      </c>
      <c r="CE117" s="2">
        <f t="shared" si="61"/>
        <v>0.31675169289050609</v>
      </c>
      <c r="CF117" s="2">
        <v>-2.719653671534622E-3</v>
      </c>
      <c r="CG117" s="2">
        <f t="shared" si="62"/>
        <v>2.034777161246687E-5</v>
      </c>
      <c r="CH117" s="2">
        <f t="shared" si="63"/>
        <v>-5.5353041773326158E-6</v>
      </c>
      <c r="CI117" s="2">
        <f t="shared" si="64"/>
        <v>2.7304858024364553E-3</v>
      </c>
    </row>
    <row r="118" spans="67:87" x14ac:dyDescent="0.2">
      <c r="BO118" s="2">
        <v>12</v>
      </c>
      <c r="BP118" s="2">
        <f t="shared" si="65"/>
        <v>0.29763829227345096</v>
      </c>
      <c r="BQ118" s="2">
        <v>-2.2151780123058143E-3</v>
      </c>
      <c r="BR118" s="2">
        <f t="shared" si="66"/>
        <v>0.29900353517466915</v>
      </c>
      <c r="BS118" s="2">
        <v>1.4959246388079397E-3</v>
      </c>
      <c r="BT118" s="2">
        <f t="shared" si="57"/>
        <v>0.29832091372406006</v>
      </c>
      <c r="BU118" s="2">
        <v>-3.5915554744374301E-4</v>
      </c>
      <c r="BV118" s="2">
        <f t="shared" si="58"/>
        <v>7.9559347169503721E-7</v>
      </c>
      <c r="BW118" s="2">
        <f t="shared" si="59"/>
        <v>-5.3726963258564915E-7</v>
      </c>
      <c r="BX118" s="2">
        <f t="shared" si="60"/>
        <v>1.3652429012181999E-3</v>
      </c>
      <c r="BZ118" s="2">
        <v>12</v>
      </c>
      <c r="CA118" s="2">
        <f t="shared" si="67"/>
        <v>0.31675169289050609</v>
      </c>
      <c r="CB118" s="2">
        <v>-2.7196547903436397E-3</v>
      </c>
      <c r="CC118" s="2">
        <f t="shared" si="68"/>
        <v>0.31811693579172429</v>
      </c>
      <c r="CD118" s="2">
        <v>2.0352974480788225E-3</v>
      </c>
      <c r="CE118" s="2">
        <f t="shared" si="61"/>
        <v>0.31743431434111519</v>
      </c>
      <c r="CF118" s="2">
        <v>-3.4128245352766859E-4</v>
      </c>
      <c r="CG118" s="2">
        <f t="shared" si="62"/>
        <v>9.2817045959675446E-7</v>
      </c>
      <c r="CH118" s="2">
        <f t="shared" si="63"/>
        <v>-6.946113067389432E-7</v>
      </c>
      <c r="CI118" s="2">
        <f t="shared" si="64"/>
        <v>1.3652429012181999E-3</v>
      </c>
    </row>
    <row r="119" spans="67:87" x14ac:dyDescent="0.2">
      <c r="BO119" s="2">
        <v>13</v>
      </c>
      <c r="BP119" s="2">
        <f t="shared" si="65"/>
        <v>0.29832091372406006</v>
      </c>
      <c r="BQ119" s="2">
        <v>-3.5915431678159443E-4</v>
      </c>
      <c r="BR119" s="2">
        <f t="shared" si="66"/>
        <v>0.29900353517466915</v>
      </c>
      <c r="BS119" s="2">
        <v>1.4959246388079397E-3</v>
      </c>
      <c r="BT119" s="2">
        <f t="shared" si="57"/>
        <v>0.29866222444936463</v>
      </c>
      <c r="BU119" s="2">
        <v>5.6850237045352747E-4</v>
      </c>
      <c r="BV119" s="2">
        <f t="shared" si="58"/>
        <v>-2.0418008044895355E-7</v>
      </c>
      <c r="BW119" s="2">
        <f t="shared" si="59"/>
        <v>8.5043670318215061E-7</v>
      </c>
      <c r="BX119" s="2">
        <f t="shared" si="60"/>
        <v>6.8262145060909996E-4</v>
      </c>
      <c r="BZ119" s="2">
        <v>13</v>
      </c>
      <c r="CA119" s="2">
        <f t="shared" si="67"/>
        <v>0.31743431434111519</v>
      </c>
      <c r="CB119" s="2">
        <v>-3.4128357179842236E-4</v>
      </c>
      <c r="CC119" s="2">
        <f t="shared" si="68"/>
        <v>0.31811693579172429</v>
      </c>
      <c r="CD119" s="2">
        <v>2.0352974480788225E-3</v>
      </c>
      <c r="CE119" s="2">
        <f t="shared" si="61"/>
        <v>0.31777562506641976</v>
      </c>
      <c r="CF119" s="2">
        <v>8.4723172449032574E-4</v>
      </c>
      <c r="CG119" s="2">
        <f t="shared" si="62"/>
        <v>-2.8914626907499528E-7</v>
      </c>
      <c r="CH119" s="2">
        <f t="shared" si="63"/>
        <v>1.7243685667865801E-6</v>
      </c>
      <c r="CI119" s="2">
        <f t="shared" si="64"/>
        <v>6.8262145060909996E-4</v>
      </c>
    </row>
    <row r="120" spans="67:87" x14ac:dyDescent="0.2">
      <c r="BO120" s="2">
        <v>14</v>
      </c>
      <c r="BP120" s="2">
        <f t="shared" si="65"/>
        <v>0.29832091372406006</v>
      </c>
      <c r="BQ120" s="2">
        <v>-3.5915431678159443E-4</v>
      </c>
      <c r="BR120" s="2">
        <f t="shared" si="66"/>
        <v>0.29866222444936463</v>
      </c>
      <c r="BS120" s="2">
        <v>5.6850360089885643E-4</v>
      </c>
      <c r="BT120" s="2">
        <f t="shared" si="57"/>
        <v>0.29849156908671237</v>
      </c>
      <c r="BU120" s="2">
        <v>1.0470297811954188E-4</v>
      </c>
      <c r="BV120" s="2">
        <f t="shared" si="58"/>
        <v>-3.7604526571522292E-8</v>
      </c>
      <c r="BW120" s="2">
        <f t="shared" si="59"/>
        <v>5.9524020085793734E-8</v>
      </c>
      <c r="BX120" s="2">
        <f t="shared" si="60"/>
        <v>3.4131072530457773E-4</v>
      </c>
      <c r="BZ120" s="2">
        <v>14</v>
      </c>
      <c r="CA120" s="2">
        <f t="shared" si="67"/>
        <v>0.31743431434111519</v>
      </c>
      <c r="CB120" s="2">
        <v>-3.4128357179842236E-4</v>
      </c>
      <c r="CC120" s="2">
        <f t="shared" si="68"/>
        <v>0.31777562506641976</v>
      </c>
      <c r="CD120" s="2">
        <v>8.4723172449032574E-4</v>
      </c>
      <c r="CE120" s="2">
        <f t="shared" si="61"/>
        <v>0.3176049697037675</v>
      </c>
      <c r="CF120" s="2">
        <v>2.5303065330843644E-4</v>
      </c>
      <c r="CG120" s="2">
        <f t="shared" si="62"/>
        <v>-8.6355205135591483E-8</v>
      </c>
      <c r="CH120" s="2">
        <f t="shared" si="63"/>
        <v>2.1437559675142035E-7</v>
      </c>
      <c r="CI120" s="2">
        <f t="shared" si="64"/>
        <v>3.4131072530457773E-4</v>
      </c>
    </row>
    <row r="121" spans="67:87" x14ac:dyDescent="0.2">
      <c r="BO121" s="2">
        <v>15</v>
      </c>
      <c r="BP121" s="2">
        <f t="shared" si="65"/>
        <v>0.29832091372406006</v>
      </c>
      <c r="BQ121" s="2">
        <v>-3.5915431678159443E-4</v>
      </c>
      <c r="BR121" s="2">
        <f t="shared" si="66"/>
        <v>0.29849156908671237</v>
      </c>
      <c r="BS121" s="2">
        <v>1.0470420867333269E-4</v>
      </c>
      <c r="BT121" s="2">
        <f t="shared" si="57"/>
        <v>0.29840624140538619</v>
      </c>
      <c r="BU121" s="2">
        <v>-1.2721889843406858E-4</v>
      </c>
      <c r="BV121" s="2">
        <f t="shared" si="58"/>
        <v>4.5691216548794954E-8</v>
      </c>
      <c r="BW121" s="2">
        <f t="shared" si="59"/>
        <v>-1.3320354088832234E-8</v>
      </c>
      <c r="BX121" s="2">
        <f t="shared" si="60"/>
        <v>1.7065536265231662E-4</v>
      </c>
      <c r="BZ121" s="2">
        <v>15</v>
      </c>
      <c r="CA121" s="2">
        <f t="shared" si="67"/>
        <v>0.31743431434111519</v>
      </c>
      <c r="CB121" s="2">
        <v>-3.4128357179842236E-4</v>
      </c>
      <c r="CC121" s="2">
        <f t="shared" si="68"/>
        <v>0.3176049697037675</v>
      </c>
      <c r="CD121" s="2">
        <v>2.5303065330843644E-4</v>
      </c>
      <c r="CE121" s="2">
        <f t="shared" si="61"/>
        <v>0.31751964202244132</v>
      </c>
      <c r="CF121" s="2">
        <v>-4.4111900534216097E-5</v>
      </c>
      <c r="CG121" s="2">
        <f t="shared" si="62"/>
        <v>1.5054666973134005E-8</v>
      </c>
      <c r="CH121" s="2">
        <f t="shared" si="63"/>
        <v>-1.1161663010849466E-8</v>
      </c>
      <c r="CI121" s="2">
        <f t="shared" si="64"/>
        <v>1.7065536265231662E-4</v>
      </c>
    </row>
    <row r="122" spans="67:87" x14ac:dyDescent="0.2">
      <c r="BO122" s="2">
        <v>16</v>
      </c>
      <c r="BP122" s="2">
        <f t="shared" si="65"/>
        <v>0.29840624140538619</v>
      </c>
      <c r="BQ122" s="2">
        <v>-1.2721766782609195E-4</v>
      </c>
      <c r="BR122" s="2">
        <f t="shared" si="66"/>
        <v>0.29849156908671237</v>
      </c>
      <c r="BS122" s="2">
        <v>1.0470420867333269E-4</v>
      </c>
      <c r="BT122" s="2">
        <f t="shared" si="57"/>
        <v>0.29844890524604928</v>
      </c>
      <c r="BU122" s="2">
        <v>-1.1256112921749495E-5</v>
      </c>
      <c r="BV122" s="2">
        <f t="shared" si="58"/>
        <v>1.4319764346921085E-9</v>
      </c>
      <c r="BW122" s="2">
        <f t="shared" si="59"/>
        <v>-1.1785623962094556E-9</v>
      </c>
      <c r="BX122" s="2">
        <f t="shared" si="60"/>
        <v>8.5327681326186067E-5</v>
      </c>
      <c r="BZ122" s="2">
        <v>16</v>
      </c>
      <c r="CA122" s="2">
        <f t="shared" si="67"/>
        <v>0.31751964202244132</v>
      </c>
      <c r="CB122" s="2">
        <v>-4.4113018737572396E-5</v>
      </c>
      <c r="CC122" s="2">
        <f t="shared" si="68"/>
        <v>0.3176049697037675</v>
      </c>
      <c r="CD122" s="2">
        <v>2.5303065330843644E-4</v>
      </c>
      <c r="CE122" s="2">
        <f t="shared" si="61"/>
        <v>0.31756230586310441</v>
      </c>
      <c r="CF122" s="2">
        <v>1.0446287689166306E-4</v>
      </c>
      <c r="CG122" s="2">
        <f t="shared" si="62"/>
        <v>-4.6081728457026506E-9</v>
      </c>
      <c r="CH122" s="2">
        <f t="shared" si="63"/>
        <v>2.643230998637627E-8</v>
      </c>
      <c r="CI122" s="2">
        <f t="shared" si="64"/>
        <v>8.5327681326186067E-5</v>
      </c>
    </row>
    <row r="123" spans="67:87" x14ac:dyDescent="0.2">
      <c r="BO123" s="2">
        <v>17</v>
      </c>
      <c r="BP123" s="2">
        <f t="shared" si="65"/>
        <v>0.29844890524604928</v>
      </c>
      <c r="BQ123" s="2">
        <v>-1.1254882340855366E-5</v>
      </c>
      <c r="BR123" s="2">
        <f t="shared" si="66"/>
        <v>0.29849156908671237</v>
      </c>
      <c r="BS123" s="2">
        <v>1.0470420867333269E-4</v>
      </c>
      <c r="BT123" s="2">
        <f t="shared" si="57"/>
        <v>0.29847023716638083</v>
      </c>
      <c r="BU123" s="2">
        <v>4.6723894492603502E-5</v>
      </c>
      <c r="BV123" s="2">
        <f t="shared" si="58"/>
        <v>-5.2587193502079243E-10</v>
      </c>
      <c r="BW123" s="2">
        <f t="shared" si="59"/>
        <v>4.8921883989843369E-9</v>
      </c>
      <c r="BX123" s="2">
        <f t="shared" si="60"/>
        <v>4.2663840663093033E-5</v>
      </c>
      <c r="BZ123" s="2">
        <v>17</v>
      </c>
      <c r="CA123" s="2">
        <f t="shared" si="67"/>
        <v>0.31751964202244132</v>
      </c>
      <c r="CB123" s="2">
        <v>-4.4113018737572396E-5</v>
      </c>
      <c r="CC123" s="2">
        <f t="shared" si="68"/>
        <v>0.31756230586310441</v>
      </c>
      <c r="CD123" s="2">
        <v>1.0446287689166306E-4</v>
      </c>
      <c r="CE123" s="2">
        <f t="shared" si="61"/>
        <v>0.31754097394277286</v>
      </c>
      <c r="CF123" s="2">
        <v>3.0176363228412439E-5</v>
      </c>
      <c r="CG123" s="2">
        <f t="shared" si="62"/>
        <v>-1.3311704765267486E-9</v>
      </c>
      <c r="CH123" s="2">
        <f t="shared" si="63"/>
        <v>3.1523097169677567E-9</v>
      </c>
      <c r="CI123" s="2">
        <f t="shared" si="64"/>
        <v>4.2663840663093033E-5</v>
      </c>
    </row>
    <row r="124" spans="67:87" x14ac:dyDescent="0.2">
      <c r="BO124" s="2">
        <v>18</v>
      </c>
      <c r="BP124" s="2">
        <f t="shared" si="65"/>
        <v>0.29844890524604928</v>
      </c>
      <c r="BQ124" s="2">
        <v>-1.1254882340855366E-5</v>
      </c>
      <c r="BR124" s="2">
        <f t="shared" si="66"/>
        <v>0.29847023716638083</v>
      </c>
      <c r="BS124" s="2">
        <v>4.6725125059945971E-5</v>
      </c>
      <c r="BT124" s="2">
        <f t="shared" si="57"/>
        <v>0.29845957120621502</v>
      </c>
      <c r="BU124" s="2">
        <v>1.7734006248028289E-5</v>
      </c>
      <c r="BV124" s="2">
        <f t="shared" si="58"/>
        <v>-1.995941537535523E-10</v>
      </c>
      <c r="BW124" s="2">
        <f t="shared" si="59"/>
        <v>8.28623659752985E-10</v>
      </c>
      <c r="BX124" s="2">
        <f t="shared" si="60"/>
        <v>2.1331920331546517E-5</v>
      </c>
      <c r="BZ124" s="2">
        <v>18</v>
      </c>
      <c r="CA124" s="2">
        <f t="shared" si="67"/>
        <v>0.31751964202244132</v>
      </c>
      <c r="CB124" s="2">
        <v>-4.4113018737572396E-5</v>
      </c>
      <c r="CC124" s="2">
        <f t="shared" si="68"/>
        <v>0.31754097394277286</v>
      </c>
      <c r="CD124" s="2">
        <v>3.0176363228412439E-5</v>
      </c>
      <c r="CE124" s="2">
        <f t="shared" si="61"/>
        <v>0.31753030798260706</v>
      </c>
      <c r="CF124" s="2">
        <v>-6.9675499001498054E-6</v>
      </c>
      <c r="CG124" s="2">
        <f t="shared" si="62"/>
        <v>3.0735965930027902E-10</v>
      </c>
      <c r="CH124" s="2">
        <f t="shared" si="63"/>
        <v>-2.1025531659900935E-10</v>
      </c>
      <c r="CI124" s="2">
        <f t="shared" si="64"/>
        <v>2.1331920331546517E-5</v>
      </c>
    </row>
    <row r="125" spans="67:87" x14ac:dyDescent="0.2">
      <c r="BO125" s="2">
        <v>19</v>
      </c>
      <c r="BP125" s="2">
        <f t="shared" si="65"/>
        <v>0.29844890524604928</v>
      </c>
      <c r="BQ125" s="2">
        <v>-1.1254882340855366E-5</v>
      </c>
      <c r="BR125" s="2">
        <f t="shared" si="66"/>
        <v>0.29845957120621502</v>
      </c>
      <c r="BS125" s="2">
        <v>1.7735236822143119E-5</v>
      </c>
      <c r="BT125" s="2">
        <f t="shared" si="57"/>
        <v>0.29845423822613215</v>
      </c>
      <c r="BU125" s="2">
        <v>3.2389755275641363E-6</v>
      </c>
      <c r="BV125" s="2">
        <f t="shared" si="58"/>
        <v>-3.6454288467644292E-11</v>
      </c>
      <c r="BW125" s="2">
        <f t="shared" si="59"/>
        <v>5.7443998042475904E-11</v>
      </c>
      <c r="BX125" s="2">
        <f t="shared" si="60"/>
        <v>1.0665960165745503E-5</v>
      </c>
      <c r="BZ125" s="2">
        <v>19</v>
      </c>
      <c r="CA125" s="2">
        <f t="shared" si="67"/>
        <v>0.31753030798260706</v>
      </c>
      <c r="CB125" s="2">
        <v>-6.9686680950753477E-6</v>
      </c>
      <c r="CC125" s="2">
        <f t="shared" si="68"/>
        <v>0.31754097394277286</v>
      </c>
      <c r="CD125" s="2">
        <v>3.0176363228412439E-5</v>
      </c>
      <c r="CE125" s="2">
        <f t="shared" si="61"/>
        <v>0.31753564096268994</v>
      </c>
      <c r="CF125" s="2">
        <v>1.1604461353599549E-5</v>
      </c>
      <c r="CG125" s="2">
        <f t="shared" si="62"/>
        <v>-8.0867639595364062E-11</v>
      </c>
      <c r="CH125" s="2">
        <f t="shared" si="63"/>
        <v>3.5018044087629469E-10</v>
      </c>
      <c r="CI125" s="2">
        <f t="shared" si="64"/>
        <v>1.0665960165801014E-5</v>
      </c>
    </row>
    <row r="126" spans="67:87" x14ac:dyDescent="0.2">
      <c r="BO126" s="2">
        <v>20</v>
      </c>
      <c r="BP126" s="2">
        <f t="shared" si="65"/>
        <v>0.29844890524604928</v>
      </c>
      <c r="BQ126" s="2">
        <v>-1.1254882340855366E-5</v>
      </c>
      <c r="BR126" s="2">
        <f t="shared" si="66"/>
        <v>0.29845423822613215</v>
      </c>
      <c r="BS126" s="2">
        <v>3.2402061050720854E-6</v>
      </c>
      <c r="BT126" s="2">
        <f t="shared" si="57"/>
        <v>0.29845157173609071</v>
      </c>
      <c r="BU126" s="2">
        <v>-4.0085614812016002E-6</v>
      </c>
      <c r="BV126" s="2">
        <f t="shared" si="58"/>
        <v>4.511588782700892E-11</v>
      </c>
      <c r="BW126" s="2">
        <f t="shared" si="59"/>
        <v>-1.2988565383946227E-11</v>
      </c>
      <c r="BX126" s="2">
        <f t="shared" si="60"/>
        <v>5.3329800828727514E-6</v>
      </c>
      <c r="BZ126" s="2">
        <v>20</v>
      </c>
      <c r="CA126" s="2">
        <f t="shared" si="67"/>
        <v>0.31753030798260706</v>
      </c>
      <c r="CB126" s="2">
        <v>-6.9686680950753477E-6</v>
      </c>
      <c r="CC126" s="2">
        <f t="shared" si="68"/>
        <v>0.31753564096268994</v>
      </c>
      <c r="CD126" s="2">
        <v>1.1604461353599549E-5</v>
      </c>
      <c r="CE126" s="2">
        <f t="shared" si="61"/>
        <v>0.3175329744726485</v>
      </c>
      <c r="CF126" s="2">
        <v>2.3184693989861116E-6</v>
      </c>
      <c r="CG126" s="2">
        <f t="shared" si="62"/>
        <v>-1.6156643730123033E-11</v>
      </c>
      <c r="CH126" s="2">
        <f t="shared" si="63"/>
        <v>2.6904588540037504E-11</v>
      </c>
      <c r="CI126" s="2">
        <f t="shared" si="64"/>
        <v>5.3329800828727514E-6</v>
      </c>
    </row>
    <row r="127" spans="67:87" x14ac:dyDescent="0.2">
      <c r="BO127" s="2">
        <v>21</v>
      </c>
      <c r="BP127" s="2">
        <f t="shared" si="65"/>
        <v>0.29845157173609071</v>
      </c>
      <c r="BQ127" s="2">
        <v>-4.007330902000561E-6</v>
      </c>
      <c r="BR127" s="2">
        <f t="shared" si="66"/>
        <v>0.29845423822613215</v>
      </c>
      <c r="BS127" s="2">
        <v>3.2402061050720854E-6</v>
      </c>
      <c r="BT127" s="2">
        <f t="shared" si="57"/>
        <v>0.29845290498111143</v>
      </c>
      <c r="BU127" s="2">
        <v>-3.8479117283468645E-7</v>
      </c>
      <c r="BV127" s="2">
        <f t="shared" si="58"/>
        <v>1.5419855577174778E-12</v>
      </c>
      <c r="BW127" s="2">
        <f t="shared" si="59"/>
        <v>-1.2468027073967989E-12</v>
      </c>
      <c r="BX127" s="2">
        <f t="shared" si="60"/>
        <v>2.6664900414363757E-6</v>
      </c>
      <c r="BZ127" s="2">
        <v>21</v>
      </c>
      <c r="CA127" s="2">
        <f t="shared" si="67"/>
        <v>0.31753030798260706</v>
      </c>
      <c r="CB127" s="2">
        <v>-6.9686680950753477E-6</v>
      </c>
      <c r="CC127" s="2">
        <f t="shared" si="68"/>
        <v>0.3175329744726485</v>
      </c>
      <c r="CD127" s="2">
        <v>2.3184693989861116E-6</v>
      </c>
      <c r="CE127" s="2">
        <f t="shared" si="61"/>
        <v>0.31753164122762778</v>
      </c>
      <c r="CF127" s="2">
        <v>-2.3245368325972016E-6</v>
      </c>
      <c r="CG127" s="2">
        <f t="shared" si="62"/>
        <v>1.6198925661147624E-11</v>
      </c>
      <c r="CH127" s="2">
        <f t="shared" si="63"/>
        <v>-5.3893675131927135E-12</v>
      </c>
      <c r="CI127" s="2">
        <f t="shared" si="64"/>
        <v>2.6664900414363757E-6</v>
      </c>
    </row>
    <row r="128" spans="67:87" x14ac:dyDescent="0.2">
      <c r="BO128" s="2">
        <v>22</v>
      </c>
      <c r="BP128" s="2">
        <f t="shared" si="65"/>
        <v>0.29845290498111143</v>
      </c>
      <c r="BQ128" s="2">
        <v>-3.8356059448019231E-7</v>
      </c>
      <c r="BR128" s="2">
        <f t="shared" si="66"/>
        <v>0.29845423822613215</v>
      </c>
      <c r="BS128" s="2">
        <v>3.2402061050720854E-6</v>
      </c>
      <c r="BT128" s="2">
        <f t="shared" si="57"/>
        <v>0.29845357160362179</v>
      </c>
      <c r="BU128" s="2">
        <v>1.4270926283685426E-6</v>
      </c>
      <c r="BV128" s="2">
        <f t="shared" si="58"/>
        <v>-5.4737649691533832E-13</v>
      </c>
      <c r="BW128" s="2">
        <f t="shared" si="59"/>
        <v>4.6240742469431207E-12</v>
      </c>
      <c r="BX128" s="2">
        <f t="shared" si="60"/>
        <v>1.3332450207181878E-6</v>
      </c>
      <c r="BZ128" s="2">
        <v>22</v>
      </c>
      <c r="CA128" s="2">
        <f t="shared" si="67"/>
        <v>0.31753164122762778</v>
      </c>
      <c r="CB128" s="2">
        <v>-2.325655026468032E-6</v>
      </c>
      <c r="CC128" s="2">
        <f t="shared" si="68"/>
        <v>0.3175329744726485</v>
      </c>
      <c r="CD128" s="2">
        <v>2.3184693989861116E-6</v>
      </c>
      <c r="CE128" s="2">
        <f t="shared" si="61"/>
        <v>0.31753230785013814</v>
      </c>
      <c r="CF128" s="2">
        <v>-3.0328622321884602E-9</v>
      </c>
      <c r="CG128" s="2">
        <f t="shared" si="62"/>
        <v>7.0533912948741481E-15</v>
      </c>
      <c r="CH128" s="2">
        <f t="shared" si="63"/>
        <v>-7.0315982766696561E-15</v>
      </c>
      <c r="CI128" s="2">
        <f t="shared" si="64"/>
        <v>1.3332450207181878E-6</v>
      </c>
    </row>
    <row r="129" spans="67:87" x14ac:dyDescent="0.2">
      <c r="BO129" s="2">
        <v>23</v>
      </c>
      <c r="BP129" s="2">
        <f t="shared" si="65"/>
        <v>0.29845290498111143</v>
      </c>
      <c r="BQ129" s="2">
        <v>-3.8356059448019231E-7</v>
      </c>
      <c r="BR129" s="2">
        <f t="shared" si="66"/>
        <v>0.29845357160362179</v>
      </c>
      <c r="BS129" s="2">
        <v>1.4283232062928253E-6</v>
      </c>
      <c r="BT129" s="2">
        <f t="shared" si="57"/>
        <v>0.29845323829236658</v>
      </c>
      <c r="BU129" s="2">
        <v>5.2115084038517612E-7</v>
      </c>
      <c r="BV129" s="2">
        <f t="shared" si="58"/>
        <v>-1.9989292615198995E-13</v>
      </c>
      <c r="BW129" s="2">
        <f t="shared" si="59"/>
        <v>7.4437183930115513E-13</v>
      </c>
      <c r="BX129" s="2">
        <f t="shared" si="60"/>
        <v>6.6662251035909392E-7</v>
      </c>
      <c r="BZ129" s="2">
        <v>23</v>
      </c>
      <c r="CA129" s="2">
        <f t="shared" si="67"/>
        <v>0.31753230785013814</v>
      </c>
      <c r="CB129" s="2">
        <v>-4.1510555756629763E-9</v>
      </c>
      <c r="CC129" s="2">
        <f t="shared" si="68"/>
        <v>0.3175329744726485</v>
      </c>
      <c r="CD129" s="2">
        <v>2.3184693989861116E-6</v>
      </c>
      <c r="CE129" s="2">
        <f t="shared" si="61"/>
        <v>0.31753264116139335</v>
      </c>
      <c r="CF129" s="2">
        <v>1.1577184819422381E-6</v>
      </c>
      <c r="CG129" s="2">
        <f t="shared" si="62"/>
        <v>-4.8057537595144046E-15</v>
      </c>
      <c r="CH129" s="2">
        <f t="shared" si="63"/>
        <v>2.6841348730237344E-12</v>
      </c>
      <c r="CI129" s="2">
        <f t="shared" si="64"/>
        <v>6.6662251035909392E-7</v>
      </c>
    </row>
    <row r="130" spans="67:87" x14ac:dyDescent="0.2">
      <c r="BO130" s="2">
        <v>24</v>
      </c>
      <c r="BP130" s="2">
        <f t="shared" si="65"/>
        <v>0.29845290498111143</v>
      </c>
      <c r="BQ130" s="2">
        <v>-3.8356059448019231E-7</v>
      </c>
      <c r="BR130" s="2">
        <f t="shared" si="66"/>
        <v>0.29845323829236658</v>
      </c>
      <c r="BS130" s="2">
        <v>5.2238141852456454E-7</v>
      </c>
      <c r="BT130" s="2">
        <f t="shared" si="57"/>
        <v>0.29845307163673901</v>
      </c>
      <c r="BU130" s="2">
        <v>6.8179861881234594E-8</v>
      </c>
      <c r="BV130" s="2">
        <f t="shared" si="58"/>
        <v>-2.6151108354743744E-14</v>
      </c>
      <c r="BW130" s="2">
        <f t="shared" si="59"/>
        <v>3.5615892964328213E-14</v>
      </c>
      <c r="BX130" s="2">
        <f t="shared" si="60"/>
        <v>3.3331125515179139E-7</v>
      </c>
      <c r="BZ130" s="2">
        <v>24</v>
      </c>
      <c r="CA130" s="2">
        <f t="shared" si="67"/>
        <v>0.31753230785013814</v>
      </c>
      <c r="CB130" s="2">
        <v>-4.1510555756629763E-9</v>
      </c>
      <c r="CC130" s="2">
        <f t="shared" si="68"/>
        <v>0.31753264116139335</v>
      </c>
      <c r="CD130" s="2">
        <v>1.1577184819422381E-6</v>
      </c>
      <c r="CE130" s="2">
        <f t="shared" si="61"/>
        <v>0.31753247450576572</v>
      </c>
      <c r="CF130" s="2">
        <v>5.7734286310062721E-7</v>
      </c>
      <c r="CG130" s="2">
        <f t="shared" si="62"/>
        <v>-2.3965823109430851E-15</v>
      </c>
      <c r="CH130" s="2">
        <f t="shared" si="63"/>
        <v>6.6840050302904356E-13</v>
      </c>
      <c r="CI130" s="2">
        <f t="shared" si="64"/>
        <v>3.3331125520730254E-7</v>
      </c>
    </row>
    <row r="131" spans="67:87" x14ac:dyDescent="0.2">
      <c r="BO131" s="2">
        <v>25</v>
      </c>
      <c r="BP131" s="2">
        <f t="shared" si="65"/>
        <v>0.29845290498111143</v>
      </c>
      <c r="BQ131" s="2">
        <v>-3.8356059448019231E-7</v>
      </c>
      <c r="BR131" s="2">
        <f t="shared" si="66"/>
        <v>0.29845307163673901</v>
      </c>
      <c r="BS131" s="2">
        <v>6.941044012470643E-8</v>
      </c>
      <c r="BT131" s="2">
        <f t="shared" si="57"/>
        <v>0.29845298830892519</v>
      </c>
      <c r="BU131" s="2">
        <v>-1.5830564849966811E-7</v>
      </c>
      <c r="BV131" s="2">
        <f t="shared" si="58"/>
        <v>6.0719808648105062E-14</v>
      </c>
      <c r="BW131" s="2">
        <f t="shared" si="59"/>
        <v>-1.0988064736589035E-14</v>
      </c>
      <c r="BX131" s="2">
        <f t="shared" si="60"/>
        <v>1.6665562757589569E-7</v>
      </c>
      <c r="BZ131" s="2">
        <v>25</v>
      </c>
      <c r="CA131" s="2">
        <f t="shared" si="67"/>
        <v>0.31753230785013814</v>
      </c>
      <c r="CB131" s="2">
        <v>-4.1510555756629763E-9</v>
      </c>
      <c r="CC131" s="2">
        <f t="shared" si="68"/>
        <v>0.31753247450576572</v>
      </c>
      <c r="CD131" s="2">
        <v>5.7734286310062721E-7</v>
      </c>
      <c r="CE131" s="2">
        <f t="shared" si="61"/>
        <v>0.31753239117795196</v>
      </c>
      <c r="CF131" s="2">
        <v>2.8715501382281516E-7</v>
      </c>
      <c r="CG131" s="2">
        <f t="shared" si="62"/>
        <v>-1.191996421208776E-15</v>
      </c>
      <c r="CH131" s="2">
        <f t="shared" si="63"/>
        <v>1.6578689783416428E-13</v>
      </c>
      <c r="CI131" s="2">
        <f t="shared" si="64"/>
        <v>1.6665562757589569E-7</v>
      </c>
    </row>
    <row r="132" spans="67:87" x14ac:dyDescent="0.2">
      <c r="BO132" s="2">
        <v>26</v>
      </c>
      <c r="BP132" s="2">
        <f t="shared" si="65"/>
        <v>0.29845298830892519</v>
      </c>
      <c r="BQ132" s="2">
        <v>-1.5707507020762401E-7</v>
      </c>
      <c r="BR132" s="2">
        <f t="shared" si="66"/>
        <v>0.29845307163673901</v>
      </c>
      <c r="BS132" s="2">
        <v>6.941044012470643E-8</v>
      </c>
      <c r="BT132" s="2">
        <f t="shared" si="57"/>
        <v>0.29845302997283207</v>
      </c>
      <c r="BU132" s="2">
        <v>-4.5062891564084939E-8</v>
      </c>
      <c r="BV132" s="2">
        <f t="shared" si="58"/>
        <v>7.0782568561871897E-15</v>
      </c>
      <c r="BW132" s="2">
        <f t="shared" si="59"/>
        <v>-3.1278351367550562E-15</v>
      </c>
      <c r="BX132" s="2">
        <f t="shared" si="60"/>
        <v>8.3327813815703422E-8</v>
      </c>
      <c r="BZ132" s="2">
        <v>26</v>
      </c>
      <c r="CA132" s="2">
        <f t="shared" si="67"/>
        <v>0.31753230785013814</v>
      </c>
      <c r="CB132" s="2">
        <v>-4.1510555756629763E-9</v>
      </c>
      <c r="CC132" s="2">
        <f t="shared" si="68"/>
        <v>0.31753239117795196</v>
      </c>
      <c r="CD132" s="2">
        <v>2.8715501382281516E-7</v>
      </c>
      <c r="CE132" s="2">
        <f t="shared" si="61"/>
        <v>0.31753234951404508</v>
      </c>
      <c r="CF132" s="2">
        <v>1.420610791016963E-7</v>
      </c>
      <c r="CG132" s="2">
        <f t="shared" si="62"/>
        <v>-5.897034344897955E-16</v>
      </c>
      <c r="CH132" s="2">
        <f t="shared" si="63"/>
        <v>4.0793551133131638E-14</v>
      </c>
      <c r="CI132" s="2">
        <f t="shared" si="64"/>
        <v>8.3327813815703422E-8</v>
      </c>
    </row>
    <row r="133" spans="67:87" x14ac:dyDescent="0.2">
      <c r="BO133" s="2">
        <v>27</v>
      </c>
      <c r="BP133" s="2">
        <f t="shared" si="65"/>
        <v>0.29845302997283207</v>
      </c>
      <c r="BQ133" s="2">
        <v>-4.3832313285918634E-8</v>
      </c>
      <c r="BR133" s="2">
        <f t="shared" si="66"/>
        <v>0.29845307163673901</v>
      </c>
      <c r="BS133" s="2">
        <v>6.941044012470643E-8</v>
      </c>
      <c r="BT133" s="2">
        <f t="shared" si="57"/>
        <v>0.29845305080478557</v>
      </c>
      <c r="BU133" s="2">
        <v>1.1558485828178089E-8</v>
      </c>
      <c r="BV133" s="2">
        <f t="shared" si="58"/>
        <v>-5.0663517193155271E-16</v>
      </c>
      <c r="BW133" s="2">
        <f t="shared" si="59"/>
        <v>8.0227958850902308E-16</v>
      </c>
      <c r="BX133" s="2">
        <f t="shared" si="60"/>
        <v>4.1663906935607287E-8</v>
      </c>
      <c r="BZ133" s="2">
        <v>27</v>
      </c>
      <c r="CA133" s="2">
        <f t="shared" si="67"/>
        <v>0.31753230785013814</v>
      </c>
      <c r="CB133" s="2">
        <v>-4.1510555756629763E-9</v>
      </c>
      <c r="CC133" s="2">
        <f t="shared" si="68"/>
        <v>0.31753234951404508</v>
      </c>
      <c r="CD133" s="2">
        <v>1.420610791016963E-7</v>
      </c>
      <c r="CE133" s="2">
        <f t="shared" si="61"/>
        <v>0.31753232868209158</v>
      </c>
      <c r="CF133" s="2">
        <v>6.9514109177215566E-8</v>
      </c>
      <c r="CG133" s="2">
        <f t="shared" si="62"/>
        <v>-2.8855693048732554E-16</v>
      </c>
      <c r="CH133" s="2">
        <f t="shared" si="63"/>
        <v>9.8752493625083724E-15</v>
      </c>
      <c r="CI133" s="2">
        <f t="shared" si="64"/>
        <v>4.1663906935607287E-8</v>
      </c>
    </row>
    <row r="134" spans="67:87" x14ac:dyDescent="0.2">
      <c r="BO134" s="2">
        <v>28</v>
      </c>
      <c r="BP134" s="2">
        <f t="shared" si="65"/>
        <v>0.29845302997283207</v>
      </c>
      <c r="BQ134" s="2">
        <v>-4.3832313285918634E-8</v>
      </c>
      <c r="BR134" s="2">
        <f t="shared" si="66"/>
        <v>0.29845305080478557</v>
      </c>
      <c r="BS134" s="2">
        <v>1.2789064085527713E-8</v>
      </c>
      <c r="BT134" s="2">
        <f t="shared" si="57"/>
        <v>0.29845304038880882</v>
      </c>
      <c r="BU134" s="2">
        <v>-1.6752202784686698E-8</v>
      </c>
      <c r="BV134" s="2">
        <f t="shared" si="58"/>
        <v>7.3428780068762594E-16</v>
      </c>
      <c r="BW134" s="2">
        <f t="shared" si="59"/>
        <v>-2.14244994987114E-16</v>
      </c>
      <c r="BX134" s="2">
        <f t="shared" si="60"/>
        <v>2.0831953495559219E-8</v>
      </c>
      <c r="BZ134" s="2">
        <v>28</v>
      </c>
      <c r="CA134" s="2">
        <f t="shared" si="67"/>
        <v>0.31753230785013814</v>
      </c>
      <c r="CB134" s="2">
        <v>-4.1510555756629763E-9</v>
      </c>
      <c r="CC134" s="2">
        <f t="shared" si="68"/>
        <v>0.31753232868209158</v>
      </c>
      <c r="CD134" s="2">
        <v>6.9514109177215566E-8</v>
      </c>
      <c r="CE134" s="2">
        <f t="shared" si="61"/>
        <v>0.31753231826611483</v>
      </c>
      <c r="CF134" s="2">
        <v>3.3240623531494151E-8</v>
      </c>
      <c r="CG134" s="2">
        <f t="shared" si="62"/>
        <v>-1.3798367564892273E-16</v>
      </c>
      <c r="CH134" s="2">
        <f t="shared" si="63"/>
        <v>2.3106923332870052E-15</v>
      </c>
      <c r="CI134" s="2">
        <f t="shared" si="64"/>
        <v>2.0831953440048068E-8</v>
      </c>
    </row>
    <row r="135" spans="67:87" x14ac:dyDescent="0.2">
      <c r="BO135" s="2">
        <v>29</v>
      </c>
      <c r="BP135" s="2">
        <f t="shared" si="65"/>
        <v>0.29845304038880882</v>
      </c>
      <c r="BQ135" s="2">
        <v>-1.5521624520398181E-8</v>
      </c>
      <c r="BR135" s="2">
        <f t="shared" si="66"/>
        <v>0.29845305080478557</v>
      </c>
      <c r="BS135" s="2">
        <v>1.2789064085527713E-8</v>
      </c>
      <c r="BT135" s="2">
        <f t="shared" si="57"/>
        <v>0.2984530455967972</v>
      </c>
      <c r="BU135" s="2">
        <v>-2.5968585407043498E-9</v>
      </c>
      <c r="BV135" s="2">
        <f t="shared" si="58"/>
        <v>4.0307463201402075E-17</v>
      </c>
      <c r="BW135" s="2">
        <f t="shared" si="59"/>
        <v>-3.3211390298117905E-17</v>
      </c>
      <c r="BX135" s="2">
        <f t="shared" si="60"/>
        <v>1.0415976747779609E-8</v>
      </c>
      <c r="BZ135" s="2">
        <v>29</v>
      </c>
      <c r="CA135" s="2">
        <f t="shared" si="67"/>
        <v>0.31753230785013814</v>
      </c>
      <c r="CB135" s="2">
        <v>-4.1510555756629763E-9</v>
      </c>
      <c r="CC135" s="2">
        <f t="shared" si="68"/>
        <v>0.31753231826611483</v>
      </c>
      <c r="CD135" s="2">
        <v>3.3240623531494151E-8</v>
      </c>
      <c r="CE135" s="2">
        <f t="shared" si="61"/>
        <v>0.31753231305812646</v>
      </c>
      <c r="CF135" s="2">
        <v>1.5103880618427823E-8</v>
      </c>
      <c r="CG135" s="2">
        <f t="shared" si="62"/>
        <v>-6.269704785527278E-17</v>
      </c>
      <c r="CH135" s="2">
        <f t="shared" si="63"/>
        <v>5.0206240950179034E-16</v>
      </c>
      <c r="CI135" s="2">
        <f t="shared" si="64"/>
        <v>1.0415976692268458E-8</v>
      </c>
    </row>
    <row r="136" spans="67:87" x14ac:dyDescent="0.2">
      <c r="BO136" s="2">
        <v>30</v>
      </c>
      <c r="BP136" s="2">
        <f t="shared" si="65"/>
        <v>0.2984530455967972</v>
      </c>
      <c r="BQ136" s="2">
        <v>-1.3662802833547261E-9</v>
      </c>
      <c r="BR136" s="2">
        <f t="shared" si="66"/>
        <v>0.29845305080478557</v>
      </c>
      <c r="BS136" s="2">
        <v>1.2789064085527713E-8</v>
      </c>
      <c r="BT136" s="5">
        <f t="shared" si="57"/>
        <v>0.29845304820079138</v>
      </c>
      <c r="BU136" s="2">
        <v>4.4808137131258086E-9</v>
      </c>
      <c r="BV136" s="2">
        <f t="shared" si="58"/>
        <v>-6.1220474296292718E-18</v>
      </c>
      <c r="BW136" s="2">
        <f t="shared" si="59"/>
        <v>5.7305413732477354E-17</v>
      </c>
      <c r="BX136" s="2">
        <f t="shared" si="60"/>
        <v>5.2079883738898047E-9</v>
      </c>
      <c r="BZ136" s="2">
        <v>30</v>
      </c>
      <c r="CA136" s="2">
        <f t="shared" si="67"/>
        <v>0.31753230785013814</v>
      </c>
      <c r="CB136" s="2">
        <v>-4.1510555756629763E-9</v>
      </c>
      <c r="CC136" s="2">
        <f t="shared" si="68"/>
        <v>0.31753231305812646</v>
      </c>
      <c r="CD136" s="2">
        <v>1.5103880618427823E-8</v>
      </c>
      <c r="CE136" s="5">
        <f t="shared" si="61"/>
        <v>0.31753231045413233</v>
      </c>
      <c r="CF136" s="2">
        <v>6.0355092312835978E-9</v>
      </c>
      <c r="CG136" s="2">
        <f t="shared" si="62"/>
        <v>-2.5053734246485142E-17</v>
      </c>
      <c r="CH136" s="2">
        <f t="shared" si="63"/>
        <v>9.1159610900726541E-17</v>
      </c>
      <c r="CI136" s="2">
        <f t="shared" si="64"/>
        <v>5.2079883183786535E-9</v>
      </c>
    </row>
  </sheetData>
  <mergeCells count="86">
    <mergeCell ref="B1:D1"/>
    <mergeCell ref="B3:D3"/>
    <mergeCell ref="F3:H3"/>
    <mergeCell ref="J3:L3"/>
    <mergeCell ref="N3:P3"/>
    <mergeCell ref="F15:H15"/>
    <mergeCell ref="B27:D27"/>
    <mergeCell ref="B33:D33"/>
    <mergeCell ref="N18:P18"/>
    <mergeCell ref="J9:L9"/>
    <mergeCell ref="B16:D16"/>
    <mergeCell ref="AQ7:AS7"/>
    <mergeCell ref="AQ2:AS2"/>
    <mergeCell ref="AU2:AW2"/>
    <mergeCell ref="AY2:BE2"/>
    <mergeCell ref="AU9:AW9"/>
    <mergeCell ref="B58:D58"/>
    <mergeCell ref="B21:D21"/>
    <mergeCell ref="BC30:BE30"/>
    <mergeCell ref="AQ35:AQ42"/>
    <mergeCell ref="B38:D38"/>
    <mergeCell ref="AV42:AX42"/>
    <mergeCell ref="AY42:BB42"/>
    <mergeCell ref="BC42:BE42"/>
    <mergeCell ref="AQ27:AQ34"/>
    <mergeCell ref="AV30:AW30"/>
    <mergeCell ref="AY30:BA30"/>
    <mergeCell ref="AQ19:AQ26"/>
    <mergeCell ref="AY21:BA21"/>
    <mergeCell ref="BC21:BE21"/>
    <mergeCell ref="AU53:AU55"/>
    <mergeCell ref="AV55:AX55"/>
    <mergeCell ref="AQ11:AQ18"/>
    <mergeCell ref="AY12:BA12"/>
    <mergeCell ref="BC12:BE12"/>
    <mergeCell ref="BK22:BM22"/>
    <mergeCell ref="AU23:AU29"/>
    <mergeCell ref="AV23:AW23"/>
    <mergeCell ref="AV24:AW24"/>
    <mergeCell ref="AV25:AW25"/>
    <mergeCell ref="AV26:AW26"/>
    <mergeCell ref="BG22:BI22"/>
    <mergeCell ref="AV27:AW27"/>
    <mergeCell ref="AV28:AW28"/>
    <mergeCell ref="AV29:AW29"/>
    <mergeCell ref="AU14:AW14"/>
    <mergeCell ref="AU22:AW22"/>
    <mergeCell ref="BO36:BX36"/>
    <mergeCell ref="BZ36:CI36"/>
    <mergeCell ref="AV41:AW41"/>
    <mergeCell ref="BG41:BI41"/>
    <mergeCell ref="BK41:BM41"/>
    <mergeCell ref="BZ2:CI2"/>
    <mergeCell ref="AY3:BA3"/>
    <mergeCell ref="BC3:BE3"/>
    <mergeCell ref="BG3:BI3"/>
    <mergeCell ref="BK3:BM3"/>
    <mergeCell ref="BG2:BM2"/>
    <mergeCell ref="BO2:BX2"/>
    <mergeCell ref="BO104:BX104"/>
    <mergeCell ref="BZ104:CI104"/>
    <mergeCell ref="B63:D63"/>
    <mergeCell ref="AF47:AI47"/>
    <mergeCell ref="AY43:AZ43"/>
    <mergeCell ref="AQ44:AS44"/>
    <mergeCell ref="BG60:BI60"/>
    <mergeCell ref="BK60:BM60"/>
    <mergeCell ref="BO70:BX70"/>
    <mergeCell ref="BZ70:CI70"/>
    <mergeCell ref="B75:D75"/>
    <mergeCell ref="B69:D69"/>
    <mergeCell ref="AY55:BA55"/>
    <mergeCell ref="BB55:BD55"/>
    <mergeCell ref="AY48:BA48"/>
    <mergeCell ref="BB48:BD48"/>
    <mergeCell ref="BB52:BD52"/>
    <mergeCell ref="J41:L41"/>
    <mergeCell ref="B44:D44"/>
    <mergeCell ref="F22:H22"/>
    <mergeCell ref="B47:D47"/>
    <mergeCell ref="B52:D52"/>
    <mergeCell ref="AV47:AW47"/>
    <mergeCell ref="AV48:AX48"/>
    <mergeCell ref="AU50:AU52"/>
    <mergeCell ref="AV52:AX52"/>
    <mergeCell ref="AY52:BA52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1">
    <cfRule type="containsText" dxfId="5" priority="7" operator="containsText" text="FALSE">
      <formula>NOT(ISERROR(SEARCH("FALSE",K31)))</formula>
    </cfRule>
    <cfRule type="containsText" dxfId="4" priority="8" operator="containsText" text="TRUE">
      <formula>NOT(ISERROR(SEARCH("TRUE",K31)))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NOT(ISERROR(SEARCH("YES",K31)))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multirotor</vt:lpstr>
      <vt:lpstr>lift+cruise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2025-02-24T14:13:04Z</dcterms:modified>
</cp:coreProperties>
</file>