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E785C9F0-7187-F242-9641-39A1B9DA0247}" xr6:coauthVersionLast="47" xr6:coauthVersionMax="47" xr10:uidLastSave="{00000000-0000-0000-0000-000000000000}"/>
  <bookViews>
    <workbookView xWindow="0" yWindow="760" windowWidth="30240" windowHeight="17260" xr2:uid="{5EC0E62E-FE45-5247-ADB4-6FC5840AA93C}"/>
  </bookViews>
  <sheets>
    <sheet name="multirotor" sheetId="3" r:id="rId1"/>
    <sheet name="lift_cru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L10" i="3" s="1"/>
  <c r="P7" i="3"/>
  <c r="P6" i="3"/>
  <c r="P5" i="3"/>
  <c r="P4" i="3"/>
  <c r="O7" i="3"/>
  <c r="O6" i="3"/>
  <c r="O5" i="3"/>
  <c r="O4" i="3"/>
  <c r="K7" i="3"/>
  <c r="K6" i="3"/>
  <c r="K5" i="3"/>
  <c r="K4" i="3"/>
  <c r="K3" i="3"/>
  <c r="C11" i="2"/>
  <c r="M7" i="2" s="1"/>
  <c r="Q7" i="2" s="1"/>
  <c r="R7" i="2" s="1"/>
  <c r="T7" i="2" s="1"/>
  <c r="K13" i="2"/>
  <c r="O9" i="2"/>
  <c r="O8" i="2"/>
  <c r="O10" i="2"/>
  <c r="O7" i="2"/>
  <c r="O6" i="2"/>
  <c r="O5" i="2"/>
  <c r="O4" i="2"/>
  <c r="P10" i="2"/>
  <c r="P9" i="2"/>
  <c r="P8" i="2"/>
  <c r="P7" i="2"/>
  <c r="P6" i="2"/>
  <c r="P5" i="2"/>
  <c r="P4" i="2"/>
  <c r="K10" i="2"/>
  <c r="K9" i="2"/>
  <c r="K8" i="2"/>
  <c r="K7" i="2"/>
  <c r="K6" i="2"/>
  <c r="K5" i="2"/>
  <c r="K4" i="2"/>
  <c r="K3" i="2"/>
  <c r="L7" i="3"/>
  <c r="L6" i="3"/>
  <c r="L5" i="3"/>
  <c r="L4" i="3"/>
  <c r="C25" i="3"/>
  <c r="I6" i="3" s="1"/>
  <c r="C20" i="3"/>
  <c r="I4" i="3" s="1"/>
  <c r="L10" i="2"/>
  <c r="L9" i="2"/>
  <c r="L8" i="2"/>
  <c r="L7" i="2"/>
  <c r="K16" i="2"/>
  <c r="I7" i="2"/>
  <c r="I3" i="2"/>
  <c r="M5" i="2" l="1"/>
  <c r="Q5" i="2" s="1"/>
  <c r="R5" i="2" s="1"/>
  <c r="T5" i="2" s="1"/>
  <c r="M6" i="2"/>
  <c r="Q6" i="2" s="1"/>
  <c r="M8" i="2"/>
  <c r="Q8" i="2" s="1"/>
  <c r="R8" i="2" s="1"/>
  <c r="T8" i="2" s="1"/>
  <c r="M9" i="2"/>
  <c r="Q9" i="2" s="1"/>
  <c r="R9" i="2" s="1"/>
  <c r="T9" i="2" s="1"/>
  <c r="M3" i="2"/>
  <c r="Q3" i="2" s="1"/>
  <c r="M10" i="2"/>
  <c r="Q10" i="2" s="1"/>
  <c r="R10" i="2" s="1"/>
  <c r="T10" i="2" s="1"/>
  <c r="M4" i="2"/>
  <c r="Q4" i="2" s="1"/>
  <c r="R4" i="2" s="1"/>
  <c r="T4" i="2" s="1"/>
  <c r="R6" i="2"/>
  <c r="T6" i="2" s="1"/>
  <c r="I5" i="3"/>
  <c r="I7" i="3"/>
  <c r="K15" i="3"/>
  <c r="L15" i="3" s="1"/>
  <c r="K14" i="3"/>
  <c r="L14" i="3" s="1"/>
  <c r="K13" i="3"/>
  <c r="L13" i="3" s="1"/>
  <c r="K12" i="3"/>
  <c r="L12" i="3" s="1"/>
  <c r="K11" i="3"/>
  <c r="L11" i="3" s="1"/>
  <c r="K10" i="3"/>
  <c r="C11" i="3"/>
  <c r="P3" i="3"/>
  <c r="O3" i="3"/>
  <c r="I3" i="3"/>
  <c r="L13" i="2"/>
  <c r="M7" i="3" l="1"/>
  <c r="Q7" i="3" s="1"/>
  <c r="R7" i="3" s="1"/>
  <c r="T7" i="3" s="1"/>
  <c r="M6" i="3"/>
  <c r="Q6" i="3" s="1"/>
  <c r="R6" i="3" s="1"/>
  <c r="T6" i="3" s="1"/>
  <c r="M4" i="3"/>
  <c r="Q4" i="3" s="1"/>
  <c r="R4" i="3" s="1"/>
  <c r="T4" i="3" s="1"/>
  <c r="M5" i="3"/>
  <c r="Q5" i="3" s="1"/>
  <c r="R5" i="3" s="1"/>
  <c r="M3" i="3"/>
  <c r="Q3" i="3" s="1"/>
  <c r="H26" i="3"/>
  <c r="U7" i="3"/>
  <c r="U6" i="3"/>
  <c r="U4" i="3"/>
  <c r="I10" i="2"/>
  <c r="I9" i="2"/>
  <c r="I8" i="2"/>
  <c r="K18" i="2"/>
  <c r="L18" i="2" s="1"/>
  <c r="K17" i="2"/>
  <c r="L17" i="2" s="1"/>
  <c r="L16" i="2"/>
  <c r="K15" i="2"/>
  <c r="L15" i="2" s="1"/>
  <c r="K14" i="2"/>
  <c r="L14" i="2" s="1"/>
  <c r="P3" i="2"/>
  <c r="O3" i="2"/>
  <c r="R3" i="2" l="1"/>
  <c r="T3" i="2" s="1"/>
  <c r="U3" i="2" s="1"/>
  <c r="T5" i="3"/>
  <c r="U5" i="3" s="1"/>
  <c r="H25" i="3" s="1"/>
  <c r="R3" i="3"/>
  <c r="H32" i="2"/>
  <c r="U4" i="2"/>
  <c r="U10" i="2"/>
  <c r="U5" i="2"/>
  <c r="H29" i="2" s="1"/>
  <c r="U7" i="2"/>
  <c r="U6" i="2"/>
  <c r="H30" i="2" s="1"/>
  <c r="U8" i="2"/>
  <c r="U9" i="2"/>
  <c r="T3" i="3" l="1"/>
  <c r="P14" i="3" s="1"/>
  <c r="H28" i="2"/>
  <c r="H21" i="2"/>
  <c r="H31" i="2"/>
  <c r="U3" i="3" l="1"/>
  <c r="H27" i="2"/>
  <c r="H33" i="2" s="1"/>
  <c r="H35" i="2" s="1"/>
  <c r="I32" i="2"/>
  <c r="H24" i="3" l="1"/>
  <c r="H18" i="3"/>
  <c r="M13" i="2"/>
  <c r="I31" i="2"/>
  <c r="M16" i="2"/>
  <c r="M14" i="2"/>
  <c r="V7" i="2"/>
  <c r="I27" i="2"/>
  <c r="I28" i="2"/>
  <c r="M18" i="2"/>
  <c r="M15" i="2"/>
  <c r="I29" i="2"/>
  <c r="V10" i="2"/>
  <c r="I30" i="2"/>
  <c r="V6" i="2"/>
  <c r="V3" i="2"/>
  <c r="V5" i="2"/>
  <c r="V8" i="2"/>
  <c r="M17" i="2"/>
  <c r="V4" i="2"/>
  <c r="V9" i="2"/>
  <c r="M12" i="3" l="1"/>
  <c r="M15" i="3"/>
  <c r="V3" i="3"/>
  <c r="V4" i="3"/>
  <c r="V5" i="3"/>
  <c r="M14" i="3"/>
  <c r="M11" i="3"/>
  <c r="M13" i="3"/>
  <c r="I26" i="3"/>
  <c r="I25" i="3"/>
  <c r="V6" i="3"/>
  <c r="M10" i="3"/>
  <c r="V7" i="3"/>
  <c r="H27" i="3"/>
  <c r="H29" i="3" s="1"/>
  <c r="I24" i="3"/>
  <c r="H22" i="2"/>
  <c r="I33" i="2"/>
  <c r="I27" i="3" l="1"/>
  <c r="H19" i="3"/>
</calcChain>
</file>

<file path=xl/sharedStrings.xml><?xml version="1.0" encoding="utf-8"?>
<sst xmlns="http://schemas.openxmlformats.org/spreadsheetml/2006/main" count="185" uniqueCount="75">
  <si>
    <t>Sref</t>
  </si>
  <si>
    <t>v_inf</t>
  </si>
  <si>
    <t>m/s</t>
  </si>
  <si>
    <t>m**2</t>
  </si>
  <si>
    <t>alt</t>
  </si>
  <si>
    <t>m</t>
  </si>
  <si>
    <t>dTemp</t>
  </si>
  <si>
    <t>Temp</t>
  </si>
  <si>
    <t>K</t>
  </si>
  <si>
    <t>Pres</t>
  </si>
  <si>
    <t>Pa</t>
  </si>
  <si>
    <t>Density</t>
  </si>
  <si>
    <t>kg/m**3</t>
  </si>
  <si>
    <t>Gamma</t>
  </si>
  <si>
    <t>Dyn Visc</t>
  </si>
  <si>
    <t>kg/m-s</t>
  </si>
  <si>
    <t>Re/L</t>
  </si>
  <si>
    <t>Mach</t>
  </si>
  <si>
    <t>1/m</t>
  </si>
  <si>
    <t>No</t>
  </si>
  <si>
    <t>Component</t>
  </si>
  <si>
    <t>S_wet (m**2)</t>
  </si>
  <si>
    <t>FF Eq</t>
  </si>
  <si>
    <t>FF</t>
  </si>
  <si>
    <t>f (m**2)</t>
  </si>
  <si>
    <t>%</t>
  </si>
  <si>
    <t>Fuselage</t>
  </si>
  <si>
    <t>Wing</t>
  </si>
  <si>
    <t>H Tail</t>
  </si>
  <si>
    <t>V Tail</t>
  </si>
  <si>
    <t>Hoerner Streamlined Body</t>
  </si>
  <si>
    <t>Hoerner</t>
  </si>
  <si>
    <t>C_D0</t>
  </si>
  <si>
    <t>length</t>
  </si>
  <si>
    <t>d_max</t>
  </si>
  <si>
    <t>t/c or l/d</t>
  </si>
  <si>
    <t>L_ref (m)</t>
  </si>
  <si>
    <t>%Lam</t>
  </si>
  <si>
    <t>C_f (1E-3)</t>
  </si>
  <si>
    <t>Q</t>
  </si>
  <si>
    <t>C_f_turb (1E-3)</t>
  </si>
  <si>
    <t>C_f_%lam (1E-3)</t>
  </si>
  <si>
    <t>C_f_%turb (1E-3)</t>
  </si>
  <si>
    <t>Boom 1</t>
  </si>
  <si>
    <t>Boom 4</t>
  </si>
  <si>
    <t>Boom 2</t>
  </si>
  <si>
    <t>Boom 3</t>
  </si>
  <si>
    <t>Main strut LG 1</t>
  </si>
  <si>
    <t>Main strut LG 2</t>
  </si>
  <si>
    <t>Nose strut LG</t>
  </si>
  <si>
    <t>Nose Wheel LG</t>
  </si>
  <si>
    <t>Main Wheel LG 1</t>
  </si>
  <si>
    <t>Main Wheel LG 2</t>
  </si>
  <si>
    <t>CD_pi</t>
  </si>
  <si>
    <t>S_front (m**2)</t>
  </si>
  <si>
    <t>D/q</t>
  </si>
  <si>
    <t>CD_0</t>
  </si>
  <si>
    <t>CD_0 total</t>
  </si>
  <si>
    <t>Boom</t>
  </si>
  <si>
    <t>%total</t>
  </si>
  <si>
    <t>Summary</t>
  </si>
  <si>
    <t>Booms</t>
  </si>
  <si>
    <t>Landing gears</t>
  </si>
  <si>
    <t>Total</t>
  </si>
  <si>
    <t>Re</t>
  </si>
  <si>
    <t>Boom 1&amp;2</t>
  </si>
  <si>
    <t>radius</t>
  </si>
  <si>
    <t>Lift rotor</t>
  </si>
  <si>
    <t>Boom 3&amp;4</t>
  </si>
  <si>
    <t>t/c</t>
  </si>
  <si>
    <t>area</t>
  </si>
  <si>
    <t>AR</t>
  </si>
  <si>
    <t>m2</t>
  </si>
  <si>
    <t>Total Drag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</si>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</sst>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FF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F-7047-9631-74609253A0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F-7047-9631-74609253A0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F-7047-9631-74609253A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multirotor!$G$24:$G$26</c:f>
              <c:strCache>
                <c:ptCount val="3"/>
                <c:pt idx="0">
                  <c:v>Fuselage</c:v>
                </c:pt>
                <c:pt idx="1">
                  <c:v>Booms</c:v>
                </c:pt>
                <c:pt idx="2">
                  <c:v>Landing gears</c:v>
                </c:pt>
              </c:strCache>
            </c:strRef>
          </c:cat>
          <c:val>
            <c:numRef>
              <c:f>multirotor!$I$24:$I$26</c:f>
              <c:numCache>
                <c:formatCode>0.00</c:formatCode>
                <c:ptCount val="3"/>
                <c:pt idx="0">
                  <c:v>41.496434708069948</c:v>
                </c:pt>
                <c:pt idx="1">
                  <c:v>37.315192562727354</c:v>
                </c:pt>
                <c:pt idx="2">
                  <c:v>21.188372729202701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5F-7047-9631-74609253A0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F-FE4A-9815-F284DD0257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F-FE4A-9815-F284DD0257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F-FE4A-9815-F284DD0257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F-FE4A-9815-F284DD0257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F-FE4A-9815-F284DD0257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5-9F4E-A50F-3BDDBDA71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lift_cruise!$G$27:$G$32</c:f>
              <c:strCache>
                <c:ptCount val="6"/>
                <c:pt idx="0">
                  <c:v>Fuselage</c:v>
                </c:pt>
                <c:pt idx="1">
                  <c:v>Wing</c:v>
                </c:pt>
                <c:pt idx="2">
                  <c:v>H Tail</c:v>
                </c:pt>
                <c:pt idx="3">
                  <c:v>V Tail</c:v>
                </c:pt>
                <c:pt idx="4">
                  <c:v>Booms</c:v>
                </c:pt>
                <c:pt idx="5">
                  <c:v>Landing gears</c:v>
                </c:pt>
              </c:strCache>
            </c:strRef>
          </c:cat>
          <c:val>
            <c:numRef>
              <c:f>lift_cruise!$I$27:$I$32</c:f>
              <c:numCache>
                <c:formatCode>0.00</c:formatCode>
                <c:ptCount val="6"/>
                <c:pt idx="0">
                  <c:v>23.502863779706662</c:v>
                </c:pt>
                <c:pt idx="1">
                  <c:v>35.712056185664018</c:v>
                </c:pt>
                <c:pt idx="2">
                  <c:v>9.8876839253399762</c:v>
                </c:pt>
                <c:pt idx="3">
                  <c:v>5.8250468926510468</c:v>
                </c:pt>
                <c:pt idx="4">
                  <c:v>12.040740742785589</c:v>
                </c:pt>
                <c:pt idx="5">
                  <c:v>13.031608473852707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2F-FE4A-9815-F284DD025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718820</xdr:colOff>
      <xdr:row>16</xdr:row>
      <xdr:rowOff>185420</xdr:rowOff>
    </xdr:from>
    <xdr:to>
      <xdr:col>12</xdr:col>
      <xdr:colOff>325120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E7B74-7BDB-574B-A50E-3812332A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932180</xdr:colOff>
      <xdr:row>20</xdr:row>
      <xdr:rowOff>43180</xdr:rowOff>
    </xdr:from>
    <xdr:to>
      <xdr:col>12</xdr:col>
      <xdr:colOff>538480</xdr:colOff>
      <xdr:row>32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1FB85-B9FA-7A4C-8A39-F960F93A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BCE7-ACBF-7C4C-98A2-383093A25355}">
  <dimension ref="B2:V40"/>
  <sheetViews>
    <sheetView tabSelected="1" topLeftCell="A2" zoomScale="125" workbookViewId="0">
      <selection activeCell="C4" sqref="C4"/>
    </sheetView>
  </sheetViews>
  <sheetFormatPr baseColWidth="10" defaultRowHeight="16" x14ac:dyDescent="0.2"/>
  <cols>
    <col min="3" max="3" width="12.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f>PI()*C30*C30</f>
        <v>7.0685834705770345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2">
        <v>1</v>
      </c>
      <c r="G3" s="2" t="s">
        <v>26</v>
      </c>
      <c r="H3" s="2">
        <v>23.38960865</v>
      </c>
      <c r="I3" s="2">
        <f>C16/C17</f>
        <v>2.8888888888888888</v>
      </c>
      <c r="J3" s="2" t="s">
        <v>30</v>
      </c>
      <c r="K3" s="2">
        <f>1+1.5/(I3)^1.5+7/(I3)^3</f>
        <v>1.5958276938901459</v>
      </c>
      <c r="L3" s="2">
        <v>5.2</v>
      </c>
      <c r="M3" s="2">
        <f>$C$11*L3</f>
        <v>17799458.499798622</v>
      </c>
      <c r="N3" s="2">
        <v>0</v>
      </c>
      <c r="O3" s="2">
        <f>IF(N3=0,0,1.32824/SQRT((N3/100)*M3)*1000)</f>
        <v>0</v>
      </c>
      <c r="P3" s="2">
        <f>IF(N3=0,0,0.455/((LOG((N3/100)*M3))^2.58) * 1000)</f>
        <v>0</v>
      </c>
      <c r="Q3" s="2">
        <f t="shared" ref="Q3:Q7" si="0">0.455/((LOG(M3))^2.58) * 1000</f>
        <v>2.743320017458609</v>
      </c>
      <c r="R3" s="2">
        <f>(Q3-N3/100*P3+N3/100*O3)/1000</f>
        <v>2.7433200174586088E-3</v>
      </c>
      <c r="S3" s="2">
        <v>1</v>
      </c>
      <c r="T3" s="5">
        <f>H3*S3*R3*K3</f>
        <v>0.10239657379683725</v>
      </c>
      <c r="U3" s="5">
        <f>T3/$C$2</f>
        <v>1.4486151889280617E-2</v>
      </c>
      <c r="V3" s="2">
        <f>ROUND(U3/$H$18 * 100,2)</f>
        <v>41.5</v>
      </c>
    </row>
    <row r="4" spans="2:22" x14ac:dyDescent="0.2">
      <c r="B4" t="s">
        <v>4</v>
      </c>
      <c r="C4">
        <v>0</v>
      </c>
      <c r="D4" t="s">
        <v>5</v>
      </c>
      <c r="F4" s="2">
        <v>2</v>
      </c>
      <c r="G4" s="2" t="s">
        <v>43</v>
      </c>
      <c r="H4" s="2">
        <v>2.6537595700000001</v>
      </c>
      <c r="I4" s="2">
        <f>C20</f>
        <v>0.25333333333333335</v>
      </c>
      <c r="J4" s="2" t="s">
        <v>31</v>
      </c>
      <c r="K4" s="2">
        <f>1+2*(I4)+60*(I4)^4</f>
        <v>1.7537938962962967</v>
      </c>
      <c r="L4" s="2">
        <f>SQRT($C$21/$C$22)</f>
        <v>0.70843815653872366</v>
      </c>
      <c r="M4" s="2">
        <f>$C$11*L4</f>
        <v>2424964.5321124713</v>
      </c>
      <c r="N4" s="2">
        <v>0</v>
      </c>
      <c r="O4" s="2">
        <f>IF(N4=0,0,1.32824/SQRT((N4/100)*M4)*1000)</f>
        <v>0</v>
      </c>
      <c r="P4" s="2">
        <f>IF(N4=0,0,0.455/((LOG((N4/100)*M4))^2.58) * 1000)</f>
        <v>0</v>
      </c>
      <c r="Q4" s="2">
        <f t="shared" si="0"/>
        <v>3.8084474860440496</v>
      </c>
      <c r="R4" s="2">
        <f>(Q4-N4/100*P4+N4/100*O4)/1000</f>
        <v>3.8084474860440496E-3</v>
      </c>
      <c r="S4" s="2">
        <v>1.3</v>
      </c>
      <c r="T4" s="5">
        <f t="shared" ref="T4:T7" si="1">H4*S4*R4*K4</f>
        <v>2.3042598438422483E-2</v>
      </c>
      <c r="U4" s="5">
        <f t="shared" ref="U4:U7" si="2">T4/$C$2</f>
        <v>3.2598608383613572E-3</v>
      </c>
      <c r="V4" s="2">
        <f>ROUND(U4/$H$18 * 100,2)</f>
        <v>9.34</v>
      </c>
    </row>
    <row r="5" spans="2:22" x14ac:dyDescent="0.2">
      <c r="B5" t="s">
        <v>7</v>
      </c>
      <c r="C5">
        <v>288.10000000000002</v>
      </c>
      <c r="D5" t="s">
        <v>8</v>
      </c>
      <c r="F5" s="2">
        <v>3</v>
      </c>
      <c r="G5" s="2" t="s">
        <v>45</v>
      </c>
      <c r="H5" s="2">
        <v>2.6902036300000001</v>
      </c>
      <c r="I5" s="2">
        <f>C20</f>
        <v>0.25333333333333335</v>
      </c>
      <c r="J5" s="2" t="s">
        <v>31</v>
      </c>
      <c r="K5" s="2">
        <f>1+2*(I5)+60*(I5)^4</f>
        <v>1.7537938962962967</v>
      </c>
      <c r="L5" s="2">
        <f>SQRT($C$21/$C$22)</f>
        <v>0.70843815653872366</v>
      </c>
      <c r="M5" s="2">
        <f>$C$11*L5</f>
        <v>2424964.5321124713</v>
      </c>
      <c r="N5" s="2">
        <v>0</v>
      </c>
      <c r="O5" s="2">
        <f>IF(N5=0,0,1.32824/SQRT((N5/100)*M5)*1000)</f>
        <v>0</v>
      </c>
      <c r="P5" s="2">
        <f>IF(N5=0,0,0.455/((LOG((N5/100)*M5))^2.58) * 1000)</f>
        <v>0</v>
      </c>
      <c r="Q5" s="2">
        <f t="shared" si="0"/>
        <v>3.8084474860440496</v>
      </c>
      <c r="R5" s="2">
        <f>(Q5-N5/100*P5+N5/100*O5)/1000</f>
        <v>3.8084474860440496E-3</v>
      </c>
      <c r="S5" s="2">
        <v>1.3</v>
      </c>
      <c r="T5" s="5">
        <f t="shared" si="1"/>
        <v>2.3359042267599439E-2</v>
      </c>
      <c r="U5" s="5">
        <f t="shared" si="2"/>
        <v>3.3046284824719704E-3</v>
      </c>
      <c r="V5" s="2">
        <f>ROUND(U5/$H$18 * 100,2)</f>
        <v>9.4700000000000006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46</v>
      </c>
      <c r="H6" s="2">
        <v>2.4467000900000002</v>
      </c>
      <c r="I6" s="2">
        <f>C25</f>
        <v>0.26636500000000002</v>
      </c>
      <c r="J6" s="2" t="s">
        <v>31</v>
      </c>
      <c r="K6" s="2">
        <f>1+2*(I6)+60*(I6)^4</f>
        <v>1.8347668168035365</v>
      </c>
      <c r="L6" s="2">
        <f>SQRT($C$26/$C$27)</f>
        <v>0.64366746846712186</v>
      </c>
      <c r="M6" s="2">
        <f>$C$11*L6</f>
        <v>2203256.2293559564</v>
      </c>
      <c r="N6" s="2">
        <v>0</v>
      </c>
      <c r="O6" s="2">
        <f>IF(N6=0,0,1.32824/SQRT((N6/100)*M6)*1000)</f>
        <v>0</v>
      </c>
      <c r="P6" s="2">
        <f>IF(N6=0,0,0.455/((LOG((N6/100)*M6))^2.58) * 1000)</f>
        <v>0</v>
      </c>
      <c r="Q6" s="2">
        <f t="shared" si="0"/>
        <v>3.8732859277906799</v>
      </c>
      <c r="R6" s="2">
        <f>(Q6-N6/100*P6+N6/100*O6)/1000</f>
        <v>3.87328592779068E-3</v>
      </c>
      <c r="S6" s="2">
        <v>1.3</v>
      </c>
      <c r="T6" s="5">
        <f t="shared" si="1"/>
        <v>2.260395974630074E-2</v>
      </c>
      <c r="U6" s="5">
        <f t="shared" si="2"/>
        <v>3.1978061573990999E-3</v>
      </c>
      <c r="V6" s="2">
        <f>ROUND(U6/$H$18 * 100,2)</f>
        <v>9.16</v>
      </c>
    </row>
    <row r="7" spans="2:22" x14ac:dyDescent="0.2">
      <c r="B7" t="s">
        <v>9</v>
      </c>
      <c r="C7">
        <v>101325</v>
      </c>
      <c r="D7" t="s">
        <v>10</v>
      </c>
      <c r="F7" s="2">
        <v>5</v>
      </c>
      <c r="G7" s="2" t="s">
        <v>44</v>
      </c>
      <c r="H7" s="2">
        <v>2.4975071299999998</v>
      </c>
      <c r="I7" s="2">
        <f>C25</f>
        <v>0.26636500000000002</v>
      </c>
      <c r="J7" s="2" t="s">
        <v>31</v>
      </c>
      <c r="K7" s="2">
        <f>1+2*(I7)+60*(I7)^4</f>
        <v>1.8347668168035365</v>
      </c>
      <c r="L7" s="2">
        <f>SQRT($C$26/$C$27)</f>
        <v>0.64366746846712186</v>
      </c>
      <c r="M7" s="2">
        <f>$C$11*L7</f>
        <v>2203256.2293559564</v>
      </c>
      <c r="N7" s="2">
        <v>0</v>
      </c>
      <c r="O7" s="2">
        <f>IF(N7=0,0,1.32824/SQRT((N7/100)*M7)*1000)</f>
        <v>0</v>
      </c>
      <c r="P7" s="2">
        <f>IF(N7=0,0,0.455/((LOG((N7/100)*M7))^2.58) * 1000)</f>
        <v>0</v>
      </c>
      <c r="Q7" s="2">
        <f t="shared" si="0"/>
        <v>3.8732859277906799</v>
      </c>
      <c r="R7" s="2">
        <f>(Q7-N7/100*P7+N7/100*O7)/1000</f>
        <v>3.87328592779068E-3</v>
      </c>
      <c r="S7" s="2">
        <v>1.3</v>
      </c>
      <c r="T7" s="5">
        <f t="shared" si="1"/>
        <v>2.3073343097240451E-2</v>
      </c>
      <c r="U7" s="5">
        <f t="shared" si="2"/>
        <v>3.2642103178498493E-3</v>
      </c>
      <c r="V7" s="2">
        <f>ROUND(U7/$H$18 * 100,2)</f>
        <v>9.35</v>
      </c>
    </row>
    <row r="8" spans="2:22" x14ac:dyDescent="0.2">
      <c r="B8" t="s">
        <v>11</v>
      </c>
      <c r="C8">
        <v>1.2250000000000001</v>
      </c>
      <c r="D8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Q8" s="5"/>
      <c r="R8" s="5"/>
      <c r="S8" s="2"/>
      <c r="T8" s="5"/>
      <c r="U8" s="5"/>
      <c r="V8" s="2"/>
    </row>
    <row r="9" spans="2:22" x14ac:dyDescent="0.2">
      <c r="B9" t="s">
        <v>13</v>
      </c>
      <c r="C9">
        <v>1.4</v>
      </c>
      <c r="F9" s="3" t="s">
        <v>19</v>
      </c>
      <c r="G9" s="3" t="s">
        <v>20</v>
      </c>
      <c r="H9" s="3" t="s">
        <v>21</v>
      </c>
      <c r="I9" s="3" t="s">
        <v>53</v>
      </c>
      <c r="J9" s="3" t="s">
        <v>54</v>
      </c>
      <c r="K9" s="3" t="s">
        <v>55</v>
      </c>
      <c r="L9" s="3" t="s">
        <v>56</v>
      </c>
      <c r="M9" s="3" t="s">
        <v>25</v>
      </c>
      <c r="N9" s="2"/>
      <c r="O9" s="2"/>
      <c r="Q9" s="5"/>
      <c r="R9" s="5"/>
      <c r="S9" s="2"/>
      <c r="T9" s="5"/>
      <c r="U9" s="5"/>
      <c r="V9" s="2"/>
    </row>
    <row r="10" spans="2:22" x14ac:dyDescent="0.2">
      <c r="B10" t="s">
        <v>14</v>
      </c>
      <c r="C10">
        <v>1.7893802780775801E-5</v>
      </c>
      <c r="D10" t="s">
        <v>15</v>
      </c>
      <c r="F10" s="2">
        <v>1</v>
      </c>
      <c r="G10" s="2" t="s">
        <v>49</v>
      </c>
      <c r="H10" s="2">
        <v>0.12</v>
      </c>
      <c r="I10" s="2">
        <v>0.13</v>
      </c>
      <c r="J10" s="2">
        <v>3.28496E-2</v>
      </c>
      <c r="K10" s="2">
        <f>I10*J10</f>
        <v>4.2704480000000005E-3</v>
      </c>
      <c r="L10" s="5">
        <f>K10/$C$2</f>
        <v>6.0414480748168745E-4</v>
      </c>
      <c r="M10" s="2">
        <f t="shared" ref="M10:M15" si="3">ROUND(L10/$H$18 * 100,2)</f>
        <v>1.73</v>
      </c>
      <c r="N10" s="2"/>
      <c r="O10" s="5"/>
      <c r="Q10" s="5"/>
      <c r="R10" s="5"/>
      <c r="S10" s="2"/>
      <c r="T10" s="5"/>
      <c r="U10" s="5"/>
      <c r="V10" s="2"/>
    </row>
    <row r="11" spans="2:22" x14ac:dyDescent="0.2">
      <c r="B11" t="s">
        <v>16</v>
      </c>
      <c r="C11">
        <f>C8*C3/C10</f>
        <v>3422972.7884228118</v>
      </c>
      <c r="D11" t="s">
        <v>18</v>
      </c>
      <c r="F11" s="2">
        <v>2</v>
      </c>
      <c r="G11" s="2" t="s">
        <v>47</v>
      </c>
      <c r="H11" s="2">
        <v>0.14000000000000001</v>
      </c>
      <c r="I11" s="2">
        <v>0.13</v>
      </c>
      <c r="J11" s="2">
        <v>3.28496E-2</v>
      </c>
      <c r="K11" s="2">
        <f t="shared" ref="K11:K15" si="4">I11*J11</f>
        <v>4.2704480000000005E-3</v>
      </c>
      <c r="L11" s="5">
        <f t="shared" ref="L11:L15" si="5">K11/$C$2</f>
        <v>6.0414480748168745E-4</v>
      </c>
      <c r="M11" s="2">
        <f t="shared" si="3"/>
        <v>1.73</v>
      </c>
      <c r="N11" s="2"/>
      <c r="O11" s="5"/>
      <c r="P11" s="5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0.11799999999999999</v>
      </c>
      <c r="F12" s="2">
        <v>3</v>
      </c>
      <c r="G12" s="2" t="s">
        <v>48</v>
      </c>
      <c r="H12" s="2">
        <v>0.14000000000000001</v>
      </c>
      <c r="I12" s="2">
        <v>0.13</v>
      </c>
      <c r="J12" s="2">
        <v>3.28496E-2</v>
      </c>
      <c r="K12" s="2">
        <f t="shared" si="4"/>
        <v>4.2704480000000005E-3</v>
      </c>
      <c r="L12" s="5">
        <f t="shared" si="5"/>
        <v>6.0414480748168745E-4</v>
      </c>
      <c r="M12" s="2">
        <f t="shared" si="3"/>
        <v>1.73</v>
      </c>
      <c r="N12" s="2"/>
      <c r="O12" s="5"/>
      <c r="P12" s="5"/>
      <c r="Q12" s="5"/>
      <c r="R12" s="5"/>
      <c r="S12" s="2"/>
      <c r="T12" s="5"/>
      <c r="U12" s="5"/>
      <c r="V12" s="2"/>
    </row>
    <row r="13" spans="2:22" x14ac:dyDescent="0.2">
      <c r="F13" s="2">
        <v>4</v>
      </c>
      <c r="G13" s="2" t="s">
        <v>50</v>
      </c>
      <c r="H13" s="2">
        <v>0.61</v>
      </c>
      <c r="I13" s="2">
        <v>0.13</v>
      </c>
      <c r="J13" s="2">
        <v>0.101213</v>
      </c>
      <c r="K13" s="2">
        <f t="shared" si="4"/>
        <v>1.315769E-2</v>
      </c>
      <c r="L13" s="5">
        <f t="shared" si="5"/>
        <v>1.8614323583740447E-3</v>
      </c>
      <c r="M13" s="2">
        <f t="shared" si="3"/>
        <v>5.33</v>
      </c>
      <c r="N13" s="2"/>
      <c r="O13" s="5"/>
      <c r="P13" s="5"/>
      <c r="Q13" s="5"/>
      <c r="R13" s="5"/>
      <c r="S13" s="2"/>
      <c r="T13" s="5"/>
      <c r="U13" s="5"/>
      <c r="V13" s="2"/>
    </row>
    <row r="14" spans="2:22" x14ac:dyDescent="0.2">
      <c r="F14" s="2">
        <v>5</v>
      </c>
      <c r="G14" s="2" t="s">
        <v>51</v>
      </c>
      <c r="H14" s="2">
        <v>0.61</v>
      </c>
      <c r="I14" s="2">
        <v>0.13</v>
      </c>
      <c r="J14" s="2">
        <v>0.101213</v>
      </c>
      <c r="K14" s="2">
        <f t="shared" si="4"/>
        <v>1.315769E-2</v>
      </c>
      <c r="L14" s="5">
        <f t="shared" si="5"/>
        <v>1.8614323583740447E-3</v>
      </c>
      <c r="M14" s="2">
        <f t="shared" si="3"/>
        <v>5.33</v>
      </c>
      <c r="N14" s="2"/>
      <c r="O14" s="5"/>
      <c r="P14" s="2">
        <f>SUM(T3:T7)+SUM(K10:K15)</f>
        <v>0.2467599313464004</v>
      </c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6</v>
      </c>
      <c r="G15" s="2" t="s">
        <v>52</v>
      </c>
      <c r="H15" s="2">
        <v>0.61</v>
      </c>
      <c r="I15" s="2">
        <v>0.13</v>
      </c>
      <c r="J15" s="2">
        <v>0.101213</v>
      </c>
      <c r="K15" s="2">
        <f t="shared" si="4"/>
        <v>1.315769E-2</v>
      </c>
      <c r="L15" s="5">
        <f t="shared" si="5"/>
        <v>1.8614323583740447E-3</v>
      </c>
      <c r="M15" s="2">
        <f t="shared" si="3"/>
        <v>5.33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5.2</v>
      </c>
      <c r="D16" t="s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1.8</v>
      </c>
      <c r="D17" t="s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11" t="s">
        <v>57</v>
      </c>
      <c r="G18" s="11"/>
      <c r="H18" s="2">
        <f>SUM(U3:U7)+SUM(L10:L15)</f>
        <v>3.4909389182930087E-2</v>
      </c>
      <c r="I18" s="7"/>
      <c r="J18" s="8"/>
      <c r="K18" s="2"/>
      <c r="L18" s="2"/>
      <c r="M18" s="2"/>
      <c r="N18" s="2"/>
      <c r="O18" s="2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65</v>
      </c>
      <c r="G19" t="s">
        <v>59</v>
      </c>
      <c r="H19" s="2">
        <f>SUM(V3:V7)+SUM(M10:M15)</f>
        <v>100</v>
      </c>
      <c r="P19" s="2"/>
      <c r="Q19" s="2"/>
      <c r="R19" s="2"/>
      <c r="T19" s="2"/>
      <c r="U19" s="5"/>
      <c r="V19" s="2"/>
    </row>
    <row r="20" spans="2:22" ht="16" customHeight="1" x14ac:dyDescent="0.2">
      <c r="B20" t="s">
        <v>69</v>
      </c>
      <c r="C20">
        <f>(0.2+0.2+0.36)/3</f>
        <v>0.25333333333333335</v>
      </c>
      <c r="P20" s="2"/>
      <c r="Q20" s="2"/>
      <c r="R20" s="2"/>
    </row>
    <row r="21" spans="2:22" x14ac:dyDescent="0.2">
      <c r="B21" t="s">
        <v>70</v>
      </c>
      <c r="C21">
        <v>1.51271528770844</v>
      </c>
      <c r="D21" t="s">
        <v>72</v>
      </c>
      <c r="P21" s="2"/>
      <c r="Q21" s="2"/>
      <c r="R21" s="2"/>
    </row>
    <row r="22" spans="2:22" x14ac:dyDescent="0.2">
      <c r="B22" t="s">
        <v>71</v>
      </c>
      <c r="C22">
        <v>3.01406981302876</v>
      </c>
      <c r="F22" s="12" t="s">
        <v>60</v>
      </c>
      <c r="G22" s="12"/>
      <c r="H22" s="12"/>
      <c r="I22" s="12"/>
      <c r="P22" s="5"/>
      <c r="Q22" s="5"/>
      <c r="R22" s="5"/>
      <c r="S22" s="2"/>
      <c r="T22" s="5"/>
      <c r="U22" s="5"/>
    </row>
    <row r="23" spans="2:22" x14ac:dyDescent="0.2">
      <c r="F23" s="3" t="s">
        <v>19</v>
      </c>
      <c r="G23" s="3" t="s">
        <v>20</v>
      </c>
      <c r="H23" s="3" t="s">
        <v>56</v>
      </c>
      <c r="I23" s="3" t="s">
        <v>25</v>
      </c>
      <c r="P23" s="5"/>
      <c r="Q23" s="5"/>
      <c r="R23" s="5"/>
      <c r="S23" s="2"/>
      <c r="T23" s="5"/>
      <c r="U23" s="5"/>
    </row>
    <row r="24" spans="2:22" ht="16" customHeight="1" x14ac:dyDescent="0.2">
      <c r="B24" s="4" t="s">
        <v>68</v>
      </c>
      <c r="F24" s="2">
        <v>1</v>
      </c>
      <c r="G24" s="2" t="s">
        <v>26</v>
      </c>
      <c r="H24" s="5">
        <f>U3</f>
        <v>1.4486151889280617E-2</v>
      </c>
      <c r="I24" s="6">
        <f>H24/$H$18*100</f>
        <v>41.496434708069948</v>
      </c>
      <c r="P24" s="5"/>
      <c r="Q24" s="5"/>
      <c r="R24" s="5"/>
      <c r="S24" s="2"/>
      <c r="T24" s="5"/>
      <c r="U24" s="5"/>
    </row>
    <row r="25" spans="2:22" x14ac:dyDescent="0.2">
      <c r="B25" t="s">
        <v>69</v>
      </c>
      <c r="C25">
        <f>(0.27273+0.27273+0.2+0.32)/4</f>
        <v>0.26636500000000002</v>
      </c>
      <c r="F25" s="2">
        <v>2</v>
      </c>
      <c r="G25" s="2" t="s">
        <v>61</v>
      </c>
      <c r="H25" s="5">
        <f>U4+U5+U6+U7</f>
        <v>1.3026505796082275E-2</v>
      </c>
      <c r="I25" s="6">
        <f>H25/$H$18*100</f>
        <v>37.315192562727354</v>
      </c>
      <c r="P25" s="5"/>
      <c r="Q25" s="5"/>
      <c r="R25" s="5"/>
      <c r="S25" s="2"/>
      <c r="T25" s="5"/>
      <c r="U25" s="5"/>
      <c r="V25" s="2"/>
    </row>
    <row r="26" spans="2:22" x14ac:dyDescent="0.2">
      <c r="B26" t="s">
        <v>70</v>
      </c>
      <c r="C26">
        <v>1.3318477875288199</v>
      </c>
      <c r="D26" t="s">
        <v>72</v>
      </c>
      <c r="F26" s="2">
        <v>3</v>
      </c>
      <c r="G26" s="2" t="s">
        <v>62</v>
      </c>
      <c r="H26" s="5">
        <f>SUM(L10:L15)</f>
        <v>7.3967314975671959E-3</v>
      </c>
      <c r="I26" s="6">
        <f t="shared" ref="I26" si="6">H26/$H$18*100</f>
        <v>21.188372729202701</v>
      </c>
      <c r="P26" s="5"/>
      <c r="Q26" s="5"/>
      <c r="R26" s="5"/>
      <c r="S26" s="2"/>
      <c r="T26" s="5"/>
      <c r="U26" s="5"/>
      <c r="V26" s="2"/>
    </row>
    <row r="27" spans="2:22" x14ac:dyDescent="0.2">
      <c r="B27" t="s">
        <v>71</v>
      </c>
      <c r="C27">
        <v>3.21463355385014</v>
      </c>
      <c r="F27" s="2"/>
      <c r="G27" s="9" t="s">
        <v>63</v>
      </c>
      <c r="H27" s="2">
        <f>SUM(H24:H26)</f>
        <v>3.4909389182930087E-2</v>
      </c>
      <c r="I27" s="6">
        <f>SUM(I24:I26)</f>
        <v>100</v>
      </c>
      <c r="P27" s="5"/>
      <c r="Q27" s="5"/>
      <c r="R27" s="5"/>
      <c r="S27" s="2"/>
      <c r="T27" s="5"/>
      <c r="U27" s="5"/>
      <c r="V27" s="2"/>
    </row>
    <row r="28" spans="2:22" x14ac:dyDescent="0.2">
      <c r="P28" s="2"/>
      <c r="Q28" s="2"/>
      <c r="R28" s="2"/>
    </row>
    <row r="29" spans="2:22" x14ac:dyDescent="0.2">
      <c r="B29" s="4" t="s">
        <v>67</v>
      </c>
      <c r="G29" s="3" t="s">
        <v>73</v>
      </c>
      <c r="H29" s="10">
        <f>H27*C2*0.5*C8*C3^2</f>
        <v>377.85114487417553</v>
      </c>
      <c r="I29" t="s">
        <v>74</v>
      </c>
      <c r="P29" s="2"/>
      <c r="Q29" s="2"/>
      <c r="R29" s="2"/>
    </row>
    <row r="30" spans="2:22" x14ac:dyDescent="0.2">
      <c r="B30" t="s">
        <v>66</v>
      </c>
      <c r="C30">
        <v>1.5</v>
      </c>
      <c r="D30" t="s">
        <v>5</v>
      </c>
      <c r="P30" s="2"/>
      <c r="Q30" s="2"/>
      <c r="R30" s="2"/>
    </row>
    <row r="33" spans="2:2" x14ac:dyDescent="0.2">
      <c r="B33" s="4"/>
    </row>
    <row r="34" spans="2:2" ht="16" customHeight="1" x14ac:dyDescent="0.2"/>
    <row r="40" spans="2:2" ht="16" customHeight="1" x14ac:dyDescent="0.2"/>
  </sheetData>
  <mergeCells count="2">
    <mergeCell ref="F18:G18"/>
    <mergeCell ref="F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55C-190F-DE43-B836-7F66296BD012}">
  <dimension ref="B2:V40"/>
  <sheetViews>
    <sheetView zoomScale="125" workbookViewId="0">
      <selection activeCell="C4" sqref="C4"/>
    </sheetView>
  </sheetViews>
  <sheetFormatPr baseColWidth="10" defaultRowHeight="16" x14ac:dyDescent="0.2"/>
  <cols>
    <col min="1" max="1" width="3.5" customWidth="1"/>
    <col min="3" max="3" width="11.664062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v>16.2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2">
        <v>1</v>
      </c>
      <c r="G3" s="2" t="s">
        <v>26</v>
      </c>
      <c r="H3" s="2">
        <v>31.393322439999999</v>
      </c>
      <c r="I3" s="2">
        <f>C16/C17</f>
        <v>5</v>
      </c>
      <c r="J3" s="2" t="s">
        <v>30</v>
      </c>
      <c r="K3" s="2">
        <f>1+1.5/(I3)^1.5+7/(I3)^3</f>
        <v>1.1901640786499874</v>
      </c>
      <c r="L3" s="2">
        <v>9</v>
      </c>
      <c r="M3" s="2">
        <f>$C$11*L3</f>
        <v>30806755.095805306</v>
      </c>
      <c r="N3" s="2">
        <v>0</v>
      </c>
      <c r="O3" s="2">
        <f t="shared" ref="O3:O10" si="0">IF(N3=0,0,1.32824/SQRT((N3/100)*M3)*1000)</f>
        <v>0</v>
      </c>
      <c r="P3" s="2">
        <f t="shared" ref="P3:P10" si="1">IF(N3=0,0,0.455/((LOG((N3/100)*M3))^2.58) * 1000)</f>
        <v>0</v>
      </c>
      <c r="Q3" s="2">
        <f>0.455/((LOG(M3))^2.58) * 1000</f>
        <v>2.5237764637679669</v>
      </c>
      <c r="R3" s="2">
        <f>(Q3-N3/100*P3+N3/100*O3)/1000</f>
        <v>2.5237764637679669E-3</v>
      </c>
      <c r="S3" s="2">
        <v>1</v>
      </c>
      <c r="T3" s="5">
        <f>H3*S3*R3*K3</f>
        <v>9.4296376576182672E-2</v>
      </c>
      <c r="U3" s="5">
        <f>T3/$C$2</f>
        <v>5.8207639861841158E-3</v>
      </c>
      <c r="V3" s="2">
        <f t="shared" ref="V3:V10" si="2">ROUND(U3/$H$21 * 100,2)</f>
        <v>23.5</v>
      </c>
    </row>
    <row r="4" spans="2:22" x14ac:dyDescent="0.2">
      <c r="B4" t="s">
        <v>4</v>
      </c>
      <c r="C4">
        <v>0</v>
      </c>
      <c r="D4" t="s">
        <v>5</v>
      </c>
      <c r="F4" s="2">
        <v>2</v>
      </c>
      <c r="G4" s="2" t="s">
        <v>27</v>
      </c>
      <c r="H4" s="2">
        <v>30.73086558</v>
      </c>
      <c r="I4" s="2">
        <v>0.16997999999999999</v>
      </c>
      <c r="J4" s="2" t="s">
        <v>31</v>
      </c>
      <c r="K4" s="2">
        <f>1+2*(I4)+60*(I4)^4</f>
        <v>1.3900490217612735</v>
      </c>
      <c r="L4" s="2">
        <v>1.48765411</v>
      </c>
      <c r="M4" s="2">
        <f t="shared" ref="M4:M10" si="3">$C$11*L4</f>
        <v>5092199.5371153569</v>
      </c>
      <c r="N4" s="2">
        <v>0</v>
      </c>
      <c r="O4" s="2">
        <f t="shared" si="0"/>
        <v>0</v>
      </c>
      <c r="P4" s="2">
        <f t="shared" si="1"/>
        <v>0</v>
      </c>
      <c r="Q4" s="2">
        <f>0.455/((LOG(M4))^2.58) * 1000</f>
        <v>3.3541630333523447</v>
      </c>
      <c r="R4" s="2">
        <f>(Q4-N4/100*P4+N4/100*O4)/1000</f>
        <v>3.3541630333523446E-3</v>
      </c>
      <c r="S4" s="2">
        <v>1</v>
      </c>
      <c r="T4" s="5">
        <f t="shared" ref="T4:T10" si="4">H4*S4*R4*K4</f>
        <v>0.14328115628618932</v>
      </c>
      <c r="U4" s="5">
        <f t="shared" ref="U4:U10" si="5">T4/$C$2</f>
        <v>8.8445158201351428E-3</v>
      </c>
      <c r="V4" s="2">
        <f t="shared" si="2"/>
        <v>35.71</v>
      </c>
    </row>
    <row r="5" spans="2:22" x14ac:dyDescent="0.2">
      <c r="B5" t="s">
        <v>7</v>
      </c>
      <c r="C5">
        <v>288.10000000000002</v>
      </c>
      <c r="D5" t="s">
        <v>8</v>
      </c>
      <c r="F5" s="2">
        <v>3</v>
      </c>
      <c r="G5" s="2" t="s">
        <v>28</v>
      </c>
      <c r="H5" s="2">
        <v>7.6964580700000003</v>
      </c>
      <c r="I5" s="2">
        <v>0.15</v>
      </c>
      <c r="J5" s="2" t="s">
        <v>31</v>
      </c>
      <c r="K5" s="2">
        <f>1+2*(I5)+60*(I5)^4</f>
        <v>1.3303750000000001</v>
      </c>
      <c r="L5" s="2">
        <v>1</v>
      </c>
      <c r="M5" s="2">
        <f t="shared" si="3"/>
        <v>3422972.7884228118</v>
      </c>
      <c r="N5" s="2">
        <v>0</v>
      </c>
      <c r="O5" s="2">
        <f t="shared" si="0"/>
        <v>0</v>
      </c>
      <c r="P5" s="2">
        <f t="shared" si="1"/>
        <v>0</v>
      </c>
      <c r="Q5" s="2">
        <f t="shared" ref="Q5:Q10" si="6">0.455/((LOG(M5))^2.58) * 1000</f>
        <v>3.5874021012612949</v>
      </c>
      <c r="R5" s="2">
        <f t="shared" ref="R5:R10" si="7">(Q5-N5/100*P5+N5/100*O5)/1000</f>
        <v>3.5874021012612949E-3</v>
      </c>
      <c r="S5" s="2">
        <v>1.08</v>
      </c>
      <c r="T5" s="5">
        <f t="shared" si="4"/>
        <v>3.9670602511646919E-2</v>
      </c>
      <c r="U5" s="5">
        <f t="shared" si="5"/>
        <v>2.4488026241757358E-3</v>
      </c>
      <c r="V5" s="2">
        <f t="shared" si="2"/>
        <v>9.89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29</v>
      </c>
      <c r="H6" s="2">
        <v>5.2073704200000002</v>
      </c>
      <c r="I6" s="2">
        <v>0.13600000000000001</v>
      </c>
      <c r="J6" s="2" t="s">
        <v>31</v>
      </c>
      <c r="K6" s="2">
        <f>1+2*(I6)+60*(I6)^4</f>
        <v>1.2925261209600001</v>
      </c>
      <c r="L6" s="2">
        <v>1.44337567</v>
      </c>
      <c r="M6" s="2">
        <f t="shared" si="3"/>
        <v>4940635.6418815441</v>
      </c>
      <c r="N6" s="2">
        <v>0</v>
      </c>
      <c r="O6" s="2">
        <f t="shared" si="0"/>
        <v>0</v>
      </c>
      <c r="P6" s="2">
        <f t="shared" si="1"/>
        <v>0</v>
      </c>
      <c r="Q6" s="2">
        <f t="shared" si="6"/>
        <v>3.371154232194252</v>
      </c>
      <c r="R6" s="2">
        <f t="shared" si="7"/>
        <v>3.371154232194252E-3</v>
      </c>
      <c r="S6" s="2">
        <v>1.03</v>
      </c>
      <c r="T6" s="5">
        <f t="shared" si="4"/>
        <v>2.3370803682129043E-2</v>
      </c>
      <c r="U6" s="5">
        <f t="shared" si="5"/>
        <v>1.4426422026005583E-3</v>
      </c>
      <c r="V6" s="2">
        <f t="shared" si="2"/>
        <v>5.83</v>
      </c>
    </row>
    <row r="7" spans="2:22" x14ac:dyDescent="0.2">
      <c r="B7" t="s">
        <v>9</v>
      </c>
      <c r="C7">
        <v>101325</v>
      </c>
      <c r="D7" t="s">
        <v>10</v>
      </c>
      <c r="F7" s="2">
        <v>5</v>
      </c>
      <c r="G7" s="2" t="s">
        <v>43</v>
      </c>
      <c r="H7" s="2">
        <v>3.0523235099999999</v>
      </c>
      <c r="I7" s="2">
        <f>$C$20/$C$21</f>
        <v>12.8</v>
      </c>
      <c r="J7" s="2" t="s">
        <v>30</v>
      </c>
      <c r="K7" s="2">
        <f>1+1.5/(I7)^1.5+7/(I7)^3</f>
        <v>1.036092762121579</v>
      </c>
      <c r="L7" s="2">
        <f>$C$20</f>
        <v>3.84</v>
      </c>
      <c r="M7" s="2">
        <f t="shared" si="3"/>
        <v>13144215.507543597</v>
      </c>
      <c r="N7" s="2">
        <v>0</v>
      </c>
      <c r="O7" s="2">
        <f t="shared" si="0"/>
        <v>0</v>
      </c>
      <c r="P7" s="2">
        <f t="shared" si="1"/>
        <v>0</v>
      </c>
      <c r="Q7" s="2">
        <f t="shared" si="6"/>
        <v>2.8761541355510931</v>
      </c>
      <c r="R7" s="2">
        <f t="shared" si="7"/>
        <v>2.876154135551093E-3</v>
      </c>
      <c r="S7" s="2">
        <v>1.3</v>
      </c>
      <c r="T7" s="5">
        <f t="shared" si="4"/>
        <v>1.1824552407887769E-2</v>
      </c>
      <c r="U7" s="5">
        <f t="shared" si="5"/>
        <v>7.2991064246220796E-4</v>
      </c>
      <c r="V7" s="2">
        <f t="shared" si="2"/>
        <v>2.95</v>
      </c>
    </row>
    <row r="8" spans="2:22" x14ac:dyDescent="0.2">
      <c r="B8" t="s">
        <v>11</v>
      </c>
      <c r="C8">
        <v>1.2250000000000001</v>
      </c>
      <c r="D8" t="s">
        <v>12</v>
      </c>
      <c r="F8" s="2">
        <v>6</v>
      </c>
      <c r="G8" s="2" t="s">
        <v>45</v>
      </c>
      <c r="H8" s="2">
        <v>3.0523235099999999</v>
      </c>
      <c r="I8" s="2">
        <f>$C$20/$C$21</f>
        <v>12.8</v>
      </c>
      <c r="J8" s="2" t="s">
        <v>30</v>
      </c>
      <c r="K8" s="2">
        <f>1+1.5/(I8)^1.5+7/(I8)^3</f>
        <v>1.036092762121579</v>
      </c>
      <c r="L8" s="2">
        <f>$C$20</f>
        <v>3.84</v>
      </c>
      <c r="M8" s="2">
        <f t="shared" si="3"/>
        <v>13144215.507543597</v>
      </c>
      <c r="N8" s="2">
        <v>0</v>
      </c>
      <c r="O8" s="2">
        <f t="shared" si="0"/>
        <v>0</v>
      </c>
      <c r="P8" s="2">
        <f t="shared" si="1"/>
        <v>0</v>
      </c>
      <c r="Q8" s="2">
        <f t="shared" si="6"/>
        <v>2.8761541355510931</v>
      </c>
      <c r="R8" s="2">
        <f t="shared" si="7"/>
        <v>2.876154135551093E-3</v>
      </c>
      <c r="S8" s="2">
        <v>1.3</v>
      </c>
      <c r="T8" s="5">
        <f t="shared" si="4"/>
        <v>1.1824552407887769E-2</v>
      </c>
      <c r="U8" s="5">
        <f t="shared" si="5"/>
        <v>7.2991064246220796E-4</v>
      </c>
      <c r="V8" s="2">
        <f t="shared" si="2"/>
        <v>2.95</v>
      </c>
    </row>
    <row r="9" spans="2:22" x14ac:dyDescent="0.2">
      <c r="B9" t="s">
        <v>13</v>
      </c>
      <c r="C9">
        <v>1.4</v>
      </c>
      <c r="F9" s="2">
        <v>7</v>
      </c>
      <c r="G9" s="2" t="s">
        <v>46</v>
      </c>
      <c r="H9" s="2">
        <v>3.18277447</v>
      </c>
      <c r="I9" s="2">
        <f>$C$20/$C$21</f>
        <v>12.8</v>
      </c>
      <c r="J9" s="2" t="s">
        <v>30</v>
      </c>
      <c r="K9" s="2">
        <f>1+1.5/(I9)^1.5+7/(I9)^3</f>
        <v>1.036092762121579</v>
      </c>
      <c r="L9" s="2">
        <f>$C$20</f>
        <v>3.84</v>
      </c>
      <c r="M9" s="2">
        <f t="shared" si="3"/>
        <v>13144215.507543597</v>
      </c>
      <c r="N9" s="2">
        <v>0</v>
      </c>
      <c r="O9" s="2">
        <f t="shared" si="0"/>
        <v>0</v>
      </c>
      <c r="P9" s="2">
        <f t="shared" si="1"/>
        <v>0</v>
      </c>
      <c r="Q9" s="2">
        <f t="shared" si="6"/>
        <v>2.8761541355510931</v>
      </c>
      <c r="R9" s="2">
        <f t="shared" si="7"/>
        <v>2.876154135551093E-3</v>
      </c>
      <c r="S9" s="2">
        <v>1.3</v>
      </c>
      <c r="T9" s="5">
        <f t="shared" si="4"/>
        <v>1.2329913064491065E-2</v>
      </c>
      <c r="U9" s="5">
        <f t="shared" si="5"/>
        <v>7.6110574472167071E-4</v>
      </c>
      <c r="V9" s="2">
        <f t="shared" si="2"/>
        <v>3.07</v>
      </c>
    </row>
    <row r="10" spans="2:22" x14ac:dyDescent="0.2">
      <c r="B10" t="s">
        <v>14</v>
      </c>
      <c r="C10" s="1">
        <v>1.7893802780775801E-5</v>
      </c>
      <c r="D10" t="s">
        <v>15</v>
      </c>
      <c r="F10" s="2">
        <v>8</v>
      </c>
      <c r="G10" s="2" t="s">
        <v>44</v>
      </c>
      <c r="H10" s="2">
        <v>3.18277447</v>
      </c>
      <c r="I10" s="2">
        <f>$C$20/$C$21</f>
        <v>12.8</v>
      </c>
      <c r="J10" s="2" t="s">
        <v>30</v>
      </c>
      <c r="K10" s="2">
        <f>1+1.5/(I10)^1.5+7/(I10)^3</f>
        <v>1.036092762121579</v>
      </c>
      <c r="L10" s="2">
        <f>$C$20</f>
        <v>3.84</v>
      </c>
      <c r="M10" s="2">
        <f t="shared" si="3"/>
        <v>13144215.507543597</v>
      </c>
      <c r="N10" s="2">
        <v>0</v>
      </c>
      <c r="O10" s="2">
        <f t="shared" si="0"/>
        <v>0</v>
      </c>
      <c r="P10" s="2">
        <f t="shared" si="1"/>
        <v>0</v>
      </c>
      <c r="Q10" s="2">
        <f t="shared" si="6"/>
        <v>2.8761541355510931</v>
      </c>
      <c r="R10" s="2">
        <f t="shared" si="7"/>
        <v>2.876154135551093E-3</v>
      </c>
      <c r="S10" s="2">
        <v>1.3</v>
      </c>
      <c r="T10" s="5">
        <f t="shared" si="4"/>
        <v>1.2329913064491065E-2</v>
      </c>
      <c r="U10" s="5">
        <f t="shared" si="5"/>
        <v>7.6110574472167071E-4</v>
      </c>
      <c r="V10" s="2">
        <f t="shared" si="2"/>
        <v>3.07</v>
      </c>
    </row>
    <row r="11" spans="2:22" x14ac:dyDescent="0.2">
      <c r="B11" t="s">
        <v>16</v>
      </c>
      <c r="C11">
        <f>C8*C3/C10</f>
        <v>3422972.7884228118</v>
      </c>
      <c r="D11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0.11799999999999999</v>
      </c>
      <c r="F12" s="3" t="s">
        <v>19</v>
      </c>
      <c r="G12" s="3" t="s">
        <v>20</v>
      </c>
      <c r="H12" s="3" t="s">
        <v>21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25</v>
      </c>
      <c r="N12" s="2"/>
      <c r="O12" s="2"/>
      <c r="Q12" s="5"/>
      <c r="R12" s="5"/>
      <c r="S12" s="2"/>
      <c r="T12" s="5"/>
      <c r="U12" s="5"/>
      <c r="V12" s="2"/>
    </row>
    <row r="13" spans="2:22" x14ac:dyDescent="0.2">
      <c r="F13" s="2">
        <v>1</v>
      </c>
      <c r="G13" s="2" t="s">
        <v>49</v>
      </c>
      <c r="H13" s="2">
        <v>0.13</v>
      </c>
      <c r="I13" s="2">
        <v>0.13</v>
      </c>
      <c r="J13" s="2">
        <v>3.28496E-2</v>
      </c>
      <c r="K13" s="2">
        <f>I13*J13</f>
        <v>4.2704480000000005E-3</v>
      </c>
      <c r="L13" s="5">
        <f>K13/$C$2</f>
        <v>2.6360790123456794E-4</v>
      </c>
      <c r="M13" s="2">
        <f t="shared" ref="M13:M18" si="8">ROUND(L13/$H$21 * 100,2)</f>
        <v>1.06</v>
      </c>
      <c r="N13" s="2"/>
      <c r="O13" s="5"/>
      <c r="Q13" s="5"/>
      <c r="R13" s="5"/>
      <c r="S13" s="2"/>
      <c r="T13" s="5"/>
      <c r="U13" s="5"/>
      <c r="V13" s="2"/>
    </row>
    <row r="14" spans="2:22" x14ac:dyDescent="0.2">
      <c r="F14" s="2">
        <v>2</v>
      </c>
      <c r="G14" s="2" t="s">
        <v>47</v>
      </c>
      <c r="H14" s="2">
        <v>0.14000000000000001</v>
      </c>
      <c r="I14" s="2">
        <v>0.13</v>
      </c>
      <c r="J14" s="2">
        <v>3.28496E-2</v>
      </c>
      <c r="K14" s="2">
        <f t="shared" ref="K14:K18" si="9">I14*J14</f>
        <v>4.2704480000000005E-3</v>
      </c>
      <c r="L14" s="5">
        <f t="shared" ref="L14:L18" si="10">K14/$C$2</f>
        <v>2.6360790123456794E-4</v>
      </c>
      <c r="M14" s="2">
        <f t="shared" si="8"/>
        <v>1.06</v>
      </c>
      <c r="N14" s="2"/>
      <c r="O14" s="5"/>
      <c r="P14" s="5"/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3</v>
      </c>
      <c r="G15" s="2" t="s">
        <v>48</v>
      </c>
      <c r="H15" s="2">
        <v>0.14000000000000001</v>
      </c>
      <c r="I15" s="2">
        <v>0.13</v>
      </c>
      <c r="J15" s="2">
        <v>3.28496E-2</v>
      </c>
      <c r="K15" s="2">
        <f t="shared" si="9"/>
        <v>4.2704480000000005E-3</v>
      </c>
      <c r="L15" s="5">
        <f>K15/$C$2</f>
        <v>2.6360790123456794E-4</v>
      </c>
      <c r="M15" s="2">
        <f t="shared" si="8"/>
        <v>1.06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9</v>
      </c>
      <c r="D16" t="s">
        <v>5</v>
      </c>
      <c r="F16" s="2">
        <v>4</v>
      </c>
      <c r="G16" s="2" t="s">
        <v>50</v>
      </c>
      <c r="H16" s="2">
        <v>0.61</v>
      </c>
      <c r="I16" s="2">
        <v>0.13</v>
      </c>
      <c r="J16" s="2">
        <v>0.101213</v>
      </c>
      <c r="K16" s="2">
        <f>I16*J16</f>
        <v>1.315769E-2</v>
      </c>
      <c r="L16" s="5">
        <f t="shared" si="10"/>
        <v>8.1220308641975314E-4</v>
      </c>
      <c r="M16" s="2">
        <f t="shared" si="8"/>
        <v>3.28</v>
      </c>
      <c r="N16" s="2"/>
      <c r="O16" s="5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1.8</v>
      </c>
      <c r="D17" t="s">
        <v>5</v>
      </c>
      <c r="F17" s="2">
        <v>5</v>
      </c>
      <c r="G17" s="2" t="s">
        <v>51</v>
      </c>
      <c r="H17" s="2">
        <v>0.61</v>
      </c>
      <c r="I17" s="2">
        <v>0.13</v>
      </c>
      <c r="J17" s="2">
        <v>0.101213</v>
      </c>
      <c r="K17" s="2">
        <f t="shared" si="9"/>
        <v>1.315769E-2</v>
      </c>
      <c r="L17" s="5">
        <f t="shared" si="10"/>
        <v>8.1220308641975314E-4</v>
      </c>
      <c r="M17" s="2">
        <f t="shared" si="8"/>
        <v>3.28</v>
      </c>
      <c r="N17" s="2"/>
      <c r="O17" s="5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2">
        <v>6</v>
      </c>
      <c r="G18" s="2" t="s">
        <v>52</v>
      </c>
      <c r="H18" s="2">
        <v>0.61</v>
      </c>
      <c r="I18" s="2">
        <v>0.13</v>
      </c>
      <c r="J18" s="2">
        <v>0.101213</v>
      </c>
      <c r="K18" s="2">
        <f t="shared" si="9"/>
        <v>1.315769E-2</v>
      </c>
      <c r="L18" s="5">
        <f t="shared" si="10"/>
        <v>8.1220308641975314E-4</v>
      </c>
      <c r="M18" s="2">
        <f t="shared" si="8"/>
        <v>3.28</v>
      </c>
      <c r="N18" s="2"/>
      <c r="O18" s="5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5"/>
      <c r="R19" s="5"/>
      <c r="S19" s="2"/>
      <c r="T19" s="5"/>
      <c r="U19" s="5"/>
      <c r="V19" s="2"/>
    </row>
    <row r="20" spans="2:22" ht="16" customHeight="1" x14ac:dyDescent="0.2">
      <c r="B20" t="s">
        <v>33</v>
      </c>
      <c r="C20">
        <v>3.84</v>
      </c>
      <c r="D20" t="s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5"/>
      <c r="R20" s="5"/>
      <c r="S20" s="2"/>
      <c r="T20" s="5"/>
      <c r="U20" s="5"/>
      <c r="V20" s="2"/>
    </row>
    <row r="21" spans="2:22" x14ac:dyDescent="0.2">
      <c r="B21" t="s">
        <v>34</v>
      </c>
      <c r="C21">
        <v>0.3</v>
      </c>
      <c r="D21" t="s">
        <v>5</v>
      </c>
      <c r="F21" s="11" t="s">
        <v>57</v>
      </c>
      <c r="G21" s="11"/>
      <c r="H21" s="2">
        <f>SUM(U3:U10)+SUM(L13:L18)</f>
        <v>2.4766190370426273E-2</v>
      </c>
      <c r="I21" s="7"/>
      <c r="J21" s="8"/>
      <c r="K21" s="2"/>
      <c r="L21" s="2"/>
      <c r="M21" s="2"/>
      <c r="N21" s="2"/>
      <c r="O21" s="2"/>
      <c r="P21" s="5"/>
      <c r="Q21" s="5"/>
      <c r="R21" s="5"/>
      <c r="S21" s="2"/>
      <c r="T21" s="5"/>
      <c r="U21" s="5"/>
      <c r="V21" s="2"/>
    </row>
    <row r="22" spans="2:22" x14ac:dyDescent="0.2">
      <c r="G22" t="s">
        <v>59</v>
      </c>
      <c r="H22" s="2">
        <f>SUM(V3:V10)+SUM(M13:M18)</f>
        <v>99.989999999999981</v>
      </c>
      <c r="P22" s="2"/>
      <c r="Q22" s="2"/>
      <c r="R22" s="2"/>
      <c r="T22" s="2"/>
      <c r="U22" s="5"/>
      <c r="V22" s="2"/>
    </row>
    <row r="23" spans="2:22" x14ac:dyDescent="0.2">
      <c r="B23" s="4"/>
      <c r="P23" s="2"/>
      <c r="Q23" s="2"/>
      <c r="R23" s="2"/>
    </row>
    <row r="24" spans="2:22" ht="16" customHeight="1" x14ac:dyDescent="0.2">
      <c r="P24" s="2"/>
      <c r="Q24" s="2"/>
      <c r="R24" s="2"/>
    </row>
    <row r="25" spans="2:22" x14ac:dyDescent="0.2">
      <c r="F25" s="12" t="s">
        <v>60</v>
      </c>
      <c r="G25" s="12"/>
      <c r="H25" s="12"/>
      <c r="I25" s="12"/>
      <c r="P25" s="5"/>
      <c r="Q25" s="5"/>
      <c r="R25" s="5"/>
      <c r="S25" s="2"/>
      <c r="T25" s="5"/>
      <c r="U25" s="5"/>
    </row>
    <row r="26" spans="2:22" x14ac:dyDescent="0.2">
      <c r="F26" s="3" t="s">
        <v>19</v>
      </c>
      <c r="G26" s="3" t="s">
        <v>20</v>
      </c>
      <c r="H26" s="3" t="s">
        <v>56</v>
      </c>
      <c r="I26" s="3" t="s">
        <v>25</v>
      </c>
      <c r="P26" s="5"/>
      <c r="Q26" s="5"/>
      <c r="R26" s="5"/>
      <c r="S26" s="2"/>
      <c r="T26" s="5"/>
      <c r="U26" s="5"/>
    </row>
    <row r="27" spans="2:22" x14ac:dyDescent="0.2">
      <c r="B27" s="4"/>
      <c r="F27" s="2">
        <v>1</v>
      </c>
      <c r="G27" s="2" t="s">
        <v>26</v>
      </c>
      <c r="H27" s="5">
        <f>U3</f>
        <v>5.8207639861841158E-3</v>
      </c>
      <c r="I27" s="6">
        <f>H27/$H$21*100</f>
        <v>23.502863779706662</v>
      </c>
      <c r="P27" s="5"/>
      <c r="Q27" s="5"/>
      <c r="R27" s="5"/>
      <c r="S27" s="2"/>
      <c r="T27" s="5"/>
      <c r="U27" s="5"/>
    </row>
    <row r="28" spans="2:22" x14ac:dyDescent="0.2">
      <c r="F28" s="2">
        <v>2</v>
      </c>
      <c r="G28" s="2" t="s">
        <v>27</v>
      </c>
      <c r="H28" s="5">
        <f>U4</f>
        <v>8.8445158201351428E-3</v>
      </c>
      <c r="I28" s="6">
        <f t="shared" ref="I28:I32" si="11">H28/$H$21*100</f>
        <v>35.712056185664018</v>
      </c>
      <c r="P28" s="5"/>
      <c r="Q28" s="5"/>
      <c r="R28" s="5"/>
      <c r="S28" s="2"/>
      <c r="T28" s="5"/>
      <c r="U28" s="5"/>
      <c r="V28" s="2"/>
    </row>
    <row r="29" spans="2:22" x14ac:dyDescent="0.2">
      <c r="F29" s="2">
        <v>3</v>
      </c>
      <c r="G29" s="2" t="s">
        <v>28</v>
      </c>
      <c r="H29" s="5">
        <f>U5</f>
        <v>2.4488026241757358E-3</v>
      </c>
      <c r="I29" s="6">
        <f t="shared" si="11"/>
        <v>9.8876839253399762</v>
      </c>
      <c r="P29" s="5"/>
      <c r="Q29" s="5"/>
      <c r="R29" s="5"/>
      <c r="S29" s="2"/>
      <c r="T29" s="5"/>
      <c r="U29" s="5"/>
      <c r="V29" s="2"/>
    </row>
    <row r="30" spans="2:22" x14ac:dyDescent="0.2">
      <c r="F30" s="2">
        <v>4</v>
      </c>
      <c r="G30" s="2" t="s">
        <v>29</v>
      </c>
      <c r="H30" s="5">
        <f>U6</f>
        <v>1.4426422026005583E-3</v>
      </c>
      <c r="I30" s="6">
        <f t="shared" si="11"/>
        <v>5.8250468926510468</v>
      </c>
      <c r="P30" s="5"/>
      <c r="Q30" s="5"/>
      <c r="R30" s="5"/>
      <c r="S30" s="2"/>
      <c r="T30" s="5"/>
      <c r="U30" s="5"/>
      <c r="V30" s="2"/>
    </row>
    <row r="31" spans="2:22" x14ac:dyDescent="0.2">
      <c r="F31" s="2">
        <v>5</v>
      </c>
      <c r="G31" s="2" t="s">
        <v>61</v>
      </c>
      <c r="H31" s="5">
        <f>SUM(U7:U10)</f>
        <v>2.9820327743677573E-3</v>
      </c>
      <c r="I31" s="6">
        <f t="shared" si="11"/>
        <v>12.040740742785589</v>
      </c>
      <c r="P31" s="2"/>
      <c r="Q31" s="2"/>
      <c r="R31" s="2"/>
    </row>
    <row r="32" spans="2:22" x14ac:dyDescent="0.2">
      <c r="F32" s="2">
        <v>6</v>
      </c>
      <c r="G32" s="2" t="s">
        <v>62</v>
      </c>
      <c r="H32" s="5">
        <f>SUM(L13:L18)</f>
        <v>3.2274329629629634E-3</v>
      </c>
      <c r="I32" s="6">
        <f t="shared" si="11"/>
        <v>13.031608473852707</v>
      </c>
      <c r="P32" s="2"/>
      <c r="Q32" s="2"/>
      <c r="R32" s="2"/>
    </row>
    <row r="33" spans="6:18" x14ac:dyDescent="0.2">
      <c r="F33" s="2"/>
      <c r="G33" s="9" t="s">
        <v>63</v>
      </c>
      <c r="H33" s="5">
        <f>SUM(H27:H32)</f>
        <v>2.4766190370426273E-2</v>
      </c>
      <c r="I33" s="6">
        <f>SUM(I27:I32)</f>
        <v>100</v>
      </c>
      <c r="P33" s="2"/>
      <c r="Q33" s="2"/>
      <c r="R33" s="2"/>
    </row>
    <row r="34" spans="6:18" ht="16" customHeight="1" x14ac:dyDescent="0.2"/>
    <row r="35" spans="6:18" x14ac:dyDescent="0.2">
      <c r="G35" s="3" t="s">
        <v>73</v>
      </c>
      <c r="H35" s="10">
        <f>H33*C2*0.5*C8*C3^2</f>
        <v>614.35630987638672</v>
      </c>
      <c r="I35" t="s">
        <v>74</v>
      </c>
    </row>
    <row r="40" spans="6:18" ht="16" customHeight="1" x14ac:dyDescent="0.2"/>
  </sheetData>
  <mergeCells count="2">
    <mergeCell ref="F25:I25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multirotor</vt:lpstr>
      <vt:lpstr>lift_cruise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2024-09-04T08:24:04Z</dcterms:created>
  <dcterms:modified xsi:type="dcterms:W3CDTF">2024-12-18T08:07:41Z</dcterms:modified>
</cp:coreProperties>
</file>