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B3548FA2-8AC0-BE4D-A199-21421007D62D}" xr6:coauthVersionLast="47" xr6:coauthVersionMax="47" xr10:uidLastSave="{00000000-0000-0000-0000-000000000000}"/>
  <bookViews>
    <workbookView xWindow="0" yWindow="740" windowWidth="15080" windowHeight="18900" activeTab="1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" i="4" l="1"/>
  <c r="S21" i="4"/>
  <c r="R21" i="4"/>
  <c r="Q21" i="4"/>
  <c r="P21" i="4"/>
  <c r="O21" i="4"/>
  <c r="N21" i="4"/>
  <c r="M21" i="4"/>
  <c r="L21" i="4"/>
  <c r="E36" i="4"/>
  <c r="D36" i="4"/>
  <c r="E35" i="4"/>
  <c r="D35" i="4"/>
  <c r="C9" i="4"/>
  <c r="G25" i="4"/>
  <c r="G15" i="4"/>
  <c r="F9" i="4"/>
  <c r="F15" i="4" s="1"/>
  <c r="F25" i="4" s="1"/>
  <c r="E9" i="4"/>
  <c r="E15" i="4" s="1"/>
  <c r="E25" i="4" s="1"/>
  <c r="C15" i="4"/>
  <c r="C25" i="4" s="1"/>
  <c r="E8" i="4"/>
  <c r="E14" i="4" s="1"/>
  <c r="E10" i="4"/>
  <c r="G8" i="4"/>
  <c r="G14" i="4" s="1"/>
  <c r="F8" i="4"/>
  <c r="F14" i="4" s="1"/>
  <c r="C8" i="4"/>
  <c r="C14" i="4" s="1"/>
  <c r="D8" i="4"/>
  <c r="D14" i="4" s="1"/>
  <c r="C10" i="4"/>
  <c r="G11" i="4"/>
  <c r="G9" i="4" s="1"/>
  <c r="G10" i="4"/>
  <c r="F11" i="4"/>
  <c r="F10" i="4"/>
  <c r="E11" i="4"/>
  <c r="D11" i="4"/>
  <c r="D16" i="4" s="1"/>
  <c r="D10" i="4"/>
  <c r="C11" i="4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C16" i="4" l="1"/>
  <c r="E16" i="4"/>
  <c r="D9" i="4"/>
  <c r="D15" i="4" s="1"/>
  <c r="D25" i="4" s="1"/>
  <c r="F16" i="4"/>
  <c r="G16" i="4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G13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AD44" i="3" l="1"/>
  <c r="AB44" i="3"/>
  <c r="C20" i="1"/>
  <c r="K6" i="1" l="1"/>
  <c r="G16" i="1"/>
  <c r="AF44" i="3"/>
  <c r="C15" i="3" s="1"/>
  <c r="AJ44" i="3"/>
  <c r="G5" i="1"/>
  <c r="G29" i="1"/>
  <c r="G27" i="1"/>
  <c r="G28" i="1"/>
  <c r="G23" i="1"/>
  <c r="K4" i="1"/>
  <c r="K10" i="1" s="1"/>
  <c r="G22" i="1"/>
  <c r="G35" i="1"/>
  <c r="G26" i="1"/>
  <c r="G21" i="1"/>
  <c r="G5" i="3" l="1"/>
  <c r="G4" i="3"/>
  <c r="G19" i="3" s="1"/>
  <c r="G16" i="3"/>
  <c r="G34" i="3"/>
  <c r="K5" i="3"/>
  <c r="K7" i="3" s="1"/>
  <c r="K8" i="3" s="1"/>
  <c r="K12" i="3" s="1"/>
  <c r="G21" i="3"/>
  <c r="G28" i="3"/>
  <c r="G26" i="3"/>
  <c r="G25" i="3"/>
  <c r="G22" i="3"/>
  <c r="G27" i="3"/>
  <c r="K7" i="1"/>
  <c r="K8" i="1" s="1"/>
  <c r="G39" i="1"/>
  <c r="G38" i="1"/>
  <c r="G18" i="3" l="1"/>
  <c r="G20" i="3"/>
  <c r="G37" i="3"/>
  <c r="K6" i="3"/>
  <c r="G38" i="3"/>
  <c r="K18" i="3"/>
  <c r="K13" i="3"/>
  <c r="K17" i="3" s="1"/>
  <c r="K11" i="1"/>
  <c r="G36" i="3" l="1"/>
  <c r="K19" i="3"/>
  <c r="K22" i="3" s="1"/>
  <c r="K12" i="1"/>
  <c r="K18" i="1" s="1"/>
  <c r="K21" i="1" s="1"/>
  <c r="T4" i="1" s="1"/>
  <c r="K13" i="1"/>
  <c r="K25" i="3" l="1"/>
  <c r="K27" i="3" s="1"/>
  <c r="K20" i="3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V34" i="1"/>
  <c r="G9" i="1" l="1"/>
  <c r="G19" i="1" s="1"/>
  <c r="G20" i="1"/>
  <c r="V29" i="3"/>
  <c r="X29" i="3" s="1"/>
  <c r="S30" i="3" s="1"/>
  <c r="W34" i="1"/>
  <c r="X34" i="1"/>
  <c r="G12" i="1" l="1"/>
  <c r="G17" i="1" s="1"/>
  <c r="G36" i="1" s="1"/>
  <c r="G18" i="1"/>
  <c r="T30" i="3"/>
  <c r="W29" i="3"/>
  <c r="Q30" i="3" s="1"/>
  <c r="G37" i="1" l="1"/>
  <c r="G40" i="1" s="1"/>
  <c r="G30" i="1"/>
  <c r="AG4" i="1" s="1"/>
  <c r="R30" i="3"/>
  <c r="U30" i="3"/>
  <c r="Y30" i="3"/>
  <c r="G31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Y34" i="3"/>
  <c r="G9" i="3" l="1"/>
  <c r="V34" i="3"/>
  <c r="X34" i="3" s="1"/>
  <c r="W34" i="3" l="1"/>
  <c r="G12" i="3" l="1"/>
  <c r="G17" i="3" s="1"/>
  <c r="G35" i="3" l="1"/>
  <c r="G39" i="3" s="1"/>
  <c r="G29" i="3"/>
  <c r="AG4" i="3" l="1"/>
  <c r="AE4" i="3"/>
  <c r="AC4" i="3"/>
  <c r="G30" i="3"/>
</calcChain>
</file>

<file path=xl/sharedStrings.xml><?xml version="1.0" encoding="utf-8"?>
<sst xmlns="http://schemas.openxmlformats.org/spreadsheetml/2006/main" count="354" uniqueCount="156">
  <si>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</si>
  <si>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</si>
  <si>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</si>
  <si>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</si>
  <si>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</si>
  <si>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</si>
  <si>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</si>
  <si>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</si>
  <si>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</si>
  <si>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</si>
  <si>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</si>
  <si>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</si>
  <si>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</si>
  <si>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</si>
  <si>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</si>
  <si>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</si>
  <si>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</si>
  <si>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</si>
  <si>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</si>
  <si>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</si>
  <si>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</si>
  <si>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</si>
  <si>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</si>
  <si>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</si>
  <si>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</si>
  <si>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</si>
  <si>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</si>
  <si>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</si>
  <si>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</si>
  <si>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</si>
  <si>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</si>
  <si>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</si>
  <si>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</si>
  <si>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</si>
  <si>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</si>
  <si>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</si>
  <si>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</si>
  <si>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</si>
  <si>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</si>
  <si>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</si>
  <si>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</si>
  <si>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</si>
  <si>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</si>
  <si>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</si>
  <si>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</si>
  <si>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</si>
  <si>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</si>
  <si>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</si>
  <si>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</si>
  <si>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</si>
  <si>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</si>
  <si>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</si>
  <si>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</si>
  <si>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</si>
  <si>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</si>
  <si>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</si>
  <si>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</si>
  <si>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</si>
  <si>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</si>
  <si>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</si>
  <si>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</si>
  <si>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</si>
  <si>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</si>
  <si>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</si>
  <si>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</si>
  <si>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</si>
  <si>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</si>
  <si>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</si>
  <si>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</si>
  <si>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</si>
  <si>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</si>
  <si>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</si>
  <si>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</si>
  <si>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</si>
  <si>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</si>
  <si>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</si>
  <si>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</si>
  <si>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</si>
  <si>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</si>
  <si>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</si>
  <si>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</si>
  <si>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</si>
  <si>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</si>
  <si>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</si>
  <si>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</si>
  <si>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</si>
  <si>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</si>
  <si>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</si>
  <si>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</si>
  <si>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</si>
  <si>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</si>
  <si>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</si>
  <si>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</si>
  <si>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</si>
  <si>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</si>
  <si>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</si>
  <si>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</si>
  <si>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</si>
  <si>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</si>
  <si>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</si>
  <si>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</si>
  <si>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</si>
  <si>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</si>
  <si>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</si>
  <si>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</si>
  <si>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</si>
  <si>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</si>
  <si>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</si>
  <si>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</si>
  <si>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</si>
  <si>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</si>
  <si>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</si>
  <si>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</si>
  <si>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</si>
  <si>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</si>
  <si>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</si>
  <si>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</si>
  <si>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</si>
  <si>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</si>
  <si>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</si>
  <si>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n_rotor</t>
  </si>
  <si>
    <t>kW</t>
  </si>
  <si>
    <t>W_rotor+hubs</t>
  </si>
  <si>
    <t>W_motor</t>
  </si>
  <si>
    <t>W_motor_controller</t>
  </si>
  <si>
    <t>lb</t>
  </si>
  <si>
    <t>technology_factor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</si>
  <si>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</si>
  <si>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</si>
  <si>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</si>
  <si>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</si>
  <si>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</si>
  <si>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</si>
  <si>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</si>
  <si>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</si>
  <si>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</si>
  <si>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P_hover</t>
  </si>
  <si>
    <t>P_cruise</t>
  </si>
  <si>
    <t>hp-to-kW</t>
  </si>
  <si>
    <t>W_controllers</t>
  </si>
  <si>
    <t>W_propulsion</t>
  </si>
  <si>
    <t>g</t>
  </si>
  <si>
    <t>lb to kg</t>
  </si>
  <si>
    <t>thrust of each rotor</t>
  </si>
  <si>
    <t>Init values for</t>
  </si>
  <si>
    <t>optimize_multirotor.py</t>
  </si>
  <si>
    <t>Design values for</t>
  </si>
  <si>
    <t>mtow_multirotor.py</t>
  </si>
  <si>
    <t>estimate_</t>
  </si>
  <si>
    <t>optimize_liftcruise.py</t>
  </si>
  <si>
    <t>mtow_liftcruise.py</t>
  </si>
  <si>
    <t>Optimal design</t>
  </si>
  <si>
    <t>W_takeoff</t>
  </si>
  <si>
    <t>CP [kW]</t>
  </si>
  <si>
    <t>CT [Nm]</t>
  </si>
  <si>
    <t>omega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</si>
</sst>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multirotor!$G$34:$G$38</c:f>
              <c:numCache>
                <c:formatCode>General</c:formatCode>
                <c:ptCount val="5"/>
                <c:pt idx="0">
                  <c:v>37.72</c:v>
                </c:pt>
                <c:pt idx="1">
                  <c:v>28.88</c:v>
                </c:pt>
                <c:pt idx="2">
                  <c:v>11.63</c:v>
                </c:pt>
                <c:pt idx="3">
                  <c:v>15.92</c:v>
                </c:pt>
                <c:pt idx="4">
                  <c:v>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'lift+cruise'!$F$35:$F$39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'lift+cruise'!$G$35:$G$39</c:f>
              <c:numCache>
                <c:formatCode>General</c:formatCode>
                <c:ptCount val="5"/>
                <c:pt idx="0">
                  <c:v>32.33</c:v>
                </c:pt>
                <c:pt idx="1">
                  <c:v>16.11</c:v>
                </c:pt>
                <c:pt idx="2">
                  <c:v>15.85</c:v>
                </c:pt>
                <c:pt idx="3">
                  <c:v>29.83</c:v>
                </c:pt>
                <c:pt idx="4">
                  <c:v>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7</xdr:row>
      <xdr:rowOff>25400</xdr:rowOff>
    </xdr:from>
    <xdr:to>
      <xdr:col>17</xdr:col>
      <xdr:colOff>774700</xdr:colOff>
      <xdr:row>14</xdr:row>
      <xdr:rowOff>196807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8D17E-899A-88A6-D765-799A1C4F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8400" y="1447800"/>
          <a:ext cx="7772400" cy="159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G19" sqref="G19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19" t="s">
        <v>0</v>
      </c>
      <c r="C1" s="19"/>
      <c r="D1" s="19"/>
    </row>
    <row r="2" spans="2:36" x14ac:dyDescent="0.2">
      <c r="P2" s="6" t="s">
        <v>75</v>
      </c>
      <c r="AA2" s="6" t="s">
        <v>117</v>
      </c>
    </row>
    <row r="3" spans="2:36" x14ac:dyDescent="0.2">
      <c r="B3" s="20" t="s">
        <v>111</v>
      </c>
      <c r="C3" s="21"/>
      <c r="D3" s="21"/>
      <c r="F3" s="20" t="s">
        <v>33</v>
      </c>
      <c r="G3" s="21"/>
      <c r="H3" s="21"/>
      <c r="J3" s="22" t="s">
        <v>45</v>
      </c>
      <c r="K3" s="22"/>
      <c r="L3" s="22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192744.61779778515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0.11508329825005216</v>
      </c>
      <c r="S4" s="9">
        <v>1</v>
      </c>
      <c r="T4" s="8">
        <f xml:space="preserve"> $C$18 * TAN($K$17) + $K$20 / (2 * SQRT($C$18^2 + S4^2)) - S4</f>
        <v>-0.93257296814979274</v>
      </c>
      <c r="U4" s="8">
        <f xml:space="preserve"> (Q4 + S4)/2</f>
        <v>0.5</v>
      </c>
      <c r="V4" s="8">
        <f xml:space="preserve"> $C$18 * TAN($K$17) + $K$20 / (2 * SQRT($C$18^2 + U4^2)) - U4</f>
        <v>-0.41738320139120477</v>
      </c>
      <c r="W4" s="8">
        <f>R4*V4</f>
        <v>-4.8033835450265606E-2</v>
      </c>
      <c r="X4" s="8">
        <f>T4*V4</f>
        <v>0.38924029097725854</v>
      </c>
      <c r="Y4" s="8">
        <f>S4-Q4</f>
        <v>1</v>
      </c>
      <c r="AA4" s="8">
        <v>0</v>
      </c>
      <c r="AB4" s="8"/>
      <c r="AC4" s="8">
        <f>G29</f>
        <v>1.34718902700115E-10</v>
      </c>
      <c r="AD4" s="8"/>
      <c r="AE4" s="8">
        <f>G29</f>
        <v>1.34718902700115E-10</v>
      </c>
      <c r="AF4" s="8"/>
      <c r="AG4" s="8">
        <f>G29</f>
        <v>1.34718902700115E-10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1486.1716563739199</v>
      </c>
      <c r="H5" t="s">
        <v>37</v>
      </c>
      <c r="J5" t="s">
        <v>67</v>
      </c>
      <c r="K5">
        <f xml:space="preserve"> 0.0327 * ($C$15*2.20462)^0.8903 * 0.3048^2</f>
        <v>3.0328336146612234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0.11508329825005216</v>
      </c>
      <c r="S5" s="8">
        <f>IF(X4&gt;0, U4, S4)</f>
        <v>0.5</v>
      </c>
      <c r="T5" s="8">
        <f t="shared" ref="T5:T34" si="1" xml:space="preserve"> $C$18 * TAN($K$17) + $K$20 / (2 * SQRT($C$18^2 + S5^2)) - S5</f>
        <v>-0.41738320139120477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-0.15041614140866638</v>
      </c>
      <c r="W5" s="8">
        <f t="shared" ref="W5:W34" si="4">R5*V5</f>
        <v>-1.7310385663355573E-2</v>
      </c>
      <c r="X5" s="8">
        <f t="shared" ref="X5:X34" si="5">T5*V5</f>
        <v>6.2781170642061332E-2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-225.43444458585736</v>
      </c>
      <c r="AD5" s="9">
        <v>2500</v>
      </c>
      <c r="AE5" s="8">
        <f t="dataTable" ref="AE5:AE44" dt2D="0" dtr="0" r1="C15" ca="1"/>
        <v>169.56998949292461</v>
      </c>
      <c r="AF5" s="8">
        <f>(AB5+AD5)/2</f>
        <v>1500</v>
      </c>
      <c r="AG5" s="8">
        <f t="dataTable" ref="AG5:AG44" dt2D="0" dtr="0" r1="C15"/>
        <v>109.75319151035558</v>
      </c>
      <c r="AH5" s="8">
        <f>AC5*AG5</f>
        <v>-24742.149769662246</v>
      </c>
      <c r="AI5" s="8">
        <f>AE5*AG5</f>
        <v>18610.847531225936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0.13791156038531263</v>
      </c>
      <c r="P6" s="8">
        <v>2</v>
      </c>
      <c r="Q6" s="8">
        <f t="shared" ref="Q6:Q34" si="7">IF(W5&gt;0, U5, Q5)</f>
        <v>0</v>
      </c>
      <c r="R6" s="8">
        <f t="shared" si="0"/>
        <v>0.11508329825005216</v>
      </c>
      <c r="S6" s="8">
        <f t="shared" ref="S6:S34" si="8">IF(X5&gt;0, U5, S5)</f>
        <v>0.25</v>
      </c>
      <c r="T6" s="8">
        <f t="shared" si="1"/>
        <v>-0.15041614140866638</v>
      </c>
      <c r="U6" s="8">
        <f t="shared" si="2"/>
        <v>0.125</v>
      </c>
      <c r="V6" s="8">
        <f t="shared" si="3"/>
        <v>-1.5060679536437929E-2</v>
      </c>
      <c r="W6" s="8">
        <f t="shared" si="4"/>
        <v>-1.7332326749403435E-3</v>
      </c>
      <c r="X6" s="8">
        <f t="shared" si="5"/>
        <v>2.2653693028634558E-3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-225.43444458585736</v>
      </c>
      <c r="AD6" s="8">
        <f>IF(AI5&gt;0, AF5, AD5)</f>
        <v>1500</v>
      </c>
      <c r="AE6" s="8">
        <v>109.75319151035558</v>
      </c>
      <c r="AF6" s="8">
        <f t="shared" ref="AF6:AF44" si="9">(AB6+AD6)/2</f>
        <v>1000</v>
      </c>
      <c r="AG6" s="8">
        <v>-19.551529132740143</v>
      </c>
      <c r="AH6" s="8">
        <f t="shared" ref="AH6:AH44" si="10">AC6*AG6</f>
        <v>4407.5881108434833</v>
      </c>
      <c r="AI6" s="8">
        <f t="shared" ref="AI6:AI44" si="11">AE6*AG6</f>
        <v>-2145.8427212259253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0" t="s">
        <v>38</v>
      </c>
      <c r="G7" s="21"/>
      <c r="H7" s="21"/>
      <c r="J7" t="s">
        <v>69</v>
      </c>
      <c r="K7">
        <f xml:space="preserve"> K4 * K5</f>
        <v>1671.8495300819993</v>
      </c>
      <c r="L7" t="s">
        <v>37</v>
      </c>
      <c r="P7" s="8">
        <v>3</v>
      </c>
      <c r="Q7" s="8">
        <f t="shared" si="7"/>
        <v>0</v>
      </c>
      <c r="R7" s="8">
        <f t="shared" si="0"/>
        <v>0.11508329825005216</v>
      </c>
      <c r="S7" s="8">
        <f t="shared" si="8"/>
        <v>0.125</v>
      </c>
      <c r="T7" s="8">
        <f t="shared" si="1"/>
        <v>-1.5060679536437929E-2</v>
      </c>
      <c r="U7" s="8">
        <f t="shared" si="2"/>
        <v>6.25E-2</v>
      </c>
      <c r="V7" s="8">
        <f t="shared" si="3"/>
        <v>5.1177682948687797E-2</v>
      </c>
      <c r="W7" s="8">
        <f t="shared" si="4"/>
        <v>5.8896965505304466E-3</v>
      </c>
      <c r="X7" s="8">
        <f t="shared" si="5"/>
        <v>-7.7077068230761063E-4</v>
      </c>
      <c r="Y7" s="8">
        <f t="shared" si="6"/>
        <v>0.125</v>
      </c>
      <c r="AA7" s="8">
        <v>3</v>
      </c>
      <c r="AB7" s="8">
        <f t="shared" ref="AB7:AB44" si="13">IF(AH6&gt;0, AF6, AB6)</f>
        <v>1000</v>
      </c>
      <c r="AC7" s="8">
        <v>-19.551529132740143</v>
      </c>
      <c r="AD7" s="8">
        <f t="shared" ref="AD7:AD44" si="14">IF(AI6&gt;0, AF6, AD6)</f>
        <v>1500</v>
      </c>
      <c r="AE7" s="8">
        <v>109.75319151035558</v>
      </c>
      <c r="AF7" s="8">
        <f t="shared" si="9"/>
        <v>1250</v>
      </c>
      <c r="AG7" s="8">
        <v>54.174397242680698</v>
      </c>
      <c r="AH7" s="8">
        <f t="shared" si="10"/>
        <v>-1059.1923059389089</v>
      </c>
      <c r="AI7" s="8">
        <f t="shared" si="11"/>
        <v>5945.8129955340137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20169.911847593958</v>
      </c>
      <c r="H8" t="s">
        <v>35</v>
      </c>
      <c r="J8" t="s">
        <v>72</v>
      </c>
      <c r="K8">
        <f xml:space="preserve"> K7</f>
        <v>1671.8495300819993</v>
      </c>
      <c r="L8" t="s">
        <v>37</v>
      </c>
      <c r="P8" s="8">
        <v>4</v>
      </c>
      <c r="Q8" s="8">
        <f t="shared" si="7"/>
        <v>6.25E-2</v>
      </c>
      <c r="R8" s="8">
        <f t="shared" si="0"/>
        <v>5.1177682948687797E-2</v>
      </c>
      <c r="S8" s="8">
        <f t="shared" si="8"/>
        <v>0.125</v>
      </c>
      <c r="T8" s="8">
        <f t="shared" si="1"/>
        <v>-1.5060679536437929E-2</v>
      </c>
      <c r="U8" s="8">
        <f t="shared" si="2"/>
        <v>9.375E-2</v>
      </c>
      <c r="V8" s="8">
        <f t="shared" si="3"/>
        <v>1.8289296486283635E-2</v>
      </c>
      <c r="W8" s="8">
        <f t="shared" si="4"/>
        <v>9.3600381692957361E-4</v>
      </c>
      <c r="X8" s="8">
        <f t="shared" si="5"/>
        <v>-2.7544923332681808E-4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-19.551529132740143</v>
      </c>
      <c r="AD8" s="8">
        <f t="shared" si="14"/>
        <v>1250</v>
      </c>
      <c r="AE8" s="8">
        <v>54.174397242680698</v>
      </c>
      <c r="AF8" s="8">
        <f t="shared" si="9"/>
        <v>1125</v>
      </c>
      <c r="AG8" s="8">
        <v>19.643932088454108</v>
      </c>
      <c r="AH8" s="8">
        <f t="shared" si="10"/>
        <v>-384.0689105089794</v>
      </c>
      <c r="AI8" s="8">
        <f t="shared" si="11"/>
        <v>1064.1981803681551</v>
      </c>
      <c r="AJ8" s="8">
        <f t="shared" si="12"/>
        <v>250</v>
      </c>
    </row>
    <row r="9" spans="2:36" x14ac:dyDescent="0.2">
      <c r="B9" s="20" t="s">
        <v>8</v>
      </c>
      <c r="C9" s="21"/>
      <c r="D9" s="21"/>
      <c r="F9" s="4" t="s">
        <v>40</v>
      </c>
      <c r="G9">
        <f>$C$5 * G8</f>
        <v>141189.3829331577</v>
      </c>
      <c r="H9" t="s">
        <v>35</v>
      </c>
      <c r="P9" s="8">
        <v>5</v>
      </c>
      <c r="Q9" s="8">
        <f t="shared" si="7"/>
        <v>9.375E-2</v>
      </c>
      <c r="R9" s="8">
        <f t="shared" si="0"/>
        <v>1.8289296486283635E-2</v>
      </c>
      <c r="S9" s="8">
        <f t="shared" si="8"/>
        <v>0.125</v>
      </c>
      <c r="T9" s="8">
        <f t="shared" si="1"/>
        <v>-1.5060679536437929E-2</v>
      </c>
      <c r="U9" s="8">
        <f t="shared" si="2"/>
        <v>0.109375</v>
      </c>
      <c r="V9" s="8">
        <f t="shared" si="3"/>
        <v>1.6630516786295541E-3</v>
      </c>
      <c r="W9" s="8">
        <f t="shared" si="4"/>
        <v>3.0416045222467604E-5</v>
      </c>
      <c r="X9" s="8">
        <f t="shared" si="5"/>
        <v>-2.5046688384374874E-5</v>
      </c>
      <c r="Y9" s="8">
        <f t="shared" si="6"/>
        <v>3.125E-2</v>
      </c>
      <c r="AA9" s="8">
        <v>5</v>
      </c>
      <c r="AB9" s="8">
        <f t="shared" si="13"/>
        <v>1000</v>
      </c>
      <c r="AC9" s="8">
        <v>-19.551529132740143</v>
      </c>
      <c r="AD9" s="8">
        <f t="shared" si="14"/>
        <v>1125</v>
      </c>
      <c r="AE9" s="8">
        <v>19.643932088454108</v>
      </c>
      <c r="AF9" s="8">
        <f t="shared" si="9"/>
        <v>1062.5</v>
      </c>
      <c r="AG9" s="8">
        <v>0.63736339142235465</v>
      </c>
      <c r="AH9" s="8">
        <f t="shared" si="10"/>
        <v>-12.461428915536226</v>
      </c>
      <c r="AI9" s="8">
        <f t="shared" si="11"/>
        <v>12.520323176767528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0.109375</v>
      </c>
      <c r="R10" s="8">
        <f t="shared" si="0"/>
        <v>1.6630516786295541E-3</v>
      </c>
      <c r="S10" s="8">
        <f t="shared" si="8"/>
        <v>0.125</v>
      </c>
      <c r="T10" s="8">
        <f t="shared" si="1"/>
        <v>-1.5060679536437929E-2</v>
      </c>
      <c r="U10" s="8">
        <f t="shared" si="2"/>
        <v>0.1171875</v>
      </c>
      <c r="V10" s="8">
        <f t="shared" si="3"/>
        <v>-6.6877660820997414E-3</v>
      </c>
      <c r="W10" s="8">
        <f t="shared" si="4"/>
        <v>-1.112210060911777E-5</v>
      </c>
      <c r="X10" s="8">
        <f t="shared" si="5"/>
        <v>1.0072230177716324E-4</v>
      </c>
      <c r="Y10" s="8">
        <f t="shared" si="6"/>
        <v>1.5625E-2</v>
      </c>
      <c r="AA10" s="8">
        <v>6</v>
      </c>
      <c r="AB10" s="8">
        <f t="shared" si="13"/>
        <v>1000</v>
      </c>
      <c r="AC10" s="8">
        <v>-19.551529132740143</v>
      </c>
      <c r="AD10" s="8">
        <f t="shared" si="14"/>
        <v>1062.5</v>
      </c>
      <c r="AE10" s="8">
        <v>0.63736339142235465</v>
      </c>
      <c r="AF10" s="8">
        <f t="shared" si="9"/>
        <v>1031.25</v>
      </c>
      <c r="AG10" s="8">
        <v>-9.3082931056800362</v>
      </c>
      <c r="AH10" s="8">
        <f t="shared" si="10"/>
        <v>181.99136383178745</v>
      </c>
      <c r="AI10" s="8">
        <f t="shared" si="11"/>
        <v>-5.9327652621895499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0" t="s">
        <v>41</v>
      </c>
      <c r="G11" s="20"/>
      <c r="H11" s="20"/>
      <c r="J11" s="20" t="s">
        <v>114</v>
      </c>
      <c r="K11" s="24"/>
      <c r="L11" s="24"/>
      <c r="P11" s="8">
        <v>7</v>
      </c>
      <c r="Q11" s="8">
        <f t="shared" si="7"/>
        <v>0.109375</v>
      </c>
      <c r="R11" s="8">
        <f t="shared" si="0"/>
        <v>1.6630516786295541E-3</v>
      </c>
      <c r="S11" s="8">
        <f t="shared" si="8"/>
        <v>0.1171875</v>
      </c>
      <c r="T11" s="8">
        <f t="shared" si="1"/>
        <v>-6.6877660820997414E-3</v>
      </c>
      <c r="U11" s="8">
        <f t="shared" si="2"/>
        <v>0.11328125</v>
      </c>
      <c r="V11" s="8">
        <f t="shared" si="3"/>
        <v>-2.5094533342914782E-3</v>
      </c>
      <c r="W11" s="8">
        <f t="shared" si="4"/>
        <v>-4.1733505800359739E-6</v>
      </c>
      <c r="X11" s="8">
        <f t="shared" si="5"/>
        <v>1.6782636893686651E-5</v>
      </c>
      <c r="Y11" s="8">
        <f t="shared" si="6"/>
        <v>7.8125E-3</v>
      </c>
      <c r="AA11" s="8">
        <v>7</v>
      </c>
      <c r="AB11" s="8">
        <f t="shared" si="13"/>
        <v>1031.25</v>
      </c>
      <c r="AC11" s="8">
        <v>-9.3082931056800362</v>
      </c>
      <c r="AD11" s="8">
        <f t="shared" si="14"/>
        <v>1062.5</v>
      </c>
      <c r="AE11" s="8">
        <v>0.63736339142235465</v>
      </c>
      <c r="AF11" s="8">
        <f t="shared" si="9"/>
        <v>1046.875</v>
      </c>
      <c r="AG11" s="8">
        <v>-4.2983912772571102</v>
      </c>
      <c r="AH11" s="8">
        <f t="shared" si="10"/>
        <v>40.010685891607565</v>
      </c>
      <c r="AI11" s="8">
        <f t="shared" si="11"/>
        <v>-2.7396372421328583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52068.914223507265</v>
      </c>
      <c r="H12" t="s">
        <v>43</v>
      </c>
      <c r="J12" t="s">
        <v>115</v>
      </c>
      <c r="K12">
        <f xml:space="preserve"> SQRT( ($C$15*$C$27)^2 + K8^2)</f>
        <v>10536.682792486745</v>
      </c>
      <c r="L12" t="s">
        <v>37</v>
      </c>
      <c r="P12" s="8">
        <v>8</v>
      </c>
      <c r="Q12" s="8">
        <f t="shared" si="7"/>
        <v>0.109375</v>
      </c>
      <c r="R12" s="8">
        <f t="shared" si="0"/>
        <v>1.6630516786295541E-3</v>
      </c>
      <c r="S12" s="8">
        <f t="shared" si="8"/>
        <v>0.11328125</v>
      </c>
      <c r="T12" s="8">
        <f t="shared" si="1"/>
        <v>-2.5094533342914782E-3</v>
      </c>
      <c r="U12" s="8">
        <f t="shared" si="2"/>
        <v>0.111328125</v>
      </c>
      <c r="V12" s="8">
        <f t="shared" si="3"/>
        <v>-4.224570607790773E-4</v>
      </c>
      <c r="W12" s="8">
        <f t="shared" si="4"/>
        <v>-7.0256792407755207E-7</v>
      </c>
      <c r="X12" s="8">
        <f t="shared" si="5"/>
        <v>1.0601362797670332E-6</v>
      </c>
      <c r="Y12" s="8">
        <f t="shared" si="6"/>
        <v>3.90625E-3</v>
      </c>
      <c r="AA12" s="8">
        <v>8</v>
      </c>
      <c r="AB12" s="8">
        <f t="shared" si="13"/>
        <v>1046.875</v>
      </c>
      <c r="AC12" s="8">
        <v>-4.2983912772571102</v>
      </c>
      <c r="AD12" s="8">
        <f t="shared" si="14"/>
        <v>1062.5</v>
      </c>
      <c r="AE12" s="8">
        <v>0.63736339142235465</v>
      </c>
      <c r="AF12" s="8">
        <f t="shared" si="9"/>
        <v>1054.6875</v>
      </c>
      <c r="AG12" s="8">
        <v>-1.8212616793756524</v>
      </c>
      <c r="AH12" s="8">
        <f t="shared" si="10"/>
        <v>7.8284953162309403</v>
      </c>
      <c r="AI12" s="8">
        <f t="shared" si="11"/>
        <v>-1.160805520634439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1000</v>
      </c>
      <c r="H13" t="s">
        <v>26</v>
      </c>
      <c r="J13" t="s">
        <v>116</v>
      </c>
      <c r="K13">
        <f>$C$15*$C$27/K12</f>
        <v>0.98733176270956124</v>
      </c>
      <c r="P13" s="8">
        <v>9</v>
      </c>
      <c r="Q13" s="8">
        <f t="shared" si="7"/>
        <v>0.109375</v>
      </c>
      <c r="R13" s="8">
        <f t="shared" si="0"/>
        <v>1.6630516786295541E-3</v>
      </c>
      <c r="S13" s="8">
        <f t="shared" si="8"/>
        <v>0.111328125</v>
      </c>
      <c r="T13" s="8">
        <f t="shared" si="1"/>
        <v>-4.224570607790773E-4</v>
      </c>
      <c r="U13" s="8">
        <f t="shared" si="2"/>
        <v>0.1103515625</v>
      </c>
      <c r="V13" s="8">
        <f t="shared" si="3"/>
        <v>6.2048547795968967E-4</v>
      </c>
      <c r="W13" s="8">
        <f t="shared" si="4"/>
        <v>1.0318994156861231E-6</v>
      </c>
      <c r="X13" s="8">
        <f t="shared" si="5"/>
        <v>-2.6212847127495144E-7</v>
      </c>
      <c r="Y13" s="8">
        <f t="shared" si="6"/>
        <v>1.953125E-3</v>
      </c>
      <c r="AA13" s="8">
        <v>9</v>
      </c>
      <c r="AB13" s="8">
        <f t="shared" si="13"/>
        <v>1054.6875</v>
      </c>
      <c r="AC13" s="8">
        <v>-1.8212616793756524</v>
      </c>
      <c r="AD13" s="8">
        <f t="shared" si="14"/>
        <v>1062.5</v>
      </c>
      <c r="AE13" s="8">
        <v>0.63736339142235465</v>
      </c>
      <c r="AF13" s="8">
        <f t="shared" si="9"/>
        <v>1058.59375</v>
      </c>
      <c r="AG13" s="8">
        <v>-0.5896385904085264</v>
      </c>
      <c r="AH13" s="8">
        <f t="shared" si="10"/>
        <v>1.0738861693921253</v>
      </c>
      <c r="AI13" s="8">
        <f t="shared" si="11"/>
        <v>-0.37581405169627508</v>
      </c>
      <c r="AJ13" s="8">
        <f t="shared" si="12"/>
        <v>7.8125</v>
      </c>
    </row>
    <row r="14" spans="2:36" x14ac:dyDescent="0.2">
      <c r="B14" s="22" t="s">
        <v>13</v>
      </c>
      <c r="C14" s="22"/>
      <c r="D14" s="22"/>
      <c r="P14" s="8">
        <v>10</v>
      </c>
      <c r="Q14" s="8">
        <f t="shared" si="7"/>
        <v>0.1103515625</v>
      </c>
      <c r="R14" s="8">
        <f t="shared" si="0"/>
        <v>6.2048547795968967E-4</v>
      </c>
      <c r="S14" s="8">
        <f t="shared" si="8"/>
        <v>0.111328125</v>
      </c>
      <c r="T14" s="8">
        <f t="shared" si="1"/>
        <v>-4.224570607790773E-4</v>
      </c>
      <c r="U14" s="8">
        <f t="shared" si="2"/>
        <v>0.11083984375</v>
      </c>
      <c r="V14" s="8">
        <f t="shared" si="3"/>
        <v>9.9060972372111422E-5</v>
      </c>
      <c r="W14" s="8">
        <f t="shared" si="4"/>
        <v>6.1465894789461165E-8</v>
      </c>
      <c r="X14" s="8">
        <f t="shared" si="5"/>
        <v>-4.1849007226239574E-8</v>
      </c>
      <c r="Y14" s="8">
        <f t="shared" si="6"/>
        <v>9.765625E-4</v>
      </c>
      <c r="AA14" s="8">
        <v>10</v>
      </c>
      <c r="AB14" s="8">
        <f t="shared" si="13"/>
        <v>1058.59375</v>
      </c>
      <c r="AC14" s="8">
        <v>-0.5896385904085264</v>
      </c>
      <c r="AD14" s="8">
        <f t="shared" si="14"/>
        <v>1062.5</v>
      </c>
      <c r="AE14" s="8">
        <v>0.63736339142235465</v>
      </c>
      <c r="AF14" s="8">
        <f t="shared" si="9"/>
        <v>1060.546875</v>
      </c>
      <c r="AG14" s="8">
        <v>2.4439627423703314E-2</v>
      </c>
      <c r="AH14" s="8">
        <f t="shared" si="10"/>
        <v>-1.4410547464221988E-2</v>
      </c>
      <c r="AI14" s="8">
        <f t="shared" si="11"/>
        <v>1.5576923819870329E-2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1060.4690718264465</v>
      </c>
      <c r="D15" s="3" t="s">
        <v>14</v>
      </c>
      <c r="F15" s="20" t="s">
        <v>86</v>
      </c>
      <c r="G15" s="20"/>
      <c r="H15" s="20"/>
      <c r="P15" s="8">
        <v>11</v>
      </c>
      <c r="Q15" s="8">
        <f t="shared" si="7"/>
        <v>0.11083984375</v>
      </c>
      <c r="R15" s="8">
        <f t="shared" si="0"/>
        <v>9.9060972372111422E-5</v>
      </c>
      <c r="S15" s="8">
        <f t="shared" si="8"/>
        <v>0.111328125</v>
      </c>
      <c r="T15" s="8">
        <f t="shared" si="1"/>
        <v>-4.224570607790773E-4</v>
      </c>
      <c r="U15" s="8">
        <f t="shared" si="2"/>
        <v>0.111083984375</v>
      </c>
      <c r="V15" s="8">
        <f t="shared" si="3"/>
        <v>-1.6168638806270119E-4</v>
      </c>
      <c r="W15" s="8">
        <f t="shared" si="4"/>
        <v>-1.6016810820825727E-8</v>
      </c>
      <c r="X15" s="8">
        <f t="shared" si="5"/>
        <v>6.8305556268954038E-8</v>
      </c>
      <c r="Y15" s="8">
        <f t="shared" si="6"/>
        <v>4.8828125E-4</v>
      </c>
      <c r="AA15" s="8">
        <v>11</v>
      </c>
      <c r="AB15" s="8">
        <f t="shared" si="13"/>
        <v>1058.59375</v>
      </c>
      <c r="AC15" s="8">
        <v>-0.5896385904085264</v>
      </c>
      <c r="AD15" s="8">
        <f t="shared" si="14"/>
        <v>1060.546875</v>
      </c>
      <c r="AE15" s="8">
        <v>2.4439627423703314E-2</v>
      </c>
      <c r="AF15" s="8">
        <f t="shared" si="9"/>
        <v>1059.5703125</v>
      </c>
      <c r="AG15" s="8">
        <v>-0.28245464672272647</v>
      </c>
      <c r="AH15" s="8">
        <f t="shared" si="10"/>
        <v>0.16654615974792672</v>
      </c>
      <c r="AI15" s="8">
        <f t="shared" si="11"/>
        <v>-6.9030863299971773E-3</v>
      </c>
      <c r="AJ15" s="8">
        <f t="shared" si="12"/>
        <v>1.953125</v>
      </c>
    </row>
    <row r="16" spans="2:36" x14ac:dyDescent="0.2">
      <c r="B16" t="s">
        <v>15</v>
      </c>
      <c r="C16" s="1">
        <v>1</v>
      </c>
      <c r="D16" t="s">
        <v>16</v>
      </c>
      <c r="F16" s="3" t="s">
        <v>152</v>
      </c>
      <c r="G16">
        <f>C15</f>
        <v>1060.4690718264465</v>
      </c>
      <c r="H16" t="s">
        <v>14</v>
      </c>
      <c r="J16" s="20" t="s">
        <v>50</v>
      </c>
      <c r="K16" s="24"/>
      <c r="L16" s="24"/>
      <c r="P16" s="8">
        <v>12</v>
      </c>
      <c r="Q16" s="8">
        <f t="shared" si="7"/>
        <v>0.11083984375</v>
      </c>
      <c r="R16" s="8">
        <f t="shared" si="0"/>
        <v>9.9060972372111422E-5</v>
      </c>
      <c r="S16" s="8">
        <f t="shared" si="8"/>
        <v>0.111083984375</v>
      </c>
      <c r="T16" s="8">
        <f t="shared" si="1"/>
        <v>-1.6168638806270119E-4</v>
      </c>
      <c r="U16" s="8">
        <f t="shared" si="2"/>
        <v>0.1109619140625</v>
      </c>
      <c r="V16" s="8">
        <f t="shared" si="3"/>
        <v>-3.1309789459768589E-5</v>
      </c>
      <c r="W16" s="8">
        <f t="shared" si="4"/>
        <v>-3.1015781886507617E-9</v>
      </c>
      <c r="X16" s="8">
        <f t="shared" si="5"/>
        <v>5.0623667687536159E-9</v>
      </c>
      <c r="Y16" s="8">
        <f t="shared" si="6"/>
        <v>2.44140625E-4</v>
      </c>
      <c r="AA16" s="8">
        <v>12</v>
      </c>
      <c r="AB16" s="8">
        <f t="shared" si="13"/>
        <v>1059.5703125</v>
      </c>
      <c r="AC16" s="8">
        <v>-0.28245464672272647</v>
      </c>
      <c r="AD16" s="8">
        <f t="shared" si="14"/>
        <v>1060.546875</v>
      </c>
      <c r="AE16" s="8">
        <v>2.4439627423703314E-2</v>
      </c>
      <c r="AF16" s="8">
        <f t="shared" si="9"/>
        <v>1060.05859375</v>
      </c>
      <c r="AG16" s="8">
        <v>-0.12897079478204887</v>
      </c>
      <c r="AH16" s="8">
        <f t="shared" si="10"/>
        <v>3.6428400277712866E-2</v>
      </c>
      <c r="AI16" s="8">
        <f t="shared" si="11"/>
        <v>-3.1519981730121736E-3</v>
      </c>
      <c r="AJ16" s="8">
        <f t="shared" si="12"/>
        <v>0.9765625</v>
      </c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306.2877307265133</v>
      </c>
      <c r="H17" t="s">
        <v>14</v>
      </c>
      <c r="J17" t="s">
        <v>51</v>
      </c>
      <c r="K17">
        <f xml:space="preserve"> ACOS(K13)</f>
        <v>0.15934287176145334</v>
      </c>
      <c r="L17" t="s">
        <v>52</v>
      </c>
      <c r="P17" s="8">
        <v>13</v>
      </c>
      <c r="Q17" s="8">
        <f t="shared" si="7"/>
        <v>0.11083984375</v>
      </c>
      <c r="R17" s="8">
        <f t="shared" si="0"/>
        <v>9.9060972372111422E-5</v>
      </c>
      <c r="S17" s="8">
        <f t="shared" si="8"/>
        <v>0.1109619140625</v>
      </c>
      <c r="T17" s="8">
        <f t="shared" si="1"/>
        <v>-3.1309789459768589E-5</v>
      </c>
      <c r="U17" s="8">
        <f t="shared" si="2"/>
        <v>0.11090087890625</v>
      </c>
      <c r="V17" s="8">
        <f t="shared" si="3"/>
        <v>3.3876321596376657E-5</v>
      </c>
      <c r="W17" s="8">
        <f t="shared" si="4"/>
        <v>3.3558213577274296E-9</v>
      </c>
      <c r="X17" s="8">
        <f t="shared" si="5"/>
        <v>-1.0606604968539648E-9</v>
      </c>
      <c r="Y17" s="8">
        <f t="shared" si="6"/>
        <v>1.220703125E-4</v>
      </c>
      <c r="AA17" s="8">
        <v>13</v>
      </c>
      <c r="AB17" s="8">
        <f t="shared" si="13"/>
        <v>1060.05859375</v>
      </c>
      <c r="AC17" s="8">
        <v>-0.12897079478204887</v>
      </c>
      <c r="AD17" s="8">
        <f t="shared" si="14"/>
        <v>1060.546875</v>
      </c>
      <c r="AE17" s="8">
        <v>2.4439627423703314E-2</v>
      </c>
      <c r="AF17" s="8">
        <f t="shared" si="9"/>
        <v>1060.302734375</v>
      </c>
      <c r="AG17" s="8">
        <v>-5.2256405156185792E-2</v>
      </c>
      <c r="AH17" s="8">
        <f t="shared" si="10"/>
        <v>6.7395501054460386E-3</v>
      </c>
      <c r="AI17" s="8">
        <f t="shared" si="11"/>
        <v>-1.2771270725192695E-3</v>
      </c>
      <c r="AJ17" s="8">
        <f t="shared" si="12"/>
        <v>0.48828125</v>
      </c>
    </row>
    <row r="18" spans="2:36" x14ac:dyDescent="0.2">
      <c r="B18" t="s">
        <v>113</v>
      </c>
      <c r="C18" s="1">
        <v>0.3</v>
      </c>
      <c r="F18" s="12" t="s">
        <v>88</v>
      </c>
      <c r="G18">
        <f xml:space="preserve"> $C$5 * 0.144 * (2*$C$16*3.28084 * (G4*0.00134102/$C$5) * 4^0.5)^0.782 * 0.453592</f>
        <v>57.55472336542315</v>
      </c>
      <c r="H18" t="s">
        <v>14</v>
      </c>
      <c r="J18" t="s">
        <v>36</v>
      </c>
      <c r="K18">
        <f xml:space="preserve"> K12 / $C$5</f>
        <v>1505.2403989266779</v>
      </c>
      <c r="L18" t="s">
        <v>37</v>
      </c>
      <c r="P18" s="8">
        <v>14</v>
      </c>
      <c r="Q18" s="8">
        <f t="shared" si="7"/>
        <v>0.11090087890625</v>
      </c>
      <c r="R18" s="8">
        <f t="shared" si="0"/>
        <v>3.3876321596376657E-5</v>
      </c>
      <c r="S18" s="8">
        <f t="shared" si="8"/>
        <v>0.1109619140625</v>
      </c>
      <c r="T18" s="8">
        <f t="shared" si="1"/>
        <v>-3.1309789459768589E-5</v>
      </c>
      <c r="U18" s="8">
        <f t="shared" si="2"/>
        <v>0.110931396484375</v>
      </c>
      <c r="V18" s="8">
        <f t="shared" si="3"/>
        <v>1.2834485353663272E-6</v>
      </c>
      <c r="W18" s="8">
        <f t="shared" si="4"/>
        <v>4.34785153364683E-11</v>
      </c>
      <c r="X18" s="8">
        <f t="shared" si="5"/>
        <v>-4.0184503424768061E-11</v>
      </c>
      <c r="Y18" s="8">
        <f t="shared" si="6"/>
        <v>6.103515625E-5</v>
      </c>
      <c r="AA18" s="8">
        <v>14</v>
      </c>
      <c r="AB18" s="8">
        <f t="shared" si="13"/>
        <v>1060.302734375</v>
      </c>
      <c r="AC18" s="8">
        <v>-5.2256405156185792E-2</v>
      </c>
      <c r="AD18" s="8">
        <f t="shared" si="14"/>
        <v>1060.546875</v>
      </c>
      <c r="AE18" s="8">
        <v>2.4439627423703314E-2</v>
      </c>
      <c r="AF18" s="8">
        <f t="shared" si="9"/>
        <v>1060.4248046875</v>
      </c>
      <c r="AG18" s="8">
        <v>-1.3905076953847129E-2</v>
      </c>
      <c r="AH18" s="8">
        <f t="shared" si="10"/>
        <v>7.266293350281773E-4</v>
      </c>
      <c r="AI18" s="8">
        <f t="shared" si="11"/>
        <v>-3.3983490004994724E-4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0.2213 * (G4/1000)</f>
        <v>42.654383918649849</v>
      </c>
      <c r="H19" t="s">
        <v>14</v>
      </c>
      <c r="J19" t="s">
        <v>53</v>
      </c>
      <c r="K19">
        <f xml:space="preserve"> $C$17 * COS(K17) / ($C$18 * $C$16)</f>
        <v>98.733176270956136</v>
      </c>
      <c r="L19" t="s">
        <v>54</v>
      </c>
      <c r="P19" s="8">
        <v>15</v>
      </c>
      <c r="Q19" s="8">
        <f t="shared" si="7"/>
        <v>0.110931396484375</v>
      </c>
      <c r="R19" s="8">
        <f t="shared" si="0"/>
        <v>1.2834485353663272E-6</v>
      </c>
      <c r="S19" s="8">
        <f t="shared" si="8"/>
        <v>0.1109619140625</v>
      </c>
      <c r="T19" s="8">
        <f t="shared" si="1"/>
        <v>-3.1309789459768589E-5</v>
      </c>
      <c r="U19" s="8">
        <f t="shared" si="2"/>
        <v>0.1109466552734375</v>
      </c>
      <c r="V19" s="8">
        <f t="shared" si="3"/>
        <v>-1.5013124853927029E-5</v>
      </c>
      <c r="W19" s="8">
        <f t="shared" si="4"/>
        <v>-1.926857310504445E-11</v>
      </c>
      <c r="X19" s="8">
        <f t="shared" si="5"/>
        <v>4.7005777830967437E-10</v>
      </c>
      <c r="Y19" s="8">
        <f t="shared" si="6"/>
        <v>3.0517578125E-5</v>
      </c>
      <c r="AA19" s="8">
        <v>15</v>
      </c>
      <c r="AB19" s="8">
        <f t="shared" si="13"/>
        <v>1060.4248046875</v>
      </c>
      <c r="AC19" s="8">
        <v>-1.3905076953847129E-2</v>
      </c>
      <c r="AD19" s="8">
        <f t="shared" si="14"/>
        <v>1060.546875</v>
      </c>
      <c r="AE19" s="8">
        <v>2.4439627423703314E-2</v>
      </c>
      <c r="AF19" s="8">
        <f t="shared" si="9"/>
        <v>1060.48583984375</v>
      </c>
      <c r="AG19" s="8">
        <v>5.2668315468054061E-3</v>
      </c>
      <c r="AH19" s="8">
        <f t="shared" si="10"/>
        <v>-7.3235697961278873E-5</v>
      </c>
      <c r="AI19" s="8">
        <f t="shared" si="11"/>
        <v>1.2871940070733115E-4</v>
      </c>
      <c r="AJ19" s="8">
        <f t="shared" si="12"/>
        <v>0.1220703125</v>
      </c>
    </row>
    <row r="20" spans="2:36" x14ac:dyDescent="0.2">
      <c r="B20" s="22" t="s">
        <v>23</v>
      </c>
      <c r="C20" s="22"/>
      <c r="D20" s="22"/>
      <c r="F20" s="13" t="s">
        <v>139</v>
      </c>
      <c r="G20">
        <f xml:space="preserve"> 2.20462 * (49.9/398 * (G4/$C$5/1000 - 2) + 0.1) * 0.453592 * $C$5</f>
        <v>23.110396951192861</v>
      </c>
      <c r="H20" t="s">
        <v>14</v>
      </c>
      <c r="J20" t="s">
        <v>56</v>
      </c>
      <c r="K20">
        <f xml:space="preserve"> K18 / ($C$26 * PI() * $C$16^2 * K19^2 * $C$16^2)</f>
        <v>4.0123026734622723E-2</v>
      </c>
      <c r="P20" s="8">
        <v>16</v>
      </c>
      <c r="Q20" s="8">
        <f t="shared" si="7"/>
        <v>0.110931396484375</v>
      </c>
      <c r="R20" s="8">
        <f t="shared" si="0"/>
        <v>1.2834485353663272E-6</v>
      </c>
      <c r="S20" s="8">
        <f t="shared" si="8"/>
        <v>0.1109466552734375</v>
      </c>
      <c r="T20" s="8">
        <f t="shared" si="1"/>
        <v>-1.5013124853927029E-5</v>
      </c>
      <c r="U20" s="8">
        <f t="shared" si="2"/>
        <v>0.11093902587890625</v>
      </c>
      <c r="V20" s="8">
        <f t="shared" si="3"/>
        <v>-6.8648267561449705E-6</v>
      </c>
      <c r="W20" s="8">
        <f t="shared" si="4"/>
        <v>-8.8106518457178375E-12</v>
      </c>
      <c r="X20" s="8">
        <f t="shared" si="5"/>
        <v>1.0306250119058332E-10</v>
      </c>
      <c r="Y20" s="8">
        <f t="shared" si="6"/>
        <v>1.52587890625E-5</v>
      </c>
      <c r="AA20" s="8">
        <v>16</v>
      </c>
      <c r="AB20" s="8">
        <f t="shared" si="13"/>
        <v>1060.4248046875</v>
      </c>
      <c r="AC20" s="8">
        <v>-1.3905076953847129E-2</v>
      </c>
      <c r="AD20" s="8">
        <f t="shared" si="14"/>
        <v>1060.48583984375</v>
      </c>
      <c r="AE20" s="8">
        <v>5.2668315468054061E-3</v>
      </c>
      <c r="AF20" s="8">
        <f t="shared" si="9"/>
        <v>1060.455322265625</v>
      </c>
      <c r="AG20" s="8">
        <v>-4.3189792679640959E-3</v>
      </c>
      <c r="AH20" s="8">
        <f t="shared" si="10"/>
        <v>6.0055739083111091E-5</v>
      </c>
      <c r="AI20" s="8">
        <f t="shared" si="11"/>
        <v>-2.274733625851182E-5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97</v>
      </c>
      <c r="G21">
        <f xml:space="preserve"> 14.86 * ($C$15*2.20462)^0.144 * (6.7/(PI()*1.8))^0.778 * (6.7*3.28084)^0.383 * 4^0.455 * 0.453592</f>
        <v>144.22607158496641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0.110931396484375</v>
      </c>
      <c r="R21" s="8">
        <f t="shared" si="0"/>
        <v>1.2834485353663272E-6</v>
      </c>
      <c r="S21" s="8">
        <f t="shared" si="8"/>
        <v>0.11093902587890625</v>
      </c>
      <c r="T21" s="8">
        <f t="shared" si="1"/>
        <v>-6.8648267561449705E-6</v>
      </c>
      <c r="U21" s="8">
        <f t="shared" si="2"/>
        <v>0.11093521118164062</v>
      </c>
      <c r="V21" s="8">
        <f t="shared" si="3"/>
        <v>-2.7906862594684334E-6</v>
      </c>
      <c r="W21" s="8">
        <f t="shared" si="4"/>
        <v>-3.5817021923816949E-12</v>
      </c>
      <c r="X21" s="8">
        <f t="shared" si="5"/>
        <v>1.9157577702005027E-11</v>
      </c>
      <c r="Y21" s="8">
        <f t="shared" si="6"/>
        <v>7.62939453125E-6</v>
      </c>
      <c r="AA21" s="8">
        <v>17</v>
      </c>
      <c r="AB21" s="8">
        <f t="shared" si="13"/>
        <v>1060.455322265625</v>
      </c>
      <c r="AC21" s="8">
        <v>-4.3189792679640959E-3</v>
      </c>
      <c r="AD21" s="8">
        <f t="shared" si="14"/>
        <v>1060.48583984375</v>
      </c>
      <c r="AE21" s="8">
        <v>5.2668315468054061E-3</v>
      </c>
      <c r="AF21" s="8">
        <f t="shared" si="9"/>
        <v>1060.4705810546875</v>
      </c>
      <c r="AG21" s="8">
        <v>4.7497935031515226E-4</v>
      </c>
      <c r="AH21" s="8">
        <f t="shared" si="10"/>
        <v>-2.051425966722198E-6</v>
      </c>
      <c r="AI21" s="8">
        <f t="shared" si="11"/>
        <v>2.5016362263209804E-6</v>
      </c>
      <c r="AJ21" s="8">
        <f t="shared" si="12"/>
        <v>3.0517578125E-2</v>
      </c>
    </row>
    <row r="22" spans="2:36" x14ac:dyDescent="0.2">
      <c r="B22" t="s">
        <v>24</v>
      </c>
      <c r="C22" s="1">
        <v>30000</v>
      </c>
      <c r="D22" t="s">
        <v>16</v>
      </c>
      <c r="F22" s="14" t="s">
        <v>98</v>
      </c>
      <c r="G22">
        <f xml:space="preserve"> 0.054 * (0.7*3.28084)^0.501 * ($C$15*2.20462*5.7)^0.684 * 0.453592</f>
        <v>24.618471949435456</v>
      </c>
      <c r="H22" t="s">
        <v>14</v>
      </c>
      <c r="J22" t="s">
        <v>57</v>
      </c>
      <c r="K22">
        <f xml:space="preserve"> ($C$6 * K21 / 8) * (1 + 4.65 *$C$18^ 2) * ( PI() * $C$26 * K19^3 *$C$16^ 5)</f>
        <v>1024.5643459537839</v>
      </c>
      <c r="L22" t="s">
        <v>35</v>
      </c>
      <c r="P22" s="8">
        <v>18</v>
      </c>
      <c r="Q22" s="8">
        <f t="shared" si="7"/>
        <v>0.110931396484375</v>
      </c>
      <c r="R22" s="8">
        <f t="shared" si="0"/>
        <v>1.2834485353663272E-6</v>
      </c>
      <c r="S22" s="8">
        <f t="shared" si="8"/>
        <v>0.11093521118164062</v>
      </c>
      <c r="T22" s="8">
        <f t="shared" si="1"/>
        <v>-2.7906862594684334E-6</v>
      </c>
      <c r="U22" s="8">
        <f t="shared" si="2"/>
        <v>0.11093330383300781</v>
      </c>
      <c r="V22" s="8">
        <f t="shared" si="3"/>
        <v>-7.5361814930174909E-7</v>
      </c>
      <c r="W22" s="8">
        <f t="shared" si="4"/>
        <v>-9.672301099468119E-13</v>
      </c>
      <c r="X22" s="8">
        <f t="shared" si="5"/>
        <v>2.1031118141424214E-12</v>
      </c>
      <c r="Y22" s="8">
        <f t="shared" si="6"/>
        <v>3.814697265625E-6</v>
      </c>
      <c r="AA22" s="8">
        <v>18</v>
      </c>
      <c r="AB22" s="8">
        <f t="shared" si="13"/>
        <v>1060.455322265625</v>
      </c>
      <c r="AC22" s="8">
        <v>-4.3189792679640959E-3</v>
      </c>
      <c r="AD22" s="8">
        <f t="shared" si="14"/>
        <v>1060.4705810546875</v>
      </c>
      <c r="AE22" s="8">
        <v>4.7497935031515226E-4</v>
      </c>
      <c r="AF22" s="8">
        <f t="shared" si="9"/>
        <v>1060.4629516601562</v>
      </c>
      <c r="AG22" s="8">
        <v>-1.9230083423735778E-3</v>
      </c>
      <c r="AH22" s="8">
        <f t="shared" si="10"/>
        <v>8.3054331628334837E-6</v>
      </c>
      <c r="AI22" s="8">
        <f t="shared" si="11"/>
        <v>-9.1338925311121986E-7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4" t="s">
        <v>99</v>
      </c>
      <c r="G23">
        <v>0</v>
      </c>
      <c r="H23" t="s">
        <v>14</v>
      </c>
      <c r="J23" t="s">
        <v>58</v>
      </c>
      <c r="K23" s="5">
        <f>U34</f>
        <v>0.11093259835615754</v>
      </c>
      <c r="P23" s="8">
        <v>19</v>
      </c>
      <c r="Q23" s="8">
        <f t="shared" si="7"/>
        <v>0.110931396484375</v>
      </c>
      <c r="R23" s="8">
        <f t="shared" si="0"/>
        <v>1.2834485353663272E-6</v>
      </c>
      <c r="S23" s="8">
        <f t="shared" si="8"/>
        <v>0.11093330383300781</v>
      </c>
      <c r="T23" s="8">
        <f t="shared" si="1"/>
        <v>-7.5361814930174909E-7</v>
      </c>
      <c r="U23" s="8">
        <f t="shared" si="2"/>
        <v>0.11093235015869141</v>
      </c>
      <c r="V23" s="8">
        <f t="shared" si="3"/>
        <v>2.6491537122308451E-7</v>
      </c>
      <c r="W23" s="8">
        <f t="shared" si="4"/>
        <v>3.4000524519229468E-13</v>
      </c>
      <c r="X23" s="8">
        <f t="shared" si="5"/>
        <v>-1.9964503178272678E-13</v>
      </c>
      <c r="Y23" s="8">
        <f t="shared" si="6"/>
        <v>1.9073486328125E-6</v>
      </c>
      <c r="AA23" s="8">
        <v>19</v>
      </c>
      <c r="AB23" s="8">
        <f t="shared" si="13"/>
        <v>1060.4629516601562</v>
      </c>
      <c r="AC23" s="8">
        <v>-1.9230083423735778E-3</v>
      </c>
      <c r="AD23" s="8">
        <f t="shared" si="14"/>
        <v>1060.4705810546875</v>
      </c>
      <c r="AE23" s="8">
        <v>4.7497935031515226E-4</v>
      </c>
      <c r="AF23" s="8">
        <f t="shared" si="9"/>
        <v>1060.4667663574219</v>
      </c>
      <c r="AG23" s="8">
        <v>-7.2299490932437038E-4</v>
      </c>
      <c r="AH23" s="8">
        <f t="shared" si="10"/>
        <v>1.3903252421243926E-6</v>
      </c>
      <c r="AI23" s="8">
        <f t="shared" si="11"/>
        <v>-3.4340765231205184E-7</v>
      </c>
      <c r="AJ23" s="8">
        <f t="shared" si="12"/>
        <v>7.62939453125E-3</v>
      </c>
    </row>
    <row r="24" spans="2:36" x14ac:dyDescent="0.2">
      <c r="F24" s="14" t="s">
        <v>100</v>
      </c>
      <c r="G24">
        <v>0</v>
      </c>
      <c r="H24" t="s">
        <v>14</v>
      </c>
      <c r="J24" t="s">
        <v>59</v>
      </c>
      <c r="K24">
        <f xml:space="preserve"> K19 * $C$16 * K23 - $C$17 * SIN(K17)</f>
        <v>6.1926446675845828</v>
      </c>
      <c r="L24" t="s">
        <v>19</v>
      </c>
      <c r="P24" s="8">
        <v>20</v>
      </c>
      <c r="Q24" s="8">
        <f t="shared" si="7"/>
        <v>0.11093235015869141</v>
      </c>
      <c r="R24" s="8">
        <f t="shared" si="0"/>
        <v>2.6491537122308451E-7</v>
      </c>
      <c r="S24" s="8">
        <f t="shared" si="8"/>
        <v>0.11093330383300781</v>
      </c>
      <c r="T24" s="8">
        <f t="shared" si="1"/>
        <v>-7.5361814930174909E-7</v>
      </c>
      <c r="U24" s="8">
        <f t="shared" si="2"/>
        <v>0.11093282699584961</v>
      </c>
      <c r="V24" s="8">
        <f t="shared" si="3"/>
        <v>-2.4435134449163343E-7</v>
      </c>
      <c r="W24" s="8">
        <f t="shared" si="4"/>
        <v>-6.4732427134860875E-14</v>
      </c>
      <c r="X24" s="8">
        <f t="shared" si="5"/>
        <v>1.8414760801517893E-13</v>
      </c>
      <c r="Y24" s="8">
        <f t="shared" si="6"/>
        <v>9.5367431640625E-7</v>
      </c>
      <c r="AA24" s="8">
        <v>20</v>
      </c>
      <c r="AB24" s="8">
        <f t="shared" si="13"/>
        <v>1060.4667663574219</v>
      </c>
      <c r="AC24" s="8">
        <v>-7.2299490932437038E-4</v>
      </c>
      <c r="AD24" s="8">
        <f t="shared" si="14"/>
        <v>1060.4705810546875</v>
      </c>
      <c r="AE24" s="8">
        <v>4.7497935031515226E-4</v>
      </c>
      <c r="AF24" s="8">
        <f t="shared" si="9"/>
        <v>1060.4686737060547</v>
      </c>
      <c r="AG24" s="8">
        <v>-1.2400721914218593E-4</v>
      </c>
      <c r="AH24" s="8">
        <f t="shared" si="10"/>
        <v>8.9656588159272046E-8</v>
      </c>
      <c r="AI24" s="8">
        <f t="shared" si="11"/>
        <v>-5.890086838254419E-8</v>
      </c>
      <c r="AJ24" s="8">
        <f t="shared" si="12"/>
        <v>3.814697265625E-3</v>
      </c>
    </row>
    <row r="25" spans="2:36" x14ac:dyDescent="0.2">
      <c r="B25" s="22" t="s">
        <v>110</v>
      </c>
      <c r="C25" s="23"/>
      <c r="D25" s="23"/>
      <c r="F25" s="15" t="s">
        <v>101</v>
      </c>
      <c r="G25">
        <f xml:space="preserve"> 0.0268 * $C$15</f>
        <v>28.420571124948765</v>
      </c>
      <c r="H25" t="s">
        <v>14</v>
      </c>
      <c r="J25" t="s">
        <v>60</v>
      </c>
      <c r="K25">
        <f xml:space="preserve"> 1/$C$7 - K22 * SQRT( (2*$C$26*PI()*$C$16^2) / K18^3 )</f>
        <v>1.2846602993298406</v>
      </c>
      <c r="P25" s="8">
        <v>21</v>
      </c>
      <c r="Q25" s="8">
        <f t="shared" si="7"/>
        <v>0.11093235015869141</v>
      </c>
      <c r="R25" s="8">
        <f t="shared" si="0"/>
        <v>2.6491537122308451E-7</v>
      </c>
      <c r="S25" s="8">
        <f t="shared" si="8"/>
        <v>0.11093282699584961</v>
      </c>
      <c r="T25" s="8">
        <f t="shared" si="1"/>
        <v>-2.4435134449163343E-7</v>
      </c>
      <c r="U25" s="8">
        <f t="shared" si="2"/>
        <v>0.11093258857727051</v>
      </c>
      <c r="V25" s="8">
        <f t="shared" si="3"/>
        <v>1.0282024495711362E-8</v>
      </c>
      <c r="W25" s="8">
        <f t="shared" si="4"/>
        <v>2.7238663362062236E-15</v>
      </c>
      <c r="X25" s="8">
        <f t="shared" si="5"/>
        <v>-2.5124265096229804E-15</v>
      </c>
      <c r="Y25" s="8">
        <f t="shared" si="6"/>
        <v>4.76837158203125E-7</v>
      </c>
      <c r="AA25" s="8">
        <v>21</v>
      </c>
      <c r="AB25" s="8">
        <f t="shared" si="13"/>
        <v>1060.4686737060547</v>
      </c>
      <c r="AC25" s="8">
        <v>-1.2400721914218593E-4</v>
      </c>
      <c r="AD25" s="8">
        <f t="shared" si="14"/>
        <v>1060.4705810546875</v>
      </c>
      <c r="AE25" s="8">
        <v>4.7497935031515226E-4</v>
      </c>
      <c r="AF25" s="8">
        <f t="shared" si="9"/>
        <v>1060.4696273803711</v>
      </c>
      <c r="AG25" s="8">
        <v>1.744688549933926E-4</v>
      </c>
      <c r="AH25" s="8">
        <f t="shared" si="10"/>
        <v>-2.1635397534651897E-8</v>
      </c>
      <c r="AI25" s="8">
        <f t="shared" si="11"/>
        <v>8.2869103394990127E-8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15" t="s">
        <v>102</v>
      </c>
      <c r="G26">
        <f xml:space="preserve"> 11.5 * ($C$15*2.20462/1000)^0.4 * 0.453592</f>
        <v>7.3264894174355195</v>
      </c>
      <c r="H26" t="s">
        <v>14</v>
      </c>
      <c r="J26" t="s">
        <v>61</v>
      </c>
      <c r="K26" s="1">
        <v>1.1499999999999999</v>
      </c>
      <c r="P26" s="8">
        <v>22</v>
      </c>
      <c r="Q26" s="8">
        <f t="shared" si="7"/>
        <v>0.11093258857727051</v>
      </c>
      <c r="R26" s="8">
        <f t="shared" si="0"/>
        <v>1.0282024495711362E-8</v>
      </c>
      <c r="S26" s="8">
        <f t="shared" si="8"/>
        <v>0.11093282699584961</v>
      </c>
      <c r="T26" s="8">
        <f t="shared" si="1"/>
        <v>-2.4435134449163343E-7</v>
      </c>
      <c r="U26" s="8">
        <f t="shared" si="2"/>
        <v>0.11093270778656006</v>
      </c>
      <c r="V26" s="8">
        <f t="shared" si="3"/>
        <v>-1.1703465721546458E-7</v>
      </c>
      <c r="W26" s="8">
        <f t="shared" si="4"/>
        <v>-1.2033532123365892E-15</v>
      </c>
      <c r="X26" s="8">
        <f t="shared" si="5"/>
        <v>2.8597575842716219E-14</v>
      </c>
      <c r="Y26" s="8">
        <f t="shared" si="6"/>
        <v>2.384185791015625E-7</v>
      </c>
      <c r="AA26" s="8">
        <v>22</v>
      </c>
      <c r="AB26" s="8">
        <f t="shared" si="13"/>
        <v>1060.4686737060547</v>
      </c>
      <c r="AC26" s="8">
        <v>-1.2400721914218593E-4</v>
      </c>
      <c r="AD26" s="8">
        <f t="shared" si="14"/>
        <v>1060.4696273803711</v>
      </c>
      <c r="AE26" s="8">
        <v>1.744688549933926E-4</v>
      </c>
      <c r="AF26" s="8">
        <f t="shared" si="9"/>
        <v>1060.4691505432129</v>
      </c>
      <c r="AG26" s="8">
        <v>2.5230853111679608E-5</v>
      </c>
      <c r="AH26" s="8">
        <f t="shared" si="10"/>
        <v>-3.1288079309643571E-9</v>
      </c>
      <c r="AI26" s="8">
        <f t="shared" si="11"/>
        <v>4.4019980529012182E-9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s="15" t="s">
        <v>103</v>
      </c>
      <c r="G27">
        <f xml:space="preserve"> 8 * ($C$15/1000)</f>
        <v>8.4837525746115716</v>
      </c>
      <c r="H27" t="s">
        <v>14</v>
      </c>
      <c r="J27" t="s">
        <v>62</v>
      </c>
      <c r="K27">
        <f xml:space="preserve"> 1/$C$30 * LN( EXP($C$30 * K25) + EXP($C$30 * K26) )</f>
        <v>1.2852418904426068</v>
      </c>
      <c r="P27" s="8">
        <v>23</v>
      </c>
      <c r="Q27" s="8">
        <f t="shared" si="7"/>
        <v>0.11093258857727051</v>
      </c>
      <c r="R27" s="8">
        <f t="shared" si="0"/>
        <v>1.0282024495711362E-8</v>
      </c>
      <c r="S27" s="8">
        <f t="shared" si="8"/>
        <v>0.11093270778656006</v>
      </c>
      <c r="T27" s="8">
        <f t="shared" si="1"/>
        <v>-1.1703465721546458E-7</v>
      </c>
      <c r="U27" s="8">
        <f t="shared" si="2"/>
        <v>0.11093264818191528</v>
      </c>
      <c r="V27" s="8">
        <f t="shared" si="3"/>
        <v>-5.3376315659048323E-8</v>
      </c>
      <c r="W27" s="8">
        <f t="shared" si="4"/>
        <v>-5.4881658509715683E-16</v>
      </c>
      <c r="X27" s="8">
        <f t="shared" si="5"/>
        <v>6.2468788065811546E-15</v>
      </c>
      <c r="Y27" s="8">
        <f t="shared" si="6"/>
        <v>1.1920928955078125E-7</v>
      </c>
      <c r="AA27" s="8">
        <v>23</v>
      </c>
      <c r="AB27" s="8">
        <f t="shared" si="13"/>
        <v>1060.4686737060547</v>
      </c>
      <c r="AC27" s="8">
        <v>-1.2400721914218593E-4</v>
      </c>
      <c r="AD27" s="8">
        <f t="shared" si="14"/>
        <v>1060.4691505432129</v>
      </c>
      <c r="AE27" s="8">
        <v>2.5230853111679608E-5</v>
      </c>
      <c r="AF27" s="8">
        <f t="shared" si="9"/>
        <v>1060.4689121246338</v>
      </c>
      <c r="AG27" s="8">
        <v>-4.9388173692932469E-5</v>
      </c>
      <c r="AH27" s="8">
        <f t="shared" si="10"/>
        <v>6.1244900781718185E-9</v>
      </c>
      <c r="AI27" s="8">
        <f t="shared" si="11"/>
        <v>-1.2461057559004981E-9</v>
      </c>
      <c r="AJ27" s="8">
        <f t="shared" si="12"/>
        <v>4.76837158203125E-4</v>
      </c>
    </row>
    <row r="28" spans="2:36" x14ac:dyDescent="0.2">
      <c r="F28" s="15" t="s">
        <v>104</v>
      </c>
      <c r="G28">
        <f xml:space="preserve"> 13 * ($C$15*2.20462/1000)^1.3 * 0.453592</f>
        <v>17.786480213134851</v>
      </c>
      <c r="H28" t="s">
        <v>14</v>
      </c>
      <c r="P28" s="8">
        <v>24</v>
      </c>
      <c r="Q28" s="8">
        <f t="shared" si="7"/>
        <v>0.11093258857727051</v>
      </c>
      <c r="R28" s="8">
        <f t="shared" si="0"/>
        <v>1.0282024495711362E-8</v>
      </c>
      <c r="S28" s="8">
        <f t="shared" si="8"/>
        <v>0.11093264818191528</v>
      </c>
      <c r="T28" s="8">
        <f t="shared" si="1"/>
        <v>-5.3376315659048323E-8</v>
      </c>
      <c r="U28" s="8">
        <f t="shared" si="2"/>
        <v>0.1109326183795929</v>
      </c>
      <c r="V28" s="8">
        <f t="shared" si="3"/>
        <v>-2.1547145401257239E-8</v>
      </c>
      <c r="W28" s="8">
        <f t="shared" si="4"/>
        <v>-2.2154827682838136E-16</v>
      </c>
      <c r="X28" s="8">
        <f t="shared" si="5"/>
        <v>1.1501072344889179E-15</v>
      </c>
      <c r="Y28" s="8">
        <f t="shared" si="6"/>
        <v>5.9604644775390625E-8</v>
      </c>
      <c r="AA28" s="8">
        <v>24</v>
      </c>
      <c r="AB28" s="8">
        <f t="shared" si="13"/>
        <v>1060.4689121246338</v>
      </c>
      <c r="AC28" s="8">
        <v>-4.9388173692932469E-5</v>
      </c>
      <c r="AD28" s="8">
        <f t="shared" si="14"/>
        <v>1060.4691505432129</v>
      </c>
      <c r="AE28" s="8">
        <v>2.5230853111679608E-5</v>
      </c>
      <c r="AF28" s="8">
        <f t="shared" si="9"/>
        <v>1060.4690313339233</v>
      </c>
      <c r="AG28" s="8">
        <v>-1.3096008615320898E-5</v>
      </c>
      <c r="AH28" s="8">
        <f t="shared" si="10"/>
        <v>6.4678794817760858E-10</v>
      </c>
      <c r="AI28" s="8">
        <f t="shared" si="11"/>
        <v>-3.3042346972245219E-10</v>
      </c>
      <c r="AJ28" s="8">
        <f t="shared" si="12"/>
        <v>2.384185791015625E-4</v>
      </c>
    </row>
    <row r="29" spans="2:36" x14ac:dyDescent="0.2">
      <c r="B29" s="22" t="s">
        <v>31</v>
      </c>
      <c r="C29" s="23"/>
      <c r="D29" s="23"/>
      <c r="F29" s="3" t="s">
        <v>91</v>
      </c>
      <c r="G29" s="3">
        <f>$C$15 - $C$21 - SUM(G17:G28)</f>
        <v>1.34718902700115E-10</v>
      </c>
      <c r="H29" s="3" t="s">
        <v>14</v>
      </c>
      <c r="P29" s="8">
        <v>25</v>
      </c>
      <c r="Q29" s="8">
        <f t="shared" si="7"/>
        <v>0.11093258857727051</v>
      </c>
      <c r="R29" s="8">
        <f t="shared" si="0"/>
        <v>1.0282024495711362E-8</v>
      </c>
      <c r="S29" s="8">
        <f t="shared" si="8"/>
        <v>0.1109326183795929</v>
      </c>
      <c r="T29" s="8">
        <f t="shared" si="1"/>
        <v>-2.1547145401257239E-8</v>
      </c>
      <c r="U29" s="8">
        <f t="shared" si="2"/>
        <v>0.1109326034784317</v>
      </c>
      <c r="V29" s="8">
        <f t="shared" si="3"/>
        <v>-5.6325604042006816E-9</v>
      </c>
      <c r="W29" s="8">
        <f t="shared" si="4"/>
        <v>-5.7914124049565292E-17</v>
      </c>
      <c r="X29" s="8">
        <f t="shared" si="5"/>
        <v>1.2136559801067635E-16</v>
      </c>
      <c r="Y29" s="8">
        <f t="shared" si="6"/>
        <v>2.9802322387695312E-8</v>
      </c>
      <c r="AA29" s="8">
        <v>25</v>
      </c>
      <c r="AB29" s="8">
        <f t="shared" si="13"/>
        <v>1060.4690313339233</v>
      </c>
      <c r="AC29" s="8">
        <v>-1.3096008615320898E-5</v>
      </c>
      <c r="AD29" s="8">
        <f t="shared" si="14"/>
        <v>1060.4691505432129</v>
      </c>
      <c r="AE29" s="8">
        <v>2.5230853111679608E-5</v>
      </c>
      <c r="AF29" s="8">
        <f t="shared" si="9"/>
        <v>1060.4690909385681</v>
      </c>
      <c r="AG29" s="8">
        <v>6.0674228734569624E-6</v>
      </c>
      <c r="AH29" s="8">
        <f t="shared" si="10"/>
        <v>-7.9459022223587456E-11</v>
      </c>
      <c r="AI29" s="8">
        <f t="shared" si="11"/>
        <v>1.5308625528663763E-10</v>
      </c>
      <c r="AJ29" s="8">
        <f t="shared" si="12"/>
        <v>1.1920928955078125E-4</v>
      </c>
    </row>
    <row r="30" spans="2:36" x14ac:dyDescent="0.2">
      <c r="B30" t="s">
        <v>32</v>
      </c>
      <c r="C30" s="1">
        <v>30</v>
      </c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0.11093258857727051</v>
      </c>
      <c r="R30" s="8">
        <f t="shared" si="0"/>
        <v>1.0282024495711362E-8</v>
      </c>
      <c r="S30" s="8">
        <f t="shared" si="8"/>
        <v>0.1109326034784317</v>
      </c>
      <c r="T30" s="8">
        <f t="shared" si="1"/>
        <v>-5.6325604042006816E-9</v>
      </c>
      <c r="U30" s="8">
        <f t="shared" si="2"/>
        <v>0.1109325960278511</v>
      </c>
      <c r="V30" s="8">
        <f t="shared" si="3"/>
        <v>2.3247320596331278E-9</v>
      </c>
      <c r="W30" s="8">
        <f t="shared" si="4"/>
        <v>2.3902951983113346E-17</v>
      </c>
      <c r="X30" s="8">
        <f t="shared" si="5"/>
        <v>-1.3094193749465453E-17</v>
      </c>
      <c r="Y30" s="8">
        <f t="shared" si="6"/>
        <v>1.4901161193847656E-8</v>
      </c>
      <c r="AA30" s="8">
        <v>26</v>
      </c>
      <c r="AB30" s="8">
        <f t="shared" si="13"/>
        <v>1060.4690313339233</v>
      </c>
      <c r="AC30" s="8">
        <v>-1.3096008615320898E-5</v>
      </c>
      <c r="AD30" s="8">
        <f t="shared" si="14"/>
        <v>1060.4690909385681</v>
      </c>
      <c r="AE30" s="8">
        <v>6.0674228734569624E-6</v>
      </c>
      <c r="AF30" s="8">
        <f t="shared" si="9"/>
        <v>1060.4690611362457</v>
      </c>
      <c r="AG30" s="8">
        <v>-2.496942329344165E-6</v>
      </c>
      <c r="AH30" s="8">
        <f t="shared" si="10"/>
        <v>3.2699978257050616E-11</v>
      </c>
      <c r="AI30" s="8">
        <f t="shared" si="11"/>
        <v>-1.5150005002765695E-11</v>
      </c>
      <c r="AJ30" s="8">
        <f t="shared" si="12"/>
        <v>5.9604644775390625E-5</v>
      </c>
    </row>
    <row r="31" spans="2:36" x14ac:dyDescent="0.2">
      <c r="P31" s="8">
        <v>27</v>
      </c>
      <c r="Q31" s="8">
        <f t="shared" si="7"/>
        <v>0.1109325960278511</v>
      </c>
      <c r="R31" s="8">
        <f t="shared" si="0"/>
        <v>2.3247320596331278E-9</v>
      </c>
      <c r="S31" s="8">
        <f t="shared" si="8"/>
        <v>0.1109326034784317</v>
      </c>
      <c r="T31" s="8">
        <f t="shared" si="1"/>
        <v>-5.6325604042006816E-9</v>
      </c>
      <c r="U31" s="8">
        <f t="shared" si="2"/>
        <v>0.1109325997531414</v>
      </c>
      <c r="V31" s="8">
        <f t="shared" si="3"/>
        <v>-1.6539141722837769E-9</v>
      </c>
      <c r="W31" s="8">
        <f t="shared" si="4"/>
        <v>-3.8449073001896844E-18</v>
      </c>
      <c r="X31" s="8">
        <f t="shared" si="5"/>
        <v>9.315771478751947E-18</v>
      </c>
      <c r="Y31" s="8">
        <f t="shared" si="6"/>
        <v>7.4505805969238281E-9</v>
      </c>
      <c r="AA31" s="8">
        <v>27</v>
      </c>
      <c r="AB31" s="8">
        <f t="shared" si="13"/>
        <v>1060.4690611362457</v>
      </c>
      <c r="AC31" s="8">
        <v>-2.496942329344165E-6</v>
      </c>
      <c r="AD31" s="8">
        <f t="shared" si="14"/>
        <v>1060.4690909385681</v>
      </c>
      <c r="AE31" s="8">
        <v>6.0674228734569624E-6</v>
      </c>
      <c r="AF31" s="8">
        <f t="shared" si="9"/>
        <v>1060.4690760374069</v>
      </c>
      <c r="AG31" s="8">
        <v>1.7852402152129798E-6</v>
      </c>
      <c r="AH31" s="8">
        <f t="shared" si="10"/>
        <v>-4.4576418614127763E-12</v>
      </c>
      <c r="AI31" s="8">
        <f t="shared" si="11"/>
        <v>1.0831807316398464E-11</v>
      </c>
      <c r="AJ31" s="8">
        <f t="shared" si="12"/>
        <v>2.9802322387695312E-5</v>
      </c>
    </row>
    <row r="32" spans="2:36" x14ac:dyDescent="0.2">
      <c r="P32" s="8">
        <v>28</v>
      </c>
      <c r="Q32" s="8">
        <f t="shared" si="7"/>
        <v>0.1109325960278511</v>
      </c>
      <c r="R32" s="8">
        <f t="shared" si="0"/>
        <v>2.3247320596331278E-9</v>
      </c>
      <c r="S32" s="8">
        <f t="shared" si="8"/>
        <v>0.1109325997531414</v>
      </c>
      <c r="T32" s="8">
        <f t="shared" si="1"/>
        <v>-1.6539141722837769E-9</v>
      </c>
      <c r="U32" s="8">
        <f t="shared" si="2"/>
        <v>0.11093259789049625</v>
      </c>
      <c r="V32" s="8">
        <f t="shared" si="3"/>
        <v>3.3540893673578154E-10</v>
      </c>
      <c r="W32" s="8">
        <f t="shared" si="4"/>
        <v>7.7973590831713087E-19</v>
      </c>
      <c r="X32" s="8">
        <f t="shared" si="5"/>
        <v>-5.5473759397794182E-19</v>
      </c>
      <c r="Y32" s="8">
        <f t="shared" si="6"/>
        <v>3.7252902984619141E-9</v>
      </c>
      <c r="AA32" s="8">
        <v>28</v>
      </c>
      <c r="AB32" s="8">
        <f t="shared" si="13"/>
        <v>1060.4690611362457</v>
      </c>
      <c r="AC32" s="8">
        <v>-2.496942329344165E-6</v>
      </c>
      <c r="AD32" s="8">
        <f t="shared" si="14"/>
        <v>1060.4690760374069</v>
      </c>
      <c r="AE32" s="8">
        <v>1.7852402152129798E-6</v>
      </c>
      <c r="AF32" s="8">
        <f t="shared" si="9"/>
        <v>1060.4690685868263</v>
      </c>
      <c r="AG32" s="8">
        <v>-1.3732014849665575E-6</v>
      </c>
      <c r="AH32" s="8">
        <f t="shared" si="10"/>
        <v>3.4288049145312625E-12</v>
      </c>
      <c r="AI32" s="8">
        <f t="shared" si="11"/>
        <v>-2.4514945145524805E-12</v>
      </c>
      <c r="AJ32" s="8">
        <f t="shared" si="12"/>
        <v>1.4901161193847656E-5</v>
      </c>
    </row>
    <row r="33" spans="2:36" x14ac:dyDescent="0.2">
      <c r="F33" s="2" t="s">
        <v>93</v>
      </c>
      <c r="G33" s="2"/>
      <c r="H33" s="2"/>
      <c r="P33" s="8">
        <v>29</v>
      </c>
      <c r="Q33" s="8">
        <f t="shared" si="7"/>
        <v>0.11093259789049625</v>
      </c>
      <c r="R33" s="8">
        <f t="shared" si="0"/>
        <v>3.3540893673578154E-10</v>
      </c>
      <c r="S33" s="8">
        <f t="shared" si="8"/>
        <v>0.1109325997531414</v>
      </c>
      <c r="T33" s="8">
        <f t="shared" si="1"/>
        <v>-1.6539141722837769E-9</v>
      </c>
      <c r="U33" s="8">
        <f t="shared" si="2"/>
        <v>0.11093259882181883</v>
      </c>
      <c r="V33" s="8">
        <f t="shared" si="3"/>
        <v>-6.5925261083510378E-10</v>
      </c>
      <c r="W33" s="8">
        <f t="shared" si="4"/>
        <v>-2.2111921724049013E-19</v>
      </c>
      <c r="X33" s="8">
        <f t="shared" si="5"/>
        <v>1.0903472361752596E-18</v>
      </c>
      <c r="Y33" s="8">
        <f t="shared" si="6"/>
        <v>1.862645149230957E-9</v>
      </c>
      <c r="AA33" s="8">
        <v>29</v>
      </c>
      <c r="AB33" s="8">
        <f t="shared" si="13"/>
        <v>1060.4690685868263</v>
      </c>
      <c r="AC33" s="8">
        <v>-1.3732014849665575E-6</v>
      </c>
      <c r="AD33" s="8">
        <f t="shared" si="14"/>
        <v>1060.4690760374069</v>
      </c>
      <c r="AE33" s="8">
        <v>1.7852402152129798E-6</v>
      </c>
      <c r="AF33" s="8">
        <f t="shared" si="9"/>
        <v>1060.4690723121166</v>
      </c>
      <c r="AG33" s="8">
        <v>2.0601942196663003E-7</v>
      </c>
      <c r="AH33" s="8">
        <f t="shared" si="10"/>
        <v>-2.8290617617652817E-13</v>
      </c>
      <c r="AI33" s="8">
        <f t="shared" si="11"/>
        <v>3.677941572097603E-13</v>
      </c>
      <c r="AJ33" s="8">
        <f t="shared" si="12"/>
        <v>7.4505805969238281E-6</v>
      </c>
    </row>
    <row r="34" spans="2:36" x14ac:dyDescent="0.2">
      <c r="B34" t="s">
        <v>144</v>
      </c>
      <c r="C34" s="1">
        <v>1.2</v>
      </c>
      <c r="F34" t="s">
        <v>94</v>
      </c>
      <c r="G34">
        <f>ROUND($C$21/$C$15 * 100, 2)</f>
        <v>37.72</v>
      </c>
      <c r="H34" t="s">
        <v>95</v>
      </c>
      <c r="P34" s="8">
        <v>30</v>
      </c>
      <c r="Q34" s="8">
        <f t="shared" si="7"/>
        <v>0.11093259789049625</v>
      </c>
      <c r="R34" s="8">
        <f t="shared" si="0"/>
        <v>3.3540893673578154E-10</v>
      </c>
      <c r="S34" s="8">
        <f t="shared" si="8"/>
        <v>0.11093259882181883</v>
      </c>
      <c r="T34" s="8">
        <f t="shared" si="1"/>
        <v>-6.5925261083510378E-10</v>
      </c>
      <c r="U34" s="8">
        <f t="shared" si="2"/>
        <v>0.11093259835615754</v>
      </c>
      <c r="V34" s="8">
        <f t="shared" si="3"/>
        <v>-1.6192182317187331E-10</v>
      </c>
      <c r="W34" s="8">
        <f t="shared" si="4"/>
        <v>-5.4310026544397261E-20</v>
      </c>
      <c r="X34" s="8">
        <f t="shared" si="5"/>
        <v>1.0674738467723749E-19</v>
      </c>
      <c r="Y34" s="8">
        <f t="shared" si="6"/>
        <v>9.3132257461547852E-10</v>
      </c>
      <c r="AA34" s="8">
        <v>30</v>
      </c>
      <c r="AB34" s="8">
        <f t="shared" si="13"/>
        <v>1060.4690685868263</v>
      </c>
      <c r="AC34" s="8">
        <v>-1.3732014849665575E-6</v>
      </c>
      <c r="AD34" s="8">
        <f t="shared" si="14"/>
        <v>1060.4690723121166</v>
      </c>
      <c r="AE34" s="8">
        <v>2.0601942196663003E-7</v>
      </c>
      <c r="AF34" s="8">
        <f t="shared" si="9"/>
        <v>1060.4690704494715</v>
      </c>
      <c r="AG34" s="8">
        <v>-5.8359114518680144E-7</v>
      </c>
      <c r="AH34" s="8">
        <f t="shared" si="10"/>
        <v>8.0138822718384958E-13</v>
      </c>
      <c r="AI34" s="8">
        <f t="shared" si="11"/>
        <v>-1.202311103962285E-13</v>
      </c>
      <c r="AJ34" s="8">
        <f t="shared" si="12"/>
        <v>3.7252902984619141E-6</v>
      </c>
    </row>
    <row r="35" spans="2:36" x14ac:dyDescent="0.2">
      <c r="B35" t="s">
        <v>145</v>
      </c>
      <c r="C35" s="1">
        <v>50</v>
      </c>
      <c r="F35" s="16" t="s">
        <v>87</v>
      </c>
      <c r="G35">
        <f>ROUND(G17/$C$15 * 100, 2)</f>
        <v>28.88</v>
      </c>
      <c r="H35" t="s">
        <v>95</v>
      </c>
      <c r="AA35" s="8">
        <v>31</v>
      </c>
      <c r="AB35" s="8">
        <f t="shared" si="13"/>
        <v>1060.4690704494715</v>
      </c>
      <c r="AC35">
        <v>-5.8359114518680144E-7</v>
      </c>
      <c r="AD35" s="8">
        <f t="shared" si="14"/>
        <v>1060.4690723121166</v>
      </c>
      <c r="AE35">
        <v>2.0601942196663003E-7</v>
      </c>
      <c r="AF35" s="8">
        <f t="shared" si="9"/>
        <v>1060.469071380794</v>
      </c>
      <c r="AG35">
        <v>-1.887858616100857E-7</v>
      </c>
      <c r="AH35" s="8">
        <f t="shared" si="10"/>
        <v>1.1017375717210693E-13</v>
      </c>
      <c r="AI35" s="8">
        <f t="shared" si="11"/>
        <v>-3.8893554084382068E-14</v>
      </c>
      <c r="AJ35" s="8">
        <f t="shared" si="12"/>
        <v>1.862645149230957E-6</v>
      </c>
    </row>
    <row r="36" spans="2:36" x14ac:dyDescent="0.2">
      <c r="C36" s="1">
        <v>0.3</v>
      </c>
      <c r="F36" s="18" t="s">
        <v>107</v>
      </c>
      <c r="G36">
        <f>ROUND(SUM(G18:G20)/$C$15 * 100, 2)</f>
        <v>11.63</v>
      </c>
      <c r="H36" t="s">
        <v>95</v>
      </c>
      <c r="AA36" s="8">
        <v>32</v>
      </c>
      <c r="AB36" s="8">
        <f t="shared" si="13"/>
        <v>1060.469071380794</v>
      </c>
      <c r="AC36">
        <v>-1.887858616100857E-7</v>
      </c>
      <c r="AD36" s="8">
        <f t="shared" si="14"/>
        <v>1060.4690723121166</v>
      </c>
      <c r="AE36">
        <v>2.0601942196663003E-7</v>
      </c>
      <c r="AF36" s="8">
        <f t="shared" si="9"/>
        <v>1060.4690718464553</v>
      </c>
      <c r="AG36">
        <v>8.6166664914344437E-9</v>
      </c>
      <c r="AH36" s="8">
        <f t="shared" si="10"/>
        <v>-1.6267048077922056E-15</v>
      </c>
      <c r="AI36" s="8">
        <f t="shared" si="11"/>
        <v>1.7752006498445542E-15</v>
      </c>
      <c r="AJ36" s="8">
        <f t="shared" si="12"/>
        <v>9.3132257461547852E-7</v>
      </c>
    </row>
    <row r="37" spans="2:36" x14ac:dyDescent="0.2">
      <c r="F37" s="17" t="s">
        <v>108</v>
      </c>
      <c r="G37">
        <f>ROUND(SUM(G21:G24)/$C$15 * 100, 2)</f>
        <v>15.92</v>
      </c>
      <c r="H37" t="s">
        <v>95</v>
      </c>
      <c r="AA37" s="8">
        <v>33</v>
      </c>
      <c r="AB37" s="8">
        <f t="shared" si="13"/>
        <v>1060.469071380794</v>
      </c>
      <c r="AC37">
        <v>-1.887858616100857E-7</v>
      </c>
      <c r="AD37" s="8">
        <f t="shared" si="14"/>
        <v>1060.4690718464553</v>
      </c>
      <c r="AE37">
        <v>8.6166664914344437E-9</v>
      </c>
      <c r="AF37" s="8">
        <f t="shared" si="9"/>
        <v>1060.4690716136247</v>
      </c>
      <c r="AG37">
        <v>-9.0084313342231326E-8</v>
      </c>
      <c r="AH37" s="8">
        <f t="shared" si="10"/>
        <v>1.700664471186608E-14</v>
      </c>
      <c r="AI37" s="8">
        <f t="shared" si="11"/>
        <v>-7.7622648417988545E-16</v>
      </c>
      <c r="AJ37" s="8">
        <f t="shared" si="12"/>
        <v>4.6566128730773926E-7</v>
      </c>
    </row>
    <row r="38" spans="2:36" x14ac:dyDescent="0.2">
      <c r="F38" s="15" t="s">
        <v>109</v>
      </c>
      <c r="G38">
        <f>ROUND(SUM(G25:G28)/$C$15*100, 2)</f>
        <v>5.85</v>
      </c>
      <c r="H38" t="s">
        <v>95</v>
      </c>
      <c r="AA38" s="8">
        <v>34</v>
      </c>
      <c r="AB38" s="8">
        <f t="shared" si="13"/>
        <v>1060.4690716136247</v>
      </c>
      <c r="AC38">
        <v>-9.0084313342231326E-8</v>
      </c>
      <c r="AD38" s="8">
        <f t="shared" si="14"/>
        <v>1060.4690718464553</v>
      </c>
      <c r="AE38">
        <v>8.6166664914344437E-9</v>
      </c>
      <c r="AF38" s="8">
        <f t="shared" si="9"/>
        <v>1060.46907173004</v>
      </c>
      <c r="AG38">
        <v>-4.0733880268817302E-8</v>
      </c>
      <c r="AH38" s="8">
        <f t="shared" si="10"/>
        <v>3.6694836337810718E-15</v>
      </c>
      <c r="AI38" s="8">
        <f t="shared" si="11"/>
        <v>-3.509902611784207E-16</v>
      </c>
      <c r="AJ38" s="8">
        <f t="shared" si="12"/>
        <v>2.3283064365386963E-7</v>
      </c>
    </row>
    <row r="39" spans="2:36" x14ac:dyDescent="0.2">
      <c r="B39" t="s">
        <v>151</v>
      </c>
      <c r="C39" s="1">
        <v>1.49999999995335</v>
      </c>
      <c r="F39" s="3" t="s">
        <v>96</v>
      </c>
      <c r="G39" s="3">
        <f>SUM(G34:G38)</f>
        <v>99.999999999999986</v>
      </c>
      <c r="H39" s="3" t="s">
        <v>95</v>
      </c>
      <c r="AA39" s="8">
        <v>35</v>
      </c>
      <c r="AB39" s="8">
        <f t="shared" si="13"/>
        <v>1060.46907173004</v>
      </c>
      <c r="AC39">
        <v>-4.0733880268817302E-8</v>
      </c>
      <c r="AD39" s="8">
        <f t="shared" si="14"/>
        <v>1060.4690718464553</v>
      </c>
      <c r="AE39">
        <v>8.6166664914344437E-9</v>
      </c>
      <c r="AF39" s="8">
        <f t="shared" si="9"/>
        <v>1060.4690717882477</v>
      </c>
      <c r="AG39">
        <v>-1.6058606888691429E-8</v>
      </c>
      <c r="AH39" s="8">
        <f t="shared" si="10"/>
        <v>6.541293702879614E-16</v>
      </c>
      <c r="AI39" s="8">
        <f t="shared" si="11"/>
        <v>-1.3837165987690576E-16</v>
      </c>
      <c r="AJ39" s="8">
        <f t="shared" si="12"/>
        <v>1.1641532182693481E-7</v>
      </c>
    </row>
    <row r="40" spans="2:36" x14ac:dyDescent="0.2">
      <c r="B40" t="s">
        <v>145</v>
      </c>
      <c r="C40" s="1">
        <v>26.069459131922201</v>
      </c>
      <c r="AA40" s="8">
        <v>36</v>
      </c>
      <c r="AB40" s="8">
        <f t="shared" si="13"/>
        <v>1060.4690717882477</v>
      </c>
      <c r="AC40">
        <v>-1.6058606888691429E-8</v>
      </c>
      <c r="AD40" s="8">
        <f t="shared" si="14"/>
        <v>1060.4690718464553</v>
      </c>
      <c r="AE40">
        <v>8.6166664914344437E-9</v>
      </c>
      <c r="AF40" s="8">
        <f t="shared" si="9"/>
        <v>1060.4690718173515</v>
      </c>
      <c r="AG40">
        <v>-3.720856511790771E-9</v>
      </c>
      <c r="AH40" s="8">
        <f t="shared" si="10"/>
        <v>5.9751772012075637E-17</v>
      </c>
      <c r="AI40" s="8">
        <f t="shared" si="11"/>
        <v>-3.2061379624583186E-17</v>
      </c>
      <c r="AJ40" s="8">
        <f t="shared" si="12"/>
        <v>5.8207660913467407E-8</v>
      </c>
    </row>
    <row r="41" spans="2:36" x14ac:dyDescent="0.2">
      <c r="C41" s="1">
        <v>0.499999998351708</v>
      </c>
      <c r="AA41" s="8">
        <v>37</v>
      </c>
      <c r="AB41" s="8">
        <f t="shared" si="13"/>
        <v>1060.4690718173515</v>
      </c>
      <c r="AC41">
        <v>-3.720856511790771E-9</v>
      </c>
      <c r="AD41" s="8">
        <f t="shared" si="14"/>
        <v>1060.4690718464553</v>
      </c>
      <c r="AE41">
        <v>8.6166664914344437E-9</v>
      </c>
      <c r="AF41" s="8">
        <f t="shared" si="9"/>
        <v>1060.4690718319034</v>
      </c>
      <c r="AG41">
        <v>2.4479049898218364E-9</v>
      </c>
      <c r="AH41" s="8">
        <f t="shared" si="10"/>
        <v>-9.1083032216237009E-18</v>
      </c>
      <c r="AI41" s="8">
        <f t="shared" si="11"/>
        <v>2.109278090001299E-17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1060.4690718173515</v>
      </c>
      <c r="AC42">
        <v>-3.720856511790771E-9</v>
      </c>
      <c r="AD42" s="8">
        <f t="shared" si="14"/>
        <v>1060.4690718319034</v>
      </c>
      <c r="AE42">
        <v>2.4479049898218364E-9</v>
      </c>
      <c r="AF42" s="8">
        <f t="shared" si="9"/>
        <v>1060.4690718246275</v>
      </c>
      <c r="AG42">
        <v>-6.3630523072788492E-10</v>
      </c>
      <c r="AH42" s="8">
        <f t="shared" si="10"/>
        <v>2.3676004612403796E-18</v>
      </c>
      <c r="AI42" s="8">
        <f t="shared" si="11"/>
        <v>-1.5576147493485244E-18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1060.4690718246275</v>
      </c>
      <c r="AC43">
        <v>-6.3630523072788492E-10</v>
      </c>
      <c r="AD43" s="8">
        <f t="shared" si="14"/>
        <v>1060.4690718319034</v>
      </c>
      <c r="AE43">
        <v>2.4479049898218364E-9</v>
      </c>
      <c r="AF43" s="8">
        <f t="shared" si="9"/>
        <v>1060.4690718282654</v>
      </c>
      <c r="AG43">
        <v>9.0562934929039329E-10</v>
      </c>
      <c r="AH43" s="8">
        <f t="shared" si="10"/>
        <v>-5.7625669205416799E-19</v>
      </c>
      <c r="AI43" s="8">
        <f t="shared" si="11"/>
        <v>2.2168946030570565E-18</v>
      </c>
      <c r="AJ43" s="8">
        <f t="shared" si="12"/>
        <v>7.2759576141834259E-9</v>
      </c>
    </row>
    <row r="44" spans="2:36" x14ac:dyDescent="0.2">
      <c r="B44" t="s">
        <v>146</v>
      </c>
      <c r="C44" s="1">
        <v>1</v>
      </c>
      <c r="AA44" s="8">
        <v>40</v>
      </c>
      <c r="AB44" s="8">
        <f t="shared" si="13"/>
        <v>1060.4690718246275</v>
      </c>
      <c r="AC44">
        <v>-6.3630523072788492E-10</v>
      </c>
      <c r="AD44" s="8">
        <f t="shared" si="14"/>
        <v>1060.4690718282654</v>
      </c>
      <c r="AE44">
        <v>9.0562934929039329E-10</v>
      </c>
      <c r="AF44" s="11">
        <f t="shared" si="9"/>
        <v>1060.4690718264465</v>
      </c>
      <c r="AG44">
        <v>1.34718902700115E-10</v>
      </c>
      <c r="AH44" s="8">
        <f t="shared" si="10"/>
        <v>-8.5722342466004151E-20</v>
      </c>
      <c r="AI44" s="8">
        <f t="shared" si="11"/>
        <v>1.2200539218942095E-19</v>
      </c>
      <c r="AJ44" s="8">
        <f t="shared" si="12"/>
        <v>3.637978807091713E-9</v>
      </c>
    </row>
    <row r="45" spans="2:36" x14ac:dyDescent="0.2">
      <c r="B45" t="s">
        <v>148</v>
      </c>
      <c r="C45" s="1">
        <v>30</v>
      </c>
    </row>
    <row r="46" spans="2:36" x14ac:dyDescent="0.2">
      <c r="B46" t="s">
        <v>147</v>
      </c>
      <c r="C46" s="1">
        <v>0.3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29:D29"/>
    <mergeCell ref="J11:L11"/>
    <mergeCell ref="J16:L16"/>
    <mergeCell ref="B9:D9"/>
    <mergeCell ref="F15:H15"/>
    <mergeCell ref="B14:D14"/>
    <mergeCell ref="B20:D20"/>
    <mergeCell ref="B25:D25"/>
    <mergeCell ref="F11:H11"/>
    <mergeCell ref="B1:D1"/>
    <mergeCell ref="B3:D3"/>
    <mergeCell ref="F3:H3"/>
    <mergeCell ref="J3:L3"/>
    <mergeCell ref="F7:H7"/>
  </mergeCells>
  <conditionalFormatting sqref="G30">
    <cfRule type="containsText" dxfId="11" priority="1" operator="containsText" text="FALSE">
      <formula>NOT(ISERROR(SEARCH("FALSE",G30)))</formula>
    </cfRule>
    <cfRule type="containsText" dxfId="10" priority="2" operator="containsText" text="TRUE">
      <formula>NOT(ISERROR(SEARCH("TRUE",G30)))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NOT(ISERROR(SEARCH("YES",G30)))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60"/>
  <sheetViews>
    <sheetView tabSelected="1" workbookViewId="0">
      <selection activeCell="C22" sqref="C22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19" t="s">
        <v>0</v>
      </c>
      <c r="C1" s="19"/>
      <c r="D1" s="19"/>
    </row>
    <row r="2" spans="2:36" x14ac:dyDescent="0.2">
      <c r="P2" s="6" t="s">
        <v>75</v>
      </c>
      <c r="AA2" s="6" t="s">
        <v>106</v>
      </c>
    </row>
    <row r="3" spans="2:36" x14ac:dyDescent="0.2">
      <c r="B3" s="20" t="s">
        <v>111</v>
      </c>
      <c r="C3" s="21"/>
      <c r="D3" s="21"/>
      <c r="F3" s="20" t="s">
        <v>33</v>
      </c>
      <c r="G3" s="21"/>
      <c r="H3" s="21"/>
      <c r="J3" s="22" t="s">
        <v>45</v>
      </c>
      <c r="K3" s="22"/>
      <c r="L3" s="22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262298.73684875615</v>
      </c>
      <c r="H4" t="s">
        <v>35</v>
      </c>
      <c r="J4" t="s">
        <v>46</v>
      </c>
      <c r="K4">
        <f xml:space="preserve"> $C$20 * $C$34</f>
        <v>12135.584842569206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1.1421448443882893</v>
      </c>
      <c r="S4" s="9">
        <v>1</v>
      </c>
      <c r="T4" s="8">
        <f t="shared" ref="T4:T34" si="1" xml:space="preserve"> $K$20 * TAN($K$17) + $K$21 / (2 * SQRT($K$20^2 + S4^2)) - S4</f>
        <v>-0.66002130878058374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-0.13719393554739773</v>
      </c>
      <c r="W4" s="8">
        <f>R4*V4</f>
        <v>-0.15669534616679959</v>
      </c>
      <c r="X4" s="8">
        <f>T4*V4</f>
        <v>9.0550920896752499E-2</v>
      </c>
      <c r="Y4" s="8">
        <f>S4-Q4</f>
        <v>1</v>
      </c>
      <c r="AA4" s="8">
        <v>0</v>
      </c>
      <c r="AB4" s="8"/>
      <c r="AC4" s="8">
        <f>G30</f>
        <v>-6.0435922932811081E-10</v>
      </c>
      <c r="AD4" s="8"/>
      <c r="AE4" s="8">
        <f>G30</f>
        <v>-6.0435922932811081E-10</v>
      </c>
      <c r="AF4" s="8"/>
      <c r="AG4" s="8">
        <f>G30</f>
        <v>-6.0435922932811081E-10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2022.5974737615343</v>
      </c>
      <c r="H5" t="s">
        <v>37</v>
      </c>
      <c r="J5" t="s">
        <v>47</v>
      </c>
      <c r="K5">
        <f xml:space="preserve"> 0.5 * $C$33 * $C$23^2</f>
        <v>551.25</v>
      </c>
      <c r="L5" t="s">
        <v>48</v>
      </c>
      <c r="P5" s="8">
        <v>1</v>
      </c>
      <c r="Q5" s="8">
        <f>IF(W4&gt;0, U4, Q4)</f>
        <v>0</v>
      </c>
      <c r="R5" s="8">
        <f t="shared" si="0"/>
        <v>1.1421448443882893</v>
      </c>
      <c r="S5" s="8">
        <f>IF(X4&gt;0, U4, S4)</f>
        <v>0.5</v>
      </c>
      <c r="T5" s="8">
        <f t="shared" si="1"/>
        <v>-0.13719393554739773</v>
      </c>
      <c r="U5" s="8">
        <f t="shared" ref="U5:U34" si="3" xml:space="preserve"> (Q5 + S5)/2</f>
        <v>0.25</v>
      </c>
      <c r="V5" s="8">
        <f t="shared" si="2"/>
        <v>0.15809554380490631</v>
      </c>
      <c r="W5" s="8">
        <f t="shared" ref="W5:W34" si="4">R5*V5</f>
        <v>0.18056801027753669</v>
      </c>
      <c r="X5" s="8">
        <f t="shared" ref="X5:X34" si="5">T5*V5</f>
        <v>-2.1689749847101109E-2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 ca="1"/>
        <v>-307.30699016242596</v>
      </c>
      <c r="AD5" s="9">
        <v>2500</v>
      </c>
      <c r="AE5" s="8">
        <f t="dataTable" ref="AE5:AE44" dt2D="0" dtr="0" r1="C20"/>
        <v>92.303283962681235</v>
      </c>
      <c r="AF5" s="8">
        <f>(AB5+AD5)/2</f>
        <v>1500</v>
      </c>
      <c r="AG5" s="8">
        <f t="dataTable" ref="AG5:AG44" dt2D="0" dtr="0" r1="C20" ca="1"/>
        <v>71.895809140737811</v>
      </c>
      <c r="AH5" s="8">
        <f>AC5*AG5</f>
        <v>-22094.084712332369</v>
      </c>
      <c r="AI5" s="8">
        <f>AE5*AG5</f>
        <v>6636.2192868442553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0.29015732511390857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0.15809554380490631</v>
      </c>
      <c r="S6" s="8">
        <f t="shared" ref="S6:S34" si="8">IF(X5&gt;0, U5, S5)</f>
        <v>0.5</v>
      </c>
      <c r="T6" s="8">
        <f t="shared" si="1"/>
        <v>-0.13719393554739773</v>
      </c>
      <c r="U6" s="8">
        <f t="shared" si="3"/>
        <v>0.375</v>
      </c>
      <c r="V6" s="8">
        <f t="shared" si="2"/>
        <v>2.9692697198202E-3</v>
      </c>
      <c r="W6" s="8">
        <f t="shared" si="4"/>
        <v>4.6942831105841631E-4</v>
      </c>
      <c r="X6" s="8">
        <f t="shared" si="5"/>
        <v>-4.0736579856385222E-4</v>
      </c>
      <c r="Y6" s="8">
        <f t="shared" si="6"/>
        <v>0.25</v>
      </c>
      <c r="AA6" s="8">
        <v>2</v>
      </c>
      <c r="AB6" s="8">
        <f>IF(AH5&gt;0,AF5,AB5)</f>
        <v>500</v>
      </c>
      <c r="AC6" s="8">
        <v>-307.30699016242596</v>
      </c>
      <c r="AD6" s="8">
        <f>IF(AI5&gt;0,AF5,AD5)</f>
        <v>1500</v>
      </c>
      <c r="AE6" s="8">
        <v>71.895809140737811</v>
      </c>
      <c r="AF6" s="8">
        <f t="shared" ref="AF6:AF44" si="9">(AB6+AD6)/2</f>
        <v>1000</v>
      </c>
      <c r="AG6" s="8">
        <v>-83.749470438284789</v>
      </c>
      <c r="AH6" s="8">
        <f t="shared" ref="AH6:AH44" si="10">AC6*AG6</f>
        <v>25736.797688086368</v>
      </c>
      <c r="AI6" s="8">
        <f t="shared" ref="AI6:AI44" si="11">AE6*AG6</f>
        <v>-6021.2359422687869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0" t="s">
        <v>38</v>
      </c>
      <c r="G7" s="21"/>
      <c r="H7" s="21"/>
      <c r="J7" t="s">
        <v>68</v>
      </c>
      <c r="K7">
        <f xml:space="preserve"> K6 / $C$24</f>
        <v>3.6269665639238571E-2</v>
      </c>
      <c r="P7" s="8">
        <v>3</v>
      </c>
      <c r="Q7" s="8">
        <f t="shared" si="7"/>
        <v>0.375</v>
      </c>
      <c r="R7" s="8">
        <f t="shared" si="0"/>
        <v>2.9692697198202E-3</v>
      </c>
      <c r="S7" s="8">
        <f t="shared" si="8"/>
        <v>0.5</v>
      </c>
      <c r="T7" s="8">
        <f t="shared" si="1"/>
        <v>-0.13719393554739773</v>
      </c>
      <c r="U7" s="8">
        <f t="shared" si="3"/>
        <v>0.4375</v>
      </c>
      <c r="V7" s="8">
        <f t="shared" si="2"/>
        <v>-6.8188822739930877E-2</v>
      </c>
      <c r="W7" s="8">
        <f t="shared" si="4"/>
        <v>-2.0247100659186385E-4</v>
      </c>
      <c r="X7" s="8">
        <f t="shared" si="5"/>
        <v>9.3550929520350053E-3</v>
      </c>
      <c r="Y7" s="8">
        <f t="shared" si="6"/>
        <v>0.125</v>
      </c>
      <c r="AA7" s="8">
        <v>3</v>
      </c>
      <c r="AB7" s="8">
        <f t="shared" ref="AB7:AB44" si="13">IF(AH6&gt;0,AF6,AB6)</f>
        <v>1000</v>
      </c>
      <c r="AC7" s="8">
        <v>-83.749470438284789</v>
      </c>
      <c r="AD7" s="8">
        <f t="shared" ref="AD7:AD44" si="14">IF(AI6&gt;0,AF6,AD6)</f>
        <v>1500</v>
      </c>
      <c r="AE7" s="8">
        <v>71.895809140737811</v>
      </c>
      <c r="AF7" s="8">
        <f t="shared" si="9"/>
        <v>1250</v>
      </c>
      <c r="AG7" s="8">
        <v>4.0771172678928451</v>
      </c>
      <c r="AH7" s="8">
        <f t="shared" si="10"/>
        <v>-341.45641210081226</v>
      </c>
      <c r="AI7" s="8">
        <f t="shared" si="11"/>
        <v>293.12764493683039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59038.762605515054</v>
      </c>
      <c r="H8" t="s">
        <v>35</v>
      </c>
      <c r="J8" t="s">
        <v>69</v>
      </c>
      <c r="K8">
        <f xml:space="preserve"> K5 * $C$24 * K7</f>
        <v>159.94922546904209</v>
      </c>
      <c r="L8" t="s">
        <v>37</v>
      </c>
      <c r="P8" s="8">
        <v>4</v>
      </c>
      <c r="Q8" s="8">
        <f t="shared" si="7"/>
        <v>0.375</v>
      </c>
      <c r="R8" s="8">
        <f t="shared" si="0"/>
        <v>2.9692697198202E-3</v>
      </c>
      <c r="S8" s="8">
        <f t="shared" si="8"/>
        <v>0.4375</v>
      </c>
      <c r="T8" s="8">
        <f t="shared" si="1"/>
        <v>-6.8188822739930877E-2</v>
      </c>
      <c r="U8" s="8">
        <f t="shared" si="3"/>
        <v>0.40625</v>
      </c>
      <c r="V8" s="8">
        <f t="shared" si="2"/>
        <v>-3.294045233945192E-2</v>
      </c>
      <c r="W8" s="8">
        <f t="shared" si="4"/>
        <v>-9.7809087688715052E-5</v>
      </c>
      <c r="X8" s="8">
        <f t="shared" si="5"/>
        <v>2.2461706655480282E-3</v>
      </c>
      <c r="Y8" s="8">
        <f t="shared" si="6"/>
        <v>6.25E-2</v>
      </c>
      <c r="AA8" s="8">
        <v>4</v>
      </c>
      <c r="AB8" s="8">
        <f t="shared" si="13"/>
        <v>1000</v>
      </c>
      <c r="AC8" s="8">
        <v>-83.749470438284789</v>
      </c>
      <c r="AD8" s="8">
        <f t="shared" si="14"/>
        <v>1250</v>
      </c>
      <c r="AE8" s="8">
        <v>4.0771172678928451</v>
      </c>
      <c r="AF8" s="8">
        <f t="shared" si="9"/>
        <v>1125</v>
      </c>
      <c r="AG8" s="8">
        <v>-37.504441232064551</v>
      </c>
      <c r="AH8" s="8">
        <f t="shared" si="10"/>
        <v>3140.9770922691791</v>
      </c>
      <c r="AI8" s="8">
        <f t="shared" si="11"/>
        <v>-152.9100049699228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59038.762605515054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0.375</v>
      </c>
      <c r="R9" s="8">
        <f t="shared" si="0"/>
        <v>2.9692697198202E-3</v>
      </c>
      <c r="S9" s="8">
        <f t="shared" si="8"/>
        <v>0.40625</v>
      </c>
      <c r="T9" s="8">
        <f t="shared" si="1"/>
        <v>-3.294045233945192E-2</v>
      </c>
      <c r="U9" s="8">
        <f t="shared" si="3"/>
        <v>0.390625</v>
      </c>
      <c r="V9" s="8">
        <f t="shared" si="2"/>
        <v>-1.5078083441782852E-2</v>
      </c>
      <c r="W9" s="8">
        <f t="shared" si="4"/>
        <v>-4.4770896596608169E-5</v>
      </c>
      <c r="X9" s="8">
        <f t="shared" si="5"/>
        <v>4.966788889843272E-4</v>
      </c>
      <c r="Y9" s="8">
        <f t="shared" si="6"/>
        <v>3.125E-2</v>
      </c>
      <c r="AA9" s="8">
        <v>5</v>
      </c>
      <c r="AB9" s="8">
        <f t="shared" si="13"/>
        <v>1125</v>
      </c>
      <c r="AC9" s="8">
        <v>-37.504441232064551</v>
      </c>
      <c r="AD9" s="8">
        <f t="shared" si="14"/>
        <v>1250</v>
      </c>
      <c r="AE9" s="8">
        <v>4.0771172678928451</v>
      </c>
      <c r="AF9" s="8">
        <f t="shared" si="9"/>
        <v>1187.5</v>
      </c>
      <c r="AG9" s="8">
        <v>-16.108954945561436</v>
      </c>
      <c r="AH9" s="8">
        <f t="shared" si="10"/>
        <v>604.15735406578449</v>
      </c>
      <c r="AI9" s="8">
        <f t="shared" si="11"/>
        <v>-65.678098376256372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2.7518332976347404</v>
      </c>
      <c r="P10" s="8">
        <v>6</v>
      </c>
      <c r="Q10" s="8">
        <f t="shared" si="7"/>
        <v>0.375</v>
      </c>
      <c r="R10" s="8">
        <f t="shared" si="0"/>
        <v>2.9692697198202E-3</v>
      </c>
      <c r="S10" s="8">
        <f t="shared" si="8"/>
        <v>0.390625</v>
      </c>
      <c r="T10" s="8">
        <f t="shared" si="1"/>
        <v>-1.5078083441782852E-2</v>
      </c>
      <c r="U10" s="8">
        <f t="shared" si="3"/>
        <v>0.3828125</v>
      </c>
      <c r="V10" s="8">
        <f t="shared" si="2"/>
        <v>-6.0789309889376364E-3</v>
      </c>
      <c r="W10" s="8">
        <f t="shared" si="4"/>
        <v>-1.8049985714329187E-5</v>
      </c>
      <c r="X10" s="8">
        <f t="shared" si="5"/>
        <v>9.1658628688041238E-5</v>
      </c>
      <c r="Y10" s="8">
        <f t="shared" si="6"/>
        <v>1.5625E-2</v>
      </c>
      <c r="AA10" s="8">
        <v>6</v>
      </c>
      <c r="AB10" s="8">
        <f t="shared" si="13"/>
        <v>1187.5</v>
      </c>
      <c r="AC10" s="8">
        <v>-16.108954945561436</v>
      </c>
      <c r="AD10" s="8">
        <f t="shared" si="14"/>
        <v>1250</v>
      </c>
      <c r="AE10" s="8">
        <v>4.0771172678928451</v>
      </c>
      <c r="AF10" s="8">
        <f t="shared" si="9"/>
        <v>1218.75</v>
      </c>
      <c r="AG10" s="8">
        <v>-5.8620862877063473</v>
      </c>
      <c r="AH10" s="8">
        <f t="shared" si="10"/>
        <v>94.43208389565504</v>
      </c>
      <c r="AI10" s="8">
        <f t="shared" si="11"/>
        <v>-23.900413229485412</v>
      </c>
      <c r="AJ10" s="8">
        <f t="shared" si="12"/>
        <v>62.5</v>
      </c>
    </row>
    <row r="11" spans="2:36" x14ac:dyDescent="0.2">
      <c r="B11" s="20" t="s">
        <v>5</v>
      </c>
      <c r="C11" s="21"/>
      <c r="D11" s="21"/>
      <c r="F11" s="20" t="s">
        <v>41</v>
      </c>
      <c r="G11" s="21"/>
      <c r="H11" s="21"/>
      <c r="J11" t="s">
        <v>71</v>
      </c>
      <c r="K11">
        <f xml:space="preserve"> K7 + K10^2 / ( PI() * K9 * $C$12 )</f>
        <v>0.35484937018358748</v>
      </c>
      <c r="P11" s="8">
        <v>7</v>
      </c>
      <c r="Q11" s="8">
        <f t="shared" si="7"/>
        <v>0.375</v>
      </c>
      <c r="R11" s="8">
        <f t="shared" si="0"/>
        <v>2.9692697198202E-3</v>
      </c>
      <c r="S11" s="8">
        <f t="shared" si="8"/>
        <v>0.3828125</v>
      </c>
      <c r="T11" s="8">
        <f t="shared" si="1"/>
        <v>-6.0789309889376364E-3</v>
      </c>
      <c r="U11" s="8">
        <f t="shared" si="3"/>
        <v>0.37890625</v>
      </c>
      <c r="V11" s="8">
        <f t="shared" si="2"/>
        <v>-1.5611492763178969E-3</v>
      </c>
      <c r="W11" s="8">
        <f t="shared" si="4"/>
        <v>-4.6354732742899497E-6</v>
      </c>
      <c r="X11" s="8">
        <f t="shared" si="5"/>
        <v>9.4901187141664292E-6</v>
      </c>
      <c r="Y11" s="8">
        <f t="shared" si="6"/>
        <v>7.8125E-3</v>
      </c>
      <c r="AA11" s="8">
        <v>7</v>
      </c>
      <c r="AB11" s="8">
        <f t="shared" si="13"/>
        <v>1218.75</v>
      </c>
      <c r="AC11" s="8">
        <v>-5.8620862877063473</v>
      </c>
      <c r="AD11" s="8">
        <f t="shared" si="14"/>
        <v>1250</v>
      </c>
      <c r="AE11" s="8">
        <v>4.0771172678928451</v>
      </c>
      <c r="AF11" s="8">
        <f t="shared" si="9"/>
        <v>1234.375</v>
      </c>
      <c r="AG11" s="8">
        <v>-0.85369791488346891</v>
      </c>
      <c r="AH11" s="8">
        <f t="shared" si="10"/>
        <v>5.0044508406818835</v>
      </c>
      <c r="AI11" s="8">
        <f t="shared" si="11"/>
        <v>-3.4806265103355076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33886.238735893479</v>
      </c>
      <c r="H12" t="s">
        <v>43</v>
      </c>
      <c r="J12" t="s">
        <v>72</v>
      </c>
      <c r="K12">
        <f xml:space="preserve"> K5 * K11 * $C$24</f>
        <v>1564.8857225096208</v>
      </c>
      <c r="L12" t="s">
        <v>37</v>
      </c>
      <c r="P12" s="8">
        <v>8</v>
      </c>
      <c r="Q12" s="8">
        <f t="shared" si="7"/>
        <v>0.375</v>
      </c>
      <c r="R12" s="8">
        <f t="shared" si="0"/>
        <v>2.9692697198202E-3</v>
      </c>
      <c r="S12" s="8">
        <f t="shared" si="8"/>
        <v>0.37890625</v>
      </c>
      <c r="T12" s="8">
        <f t="shared" si="1"/>
        <v>-1.5611492763178969E-3</v>
      </c>
      <c r="U12" s="8">
        <f t="shared" si="3"/>
        <v>0.376953125</v>
      </c>
      <c r="V12" s="8">
        <f t="shared" si="2"/>
        <v>7.0245627091330975E-4</v>
      </c>
      <c r="W12" s="8">
        <f t="shared" si="4"/>
        <v>2.0857821347207058E-6</v>
      </c>
      <c r="X12" s="8">
        <f t="shared" si="5"/>
        <v>-1.0966390989812821E-6</v>
      </c>
      <c r="Y12" s="8">
        <f t="shared" si="6"/>
        <v>3.90625E-3</v>
      </c>
      <c r="AA12" s="8">
        <v>8</v>
      </c>
      <c r="AB12" s="8">
        <f t="shared" si="13"/>
        <v>1234.375</v>
      </c>
      <c r="AC12" s="8">
        <v>-0.85369791488346891</v>
      </c>
      <c r="AD12" s="8">
        <f t="shared" si="14"/>
        <v>1250</v>
      </c>
      <c r="AE12" s="8">
        <v>4.0771172678928451</v>
      </c>
      <c r="AF12" s="8">
        <f t="shared" si="9"/>
        <v>1242.1875</v>
      </c>
      <c r="AG12" s="8">
        <v>1.621447328228669</v>
      </c>
      <c r="AH12" s="8">
        <f t="shared" si="10"/>
        <v>-1.3842262032021864</v>
      </c>
      <c r="AI12" s="8">
        <f t="shared" si="11"/>
        <v>6.6108309008998241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1000</v>
      </c>
      <c r="H13" t="s">
        <v>26</v>
      </c>
      <c r="J13" t="s">
        <v>135</v>
      </c>
      <c r="K13">
        <f>K10/K11</f>
        <v>7.754933582694628</v>
      </c>
      <c r="P13" s="8">
        <v>9</v>
      </c>
      <c r="Q13" s="8">
        <f t="shared" si="7"/>
        <v>0.376953125</v>
      </c>
      <c r="R13" s="8">
        <f t="shared" si="0"/>
        <v>7.0245627091330975E-4</v>
      </c>
      <c r="S13" s="8">
        <f t="shared" si="8"/>
        <v>0.37890625</v>
      </c>
      <c r="T13" s="8">
        <f t="shared" si="1"/>
        <v>-1.5611492763178969E-3</v>
      </c>
      <c r="U13" s="8">
        <f t="shared" si="3"/>
        <v>0.3779296875</v>
      </c>
      <c r="V13" s="8">
        <f t="shared" si="2"/>
        <v>-4.2974441541060449E-4</v>
      </c>
      <c r="W13" s="8">
        <f t="shared" si="4"/>
        <v>-3.018766594951535E-7</v>
      </c>
      <c r="X13" s="8">
        <f t="shared" si="5"/>
        <v>6.7089518311992282E-7</v>
      </c>
      <c r="Y13" s="8">
        <f t="shared" si="6"/>
        <v>1.953125E-3</v>
      </c>
      <c r="AA13" s="8">
        <v>9</v>
      </c>
      <c r="AB13" s="8">
        <f t="shared" si="13"/>
        <v>1234.375</v>
      </c>
      <c r="AC13" s="8">
        <v>-0.85369791488346891</v>
      </c>
      <c r="AD13" s="8">
        <f t="shared" si="14"/>
        <v>1242.1875</v>
      </c>
      <c r="AE13" s="8">
        <v>1.621447328228669</v>
      </c>
      <c r="AF13" s="8">
        <f t="shared" si="9"/>
        <v>1238.28125</v>
      </c>
      <c r="AG13" s="8">
        <v>0.38630413243242856</v>
      </c>
      <c r="AH13" s="8">
        <f t="shared" si="10"/>
        <v>-0.32978703236843171</v>
      </c>
      <c r="AI13" s="8">
        <f t="shared" si="11"/>
        <v>0.6263718034162552</v>
      </c>
      <c r="AJ13" s="8">
        <f t="shared" si="12"/>
        <v>7.8125</v>
      </c>
    </row>
    <row r="14" spans="2:36" x14ac:dyDescent="0.2">
      <c r="B14" s="20" t="s">
        <v>8</v>
      </c>
      <c r="C14" s="21"/>
      <c r="D14" s="21"/>
      <c r="P14" s="8">
        <v>10</v>
      </c>
      <c r="Q14" s="8">
        <f t="shared" si="7"/>
        <v>0.376953125</v>
      </c>
      <c r="R14" s="8">
        <f t="shared" si="0"/>
        <v>7.0245627091330975E-4</v>
      </c>
      <c r="S14" s="8">
        <f t="shared" si="8"/>
        <v>0.3779296875</v>
      </c>
      <c r="T14" s="8">
        <f t="shared" si="1"/>
        <v>-4.2974441541060449E-4</v>
      </c>
      <c r="U14" s="8">
        <f t="shared" si="3"/>
        <v>0.37744140625</v>
      </c>
      <c r="V14" s="8">
        <f t="shared" si="2"/>
        <v>1.3625606765182985E-4</v>
      </c>
      <c r="W14" s="8">
        <f t="shared" si="4"/>
        <v>9.5713929172016046E-8</v>
      </c>
      <c r="X14" s="8">
        <f t="shared" si="5"/>
        <v>-5.8555284139183397E-8</v>
      </c>
      <c r="Y14" s="8">
        <f t="shared" si="6"/>
        <v>9.765625E-4</v>
      </c>
      <c r="AA14" s="8">
        <v>10</v>
      </c>
      <c r="AB14" s="8">
        <f t="shared" si="13"/>
        <v>1234.375</v>
      </c>
      <c r="AC14" s="8">
        <v>-0.85369791488346891</v>
      </c>
      <c r="AD14" s="8">
        <f t="shared" si="14"/>
        <v>1238.28125</v>
      </c>
      <c r="AE14" s="8">
        <v>0.38630413243242856</v>
      </c>
      <c r="AF14" s="8">
        <f t="shared" si="9"/>
        <v>1236.328125</v>
      </c>
      <c r="AG14" s="8">
        <v>-0.23309032396798557</v>
      </c>
      <c r="AH14" s="8">
        <f t="shared" si="10"/>
        <v>0.19898872355098154</v>
      </c>
      <c r="AI14" s="8">
        <f t="shared" si="11"/>
        <v>-9.0043755378846374E-2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F15" s="20" t="s">
        <v>86</v>
      </c>
      <c r="G15" s="20"/>
      <c r="H15" s="20"/>
      <c r="P15" s="8">
        <v>11</v>
      </c>
      <c r="Q15" s="8">
        <f t="shared" si="7"/>
        <v>0.37744140625</v>
      </c>
      <c r="R15" s="8">
        <f t="shared" si="0"/>
        <v>1.3625606765182985E-4</v>
      </c>
      <c r="S15" s="8">
        <f t="shared" si="8"/>
        <v>0.3779296875</v>
      </c>
      <c r="T15" s="8">
        <f t="shared" si="1"/>
        <v>-4.2974441541060449E-4</v>
      </c>
      <c r="U15" s="8">
        <f t="shared" si="3"/>
        <v>0.377685546875</v>
      </c>
      <c r="V15" s="8">
        <f t="shared" si="2"/>
        <v>-1.4676909101174473E-4</v>
      </c>
      <c r="W15" s="8">
        <f t="shared" si="4"/>
        <v>-1.9998179194093863E-8</v>
      </c>
      <c r="X15" s="8">
        <f t="shared" si="5"/>
        <v>6.3073197217188047E-8</v>
      </c>
      <c r="Y15" s="8">
        <f t="shared" si="6"/>
        <v>4.8828125E-4</v>
      </c>
      <c r="AA15" s="8">
        <v>11</v>
      </c>
      <c r="AB15" s="8">
        <f t="shared" si="13"/>
        <v>1236.328125</v>
      </c>
      <c r="AC15" s="8">
        <v>-0.23309032396798557</v>
      </c>
      <c r="AD15" s="8">
        <f t="shared" si="14"/>
        <v>1238.28125</v>
      </c>
      <c r="AE15" s="8">
        <v>0.38630413243242856</v>
      </c>
      <c r="AF15" s="8">
        <f t="shared" si="9"/>
        <v>1237.3046875</v>
      </c>
      <c r="AG15" s="8">
        <v>7.6758632383643999E-2</v>
      </c>
      <c r="AH15" s="8">
        <f t="shared" si="10"/>
        <v>-1.789169448964309E-2</v>
      </c>
      <c r="AI15" s="8">
        <f t="shared" si="11"/>
        <v>2.9652176889663311E-2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3" t="s">
        <v>152</v>
      </c>
      <c r="G16" s="5">
        <f>C20</f>
        <v>1237.0626750835072</v>
      </c>
      <c r="H16" t="s">
        <v>14</v>
      </c>
      <c r="J16" s="20" t="s">
        <v>50</v>
      </c>
      <c r="K16" s="24"/>
      <c r="L16" s="24"/>
      <c r="P16" s="8">
        <v>12</v>
      </c>
      <c r="Q16" s="8">
        <f t="shared" si="7"/>
        <v>0.37744140625</v>
      </c>
      <c r="R16" s="8">
        <f t="shared" si="0"/>
        <v>1.3625606765182985E-4</v>
      </c>
      <c r="S16" s="8">
        <f t="shared" si="8"/>
        <v>0.377685546875</v>
      </c>
      <c r="T16" s="8">
        <f t="shared" si="1"/>
        <v>-1.4676909101174473E-4</v>
      </c>
      <c r="U16" s="8">
        <f t="shared" si="3"/>
        <v>0.3775634765625</v>
      </c>
      <c r="V16" s="8">
        <f t="shared" si="2"/>
        <v>-5.2627469400157167E-6</v>
      </c>
      <c r="W16" s="8">
        <f t="shared" si="4"/>
        <v>-7.1708120309324204E-10</v>
      </c>
      <c r="X16" s="8">
        <f t="shared" si="5"/>
        <v>7.7240858461094783E-10</v>
      </c>
      <c r="Y16" s="8">
        <f t="shared" si="6"/>
        <v>2.44140625E-4</v>
      </c>
      <c r="AA16" s="8">
        <v>12</v>
      </c>
      <c r="AB16" s="8">
        <f t="shared" si="13"/>
        <v>1236.328125</v>
      </c>
      <c r="AC16" s="8">
        <v>-0.23309032396798557</v>
      </c>
      <c r="AD16" s="8">
        <f t="shared" si="14"/>
        <v>1237.3046875</v>
      </c>
      <c r="AE16" s="8">
        <v>7.6758632383643999E-2</v>
      </c>
      <c r="AF16" s="8">
        <f t="shared" si="9"/>
        <v>1236.81640625</v>
      </c>
      <c r="AG16" s="8">
        <v>-7.8127778126145131E-2</v>
      </c>
      <c r="AH16" s="8">
        <f t="shared" si="10"/>
        <v>1.8210829114322064E-2</v>
      </c>
      <c r="AI16" s="8">
        <f t="shared" si="11"/>
        <v>-5.9969814001356765E-3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199.33081609349105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0.37744140625</v>
      </c>
      <c r="R17" s="8">
        <f t="shared" si="0"/>
        <v>1.3625606765182985E-4</v>
      </c>
      <c r="S17" s="8">
        <f t="shared" si="8"/>
        <v>0.3775634765625</v>
      </c>
      <c r="T17" s="8">
        <f t="shared" si="1"/>
        <v>-5.2627469400157167E-6</v>
      </c>
      <c r="U17" s="8">
        <f t="shared" si="3"/>
        <v>0.37750244140625</v>
      </c>
      <c r="V17" s="8">
        <f t="shared" si="2"/>
        <v>6.5495100792900551E-5</v>
      </c>
      <c r="W17" s="8">
        <f t="shared" si="4"/>
        <v>8.9241048845008717E-9</v>
      </c>
      <c r="X17" s="8">
        <f t="shared" si="5"/>
        <v>-3.4468414128385832E-10</v>
      </c>
      <c r="Y17" s="8">
        <f t="shared" si="6"/>
        <v>1.220703125E-4</v>
      </c>
      <c r="AA17" s="8">
        <v>13</v>
      </c>
      <c r="AB17" s="8">
        <f t="shared" si="13"/>
        <v>1236.81640625</v>
      </c>
      <c r="AC17" s="8">
        <v>-7.8127778126145131E-2</v>
      </c>
      <c r="AD17" s="8">
        <f t="shared" si="14"/>
        <v>1237.3046875</v>
      </c>
      <c r="AE17" s="8">
        <v>7.6758632383643999E-2</v>
      </c>
      <c r="AF17" s="8">
        <f t="shared" si="9"/>
        <v>1237.060546875</v>
      </c>
      <c r="AG17" s="8">
        <v>-6.7490809010450903E-4</v>
      </c>
      <c r="AH17" s="8">
        <f t="shared" si="10"/>
        <v>5.2729069519225449E-5</v>
      </c>
      <c r="AI17" s="8">
        <f t="shared" si="11"/>
        <v>-5.1805021981079286E-5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85.744349307823455</v>
      </c>
      <c r="H18" t="s">
        <v>14</v>
      </c>
      <c r="J18" t="s">
        <v>36</v>
      </c>
      <c r="K18">
        <f xml:space="preserve"> K12 / $C$6</f>
        <v>1564.8857225096208</v>
      </c>
      <c r="L18" t="s">
        <v>37</v>
      </c>
      <c r="P18" s="8">
        <v>14</v>
      </c>
      <c r="Q18" s="8">
        <f t="shared" si="7"/>
        <v>0.37750244140625</v>
      </c>
      <c r="R18" s="8">
        <f t="shared" si="0"/>
        <v>6.5495100792900551E-5</v>
      </c>
      <c r="S18" s="8">
        <f t="shared" si="8"/>
        <v>0.3775634765625</v>
      </c>
      <c r="T18" s="8">
        <f t="shared" si="1"/>
        <v>-5.2627469400157167E-6</v>
      </c>
      <c r="U18" s="8">
        <f t="shared" si="3"/>
        <v>0.377532958984375</v>
      </c>
      <c r="V18" s="8">
        <f t="shared" si="2"/>
        <v>3.0115787129192384E-5</v>
      </c>
      <c r="W18" s="8">
        <f t="shared" si="4"/>
        <v>1.9724365134839923E-9</v>
      </c>
      <c r="X18" s="8">
        <f t="shared" si="5"/>
        <v>-1.5849176656032192E-10</v>
      </c>
      <c r="Y18" s="8">
        <f t="shared" si="6"/>
        <v>6.103515625E-5</v>
      </c>
      <c r="AA18" s="8">
        <v>14</v>
      </c>
      <c r="AB18" s="8">
        <f t="shared" si="13"/>
        <v>1237.060546875</v>
      </c>
      <c r="AC18" s="8">
        <v>-6.7490809010450903E-4</v>
      </c>
      <c r="AD18" s="8">
        <f t="shared" si="14"/>
        <v>1237.3046875</v>
      </c>
      <c r="AE18" s="8">
        <v>7.6758632383643999E-2</v>
      </c>
      <c r="AF18" s="8">
        <f t="shared" si="9"/>
        <v>1237.1826171875</v>
      </c>
      <c r="AG18" s="8">
        <v>3.8044327370243991E-2</v>
      </c>
      <c r="AH18" s="8">
        <f t="shared" si="10"/>
        <v>-2.5676424324762071E-5</v>
      </c>
      <c r="AI18" s="8">
        <f t="shared" si="11"/>
        <v>2.9202305388955642E-3</v>
      </c>
      <c r="AJ18" s="8">
        <f t="shared" si="12"/>
        <v>0.244140625</v>
      </c>
    </row>
    <row r="19" spans="2:36" x14ac:dyDescent="0.2">
      <c r="B19" s="22" t="s">
        <v>13</v>
      </c>
      <c r="C19" s="22"/>
      <c r="D19" s="22"/>
      <c r="F19" s="13" t="s">
        <v>89</v>
      </c>
      <c r="G19">
        <f xml:space="preserve"> 0.2213 * (G4/1000) + 0.2213 * (G9/1000)</f>
        <v>71.111988629230225</v>
      </c>
      <c r="H19" t="s">
        <v>14</v>
      </c>
      <c r="J19" t="s">
        <v>53</v>
      </c>
      <c r="K19">
        <f xml:space="preserve"> PI() * $C$23 / ($C$22 * $C$25)</f>
        <v>94.247779607693786</v>
      </c>
      <c r="L19" t="s">
        <v>54</v>
      </c>
      <c r="P19" s="8">
        <v>15</v>
      </c>
      <c r="Q19" s="8">
        <f t="shared" si="7"/>
        <v>0.377532958984375</v>
      </c>
      <c r="R19" s="8">
        <f t="shared" si="0"/>
        <v>3.0115787129192384E-5</v>
      </c>
      <c r="S19" s="8">
        <f t="shared" si="8"/>
        <v>0.3775634765625</v>
      </c>
      <c r="T19" s="8">
        <f t="shared" si="1"/>
        <v>-5.2627469400157167E-6</v>
      </c>
      <c r="U19" s="8">
        <f t="shared" si="3"/>
        <v>0.3775482177734375</v>
      </c>
      <c r="V19" s="8">
        <f t="shared" si="2"/>
        <v>1.24264226569748E-5</v>
      </c>
      <c r="W19" s="8">
        <f t="shared" si="4"/>
        <v>3.7423149951482633E-10</v>
      </c>
      <c r="X19" s="8">
        <f t="shared" si="5"/>
        <v>-6.5397117813336102E-11</v>
      </c>
      <c r="Y19" s="8">
        <f t="shared" si="6"/>
        <v>3.0517578125E-5</v>
      </c>
      <c r="AA19" s="8">
        <v>15</v>
      </c>
      <c r="AB19" s="8">
        <f t="shared" si="13"/>
        <v>1237.060546875</v>
      </c>
      <c r="AC19" s="8">
        <v>-6.7490809010450903E-4</v>
      </c>
      <c r="AD19" s="8">
        <f t="shared" si="14"/>
        <v>1237.1826171875</v>
      </c>
      <c r="AE19" s="8">
        <v>3.8044327370243991E-2</v>
      </c>
      <c r="AF19" s="8">
        <f t="shared" si="9"/>
        <v>1237.12158203125</v>
      </c>
      <c r="AG19" s="8">
        <v>1.8685081770968281E-2</v>
      </c>
      <c r="AH19" s="8">
        <f t="shared" si="10"/>
        <v>-1.2610712851490781E-5</v>
      </c>
      <c r="AI19" s="8">
        <f t="shared" si="11"/>
        <v>7.1086136783449563E-4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1237.0626750835072</v>
      </c>
      <c r="D20" s="3" t="s">
        <v>14</v>
      </c>
      <c r="F20" s="13" t="s">
        <v>139</v>
      </c>
      <c r="G20">
        <f>2.20462 * (49.9/398 * (G4/$C$5/1000 -2) + 0.1) * $C$5 * 0.453592 + 2.20462 * (49.9/398 * (G8/1000 -2) + 0.1) * 0.453592 * $C$6</f>
        <v>39.232939487026556</v>
      </c>
      <c r="H20" t="s">
        <v>14</v>
      </c>
      <c r="J20" t="s">
        <v>55</v>
      </c>
      <c r="K20">
        <f xml:space="preserve"> $C$23 * COS(K17) / (K19 * $C$22)</f>
        <v>2.7742534554270875E-2</v>
      </c>
      <c r="P20" s="8">
        <v>16</v>
      </c>
      <c r="Q20" s="8">
        <f t="shared" si="7"/>
        <v>0.3775482177734375</v>
      </c>
      <c r="R20" s="8">
        <f t="shared" si="0"/>
        <v>1.24264226569748E-5</v>
      </c>
      <c r="S20" s="8">
        <f t="shared" si="8"/>
        <v>0.3775634765625</v>
      </c>
      <c r="T20" s="8">
        <f t="shared" si="1"/>
        <v>-5.2627469400157167E-6</v>
      </c>
      <c r="U20" s="8">
        <f t="shared" si="3"/>
        <v>0.37755584716796875</v>
      </c>
      <c r="V20" s="8">
        <f t="shared" si="2"/>
        <v>3.5818135005194485E-6</v>
      </c>
      <c r="W20" s="8">
        <f t="shared" si="4"/>
        <v>4.4509128435913097E-11</v>
      </c>
      <c r="X20" s="8">
        <f t="shared" si="5"/>
        <v>-1.885017803956571E-11</v>
      </c>
      <c r="Y20" s="8">
        <f t="shared" si="6"/>
        <v>1.52587890625E-5</v>
      </c>
      <c r="AA20" s="8">
        <v>16</v>
      </c>
      <c r="AB20" s="8">
        <f t="shared" si="13"/>
        <v>1237.060546875</v>
      </c>
      <c r="AC20" s="8">
        <v>-6.7490809010450903E-4</v>
      </c>
      <c r="AD20" s="8">
        <f t="shared" si="14"/>
        <v>1237.12158203125</v>
      </c>
      <c r="AE20" s="8">
        <v>1.8685081770968281E-2</v>
      </c>
      <c r="AF20" s="8">
        <f t="shared" si="9"/>
        <v>1237.091064453125</v>
      </c>
      <c r="AG20" s="8">
        <v>9.0052287052913016E-3</v>
      </c>
      <c r="AH20" s="8">
        <f t="shared" si="10"/>
        <v>-6.0777017064424531E-6</v>
      </c>
      <c r="AI20" s="8">
        <f t="shared" si="11"/>
        <v>1.6826343472463879E-4</v>
      </c>
      <c r="AJ20" s="8">
        <f t="shared" si="12"/>
        <v>6.103515625E-2</v>
      </c>
    </row>
    <row r="21" spans="2:36" x14ac:dyDescent="0.2">
      <c r="B21" t="s">
        <v>15</v>
      </c>
      <c r="C21" s="1">
        <v>1</v>
      </c>
      <c r="D21" t="s">
        <v>16</v>
      </c>
      <c r="F21" s="14" t="s">
        <v>97</v>
      </c>
      <c r="G21">
        <f xml:space="preserve"> 14.86 * ($C$20*2.20462)^0.144 * (6.7/(PI()*1.8))^0.778 * (6.7*3.28084)^0.383 * 4^0.455 * 0.453592</f>
        <v>147.46075959523168</v>
      </c>
      <c r="H21" t="s">
        <v>14</v>
      </c>
      <c r="J21" t="s">
        <v>56</v>
      </c>
      <c r="K21">
        <f xml:space="preserve"> K18 / ( $C$33 * PI() * $C$22^2 * K19^2 * $C$22^2)</f>
        <v>4.577774672430051E-2</v>
      </c>
      <c r="P21" s="8">
        <v>17</v>
      </c>
      <c r="Q21" s="8">
        <f t="shared" si="7"/>
        <v>0.37755584716796875</v>
      </c>
      <c r="R21" s="8">
        <f t="shared" si="0"/>
        <v>3.5818135005194485E-6</v>
      </c>
      <c r="S21" s="8">
        <f t="shared" si="8"/>
        <v>0.3775634765625</v>
      </c>
      <c r="T21" s="8">
        <f t="shared" si="1"/>
        <v>-5.2627469400157167E-6</v>
      </c>
      <c r="U21" s="8">
        <f t="shared" si="3"/>
        <v>0.37755966186523438</v>
      </c>
      <c r="V21" s="8">
        <f t="shared" si="2"/>
        <v>-8.4047280907162403E-7</v>
      </c>
      <c r="W21" s="8">
        <f t="shared" si="4"/>
        <v>-3.0104168543522478E-12</v>
      </c>
      <c r="X21" s="8">
        <f t="shared" si="5"/>
        <v>4.4231957041081028E-12</v>
      </c>
      <c r="Y21" s="8">
        <f t="shared" si="6"/>
        <v>7.62939453125E-6</v>
      </c>
      <c r="AA21" s="8">
        <v>17</v>
      </c>
      <c r="AB21" s="8">
        <f t="shared" si="13"/>
        <v>1237.060546875</v>
      </c>
      <c r="AC21" s="8">
        <v>-6.7490809010450903E-4</v>
      </c>
      <c r="AD21" s="8">
        <f t="shared" si="14"/>
        <v>1237.091064453125</v>
      </c>
      <c r="AE21" s="8">
        <v>9.0052287052913016E-3</v>
      </c>
      <c r="AF21" s="8">
        <f t="shared" si="9"/>
        <v>1237.0758056640625</v>
      </c>
      <c r="AG21" s="8">
        <v>4.1650004692428411E-3</v>
      </c>
      <c r="AH21" s="8">
        <f t="shared" si="10"/>
        <v>-2.8109925119810699E-6</v>
      </c>
      <c r="AI21" s="8">
        <f t="shared" si="11"/>
        <v>3.7506781783177376E-5</v>
      </c>
      <c r="AJ21" s="8">
        <f t="shared" si="12"/>
        <v>3.0517578125E-2</v>
      </c>
    </row>
    <row r="22" spans="2:36" x14ac:dyDescent="0.2">
      <c r="B22" t="s">
        <v>17</v>
      </c>
      <c r="C22" s="1">
        <v>1</v>
      </c>
      <c r="D22" t="s">
        <v>16</v>
      </c>
      <c r="F22" s="14" t="s">
        <v>98</v>
      </c>
      <c r="G22">
        <f xml:space="preserve"> 0.054 * (0.7*3.28084)^0.501 * ($C$20*2.20462*5.7)^0.684 * 0.453592</f>
        <v>27.35371901870186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0.37755584716796875</v>
      </c>
      <c r="R22" s="8">
        <f t="shared" si="0"/>
        <v>3.5818135005194485E-6</v>
      </c>
      <c r="S22" s="8">
        <f t="shared" si="8"/>
        <v>0.37755966186523438</v>
      </c>
      <c r="T22" s="8">
        <f t="shared" si="1"/>
        <v>-8.4047280907162403E-7</v>
      </c>
      <c r="U22" s="8">
        <f t="shared" si="3"/>
        <v>0.37755775451660156</v>
      </c>
      <c r="V22" s="8">
        <f t="shared" si="2"/>
        <v>1.3706688233861009E-6</v>
      </c>
      <c r="W22" s="8">
        <f t="shared" si="4"/>
        <v>4.9094800963454436E-12</v>
      </c>
      <c r="X22" s="8">
        <f t="shared" si="5"/>
        <v>-1.1520098762982139E-12</v>
      </c>
      <c r="Y22" s="8">
        <f t="shared" si="6"/>
        <v>3.814697265625E-6</v>
      </c>
      <c r="AA22" s="8">
        <v>18</v>
      </c>
      <c r="AB22" s="8">
        <f t="shared" si="13"/>
        <v>1237.060546875</v>
      </c>
      <c r="AC22" s="8">
        <v>-6.7490809010450903E-4</v>
      </c>
      <c r="AD22" s="8">
        <f t="shared" si="14"/>
        <v>1237.0758056640625</v>
      </c>
      <c r="AE22" s="8">
        <v>4.1650004692428411E-3</v>
      </c>
      <c r="AF22" s="8">
        <f t="shared" si="9"/>
        <v>1237.0681762695312</v>
      </c>
      <c r="AG22" s="8">
        <v>1.7450550573130386E-3</v>
      </c>
      <c r="AH22" s="8">
        <f t="shared" si="10"/>
        <v>-1.1777517758583574E-6</v>
      </c>
      <c r="AI22" s="8">
        <f t="shared" si="11"/>
        <v>7.2681551325633985E-6</v>
      </c>
      <c r="AJ22" s="8">
        <f t="shared" si="12"/>
        <v>1.52587890625E-2</v>
      </c>
    </row>
    <row r="23" spans="2:36" x14ac:dyDescent="0.2">
      <c r="B23" t="s">
        <v>18</v>
      </c>
      <c r="C23" s="1">
        <v>30</v>
      </c>
      <c r="D23" t="s">
        <v>19</v>
      </c>
      <c r="F23" s="14" t="s">
        <v>90</v>
      </c>
      <c r="G23">
        <f xml:space="preserve"> 0.04674 * ($C$20*2.20462)^0.397 * ($C$24*3.28084^2)^0.36 * 3^0.397 * $C$12^1.712 * 0.453592</f>
        <v>194.25663745723645</v>
      </c>
      <c r="H23" t="s">
        <v>14</v>
      </c>
      <c r="J23" t="s">
        <v>57</v>
      </c>
      <c r="K23">
        <f xml:space="preserve"> ($C$8 * $K$22 / 8) * (1 + 4.65 * K20^2) * ( PI() * $C$33 * K19^3 * C22^5)</f>
        <v>630.50053776545394</v>
      </c>
      <c r="L23" t="s">
        <v>35</v>
      </c>
      <c r="P23" s="8">
        <v>19</v>
      </c>
      <c r="Q23" s="8">
        <f t="shared" si="7"/>
        <v>0.37755775451660156</v>
      </c>
      <c r="R23" s="8">
        <f t="shared" si="0"/>
        <v>1.3706688233861009E-6</v>
      </c>
      <c r="S23" s="8">
        <f t="shared" si="8"/>
        <v>0.37755966186523438</v>
      </c>
      <c r="T23" s="8">
        <f t="shared" si="1"/>
        <v>-8.4047280907162403E-7</v>
      </c>
      <c r="U23" s="8">
        <f t="shared" si="3"/>
        <v>0.37755870819091797</v>
      </c>
      <c r="V23" s="8">
        <f t="shared" si="2"/>
        <v>2.6509762657278557E-7</v>
      </c>
      <c r="W23" s="8">
        <f t="shared" si="4"/>
        <v>3.6336105189696797E-13</v>
      </c>
      <c r="X23" s="8">
        <f t="shared" si="5"/>
        <v>-2.228073468838495E-13</v>
      </c>
      <c r="Y23" s="8">
        <f t="shared" si="6"/>
        <v>1.9073486328125E-6</v>
      </c>
      <c r="AA23" s="8">
        <v>19</v>
      </c>
      <c r="AB23" s="8">
        <f t="shared" si="13"/>
        <v>1237.060546875</v>
      </c>
      <c r="AC23" s="8">
        <v>-6.7490809010450903E-4</v>
      </c>
      <c r="AD23" s="8">
        <f t="shared" si="14"/>
        <v>1237.0681762695312</v>
      </c>
      <c r="AE23" s="8">
        <v>1.7450550573130386E-3</v>
      </c>
      <c r="AF23" s="8">
        <f t="shared" si="9"/>
        <v>1237.0643615722656</v>
      </c>
      <c r="AG23" s="8">
        <v>5.3507570066813059E-4</v>
      </c>
      <c r="AH23" s="8">
        <f t="shared" si="10"/>
        <v>-3.6112691919926E-7</v>
      </c>
      <c r="AI23" s="8">
        <f t="shared" si="11"/>
        <v>9.3373655749623891E-7</v>
      </c>
      <c r="AJ23" s="8">
        <f t="shared" si="12"/>
        <v>7.62939453125E-3</v>
      </c>
    </row>
    <row r="24" spans="2:36" x14ac:dyDescent="0.2">
      <c r="B24" t="s">
        <v>20</v>
      </c>
      <c r="C24" s="1">
        <v>8</v>
      </c>
      <c r="D24" t="s">
        <v>21</v>
      </c>
      <c r="F24" s="14" t="s">
        <v>99</v>
      </c>
      <c r="G24">
        <v>0</v>
      </c>
      <c r="H24" t="s">
        <v>14</v>
      </c>
      <c r="J24" t="s">
        <v>58</v>
      </c>
      <c r="K24" s="5">
        <f>U34</f>
        <v>0.37755893683061004</v>
      </c>
      <c r="P24" s="8">
        <v>20</v>
      </c>
      <c r="Q24" s="8">
        <f t="shared" si="7"/>
        <v>0.37755870819091797</v>
      </c>
      <c r="R24" s="8">
        <f t="shared" si="0"/>
        <v>2.6509762657278557E-7</v>
      </c>
      <c r="S24" s="8">
        <f t="shared" si="8"/>
        <v>0.37755966186523438</v>
      </c>
      <c r="T24" s="8">
        <f t="shared" si="1"/>
        <v>-8.4047280907162403E-7</v>
      </c>
      <c r="U24" s="8">
        <f t="shared" si="3"/>
        <v>0.37755918502807617</v>
      </c>
      <c r="V24" s="8">
        <f t="shared" si="2"/>
        <v>-2.8768768639553244E-7</v>
      </c>
      <c r="W24" s="8">
        <f t="shared" si="4"/>
        <v>-7.6265322857671496E-14</v>
      </c>
      <c r="X24" s="8">
        <f t="shared" si="5"/>
        <v>2.4179367792016958E-13</v>
      </c>
      <c r="Y24" s="8">
        <f t="shared" si="6"/>
        <v>9.5367431640625E-7</v>
      </c>
      <c r="AA24" s="8">
        <v>20</v>
      </c>
      <c r="AB24" s="8">
        <f t="shared" si="13"/>
        <v>1237.060546875</v>
      </c>
      <c r="AC24" s="8">
        <v>-6.7490809010450903E-4</v>
      </c>
      <c r="AD24" s="8">
        <f t="shared" si="14"/>
        <v>1237.0643615722656</v>
      </c>
      <c r="AE24" s="8">
        <v>5.3507570066813059E-4</v>
      </c>
      <c r="AF24" s="8">
        <f t="shared" si="9"/>
        <v>1237.0624542236328</v>
      </c>
      <c r="AG24" s="8">
        <v>-6.9915640665385581E-5</v>
      </c>
      <c r="AH24" s="8">
        <f t="shared" si="10"/>
        <v>4.7186631509908529E-8</v>
      </c>
      <c r="AI24" s="8">
        <f t="shared" si="11"/>
        <v>-3.7410160416692432E-8</v>
      </c>
      <c r="AJ24" s="8">
        <f t="shared" si="12"/>
        <v>3.814697265625E-3</v>
      </c>
    </row>
    <row r="25" spans="2:36" x14ac:dyDescent="0.2">
      <c r="B25" t="s">
        <v>22</v>
      </c>
      <c r="C25" s="1">
        <v>1</v>
      </c>
      <c r="F25" s="14" t="s">
        <v>100</v>
      </c>
      <c r="G25">
        <v>0</v>
      </c>
      <c r="H25" t="s">
        <v>14</v>
      </c>
      <c r="J25" t="s">
        <v>59</v>
      </c>
      <c r="K25">
        <f xml:space="preserve"> K19 * $C$22 * K24 - $C$23 * SIN(K17)</f>
        <v>5.6982505245741493</v>
      </c>
      <c r="L25" t="s">
        <v>19</v>
      </c>
      <c r="P25" s="8">
        <v>21</v>
      </c>
      <c r="Q25" s="8">
        <f t="shared" si="7"/>
        <v>0.37755870819091797</v>
      </c>
      <c r="R25" s="8">
        <f t="shared" si="0"/>
        <v>2.6509762657278557E-7</v>
      </c>
      <c r="S25" s="8">
        <f t="shared" si="8"/>
        <v>0.37755918502807617</v>
      </c>
      <c r="T25" s="8">
        <f t="shared" si="1"/>
        <v>-2.8768768639553244E-7</v>
      </c>
      <c r="U25" s="8">
        <f t="shared" si="3"/>
        <v>0.37755894660949707</v>
      </c>
      <c r="V25" s="8">
        <f t="shared" si="2"/>
        <v>-1.129505367014616E-8</v>
      </c>
      <c r="W25" s="8">
        <f t="shared" si="4"/>
        <v>-2.9942919199679778E-15</v>
      </c>
      <c r="X25" s="8">
        <f t="shared" si="5"/>
        <v>3.2494478580777163E-15</v>
      </c>
      <c r="Y25" s="8">
        <f t="shared" si="6"/>
        <v>4.76837158203125E-7</v>
      </c>
      <c r="AA25" s="8">
        <v>21</v>
      </c>
      <c r="AB25" s="8">
        <f t="shared" si="13"/>
        <v>1237.0624542236328</v>
      </c>
      <c r="AC25" s="8">
        <v>-6.9915640665385581E-5</v>
      </c>
      <c r="AD25" s="8">
        <f t="shared" si="14"/>
        <v>1237.0643615722656</v>
      </c>
      <c r="AE25" s="8">
        <v>5.3507570066813059E-4</v>
      </c>
      <c r="AF25" s="8">
        <f t="shared" si="9"/>
        <v>1237.0634078979492</v>
      </c>
      <c r="AG25" s="8">
        <v>2.3238486767240829E-4</v>
      </c>
      <c r="AH25" s="8">
        <f t="shared" si="10"/>
        <v>-1.6247336904257277E-8</v>
      </c>
      <c r="AI25" s="8">
        <f t="shared" si="11"/>
        <v>1.2434349589448467E-7</v>
      </c>
      <c r="AJ25" s="8">
        <f t="shared" si="12"/>
        <v>1.9073486328125E-3</v>
      </c>
    </row>
    <row r="26" spans="2:36" x14ac:dyDescent="0.2">
      <c r="F26" s="15" t="s">
        <v>101</v>
      </c>
      <c r="G26">
        <f xml:space="preserve"> 0.0268 * $C$20</f>
        <v>33.153279692237994</v>
      </c>
      <c r="H26" t="s">
        <v>14</v>
      </c>
      <c r="J26" t="s">
        <v>60</v>
      </c>
      <c r="K26">
        <f xml:space="preserve"> 1/$C$9 - K23 * SQRT( (2*$C$33*PI()*$C$22^2) / K18^3 )</f>
        <v>1.305076759765579</v>
      </c>
      <c r="P26" s="8">
        <v>22</v>
      </c>
      <c r="Q26" s="8">
        <f t="shared" si="7"/>
        <v>0.37755870819091797</v>
      </c>
      <c r="R26" s="8">
        <f t="shared" si="0"/>
        <v>2.6509762657278557E-7</v>
      </c>
      <c r="S26" s="8">
        <f t="shared" si="8"/>
        <v>0.37755894660949707</v>
      </c>
      <c r="T26" s="8">
        <f t="shared" si="1"/>
        <v>-1.129505367014616E-8</v>
      </c>
      <c r="U26" s="8">
        <f t="shared" si="3"/>
        <v>0.37755882740020752</v>
      </c>
      <c r="V26" s="8">
        <f t="shared" si="2"/>
        <v>1.2690128048387095E-7</v>
      </c>
      <c r="W26" s="8">
        <f t="shared" si="4"/>
        <v>3.3641228265321541E-14</v>
      </c>
      <c r="X26" s="8">
        <f t="shared" si="5"/>
        <v>-1.4333567738755938E-15</v>
      </c>
      <c r="Y26" s="8">
        <f t="shared" si="6"/>
        <v>2.384185791015625E-7</v>
      </c>
      <c r="AA26" s="8">
        <v>22</v>
      </c>
      <c r="AB26" s="8">
        <f t="shared" si="13"/>
        <v>1237.0624542236328</v>
      </c>
      <c r="AC26" s="8">
        <v>-6.9915640665385581E-5</v>
      </c>
      <c r="AD26" s="8">
        <f t="shared" si="14"/>
        <v>1237.0634078979492</v>
      </c>
      <c r="AE26" s="8">
        <v>2.3238486767240829E-4</v>
      </c>
      <c r="AF26" s="8">
        <f t="shared" si="9"/>
        <v>1237.062931060791</v>
      </c>
      <c r="AG26" s="8">
        <v>8.1039347605837975E-5</v>
      </c>
      <c r="AH26" s="8">
        <f t="shared" si="10"/>
        <v>-5.6659179069670432E-9</v>
      </c>
      <c r="AI26" s="8">
        <f t="shared" si="11"/>
        <v>1.8832318069640956E-8</v>
      </c>
      <c r="AJ26" s="8">
        <f t="shared" si="12"/>
        <v>9.5367431640625E-4</v>
      </c>
    </row>
    <row r="27" spans="2:36" x14ac:dyDescent="0.2">
      <c r="B27" s="22" t="s">
        <v>23</v>
      </c>
      <c r="C27" s="22"/>
      <c r="D27" s="22"/>
      <c r="F27" s="15" t="s">
        <v>102</v>
      </c>
      <c r="G27">
        <f xml:space="preserve"> 11.5 * ($C$20*2.20462/1000)^0.4 * 0.453592</f>
        <v>7.7920800449100396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0.37755882740020752</v>
      </c>
      <c r="R27" s="8">
        <f t="shared" si="0"/>
        <v>1.2690128048387095E-7</v>
      </c>
      <c r="S27" s="8">
        <f t="shared" si="8"/>
        <v>0.37755894660949707</v>
      </c>
      <c r="T27" s="8">
        <f t="shared" si="1"/>
        <v>-1.129505367014616E-8</v>
      </c>
      <c r="U27" s="8">
        <f t="shared" si="3"/>
        <v>0.37755888700485229</v>
      </c>
      <c r="V27" s="8">
        <f t="shared" si="2"/>
        <v>5.7803111908061311E-8</v>
      </c>
      <c r="W27" s="8">
        <f t="shared" si="4"/>
        <v>7.3352889170854693E-15</v>
      </c>
      <c r="X27" s="8">
        <f t="shared" si="5"/>
        <v>-6.5288925130301715E-16</v>
      </c>
      <c r="Y27" s="8">
        <f t="shared" si="6"/>
        <v>1.1920928955078125E-7</v>
      </c>
      <c r="AA27" s="8">
        <v>23</v>
      </c>
      <c r="AB27" s="8">
        <f t="shared" si="13"/>
        <v>1237.0624542236328</v>
      </c>
      <c r="AC27" s="8">
        <v>-6.9915640665385581E-5</v>
      </c>
      <c r="AD27" s="8">
        <f t="shared" si="14"/>
        <v>1237.062931060791</v>
      </c>
      <c r="AE27" s="8">
        <v>8.1039347605837975E-5</v>
      </c>
      <c r="AF27" s="8">
        <f t="shared" si="9"/>
        <v>1237.0626926422119</v>
      </c>
      <c r="AG27" s="8">
        <v>5.3665618224840728E-6</v>
      </c>
      <c r="AH27" s="8">
        <f t="shared" si="10"/>
        <v>-3.7520660798937321E-10</v>
      </c>
      <c r="AI27" s="8">
        <f t="shared" si="11"/>
        <v>4.3490266898050612E-10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103</v>
      </c>
      <c r="G28">
        <f xml:space="preserve"> 8 * ($C$20/1000)</f>
        <v>9.8965014006680576</v>
      </c>
      <c r="H28" t="s">
        <v>14</v>
      </c>
      <c r="J28" t="s">
        <v>62</v>
      </c>
      <c r="K28">
        <f xml:space="preserve"> 1/$C$38 * LN( EXP($C$38 * K26) + EXP($C$38 * K27) )</f>
        <v>1.3053932395699492</v>
      </c>
      <c r="P28" s="8">
        <v>24</v>
      </c>
      <c r="Q28" s="8">
        <f t="shared" si="7"/>
        <v>0.37755888700485229</v>
      </c>
      <c r="R28" s="8">
        <f t="shared" si="0"/>
        <v>5.7803111908061311E-8</v>
      </c>
      <c r="S28" s="8">
        <f t="shared" si="8"/>
        <v>0.37755894660949707</v>
      </c>
      <c r="T28" s="8">
        <f t="shared" si="1"/>
        <v>-1.129505367014616E-8</v>
      </c>
      <c r="U28" s="8">
        <f t="shared" si="3"/>
        <v>0.37755891680717468</v>
      </c>
      <c r="V28" s="8">
        <f t="shared" si="2"/>
        <v>2.3254028702623941E-8</v>
      </c>
      <c r="W28" s="8">
        <f t="shared" si="4"/>
        <v>1.3441552234110415E-15</v>
      </c>
      <c r="X28" s="8">
        <f t="shared" si="5"/>
        <v>-2.6265550224325667E-16</v>
      </c>
      <c r="Y28" s="8">
        <f t="shared" si="6"/>
        <v>5.9604644775390625E-8</v>
      </c>
      <c r="AA28" s="8">
        <v>24</v>
      </c>
      <c r="AB28" s="8">
        <f t="shared" si="13"/>
        <v>1237.0624542236328</v>
      </c>
      <c r="AC28" s="8">
        <v>-6.9915640665385581E-5</v>
      </c>
      <c r="AD28" s="8">
        <f t="shared" si="14"/>
        <v>1237.0626926422119</v>
      </c>
      <c r="AE28" s="8">
        <v>5.3665618224840728E-6</v>
      </c>
      <c r="AF28" s="8">
        <f t="shared" si="9"/>
        <v>1237.0625734329224</v>
      </c>
      <c r="AG28" s="8">
        <v>-3.207923680292879E-5</v>
      </c>
      <c r="AH28" s="8">
        <f t="shared" si="10"/>
        <v>2.242840393133382E-9</v>
      </c>
      <c r="AI28" s="8">
        <f t="shared" si="11"/>
        <v>-1.7215520752102368E-10</v>
      </c>
      <c r="AJ28" s="8">
        <f t="shared" si="12"/>
        <v>2.384185791015625E-4</v>
      </c>
    </row>
    <row r="29" spans="2:36" x14ac:dyDescent="0.2">
      <c r="B29" t="s">
        <v>24</v>
      </c>
      <c r="C29" s="1">
        <v>30000</v>
      </c>
      <c r="D29" t="s">
        <v>16</v>
      </c>
      <c r="F29" s="15" t="s">
        <v>104</v>
      </c>
      <c r="G29">
        <f xml:space="preserve"> 13 * ($C$20*2.20462/1000)^1.3 * 0.453592</f>
        <v>21.729604357554244</v>
      </c>
      <c r="H29" t="s">
        <v>14</v>
      </c>
      <c r="P29" s="8">
        <v>25</v>
      </c>
      <c r="Q29" s="8">
        <f t="shared" si="7"/>
        <v>0.37755891680717468</v>
      </c>
      <c r="R29" s="8">
        <f t="shared" si="0"/>
        <v>2.3254028702623941E-8</v>
      </c>
      <c r="S29" s="8">
        <f t="shared" si="8"/>
        <v>0.37755894660949707</v>
      </c>
      <c r="T29" s="8">
        <f t="shared" si="1"/>
        <v>-1.129505367014616E-8</v>
      </c>
      <c r="U29" s="8">
        <f t="shared" si="3"/>
        <v>0.37755893170833588</v>
      </c>
      <c r="V29" s="8">
        <f t="shared" si="2"/>
        <v>5.9794874052165881E-9</v>
      </c>
      <c r="W29" s="8">
        <f t="shared" si="4"/>
        <v>1.390471717478849E-16</v>
      </c>
      <c r="X29" s="8">
        <f t="shared" si="5"/>
        <v>-6.7538631161884369E-17</v>
      </c>
      <c r="Y29" s="8">
        <f t="shared" si="6"/>
        <v>2.9802322387695312E-8</v>
      </c>
      <c r="AA29" s="8">
        <v>25</v>
      </c>
      <c r="AB29" s="8">
        <f t="shared" si="13"/>
        <v>1237.0625734329224</v>
      </c>
      <c r="AC29" s="8">
        <v>-3.207923680292879E-5</v>
      </c>
      <c r="AD29" s="8">
        <f t="shared" si="14"/>
        <v>1237.0626926422119</v>
      </c>
      <c r="AE29" s="8">
        <v>5.3665618224840728E-6</v>
      </c>
      <c r="AF29" s="8">
        <f t="shared" si="9"/>
        <v>1237.0626330375671</v>
      </c>
      <c r="AG29" s="8">
        <v>-1.3161036349629285E-5</v>
      </c>
      <c r="AH29" s="8">
        <f t="shared" si="10"/>
        <v>4.2219600163171133E-10</v>
      </c>
      <c r="AI29" s="8">
        <f t="shared" si="11"/>
        <v>-7.0629515218245663E-11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s="3" t="s">
        <v>91</v>
      </c>
      <c r="G30" s="3">
        <f>$C$20 - $C$28 - SUM(G17:G29)</f>
        <v>-6.0435922932811081E-10</v>
      </c>
      <c r="H30" s="3" t="s">
        <v>14</v>
      </c>
      <c r="P30" s="8">
        <v>26</v>
      </c>
      <c r="Q30" s="8">
        <f t="shared" si="7"/>
        <v>0.37755893170833588</v>
      </c>
      <c r="R30" s="8">
        <f t="shared" si="0"/>
        <v>5.9794874052165881E-9</v>
      </c>
      <c r="S30" s="8">
        <f t="shared" si="8"/>
        <v>0.37755894660949707</v>
      </c>
      <c r="T30" s="8">
        <f t="shared" si="1"/>
        <v>-1.129505367014616E-8</v>
      </c>
      <c r="U30" s="8">
        <f t="shared" si="3"/>
        <v>0.37755893915891647</v>
      </c>
      <c r="V30" s="8">
        <f t="shared" si="2"/>
        <v>-2.6577831602203617E-9</v>
      </c>
      <c r="W30" s="8">
        <f t="shared" si="4"/>
        <v>-1.5892180932334394E-17</v>
      </c>
      <c r="X30" s="8">
        <f t="shared" si="5"/>
        <v>3.0019803438299656E-17</v>
      </c>
      <c r="Y30" s="8">
        <f t="shared" si="6"/>
        <v>1.4901161193847656E-8</v>
      </c>
      <c r="AA30" s="8">
        <v>26</v>
      </c>
      <c r="AB30" s="8">
        <f t="shared" si="13"/>
        <v>1237.0626330375671</v>
      </c>
      <c r="AC30" s="8">
        <v>-1.3161036349629285E-5</v>
      </c>
      <c r="AD30" s="8">
        <f t="shared" si="14"/>
        <v>1237.0626926422119</v>
      </c>
      <c r="AE30" s="8">
        <v>5.3665618224840728E-6</v>
      </c>
      <c r="AF30" s="8">
        <f t="shared" si="9"/>
        <v>1237.0626628398895</v>
      </c>
      <c r="AG30" s="8">
        <v>-3.8972370930423494E-6</v>
      </c>
      <c r="AH30" s="8">
        <f t="shared" si="10"/>
        <v>5.1291679044653928E-11</v>
      </c>
      <c r="AI30" s="8">
        <f t="shared" si="11"/>
        <v>-2.0914763796689881E-11</v>
      </c>
      <c r="AJ30" s="8">
        <f t="shared" si="12"/>
        <v>5.9604644775390625E-5</v>
      </c>
    </row>
    <row r="31" spans="2:36" x14ac:dyDescent="0.2">
      <c r="F31" t="s">
        <v>92</v>
      </c>
      <c r="G31" s="10" t="str">
        <f>IF(ABS(G30)&lt;0.00001, "TRUE", "FALSE")</f>
        <v>TRUE</v>
      </c>
      <c r="P31" s="8">
        <v>27</v>
      </c>
      <c r="Q31" s="8">
        <f t="shared" si="7"/>
        <v>0.37755893170833588</v>
      </c>
      <c r="R31" s="8">
        <f t="shared" si="0"/>
        <v>5.9794874052165881E-9</v>
      </c>
      <c r="S31" s="8">
        <f t="shared" si="8"/>
        <v>0.37755893915891647</v>
      </c>
      <c r="T31" s="8">
        <f t="shared" si="1"/>
        <v>-2.6577831602203617E-9</v>
      </c>
      <c r="U31" s="8">
        <f t="shared" si="3"/>
        <v>0.37755893543362617</v>
      </c>
      <c r="V31" s="8">
        <f t="shared" si="2"/>
        <v>1.6608521224981132E-9</v>
      </c>
      <c r="W31" s="8">
        <f t="shared" si="4"/>
        <v>9.9310443484047058E-18</v>
      </c>
      <c r="X31" s="8">
        <f t="shared" si="5"/>
        <v>-4.4141848027917305E-18</v>
      </c>
      <c r="Y31" s="8">
        <f t="shared" si="6"/>
        <v>7.4505805969238281E-9</v>
      </c>
      <c r="AA31" s="8">
        <v>27</v>
      </c>
      <c r="AB31" s="8">
        <f t="shared" si="13"/>
        <v>1237.0626628398895</v>
      </c>
      <c r="AC31" s="8">
        <v>-3.8972370930423494E-6</v>
      </c>
      <c r="AD31" s="8">
        <f t="shared" si="14"/>
        <v>1237.0626926422119</v>
      </c>
      <c r="AE31" s="8">
        <v>5.3665618224840728E-6</v>
      </c>
      <c r="AF31" s="8">
        <f t="shared" si="9"/>
        <v>1237.0626777410507</v>
      </c>
      <c r="AG31" s="8">
        <v>9.2996276634949027E-7</v>
      </c>
      <c r="AH31" s="8">
        <f t="shared" si="10"/>
        <v>-3.6242853881655091E-12</v>
      </c>
      <c r="AI31" s="8">
        <f t="shared" si="11"/>
        <v>4.9907026782228504E-12</v>
      </c>
      <c r="AJ31" s="8">
        <f t="shared" si="12"/>
        <v>2.9802322387695312E-5</v>
      </c>
    </row>
    <row r="32" spans="2:36" x14ac:dyDescent="0.2">
      <c r="B32" s="22" t="s">
        <v>110</v>
      </c>
      <c r="C32" s="23"/>
      <c r="D32" s="23"/>
      <c r="P32" s="8">
        <v>28</v>
      </c>
      <c r="Q32" s="8">
        <f t="shared" si="7"/>
        <v>0.37755893543362617</v>
      </c>
      <c r="R32" s="8">
        <f t="shared" si="0"/>
        <v>1.6608521224981132E-9</v>
      </c>
      <c r="S32" s="8">
        <f t="shared" si="8"/>
        <v>0.37755893915891647</v>
      </c>
      <c r="T32" s="8">
        <f t="shared" si="1"/>
        <v>-2.6577831602203617E-9</v>
      </c>
      <c r="U32" s="8">
        <f t="shared" si="3"/>
        <v>0.37755893729627132</v>
      </c>
      <c r="V32" s="8">
        <f t="shared" si="2"/>
        <v>-4.9846549110554861E-10</v>
      </c>
      <c r="W32" s="8">
        <f t="shared" si="4"/>
        <v>-8.2787746889471477E-19</v>
      </c>
      <c r="X32" s="8">
        <f t="shared" si="5"/>
        <v>1.3248131882112996E-18</v>
      </c>
      <c r="Y32" s="8">
        <f t="shared" si="6"/>
        <v>3.7252902984619141E-9</v>
      </c>
      <c r="AA32" s="8">
        <v>28</v>
      </c>
      <c r="AB32" s="8">
        <f t="shared" si="13"/>
        <v>1237.0626628398895</v>
      </c>
      <c r="AC32" s="8">
        <v>-3.8972370930423494E-6</v>
      </c>
      <c r="AD32" s="8">
        <f t="shared" si="14"/>
        <v>1237.0626777410507</v>
      </c>
      <c r="AE32" s="8">
        <v>9.2996276634949027E-7</v>
      </c>
      <c r="AF32" s="8">
        <f t="shared" si="9"/>
        <v>1237.0626702904701</v>
      </c>
      <c r="AG32" s="8">
        <v>-1.6789376786618959E-6</v>
      </c>
      <c r="AH32" s="8">
        <f t="shared" si="10"/>
        <v>6.5432181981875574E-12</v>
      </c>
      <c r="AI32" s="8">
        <f t="shared" si="11"/>
        <v>-1.5613495281768083E-12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P33" s="8">
        <v>29</v>
      </c>
      <c r="Q33" s="8">
        <f t="shared" si="7"/>
        <v>0.37755893543362617</v>
      </c>
      <c r="R33" s="8">
        <f t="shared" si="0"/>
        <v>1.6608521224981132E-9</v>
      </c>
      <c r="S33" s="8">
        <f t="shared" si="8"/>
        <v>0.37755893729627132</v>
      </c>
      <c r="T33" s="8">
        <f t="shared" si="1"/>
        <v>-4.9846549110554861E-10</v>
      </c>
      <c r="U33" s="8">
        <f t="shared" si="3"/>
        <v>0.37755893636494875</v>
      </c>
      <c r="V33" s="8">
        <f t="shared" si="2"/>
        <v>5.811933156962823E-10</v>
      </c>
      <c r="W33" s="8">
        <f t="shared" si="4"/>
        <v>9.6527615195588643E-19</v>
      </c>
      <c r="X33" s="8">
        <f t="shared" si="5"/>
        <v>-2.8970481153580951E-19</v>
      </c>
      <c r="Y33" s="8">
        <f t="shared" si="6"/>
        <v>1.862645149230957E-9</v>
      </c>
      <c r="AA33" s="8">
        <v>29</v>
      </c>
      <c r="AB33" s="8">
        <f t="shared" si="13"/>
        <v>1237.0626702904701</v>
      </c>
      <c r="AC33" s="8">
        <v>-1.6789376786618959E-6</v>
      </c>
      <c r="AD33" s="8">
        <f t="shared" si="14"/>
        <v>1237.0626777410507</v>
      </c>
      <c r="AE33" s="8">
        <v>9.2996276634949027E-7</v>
      </c>
      <c r="AF33" s="8">
        <f t="shared" si="9"/>
        <v>1237.0626740157604</v>
      </c>
      <c r="AG33" s="8">
        <v>-3.7448739931278396E-7</v>
      </c>
      <c r="AH33" s="8">
        <f t="shared" si="10"/>
        <v>6.2874100489033598E-13</v>
      </c>
      <c r="AI33" s="8">
        <f t="shared" si="11"/>
        <v>-3.4825933782794278E-13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s="2" t="s">
        <v>93</v>
      </c>
      <c r="G34" s="2"/>
      <c r="H34" s="2"/>
      <c r="P34" s="8">
        <v>30</v>
      </c>
      <c r="Q34" s="8">
        <f t="shared" si="7"/>
        <v>0.37755893636494875</v>
      </c>
      <c r="R34" s="8">
        <f t="shared" si="0"/>
        <v>5.811933156962823E-10</v>
      </c>
      <c r="S34" s="8">
        <f t="shared" si="8"/>
        <v>0.37755893729627132</v>
      </c>
      <c r="T34" s="8">
        <f t="shared" si="1"/>
        <v>-4.9846549110554861E-10</v>
      </c>
      <c r="U34" s="8">
        <f t="shared" si="3"/>
        <v>0.37755893683061004</v>
      </c>
      <c r="V34" s="8">
        <f t="shared" si="2"/>
        <v>4.1363912295366845E-11</v>
      </c>
      <c r="W34" s="8">
        <f t="shared" si="4"/>
        <v>2.4040429337114476E-20</v>
      </c>
      <c r="X34" s="8">
        <f t="shared" si="5"/>
        <v>-2.0618482856356875E-20</v>
      </c>
      <c r="Y34" s="8">
        <f t="shared" si="6"/>
        <v>9.3132257461547852E-10</v>
      </c>
      <c r="AA34" s="8">
        <v>30</v>
      </c>
      <c r="AB34" s="8">
        <f t="shared" si="13"/>
        <v>1237.0626740157604</v>
      </c>
      <c r="AC34" s="8">
        <v>-3.7448739931278396E-7</v>
      </c>
      <c r="AD34" s="8">
        <f t="shared" si="14"/>
        <v>1237.0626777410507</v>
      </c>
      <c r="AE34" s="8">
        <v>9.2996276634949027E-7</v>
      </c>
      <c r="AF34" s="8">
        <f t="shared" si="9"/>
        <v>1237.0626758784056</v>
      </c>
      <c r="AG34" s="8">
        <v>2.7773751298809657E-7</v>
      </c>
      <c r="AH34" s="8">
        <f t="shared" si="10"/>
        <v>-1.0400919893051284E-13</v>
      </c>
      <c r="AI34" s="8">
        <f t="shared" si="11"/>
        <v>2.5828554589743777E-13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t="s">
        <v>94</v>
      </c>
      <c r="G35">
        <f>ROUND($C$28/$C$20 * 100, 2)</f>
        <v>32.33</v>
      </c>
      <c r="H35" t="s">
        <v>95</v>
      </c>
      <c r="AA35" s="8">
        <v>31</v>
      </c>
      <c r="AB35" s="8">
        <f t="shared" si="13"/>
        <v>1237.0626740157604</v>
      </c>
      <c r="AC35">
        <v>-3.7448739931278396E-7</v>
      </c>
      <c r="AD35" s="8">
        <f t="shared" si="14"/>
        <v>1237.0626758784056</v>
      </c>
      <c r="AE35">
        <v>2.7773751298809657E-7</v>
      </c>
      <c r="AF35" s="8">
        <f t="shared" si="9"/>
        <v>1237.062674947083</v>
      </c>
      <c r="AG35">
        <v>-4.8374886318924837E-8</v>
      </c>
      <c r="AH35" s="8">
        <f t="shared" si="10"/>
        <v>1.8115785369625735E-14</v>
      </c>
      <c r="AI35" s="8">
        <f t="shared" si="11"/>
        <v>-1.3435520617300082E-14</v>
      </c>
      <c r="AJ35" s="8">
        <f t="shared" si="12"/>
        <v>1.862645149230957E-6</v>
      </c>
    </row>
    <row r="36" spans="2:36" x14ac:dyDescent="0.2">
      <c r="F36" s="16" t="s">
        <v>87</v>
      </c>
      <c r="G36">
        <f>ROUND(G17/$C$20 * 100, 2)</f>
        <v>16.11</v>
      </c>
      <c r="H36" t="s">
        <v>95</v>
      </c>
      <c r="AA36" s="8">
        <v>32</v>
      </c>
      <c r="AB36" s="8">
        <f t="shared" si="13"/>
        <v>1237.062674947083</v>
      </c>
      <c r="AC36">
        <v>-4.8374886318924837E-8</v>
      </c>
      <c r="AD36" s="8">
        <f t="shared" si="14"/>
        <v>1237.0626758784056</v>
      </c>
      <c r="AE36">
        <v>2.7773751298809657E-7</v>
      </c>
      <c r="AF36" s="8">
        <f t="shared" si="9"/>
        <v>1237.0626754127443</v>
      </c>
      <c r="AG36">
        <v>1.1468137017800473E-7</v>
      </c>
      <c r="AH36" s="8">
        <f t="shared" si="10"/>
        <v>-5.5476982452595156E-15</v>
      </c>
      <c r="AI36" s="8">
        <f t="shared" si="11"/>
        <v>3.1851318539306298E-14</v>
      </c>
      <c r="AJ36" s="8">
        <f t="shared" si="12"/>
        <v>9.3132257461547852E-7</v>
      </c>
    </row>
    <row r="37" spans="2:36" x14ac:dyDescent="0.2">
      <c r="B37" s="22" t="s">
        <v>31</v>
      </c>
      <c r="C37" s="23"/>
      <c r="D37" s="23"/>
      <c r="F37" s="18" t="s">
        <v>140</v>
      </c>
      <c r="G37">
        <f>ROUND(SUM(G18:G20)/$C$20 * 100, 2)</f>
        <v>15.85</v>
      </c>
      <c r="H37" t="s">
        <v>95</v>
      </c>
      <c r="AA37" s="8">
        <v>33</v>
      </c>
      <c r="AB37" s="8">
        <f t="shared" si="13"/>
        <v>1237.062674947083</v>
      </c>
      <c r="AC37">
        <v>-4.8374886318924837E-8</v>
      </c>
      <c r="AD37" s="8">
        <f t="shared" si="14"/>
        <v>1237.0626754127443</v>
      </c>
      <c r="AE37">
        <v>1.1468137017800473E-7</v>
      </c>
      <c r="AF37" s="8">
        <f t="shared" si="9"/>
        <v>1237.0626751799136</v>
      </c>
      <c r="AG37">
        <v>3.3153128242702223E-8</v>
      </c>
      <c r="AH37" s="8">
        <f t="shared" si="10"/>
        <v>-1.6037788098574564E-15</v>
      </c>
      <c r="AI37" s="8">
        <f t="shared" si="11"/>
        <v>3.802046172560197E-15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7" t="s">
        <v>108</v>
      </c>
      <c r="G38">
        <f>ROUND(SUM(G21:G25)/$C$20 * 100, 2)</f>
        <v>29.83</v>
      </c>
      <c r="H38" t="s">
        <v>95</v>
      </c>
      <c r="AA38" s="8">
        <v>34</v>
      </c>
      <c r="AB38" s="8">
        <f t="shared" si="13"/>
        <v>1237.062674947083</v>
      </c>
      <c r="AC38">
        <v>-4.8374886318924837E-8</v>
      </c>
      <c r="AD38" s="8">
        <f t="shared" si="14"/>
        <v>1237.0626751799136</v>
      </c>
      <c r="AE38">
        <v>3.3153128242702223E-8</v>
      </c>
      <c r="AF38" s="8">
        <f t="shared" si="9"/>
        <v>1237.0626750634983</v>
      </c>
      <c r="AG38">
        <v>-7.6107653512735851E-9</v>
      </c>
      <c r="AH38" s="8">
        <f t="shared" si="10"/>
        <v>3.6816990866787173E-16</v>
      </c>
      <c r="AI38" s="8">
        <f t="shared" si="11"/>
        <v>-2.523206797158878E-16</v>
      </c>
      <c r="AJ38" s="8">
        <f t="shared" si="12"/>
        <v>2.3283064365386963E-7</v>
      </c>
    </row>
    <row r="39" spans="2:36" x14ac:dyDescent="0.2">
      <c r="F39" s="15" t="s">
        <v>109</v>
      </c>
      <c r="G39">
        <f>ROUND(SUM(G26:G29)/$C$20*100, 2)</f>
        <v>5.87</v>
      </c>
      <c r="H39" t="s">
        <v>95</v>
      </c>
      <c r="AA39" s="8">
        <v>35</v>
      </c>
      <c r="AB39" s="8">
        <f t="shared" si="13"/>
        <v>1237.0626750634983</v>
      </c>
      <c r="AC39">
        <v>-7.6107653512735851E-9</v>
      </c>
      <c r="AD39" s="8">
        <f t="shared" si="14"/>
        <v>1237.0626751799136</v>
      </c>
      <c r="AE39">
        <v>3.3153128242702223E-8</v>
      </c>
      <c r="AF39" s="8">
        <f t="shared" si="9"/>
        <v>1237.062675121706</v>
      </c>
      <c r="AG39">
        <v>1.2771124602295458E-8</v>
      </c>
      <c r="AH39" s="8">
        <f t="shared" si="10"/>
        <v>-9.7198032619947919E-17</v>
      </c>
      <c r="AI39" s="8">
        <f t="shared" si="11"/>
        <v>4.2340273174343076E-16</v>
      </c>
      <c r="AJ39" s="8">
        <f t="shared" si="12"/>
        <v>1.1641532182693481E-7</v>
      </c>
    </row>
    <row r="40" spans="2:36" x14ac:dyDescent="0.2">
      <c r="F40" s="3" t="s">
        <v>96</v>
      </c>
      <c r="G40" s="3">
        <f>SUM(G35:G39)</f>
        <v>99.99</v>
      </c>
      <c r="H40" s="3" t="s">
        <v>95</v>
      </c>
      <c r="AA40" s="8">
        <v>36</v>
      </c>
      <c r="AB40" s="8">
        <f t="shared" si="13"/>
        <v>1237.0626750634983</v>
      </c>
      <c r="AC40">
        <v>-7.6107653512735851E-9</v>
      </c>
      <c r="AD40" s="8">
        <f t="shared" si="14"/>
        <v>1237.062675121706</v>
      </c>
      <c r="AE40">
        <v>1.2771124602295458E-8</v>
      </c>
      <c r="AF40" s="8">
        <f t="shared" si="9"/>
        <v>1237.0626750926021</v>
      </c>
      <c r="AG40">
        <v>2.5800090952543542E-9</v>
      </c>
      <c r="AH40" s="8">
        <f t="shared" si="10"/>
        <v>-1.9635843828132549E-17</v>
      </c>
      <c r="AI40" s="8">
        <f t="shared" si="11"/>
        <v>3.2949617630548929E-17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1237.0626750634983</v>
      </c>
      <c r="AC41">
        <v>-7.6107653512735851E-9</v>
      </c>
      <c r="AD41" s="8">
        <f t="shared" si="14"/>
        <v>1237.0626750926021</v>
      </c>
      <c r="AE41">
        <v>2.5800090952543542E-9</v>
      </c>
      <c r="AF41" s="8">
        <f t="shared" si="9"/>
        <v>1237.0626750780502</v>
      </c>
      <c r="AG41">
        <v>-2.515207597753033E-9</v>
      </c>
      <c r="AH41" s="8">
        <f t="shared" si="10"/>
        <v>1.9142654836238853E-17</v>
      </c>
      <c r="AI41" s="8">
        <f t="shared" si="11"/>
        <v>-6.4892584786556804E-18</v>
      </c>
      <c r="AJ41" s="8">
        <f t="shared" si="12"/>
        <v>2.9103830456733704E-8</v>
      </c>
    </row>
    <row r="42" spans="2:36" x14ac:dyDescent="0.2">
      <c r="B42" t="s">
        <v>144</v>
      </c>
      <c r="C42" s="1">
        <v>1.2</v>
      </c>
      <c r="AA42" s="8">
        <v>38</v>
      </c>
      <c r="AB42" s="8">
        <f t="shared" si="13"/>
        <v>1237.0626750780502</v>
      </c>
      <c r="AC42">
        <v>-2.515207597753033E-9</v>
      </c>
      <c r="AD42" s="8">
        <f t="shared" si="14"/>
        <v>1237.0626750926021</v>
      </c>
      <c r="AE42">
        <v>2.5800090952543542E-9</v>
      </c>
      <c r="AF42" s="8">
        <f t="shared" si="9"/>
        <v>1237.0626750853262</v>
      </c>
      <c r="AG42">
        <v>3.2400748750660568E-11</v>
      </c>
      <c r="AH42" s="8">
        <f t="shared" si="10"/>
        <v>-8.1494609430548555E-20</v>
      </c>
      <c r="AI42" s="8">
        <f t="shared" si="11"/>
        <v>8.359422646975542E-20</v>
      </c>
      <c r="AJ42" s="8">
        <f t="shared" si="12"/>
        <v>1.4551915228366852E-8</v>
      </c>
    </row>
    <row r="43" spans="2:36" x14ac:dyDescent="0.2">
      <c r="B43" t="s">
        <v>149</v>
      </c>
      <c r="C43" s="1">
        <v>0.9</v>
      </c>
      <c r="AA43" s="8">
        <v>39</v>
      </c>
      <c r="AB43" s="8">
        <f t="shared" si="13"/>
        <v>1237.0626750780502</v>
      </c>
      <c r="AC43">
        <v>-2.515207597753033E-9</v>
      </c>
      <c r="AD43" s="8">
        <f t="shared" si="14"/>
        <v>1237.0626750853262</v>
      </c>
      <c r="AE43">
        <v>3.2400748750660568E-11</v>
      </c>
      <c r="AF43" s="8">
        <f t="shared" si="9"/>
        <v>1237.0626750816882</v>
      </c>
      <c r="AG43">
        <v>-1.2415739547577687E-9</v>
      </c>
      <c r="AH43" s="8">
        <f t="shared" si="10"/>
        <v>3.1228162441790202E-18</v>
      </c>
      <c r="AI43" s="8">
        <f t="shared" si="11"/>
        <v>-4.0227925763470474E-20</v>
      </c>
      <c r="AJ43" s="8">
        <f t="shared" si="12"/>
        <v>7.2759576141834259E-9</v>
      </c>
    </row>
    <row r="44" spans="2:36" x14ac:dyDescent="0.2">
      <c r="C44" s="1">
        <v>50</v>
      </c>
      <c r="AA44" s="8">
        <v>40</v>
      </c>
      <c r="AB44" s="8">
        <f t="shared" si="13"/>
        <v>1237.0626750816882</v>
      </c>
      <c r="AC44">
        <v>-1.2415739547577687E-9</v>
      </c>
      <c r="AD44" s="8">
        <f t="shared" si="14"/>
        <v>1237.0626750853262</v>
      </c>
      <c r="AE44">
        <v>3.2400748750660568E-11</v>
      </c>
      <c r="AF44" s="11">
        <f t="shared" si="9"/>
        <v>1237.0626750835072</v>
      </c>
      <c r="AG44">
        <v>-6.0435922932811081E-10</v>
      </c>
      <c r="AH44" s="8">
        <f t="shared" si="10"/>
        <v>7.5035667845125979E-19</v>
      </c>
      <c r="AI44" s="8">
        <f t="shared" si="11"/>
        <v>-1.958169154460297E-20</v>
      </c>
      <c r="AJ44" s="8">
        <f t="shared" si="12"/>
        <v>3.637978807091713E-9</v>
      </c>
    </row>
    <row r="45" spans="2:36" x14ac:dyDescent="0.2">
      <c r="C45" s="1">
        <v>6.4</v>
      </c>
    </row>
    <row r="46" spans="2:36" x14ac:dyDescent="0.2">
      <c r="C46" s="1">
        <v>1</v>
      </c>
    </row>
    <row r="49" spans="2:27" x14ac:dyDescent="0.2">
      <c r="B49" t="s">
        <v>151</v>
      </c>
      <c r="C49" s="1">
        <v>1.5</v>
      </c>
    </row>
    <row r="50" spans="2:27" x14ac:dyDescent="0.2">
      <c r="B50" t="s">
        <v>149</v>
      </c>
      <c r="C50" s="1">
        <v>0.78200689098041498</v>
      </c>
    </row>
    <row r="51" spans="2:27" x14ac:dyDescent="0.2">
      <c r="C51" s="1">
        <v>55</v>
      </c>
    </row>
    <row r="52" spans="2:27" x14ac:dyDescent="0.2">
      <c r="C52" s="1">
        <v>9.5011032278081</v>
      </c>
    </row>
    <row r="53" spans="2:27" x14ac:dyDescent="0.2">
      <c r="C53" s="1">
        <v>1.2999999999999901</v>
      </c>
    </row>
    <row r="55" spans="2:27" x14ac:dyDescent="0.2">
      <c r="AA55" s="8"/>
    </row>
    <row r="56" spans="2:27" x14ac:dyDescent="0.2">
      <c r="B56" t="s">
        <v>146</v>
      </c>
      <c r="C56" s="1">
        <v>1</v>
      </c>
      <c r="AA56" s="8"/>
    </row>
    <row r="57" spans="2:27" x14ac:dyDescent="0.2">
      <c r="B57" t="s">
        <v>148</v>
      </c>
      <c r="C57" s="1">
        <v>1</v>
      </c>
      <c r="AA57" s="8"/>
    </row>
    <row r="58" spans="2:27" x14ac:dyDescent="0.2">
      <c r="B58" t="s">
        <v>150</v>
      </c>
      <c r="C58" s="1">
        <v>30</v>
      </c>
    </row>
    <row r="59" spans="2:27" x14ac:dyDescent="0.2">
      <c r="C59" s="1">
        <v>8</v>
      </c>
    </row>
    <row r="60" spans="2:27" x14ac:dyDescent="0.2">
      <c r="C60" s="1">
        <v>1</v>
      </c>
    </row>
  </sheetData>
  <mergeCells count="14">
    <mergeCell ref="B37:D37"/>
    <mergeCell ref="F3:H3"/>
    <mergeCell ref="F7:H7"/>
    <mergeCell ref="F11:H11"/>
    <mergeCell ref="B19:D19"/>
    <mergeCell ref="B27:D27"/>
    <mergeCell ref="F15:H15"/>
    <mergeCell ref="B32:D32"/>
    <mergeCell ref="J3:L3"/>
    <mergeCell ref="J16:L16"/>
    <mergeCell ref="B1:D1"/>
    <mergeCell ref="B3:D3"/>
    <mergeCell ref="B11:D11"/>
    <mergeCell ref="B14:D14"/>
  </mergeCells>
  <conditionalFormatting sqref="G31">
    <cfRule type="containsText" dxfId="5" priority="1" operator="containsText" text="FALSE">
      <formula>NOT(ISERROR(SEARCH("FALSE",G31)))</formula>
    </cfRule>
    <cfRule type="containsText" dxfId="4" priority="2" operator="containsText" text="TRUE">
      <formula>NOT(ISERROR(SEARCH("TRUE",G31)))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T36"/>
  <sheetViews>
    <sheetView workbookViewId="0">
      <selection activeCell="H22" sqref="H22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127</v>
      </c>
      <c r="D2" t="s">
        <v>112</v>
      </c>
      <c r="E2" t="s">
        <v>128</v>
      </c>
      <c r="F2" t="s">
        <v>129</v>
      </c>
      <c r="G2" t="s">
        <v>1</v>
      </c>
    </row>
    <row r="3" spans="2:8" x14ac:dyDescent="0.2">
      <c r="B3" t="s">
        <v>130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125</v>
      </c>
    </row>
    <row r="4" spans="2:8" x14ac:dyDescent="0.2">
      <c r="B4" t="s">
        <v>120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132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131</v>
      </c>
    </row>
    <row r="6" spans="2:8" x14ac:dyDescent="0.2">
      <c r="B6" t="s">
        <v>134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133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143</v>
      </c>
      <c r="C8">
        <f>C3*$C$21*$C$20 / C4</f>
        <v>14546.191952880001</v>
      </c>
      <c r="D8">
        <f>D3*$C$21*$C$20 / D4</f>
        <v>3186.0120643199998</v>
      </c>
      <c r="E8">
        <f>E3*$C$21*$C$20 / E4</f>
        <v>8583.5436760800003</v>
      </c>
      <c r="F8">
        <f>F3*$C$21*$C$20 / F4</f>
        <v>4893.5988376200003</v>
      </c>
      <c r="G8">
        <f>G3*$C$21*$C$20 / (G4-1)</f>
        <v>4297.3340099400002</v>
      </c>
      <c r="H8" t="s">
        <v>37</v>
      </c>
    </row>
    <row r="9" spans="2:8" x14ac:dyDescent="0.2">
      <c r="B9" t="s">
        <v>118</v>
      </c>
      <c r="C9">
        <f>(C11/C4)*1000/C12</f>
        <v>8056.9509196123981</v>
      </c>
      <c r="D9">
        <f>(D11/D4)*1000/D12</f>
        <v>1117.8604285746135</v>
      </c>
      <c r="E9">
        <f>(E11/E4)*1000/E12</f>
        <v>2700.2055859367888</v>
      </c>
      <c r="F9">
        <f>(F11/F4)*1000/F12</f>
        <v>1161.4135684602581</v>
      </c>
      <c r="G9">
        <f>(G11/(G4-1))*1000/G12</f>
        <v>574.18899999999996</v>
      </c>
      <c r="H9" t="s">
        <v>119</v>
      </c>
    </row>
    <row r="10" spans="2:8" x14ac:dyDescent="0.2">
      <c r="B10" t="s">
        <v>137</v>
      </c>
      <c r="C10">
        <f>177*$C$19</f>
        <v>131.9889</v>
      </c>
      <c r="D10">
        <f>200*$C$19</f>
        <v>149.14000000000001</v>
      </c>
      <c r="E10">
        <f>138*$C$19</f>
        <v>102.9066</v>
      </c>
      <c r="F10">
        <f>100*$C$19</f>
        <v>74.570000000000007</v>
      </c>
      <c r="G10">
        <f>102*$C$19</f>
        <v>76.061400000000006</v>
      </c>
      <c r="H10" t="s">
        <v>121</v>
      </c>
    </row>
    <row r="11" spans="2:8" x14ac:dyDescent="0.2">
      <c r="B11" t="s">
        <v>136</v>
      </c>
      <c r="C11">
        <f>252*$C$19</f>
        <v>187.91640000000001</v>
      </c>
      <c r="D11">
        <f>240*$C$19</f>
        <v>178.96800000000002</v>
      </c>
      <c r="E11">
        <f>435*$C$19</f>
        <v>324.37950000000001</v>
      </c>
      <c r="F11">
        <f>680*$C$19</f>
        <v>507.07600000000002</v>
      </c>
      <c r="G11">
        <f>308*$C$19</f>
        <v>229.6756</v>
      </c>
      <c r="H11" t="s">
        <v>121</v>
      </c>
    </row>
    <row r="12" spans="2:8" x14ac:dyDescent="0.2">
      <c r="B12" t="s">
        <v>53</v>
      </c>
      <c r="C12">
        <v>23.323513060327823</v>
      </c>
      <c r="D12">
        <v>40.024674687743122</v>
      </c>
      <c r="E12">
        <v>60.065704198493883</v>
      </c>
      <c r="F12">
        <v>109.15061046519696</v>
      </c>
      <c r="G12">
        <v>100</v>
      </c>
      <c r="H12" t="s">
        <v>54</v>
      </c>
    </row>
    <row r="14" spans="2:8" x14ac:dyDescent="0.2">
      <c r="B14" t="s">
        <v>122</v>
      </c>
      <c r="C14">
        <f xml:space="preserve"> 2.20462/1000 * (7200/500 * (C8 - 300) + 800) * C4 * $C$18</f>
        <v>363.22466218038375</v>
      </c>
      <c r="D14">
        <f xml:space="preserve"> 2.20462/1000 * (7200/500 * (D8 - 300) + 800) * D4 * $C$18</f>
        <v>298.8305881864726</v>
      </c>
      <c r="E14">
        <f xml:space="preserve"> 2.20462/1000 * (7200/500 * (E8 - 300) + 800) * E4 * $C$18</f>
        <v>423.57991560303464</v>
      </c>
      <c r="F14">
        <f xml:space="preserve"> 2.20462/1000 * (7200/500 * (F8 - 300) + 800) * F4 * $C$18</f>
        <v>472.30243238166651</v>
      </c>
      <c r="G14">
        <f xml:space="preserve"> 2.20462/1000 * (7200/500 * (G8 - 300) + 800) * (G4-1) * $C$18</f>
        <v>411.72855063012003</v>
      </c>
      <c r="H14" t="s">
        <v>125</v>
      </c>
    </row>
    <row r="15" spans="2:8" x14ac:dyDescent="0.2">
      <c r="B15" t="s">
        <v>123</v>
      </c>
      <c r="C15">
        <f>2.20462 * (58/990 * (C9 - 10) + 2) * C4 * $C$18</f>
        <v>834.99987548360514</v>
      </c>
      <c r="D15">
        <f>2.20462 * (58/990 * (D9 - 10) + 2) * D4 * $C$18</f>
        <v>472.0000018313101</v>
      </c>
      <c r="E15">
        <f>2.20462 * (58/990 * (E9 - 10) + 2) * E4 * $C$18</f>
        <v>562.99999653226962</v>
      </c>
      <c r="F15">
        <f>2.20462 * (58/990 * (F9 - 10) + 2) * F4 * $C$18</f>
        <v>490.00097524148214</v>
      </c>
      <c r="G15">
        <f>2.20462 * (58/990 * (G9 - 10) + 2) * G4 * $C$18</f>
        <v>309.11856195733338</v>
      </c>
      <c r="H15" t="s">
        <v>125</v>
      </c>
    </row>
    <row r="16" spans="2:8" x14ac:dyDescent="0.2">
      <c r="B16" t="s">
        <v>124</v>
      </c>
      <c r="C16">
        <f>2.20462 * (49.9/398 * (C11/C4-2) + 0.1) * C4 * $C$18</f>
        <v>41.287451382961208</v>
      </c>
      <c r="D16">
        <f>2.20462 * (49.9/398 * (D11/D4-2) + 0.1) * D4 * $C$18</f>
        <v>38.511069677957792</v>
      </c>
      <c r="E16">
        <f>2.20462 * (49.9/398 * (E11/E4-2) + 0.1) * E4 * $C$18</f>
        <v>71.197203841549751</v>
      </c>
      <c r="F16">
        <f>2.20462 * (49.9/398 * (F11/F4-2) + 0.1) * F4 * $C$18</f>
        <v>111.06451209424725</v>
      </c>
      <c r="G16">
        <f>2.20462*(49.9/398*(G11/4-2)+0.1)*4*$C$18 + 2.20462*(49.9/398*(G10/1-2)+0.1)*1*$C$18</f>
        <v>66.277197701519597</v>
      </c>
      <c r="H16" t="s">
        <v>125</v>
      </c>
    </row>
    <row r="18" spans="2:20" x14ac:dyDescent="0.2">
      <c r="B18" t="s">
        <v>126</v>
      </c>
      <c r="C18">
        <v>0.8</v>
      </c>
    </row>
    <row r="19" spans="2:20" x14ac:dyDescent="0.2">
      <c r="B19" t="s">
        <v>138</v>
      </c>
      <c r="C19">
        <v>0.74570000000000003</v>
      </c>
      <c r="K19" t="s">
        <v>153</v>
      </c>
      <c r="L19">
        <v>84</v>
      </c>
      <c r="M19">
        <v>90</v>
      </c>
      <c r="N19">
        <v>105</v>
      </c>
      <c r="O19">
        <v>129</v>
      </c>
      <c r="P19">
        <v>138</v>
      </c>
      <c r="Q19">
        <v>162</v>
      </c>
      <c r="R19">
        <v>168</v>
      </c>
      <c r="S19">
        <v>178</v>
      </c>
      <c r="T19">
        <v>210</v>
      </c>
    </row>
    <row r="20" spans="2:20" x14ac:dyDescent="0.2">
      <c r="B20" t="s">
        <v>141</v>
      </c>
      <c r="C20">
        <v>9.81</v>
      </c>
      <c r="K20" t="s">
        <v>154</v>
      </c>
      <c r="L20">
        <v>400</v>
      </c>
      <c r="M20">
        <v>425</v>
      </c>
      <c r="N20">
        <v>500</v>
      </c>
      <c r="O20">
        <v>400</v>
      </c>
      <c r="P20">
        <v>425</v>
      </c>
      <c r="Q20">
        <v>500</v>
      </c>
      <c r="R20">
        <v>400</v>
      </c>
      <c r="S20">
        <v>425</v>
      </c>
      <c r="T20">
        <v>500</v>
      </c>
    </row>
    <row r="21" spans="2:20" x14ac:dyDescent="0.2">
      <c r="B21" t="s">
        <v>142</v>
      </c>
      <c r="C21">
        <v>0.453592</v>
      </c>
      <c r="K21" t="s">
        <v>155</v>
      </c>
      <c r="L21">
        <f>9550*L19/L20</f>
        <v>2005.5</v>
      </c>
      <c r="M21">
        <f t="shared" ref="M21:Q21" si="0">9550*M19/M20</f>
        <v>2022.3529411764705</v>
      </c>
      <c r="N21">
        <f t="shared" si="0"/>
        <v>2005.5</v>
      </c>
      <c r="O21">
        <f t="shared" si="0"/>
        <v>3079.875</v>
      </c>
      <c r="P21">
        <f t="shared" si="0"/>
        <v>3100.9411764705883</v>
      </c>
      <c r="Q21">
        <f t="shared" si="0"/>
        <v>3094.2</v>
      </c>
      <c r="R21">
        <f t="shared" ref="R21" si="1">9550*R19/R20</f>
        <v>4011</v>
      </c>
      <c r="S21">
        <f t="shared" ref="S21" si="2">9550*S19/S20</f>
        <v>3999.7647058823532</v>
      </c>
      <c r="T21">
        <f t="shared" ref="T21" si="3">9550*T19/T20</f>
        <v>4011</v>
      </c>
    </row>
    <row r="24" spans="2:20" x14ac:dyDescent="0.2">
      <c r="C24">
        <v>835</v>
      </c>
      <c r="D24">
        <v>472</v>
      </c>
      <c r="E24">
        <v>563</v>
      </c>
      <c r="F24">
        <v>490</v>
      </c>
      <c r="G24">
        <v>405</v>
      </c>
    </row>
    <row r="25" spans="2:20" x14ac:dyDescent="0.2">
      <c r="C25">
        <f>C15-C24</f>
        <v>-1.2451639486243948E-4</v>
      </c>
      <c r="D25">
        <f>D15-D24</f>
        <v>1.8313101008970989E-6</v>
      </c>
      <c r="E25">
        <f>E15-E24</f>
        <v>-3.4677303801800008E-6</v>
      </c>
      <c r="F25">
        <f>F15-F24</f>
        <v>9.7524148213778972E-4</v>
      </c>
      <c r="G25">
        <f>G15-G24</f>
        <v>-95.881438042666616</v>
      </c>
    </row>
    <row r="32" spans="2:20" x14ac:dyDescent="0.2">
      <c r="D32">
        <v>30000</v>
      </c>
      <c r="E32">
        <v>30000</v>
      </c>
    </row>
    <row r="33" spans="4:5" x14ac:dyDescent="0.2">
      <c r="D33">
        <v>240</v>
      </c>
      <c r="E33">
        <v>240</v>
      </c>
    </row>
    <row r="34" spans="4:5" x14ac:dyDescent="0.2">
      <c r="D34">
        <v>26.2</v>
      </c>
      <c r="E34">
        <v>60</v>
      </c>
    </row>
    <row r="35" spans="4:5" x14ac:dyDescent="0.2">
      <c r="D35">
        <f>240+D32/D34</f>
        <v>1385.0381679389313</v>
      </c>
      <c r="E35">
        <f>E33+E32/E34</f>
        <v>740</v>
      </c>
    </row>
    <row r="36" spans="4:5" x14ac:dyDescent="0.2">
      <c r="D36">
        <f>D35/60</f>
        <v>23.083969465648856</v>
      </c>
      <c r="E36">
        <f>E35/60</f>
        <v>12.333333333333334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2024-07-12T09:53:18Z</dcterms:modified>
</cp:coreProperties>
</file>