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4_suboptimal_performance_evaluation/with_fixed_empty_weight/selection_by_weight/liftcruise/"/>
    </mc:Choice>
  </mc:AlternateContent>
  <xr:revisionPtr revIDLastSave="0" documentId="13_ncr:1_{F6A8B75D-DDA5-064C-B04E-B3E2170CFF2D}" xr6:coauthVersionLast="47" xr6:coauthVersionMax="47" xr10:uidLastSave="{00000000-0000-0000-0000-000000000000}"/>
  <bookViews>
    <workbookView xWindow="15320" yWindow="740" windowWidth="14920" windowHeight="18900" activeTab="2" xr2:uid="{843CD013-835A-1741-B375-CD508AE79BD2}"/>
  </bookViews>
  <sheets>
    <sheet name="liftcruise_opt_250_test_250" sheetId="12" r:id="rId1"/>
    <sheet name="liftcruise_opt_250_test_550" sheetId="19" r:id="rId2"/>
    <sheet name="liftcruise_opt_550_test_550" sheetId="20" r:id="rId3"/>
    <sheet name="liftcruise_opt_550_test_250" sheetId="2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7" i="21" l="1"/>
  <c r="C56" i="21"/>
  <c r="C55" i="21"/>
  <c r="C51" i="21"/>
  <c r="C50" i="21"/>
  <c r="AN44" i="21"/>
  <c r="AM44" i="21"/>
  <c r="AN43" i="21"/>
  <c r="AM43" i="21"/>
  <c r="AN42" i="21"/>
  <c r="AM42" i="21"/>
  <c r="AN41" i="21"/>
  <c r="AM41" i="21"/>
  <c r="C41" i="21"/>
  <c r="AN40" i="21"/>
  <c r="AM40" i="21"/>
  <c r="AN39" i="21"/>
  <c r="AM39" i="21"/>
  <c r="AN38" i="21"/>
  <c r="AM38" i="21"/>
  <c r="AN37" i="21"/>
  <c r="AM37" i="21"/>
  <c r="AN36" i="21"/>
  <c r="AM36" i="21"/>
  <c r="AN35" i="21"/>
  <c r="AM35" i="21"/>
  <c r="AN34" i="21"/>
  <c r="AM34" i="21"/>
  <c r="AN33" i="21"/>
  <c r="AM33" i="21"/>
  <c r="AN32" i="21"/>
  <c r="AM32" i="21"/>
  <c r="G32" i="21"/>
  <c r="AN31" i="21"/>
  <c r="AM31" i="21"/>
  <c r="AN30" i="21"/>
  <c r="AM30" i="21"/>
  <c r="AN29" i="21"/>
  <c r="AM29" i="21"/>
  <c r="G29" i="21"/>
  <c r="G27" i="21" s="1"/>
  <c r="AN28" i="21"/>
  <c r="AM28" i="21"/>
  <c r="AN27" i="21"/>
  <c r="AM27" i="21"/>
  <c r="AN26" i="21"/>
  <c r="AM26" i="21"/>
  <c r="G26" i="21"/>
  <c r="AN25" i="21"/>
  <c r="AM25" i="21"/>
  <c r="G25" i="21"/>
  <c r="AN24" i="21"/>
  <c r="AM24" i="21"/>
  <c r="G24" i="21"/>
  <c r="AN23" i="21"/>
  <c r="AM23" i="21"/>
  <c r="G23" i="21"/>
  <c r="C23" i="21"/>
  <c r="AN22" i="21"/>
  <c r="AM22" i="21"/>
  <c r="O22" i="21"/>
  <c r="AN21" i="21"/>
  <c r="AM21" i="21"/>
  <c r="O21" i="21"/>
  <c r="AN20" i="21"/>
  <c r="AM20" i="21"/>
  <c r="AN19" i="21"/>
  <c r="AM19" i="21"/>
  <c r="O19" i="21"/>
  <c r="AN18" i="21"/>
  <c r="AM18" i="21"/>
  <c r="AN17" i="21"/>
  <c r="AM17" i="21"/>
  <c r="C17" i="21"/>
  <c r="AN16" i="21"/>
  <c r="AM16" i="21"/>
  <c r="C16" i="21"/>
  <c r="AN15" i="21"/>
  <c r="AM15" i="21"/>
  <c r="AN14" i="21"/>
  <c r="AM14" i="21"/>
  <c r="K14" i="21"/>
  <c r="G14" i="21"/>
  <c r="G15" i="21" s="1"/>
  <c r="AN13" i="21"/>
  <c r="AM13" i="21"/>
  <c r="AN12" i="21"/>
  <c r="AM12" i="21"/>
  <c r="AN11" i="21"/>
  <c r="AM11" i="21"/>
  <c r="O11" i="21"/>
  <c r="C11" i="21"/>
  <c r="C30" i="21" s="1"/>
  <c r="O25" i="21" s="1"/>
  <c r="AN10" i="21"/>
  <c r="AM10" i="21"/>
  <c r="AN9" i="21"/>
  <c r="AM9" i="21"/>
  <c r="O9" i="21"/>
  <c r="C9" i="21"/>
  <c r="AN8" i="21"/>
  <c r="AM8" i="21"/>
  <c r="AN7" i="21"/>
  <c r="AM7" i="21"/>
  <c r="G7" i="21"/>
  <c r="C7" i="21"/>
  <c r="AN6" i="21"/>
  <c r="AM6" i="21"/>
  <c r="O6" i="21"/>
  <c r="AO5" i="21"/>
  <c r="AN5" i="21"/>
  <c r="AI6" i="21" s="1"/>
  <c r="AM5" i="21"/>
  <c r="AG6" i="21" s="1"/>
  <c r="AK5" i="21"/>
  <c r="G5" i="21"/>
  <c r="AD4" i="21"/>
  <c r="Z4" i="21"/>
  <c r="O4" i="21"/>
  <c r="G4" i="21"/>
  <c r="G10" i="21" s="1"/>
  <c r="K17" i="19"/>
  <c r="C56" i="20"/>
  <c r="C55" i="20"/>
  <c r="C51" i="20"/>
  <c r="C50" i="20"/>
  <c r="AN44" i="20"/>
  <c r="AM44" i="20"/>
  <c r="AN43" i="20"/>
  <c r="AM43" i="20"/>
  <c r="AN42" i="20"/>
  <c r="AM42" i="20"/>
  <c r="AN41" i="20"/>
  <c r="AM41" i="20"/>
  <c r="C41" i="20"/>
  <c r="K21" i="20" s="1"/>
  <c r="K21" i="21" s="1"/>
  <c r="AN40" i="20"/>
  <c r="AM40" i="20"/>
  <c r="AN39" i="20"/>
  <c r="AM39" i="20"/>
  <c r="AN38" i="20"/>
  <c r="AM38" i="20"/>
  <c r="AN37" i="20"/>
  <c r="AM37" i="20"/>
  <c r="AN36" i="20"/>
  <c r="AM36" i="20"/>
  <c r="AN35" i="20"/>
  <c r="AM35" i="20"/>
  <c r="AN34" i="20"/>
  <c r="AM34" i="20"/>
  <c r="AN33" i="20"/>
  <c r="AM33" i="20"/>
  <c r="AN32" i="20"/>
  <c r="AM32" i="20"/>
  <c r="G32" i="20"/>
  <c r="AN31" i="20"/>
  <c r="AM31" i="20"/>
  <c r="AN30" i="20"/>
  <c r="AM30" i="20"/>
  <c r="AN29" i="20"/>
  <c r="AM29" i="20"/>
  <c r="K29" i="20"/>
  <c r="K29" i="21" s="1"/>
  <c r="G29" i="20"/>
  <c r="G27" i="20" s="1"/>
  <c r="AN28" i="20"/>
  <c r="AM28" i="20"/>
  <c r="K28" i="20"/>
  <c r="K28" i="21" s="1"/>
  <c r="AN27" i="20"/>
  <c r="AM27" i="20"/>
  <c r="K27" i="20"/>
  <c r="K27" i="21" s="1"/>
  <c r="AN26" i="20"/>
  <c r="AM26" i="20"/>
  <c r="K26" i="20"/>
  <c r="K26" i="21" s="1"/>
  <c r="G26" i="20"/>
  <c r="AN25" i="20"/>
  <c r="AM25" i="20"/>
  <c r="G25" i="20"/>
  <c r="AN24" i="20"/>
  <c r="AM24" i="20"/>
  <c r="K24" i="20"/>
  <c r="K24" i="21" s="1"/>
  <c r="G24" i="20"/>
  <c r="AN23" i="20"/>
  <c r="AM23" i="20"/>
  <c r="K23" i="20"/>
  <c r="K23" i="21" s="1"/>
  <c r="G23" i="20"/>
  <c r="C23" i="20"/>
  <c r="AN22" i="20"/>
  <c r="AM22" i="20"/>
  <c r="O22" i="20"/>
  <c r="K22" i="20"/>
  <c r="K22" i="21" s="1"/>
  <c r="AN21" i="20"/>
  <c r="AM21" i="20"/>
  <c r="O21" i="20"/>
  <c r="G14" i="20" s="1"/>
  <c r="G15" i="20" s="1"/>
  <c r="AN20" i="20"/>
  <c r="AM20" i="20"/>
  <c r="K20" i="20"/>
  <c r="K20" i="21" s="1"/>
  <c r="AN19" i="20"/>
  <c r="AM19" i="20"/>
  <c r="O19" i="20"/>
  <c r="AN18" i="20"/>
  <c r="AM18" i="20"/>
  <c r="AN17" i="20"/>
  <c r="AM17" i="20"/>
  <c r="C17" i="20"/>
  <c r="AN16" i="20"/>
  <c r="AM16" i="20"/>
  <c r="C16" i="20"/>
  <c r="AN15" i="20"/>
  <c r="AM15" i="20"/>
  <c r="AN14" i="20"/>
  <c r="AM14" i="20"/>
  <c r="K14" i="20"/>
  <c r="AN13" i="20"/>
  <c r="AM13" i="20"/>
  <c r="AN12" i="20"/>
  <c r="AM12" i="20"/>
  <c r="AN11" i="20"/>
  <c r="AM11" i="20"/>
  <c r="O11" i="20"/>
  <c r="C11" i="20"/>
  <c r="C30" i="20" s="1"/>
  <c r="AN10" i="20"/>
  <c r="AM10" i="20"/>
  <c r="AN9" i="20"/>
  <c r="AM9" i="20"/>
  <c r="O9" i="20"/>
  <c r="C9" i="20"/>
  <c r="AN8" i="20"/>
  <c r="AM8" i="20"/>
  <c r="AN7" i="20"/>
  <c r="AM7" i="20"/>
  <c r="G7" i="20"/>
  <c r="C7" i="20"/>
  <c r="AN6" i="20"/>
  <c r="AM6" i="20"/>
  <c r="O6" i="20"/>
  <c r="AO5" i="20"/>
  <c r="AN5" i="20"/>
  <c r="AI6" i="20" s="1"/>
  <c r="AM5" i="20"/>
  <c r="AG6" i="20" s="1"/>
  <c r="AK5" i="20"/>
  <c r="G5" i="20"/>
  <c r="G6" i="20" s="1"/>
  <c r="AD4" i="20"/>
  <c r="Z4" i="20"/>
  <c r="O4" i="20"/>
  <c r="G4" i="20"/>
  <c r="G10" i="20" s="1"/>
  <c r="C56" i="19"/>
  <c r="C55" i="19"/>
  <c r="C51" i="19"/>
  <c r="C50" i="19"/>
  <c r="AN44" i="19"/>
  <c r="AM44" i="19"/>
  <c r="AN43" i="19"/>
  <c r="AM43" i="19"/>
  <c r="AN42" i="19"/>
  <c r="AM42" i="19"/>
  <c r="AN41" i="19"/>
  <c r="AM41" i="19"/>
  <c r="C41" i="19"/>
  <c r="AN40" i="19"/>
  <c r="AM40" i="19"/>
  <c r="AN39" i="19"/>
  <c r="AM39" i="19"/>
  <c r="AN38" i="19"/>
  <c r="AM38" i="19"/>
  <c r="AN37" i="19"/>
  <c r="AM37" i="19"/>
  <c r="AN36" i="19"/>
  <c r="AM36" i="19"/>
  <c r="AN35" i="19"/>
  <c r="AM35" i="19"/>
  <c r="AN34" i="19"/>
  <c r="AM34" i="19"/>
  <c r="AN33" i="19"/>
  <c r="AM33" i="19"/>
  <c r="AN32" i="19"/>
  <c r="AM32" i="19"/>
  <c r="G32" i="19"/>
  <c r="AN31" i="19"/>
  <c r="AM31" i="19"/>
  <c r="AN30" i="19"/>
  <c r="AM30" i="19"/>
  <c r="AN29" i="19"/>
  <c r="AM29" i="19"/>
  <c r="G29" i="19"/>
  <c r="G27" i="19" s="1"/>
  <c r="AN28" i="19"/>
  <c r="AM28" i="19"/>
  <c r="AN27" i="19"/>
  <c r="AM27" i="19"/>
  <c r="AN26" i="19"/>
  <c r="AM26" i="19"/>
  <c r="G26" i="19"/>
  <c r="AN25" i="19"/>
  <c r="AM25" i="19"/>
  <c r="G25" i="19"/>
  <c r="AN24" i="19"/>
  <c r="AM24" i="19"/>
  <c r="G24" i="19"/>
  <c r="AN23" i="19"/>
  <c r="AM23" i="19"/>
  <c r="G23" i="19"/>
  <c r="C23" i="19"/>
  <c r="AN22" i="19"/>
  <c r="AM22" i="19"/>
  <c r="AN21" i="19"/>
  <c r="AM21" i="19"/>
  <c r="O21" i="19"/>
  <c r="AN20" i="19"/>
  <c r="AM20" i="19"/>
  <c r="AN19" i="19"/>
  <c r="AM19" i="19"/>
  <c r="O19" i="19"/>
  <c r="AN18" i="19"/>
  <c r="AM18" i="19"/>
  <c r="AN17" i="19"/>
  <c r="AM17" i="19"/>
  <c r="C17" i="19"/>
  <c r="AN16" i="19"/>
  <c r="AM16" i="19"/>
  <c r="C16" i="19"/>
  <c r="AN15" i="19"/>
  <c r="AM15" i="19"/>
  <c r="AN14" i="19"/>
  <c r="AM14" i="19"/>
  <c r="K14" i="19"/>
  <c r="G14" i="19"/>
  <c r="G15" i="19" s="1"/>
  <c r="AN13" i="19"/>
  <c r="AM13" i="19"/>
  <c r="AN12" i="19"/>
  <c r="AM12" i="19"/>
  <c r="AN11" i="19"/>
  <c r="AM11" i="19"/>
  <c r="O11" i="19"/>
  <c r="C11" i="19"/>
  <c r="C30" i="19" s="1"/>
  <c r="AN10" i="19"/>
  <c r="AM10" i="19"/>
  <c r="AN9" i="19"/>
  <c r="AM9" i="19"/>
  <c r="O9" i="19"/>
  <c r="C9" i="19"/>
  <c r="AN8" i="19"/>
  <c r="AM8" i="19"/>
  <c r="AN7" i="19"/>
  <c r="AM7" i="19"/>
  <c r="G7" i="19"/>
  <c r="C7" i="19"/>
  <c r="AN6" i="19"/>
  <c r="AM6" i="19"/>
  <c r="O6" i="19"/>
  <c r="AO5" i="19"/>
  <c r="AN5" i="19"/>
  <c r="AI6" i="19" s="1"/>
  <c r="AM5" i="19"/>
  <c r="AG6" i="19" s="1"/>
  <c r="AK5" i="19"/>
  <c r="G5" i="19"/>
  <c r="G6" i="19" s="1"/>
  <c r="AD4" i="19"/>
  <c r="Z4" i="19"/>
  <c r="O4" i="19"/>
  <c r="G4" i="19"/>
  <c r="G10" i="19" s="1"/>
  <c r="O9" i="12"/>
  <c r="O10" i="12" s="1"/>
  <c r="C7" i="12"/>
  <c r="C17" i="12"/>
  <c r="G32" i="12"/>
  <c r="K38" i="21" l="1"/>
  <c r="AG7" i="21"/>
  <c r="K4" i="21"/>
  <c r="K5" i="21" s="1"/>
  <c r="AO6" i="21"/>
  <c r="G28" i="21"/>
  <c r="K46" i="21"/>
  <c r="G8" i="21"/>
  <c r="G9" i="21" s="1"/>
  <c r="AK6" i="21"/>
  <c r="AI7" i="21" s="1"/>
  <c r="AO7" i="21" s="1"/>
  <c r="K42" i="21"/>
  <c r="K34" i="21"/>
  <c r="G6" i="21"/>
  <c r="G13" i="21"/>
  <c r="O5" i="21"/>
  <c r="AK6" i="19"/>
  <c r="AI7" i="19" s="1"/>
  <c r="O25" i="20"/>
  <c r="K46" i="20"/>
  <c r="AG7" i="20"/>
  <c r="K38" i="20"/>
  <c r="AO6" i="20"/>
  <c r="G28" i="20"/>
  <c r="G13" i="20"/>
  <c r="K11" i="20" s="1"/>
  <c r="O5" i="20"/>
  <c r="AK6" i="20"/>
  <c r="AI7" i="20" s="1"/>
  <c r="K25" i="20"/>
  <c r="G8" i="20"/>
  <c r="G9" i="20" s="1"/>
  <c r="K4" i="20"/>
  <c r="K42" i="20"/>
  <c r="O12" i="20"/>
  <c r="O13" i="20" s="1"/>
  <c r="O16" i="20" s="1"/>
  <c r="K34" i="20"/>
  <c r="G28" i="19"/>
  <c r="AG7" i="19"/>
  <c r="G13" i="19"/>
  <c r="K11" i="19" s="1"/>
  <c r="O5" i="19"/>
  <c r="O22" i="19"/>
  <c r="O25" i="19" s="1"/>
  <c r="AO6" i="19"/>
  <c r="K4" i="19"/>
  <c r="G8" i="19"/>
  <c r="G9" i="19" s="1"/>
  <c r="K34" i="19"/>
  <c r="K42" i="19"/>
  <c r="O12" i="19"/>
  <c r="O13" i="19" s="1"/>
  <c r="O16" i="19" s="1"/>
  <c r="C9" i="12"/>
  <c r="O11" i="12"/>
  <c r="O5" i="12"/>
  <c r="O19" i="12"/>
  <c r="K37" i="20" l="1"/>
  <c r="K25" i="21"/>
  <c r="K45" i="21" s="1"/>
  <c r="AO7" i="20"/>
  <c r="AO7" i="19"/>
  <c r="K37" i="21"/>
  <c r="O10" i="21"/>
  <c r="K11" i="21"/>
  <c r="O12" i="21"/>
  <c r="O13" i="21" s="1"/>
  <c r="O16" i="21" s="1"/>
  <c r="AK7" i="21"/>
  <c r="AK7" i="19"/>
  <c r="AI8" i="19" s="1"/>
  <c r="AG8" i="19"/>
  <c r="AK8" i="19" s="1"/>
  <c r="AI9" i="19" s="1"/>
  <c r="K45" i="20"/>
  <c r="K5" i="20"/>
  <c r="AK7" i="20"/>
  <c r="AG8" i="20" s="1"/>
  <c r="O14" i="20"/>
  <c r="O10" i="20"/>
  <c r="K5" i="19"/>
  <c r="O14" i="19"/>
  <c r="O10" i="19"/>
  <c r="C56" i="12"/>
  <c r="C55" i="12"/>
  <c r="C51" i="12"/>
  <c r="C50" i="12"/>
  <c r="AN44" i="12"/>
  <c r="AM44" i="12"/>
  <c r="AN43" i="12"/>
  <c r="AM43" i="12"/>
  <c r="AN42" i="12"/>
  <c r="AM42" i="12"/>
  <c r="AN41" i="12"/>
  <c r="AM41" i="12"/>
  <c r="AN40" i="12"/>
  <c r="AM40" i="12"/>
  <c r="C41" i="12"/>
  <c r="AN39" i="12"/>
  <c r="AM39" i="12"/>
  <c r="AN38" i="12"/>
  <c r="AM38" i="12"/>
  <c r="AN37" i="12"/>
  <c r="AM37" i="12"/>
  <c r="AN36" i="12"/>
  <c r="AM36" i="12"/>
  <c r="AN35" i="12"/>
  <c r="AM35" i="12"/>
  <c r="AN34" i="12"/>
  <c r="AM34" i="12"/>
  <c r="AN33" i="12"/>
  <c r="AM33" i="12"/>
  <c r="AN32" i="12"/>
  <c r="AM32" i="12"/>
  <c r="AN31" i="12"/>
  <c r="AM31" i="12"/>
  <c r="AN30" i="12"/>
  <c r="AM30" i="12"/>
  <c r="AN29" i="12"/>
  <c r="AM29" i="12"/>
  <c r="AN28" i="12"/>
  <c r="AM28" i="12"/>
  <c r="AN27" i="12"/>
  <c r="AM27" i="12"/>
  <c r="AN26" i="12"/>
  <c r="AM26" i="12"/>
  <c r="AN25" i="12"/>
  <c r="AM25" i="12"/>
  <c r="AN24" i="12"/>
  <c r="AM24" i="12"/>
  <c r="G24" i="12"/>
  <c r="AN23" i="12"/>
  <c r="AM23" i="12"/>
  <c r="G23" i="12"/>
  <c r="AN22" i="12"/>
  <c r="AM22" i="12"/>
  <c r="AN21" i="12"/>
  <c r="AM21" i="12"/>
  <c r="O21" i="12"/>
  <c r="O22" i="12" s="1"/>
  <c r="AN20" i="12"/>
  <c r="AM20" i="12"/>
  <c r="AN19" i="12"/>
  <c r="AM19" i="12"/>
  <c r="AN18" i="12"/>
  <c r="AM18" i="12"/>
  <c r="AN17" i="12"/>
  <c r="AM17" i="12"/>
  <c r="C16" i="12"/>
  <c r="AN16" i="12"/>
  <c r="AM16" i="12"/>
  <c r="G13" i="12"/>
  <c r="K11" i="12" s="1"/>
  <c r="AN15" i="12"/>
  <c r="AM15" i="12"/>
  <c r="AN14" i="12"/>
  <c r="AM14" i="12"/>
  <c r="AN13" i="12"/>
  <c r="AM13" i="12"/>
  <c r="AN12" i="12"/>
  <c r="AM12" i="12"/>
  <c r="C11" i="12"/>
  <c r="C30" i="12" s="1"/>
  <c r="AN11" i="12"/>
  <c r="AM11" i="12"/>
  <c r="AN10" i="12"/>
  <c r="AM10" i="12"/>
  <c r="C23" i="12"/>
  <c r="AN9" i="12"/>
  <c r="AM9" i="12"/>
  <c r="AN8" i="12"/>
  <c r="AM8" i="12"/>
  <c r="AN7" i="12"/>
  <c r="AM7" i="12"/>
  <c r="AN6" i="12"/>
  <c r="AM6" i="12"/>
  <c r="AO5" i="12"/>
  <c r="AN5" i="12"/>
  <c r="AM5" i="12"/>
  <c r="AK5" i="12"/>
  <c r="G5" i="12"/>
  <c r="AD4" i="12"/>
  <c r="Z4" i="12"/>
  <c r="G4" i="12"/>
  <c r="AI8" i="21" l="1"/>
  <c r="AG8" i="21"/>
  <c r="AO8" i="21" s="1"/>
  <c r="AO8" i="19"/>
  <c r="O14" i="21"/>
  <c r="AK8" i="21"/>
  <c r="AG9" i="21" s="1"/>
  <c r="AG9" i="19"/>
  <c r="AK9" i="19" s="1"/>
  <c r="AI8" i="20"/>
  <c r="AK8" i="20" s="1"/>
  <c r="AO8" i="20"/>
  <c r="O20" i="20"/>
  <c r="O15" i="20"/>
  <c r="O20" i="19"/>
  <c r="O15" i="19"/>
  <c r="AG6" i="12"/>
  <c r="G14" i="12"/>
  <c r="G15" i="12" s="1"/>
  <c r="O25" i="12"/>
  <c r="G6" i="12"/>
  <c r="AI6" i="12"/>
  <c r="G25" i="12"/>
  <c r="K42" i="12"/>
  <c r="AI9" i="21" l="1"/>
  <c r="AK9" i="21" s="1"/>
  <c r="AI9" i="20"/>
  <c r="AG9" i="20"/>
  <c r="AO9" i="20" s="1"/>
  <c r="AO9" i="19"/>
  <c r="O20" i="21"/>
  <c r="O15" i="21"/>
  <c r="AO9" i="21"/>
  <c r="AG10" i="19"/>
  <c r="AI10" i="19"/>
  <c r="AK9" i="20"/>
  <c r="AG10" i="20" s="1"/>
  <c r="G16" i="20"/>
  <c r="O23" i="20"/>
  <c r="K16" i="20"/>
  <c r="K16" i="21" s="1"/>
  <c r="O28" i="20"/>
  <c r="O30" i="20" s="1"/>
  <c r="AI10" i="20"/>
  <c r="G16" i="19"/>
  <c r="O23" i="19"/>
  <c r="O28" i="19"/>
  <c r="O30" i="19" s="1"/>
  <c r="AO6" i="12"/>
  <c r="AK6" i="12"/>
  <c r="AG7" i="12" s="1"/>
  <c r="AG10" i="21" l="1"/>
  <c r="AI10" i="21"/>
  <c r="AO10" i="19"/>
  <c r="AK10" i="19"/>
  <c r="AG11" i="19" s="1"/>
  <c r="AI11" i="19"/>
  <c r="AO10" i="21"/>
  <c r="O23" i="21"/>
  <c r="G16" i="21"/>
  <c r="O28" i="21"/>
  <c r="O30" i="21" s="1"/>
  <c r="AK10" i="21"/>
  <c r="AG11" i="21" s="1"/>
  <c r="AO10" i="20"/>
  <c r="AK10" i="20"/>
  <c r="AG11" i="20" s="1"/>
  <c r="G19" i="20"/>
  <c r="W4" i="20"/>
  <c r="Y4" i="20"/>
  <c r="AA4" i="20"/>
  <c r="G19" i="19"/>
  <c r="Y4" i="19"/>
  <c r="W4" i="19"/>
  <c r="AA4" i="19"/>
  <c r="AO11" i="19"/>
  <c r="AI7" i="12"/>
  <c r="AO7" i="12" s="1"/>
  <c r="AK11" i="19" l="1"/>
  <c r="AG12" i="19" s="1"/>
  <c r="AI11" i="21"/>
  <c r="AI12" i="19"/>
  <c r="AK11" i="21"/>
  <c r="AI12" i="21" s="1"/>
  <c r="G19" i="21"/>
  <c r="Y4" i="21"/>
  <c r="AA4" i="21"/>
  <c r="W4" i="21"/>
  <c r="AO11" i="21"/>
  <c r="AI11" i="20"/>
  <c r="AO11" i="20" s="1"/>
  <c r="AG12" i="20"/>
  <c r="AC4" i="20"/>
  <c r="X5" i="20" s="1"/>
  <c r="AB4" i="20"/>
  <c r="V5" i="20" s="1"/>
  <c r="AC4" i="19"/>
  <c r="X5" i="19" s="1"/>
  <c r="Y5" i="19" s="1"/>
  <c r="AB4" i="19"/>
  <c r="V5" i="19" s="1"/>
  <c r="AK7" i="12"/>
  <c r="AI8" i="12" s="1"/>
  <c r="AO12" i="19" l="1"/>
  <c r="AG12" i="21"/>
  <c r="AO12" i="21" s="1"/>
  <c r="AB4" i="21"/>
  <c r="V5" i="21" s="1"/>
  <c r="AK12" i="19"/>
  <c r="AK11" i="20"/>
  <c r="AI12" i="20" s="1"/>
  <c r="AO12" i="20" s="1"/>
  <c r="AC4" i="21"/>
  <c r="X5" i="21" s="1"/>
  <c r="Z5" i="21" s="1"/>
  <c r="AA5" i="21" s="1"/>
  <c r="W5" i="21"/>
  <c r="AK12" i="21"/>
  <c r="AI13" i="21" s="1"/>
  <c r="AG13" i="21"/>
  <c r="AK12" i="20"/>
  <c r="AG13" i="20" s="1"/>
  <c r="Z5" i="20"/>
  <c r="AA5" i="20" s="1"/>
  <c r="W5" i="20"/>
  <c r="AD5" i="20"/>
  <c r="Y5" i="20"/>
  <c r="Z5" i="19"/>
  <c r="AA5" i="19" s="1"/>
  <c r="AC5" i="19" s="1"/>
  <c r="X6" i="19" s="1"/>
  <c r="W5" i="19"/>
  <c r="AD5" i="19"/>
  <c r="AG8" i="12"/>
  <c r="AO8" i="12" s="1"/>
  <c r="Y5" i="21" l="1"/>
  <c r="AD5" i="21"/>
  <c r="AC5" i="20"/>
  <c r="X6" i="20" s="1"/>
  <c r="Y6" i="20" s="1"/>
  <c r="AG13" i="19"/>
  <c r="AI13" i="19"/>
  <c r="AI13" i="20"/>
  <c r="AO13" i="20" s="1"/>
  <c r="AB5" i="21"/>
  <c r="V6" i="21" s="1"/>
  <c r="W6" i="21" s="1"/>
  <c r="AC5" i="21"/>
  <c r="X6" i="21" s="1"/>
  <c r="Y6" i="21" s="1"/>
  <c r="AK13" i="21"/>
  <c r="AI14" i="21" s="1"/>
  <c r="AG14" i="21"/>
  <c r="AO13" i="21"/>
  <c r="Z6" i="21"/>
  <c r="AA6" i="21" s="1"/>
  <c r="AB5" i="19"/>
  <c r="V6" i="19" s="1"/>
  <c r="Z6" i="19" s="1"/>
  <c r="AA6" i="19" s="1"/>
  <c r="AB5" i="20"/>
  <c r="V6" i="20" s="1"/>
  <c r="Y6" i="19"/>
  <c r="AK8" i="12"/>
  <c r="AI9" i="12" s="1"/>
  <c r="AD6" i="20" l="1"/>
  <c r="AO13" i="19"/>
  <c r="AK13" i="20"/>
  <c r="AD6" i="21"/>
  <c r="AI14" i="19"/>
  <c r="AC6" i="21"/>
  <c r="X7" i="21" s="1"/>
  <c r="Y7" i="21" s="1"/>
  <c r="AB6" i="21"/>
  <c r="V7" i="21" s="1"/>
  <c r="AK13" i="19"/>
  <c r="AG14" i="19" s="1"/>
  <c r="AK14" i="19" s="1"/>
  <c r="AG15" i="19" s="1"/>
  <c r="AD6" i="19"/>
  <c r="W6" i="19"/>
  <c r="AB6" i="19" s="1"/>
  <c r="V7" i="19" s="1"/>
  <c r="Z7" i="21"/>
  <c r="AA7" i="21" s="1"/>
  <c r="W7" i="21"/>
  <c r="AK14" i="21"/>
  <c r="AI15" i="21" s="1"/>
  <c r="AO14" i="21"/>
  <c r="Z6" i="20"/>
  <c r="AA6" i="20" s="1"/>
  <c r="AC6" i="20" s="1"/>
  <c r="X7" i="20" s="1"/>
  <c r="W6" i="20"/>
  <c r="AB6" i="20" s="1"/>
  <c r="V7" i="20" s="1"/>
  <c r="W7" i="20" s="1"/>
  <c r="AI14" i="20"/>
  <c r="AG14" i="20"/>
  <c r="AC6" i="19"/>
  <c r="X7" i="19" s="1"/>
  <c r="AG9" i="12"/>
  <c r="AO9" i="12" s="1"/>
  <c r="AG15" i="21" l="1"/>
  <c r="AO14" i="19"/>
  <c r="AB7" i="21"/>
  <c r="V8" i="21" s="1"/>
  <c r="AD7" i="21"/>
  <c r="AC7" i="21"/>
  <c r="X8" i="21" s="1"/>
  <c r="AI15" i="19"/>
  <c r="AO15" i="19" s="1"/>
  <c r="AK15" i="21"/>
  <c r="AG16" i="21" s="1"/>
  <c r="AK15" i="19"/>
  <c r="AG16" i="19" s="1"/>
  <c r="Z8" i="21"/>
  <c r="AA8" i="21" s="1"/>
  <c r="W8" i="21"/>
  <c r="AD8" i="21"/>
  <c r="Y8" i="21"/>
  <c r="AC8" i="21" s="1"/>
  <c r="X9" i="21" s="1"/>
  <c r="AO15" i="21"/>
  <c r="AO14" i="20"/>
  <c r="AK14" i="20"/>
  <c r="AG15" i="20" s="1"/>
  <c r="AD7" i="20"/>
  <c r="Y7" i="20"/>
  <c r="Z7" i="20"/>
  <c r="AA7" i="20" s="1"/>
  <c r="AB7" i="20" s="1"/>
  <c r="V8" i="20" s="1"/>
  <c r="Z7" i="19"/>
  <c r="AA7" i="19" s="1"/>
  <c r="W7" i="19"/>
  <c r="AD7" i="19"/>
  <c r="Y7" i="19"/>
  <c r="AK9" i="12"/>
  <c r="AI10" i="12" s="1"/>
  <c r="AI16" i="21" l="1"/>
  <c r="AO16" i="21" s="1"/>
  <c r="AB8" i="21"/>
  <c r="V9" i="21" s="1"/>
  <c r="Z9" i="21" s="1"/>
  <c r="AA9" i="21" s="1"/>
  <c r="AI16" i="19"/>
  <c r="AO16" i="19"/>
  <c r="AI15" i="20"/>
  <c r="W9" i="21"/>
  <c r="AK16" i="21"/>
  <c r="AD9" i="21"/>
  <c r="Y9" i="21"/>
  <c r="AI16" i="20"/>
  <c r="AK16" i="19"/>
  <c r="AG17" i="19" s="1"/>
  <c r="AC7" i="19"/>
  <c r="X8" i="19" s="1"/>
  <c r="Y8" i="19" s="1"/>
  <c r="W8" i="20"/>
  <c r="AC7" i="20"/>
  <c r="X8" i="20" s="1"/>
  <c r="AB7" i="19"/>
  <c r="V8" i="19" s="1"/>
  <c r="AG10" i="12"/>
  <c r="AO10" i="12" s="1"/>
  <c r="AC9" i="21" l="1"/>
  <c r="X10" i="21" s="1"/>
  <c r="AB9" i="21"/>
  <c r="V10" i="21" s="1"/>
  <c r="AI17" i="21"/>
  <c r="AG17" i="21"/>
  <c r="AI17" i="19"/>
  <c r="AO17" i="19" s="1"/>
  <c r="AK15" i="20"/>
  <c r="AG16" i="20" s="1"/>
  <c r="AK16" i="20" s="1"/>
  <c r="AO15" i="20"/>
  <c r="AK17" i="19"/>
  <c r="AI18" i="19" s="1"/>
  <c r="Z10" i="21"/>
  <c r="AA10" i="21" s="1"/>
  <c r="W10" i="21"/>
  <c r="AB10" i="21" s="1"/>
  <c r="V11" i="21" s="1"/>
  <c r="AD10" i="21"/>
  <c r="Y10" i="21"/>
  <c r="AC10" i="21" s="1"/>
  <c r="X11" i="21" s="1"/>
  <c r="AD8" i="20"/>
  <c r="Y8" i="20"/>
  <c r="Z8" i="20"/>
  <c r="AA8" i="20" s="1"/>
  <c r="AB8" i="20" s="1"/>
  <c r="V9" i="20" s="1"/>
  <c r="Z8" i="19"/>
  <c r="AA8" i="19" s="1"/>
  <c r="AC8" i="19" s="1"/>
  <c r="X9" i="19" s="1"/>
  <c r="W8" i="19"/>
  <c r="AD8" i="19"/>
  <c r="AK10" i="12"/>
  <c r="AO17" i="21" l="1"/>
  <c r="AK17" i="21"/>
  <c r="AG18" i="19"/>
  <c r="AK18" i="19" s="1"/>
  <c r="AG19" i="19" s="1"/>
  <c r="AG17" i="20"/>
  <c r="AI17" i="20"/>
  <c r="AO17" i="20" s="1"/>
  <c r="AO16" i="20"/>
  <c r="AD11" i="21"/>
  <c r="Y11" i="21"/>
  <c r="Z11" i="21"/>
  <c r="AA11" i="21" s="1"/>
  <c r="W11" i="21"/>
  <c r="AI18" i="20"/>
  <c r="AB8" i="19"/>
  <c r="V9" i="19" s="1"/>
  <c r="Z9" i="19" s="1"/>
  <c r="AA9" i="19" s="1"/>
  <c r="W9" i="20"/>
  <c r="AC8" i="20"/>
  <c r="X9" i="20" s="1"/>
  <c r="AI19" i="19"/>
  <c r="AK19" i="19" s="1"/>
  <c r="Y9" i="19"/>
  <c r="AO19" i="19"/>
  <c r="AG11" i="12"/>
  <c r="AI11" i="12"/>
  <c r="AG18" i="21" l="1"/>
  <c r="AI18" i="21"/>
  <c r="AO18" i="21" s="1"/>
  <c r="AO18" i="19"/>
  <c r="AK17" i="20"/>
  <c r="AG18" i="20" s="1"/>
  <c r="AO18" i="20" s="1"/>
  <c r="AD9" i="19"/>
  <c r="W9" i="19"/>
  <c r="AB9" i="19" s="1"/>
  <c r="V10" i="19" s="1"/>
  <c r="AB11" i="21"/>
  <c r="V12" i="21" s="1"/>
  <c r="AC11" i="21"/>
  <c r="X12" i="21" s="1"/>
  <c r="AC9" i="19"/>
  <c r="X10" i="19" s="1"/>
  <c r="Y10" i="19" s="1"/>
  <c r="AD9" i="20"/>
  <c r="Y9" i="20"/>
  <c r="Z9" i="20"/>
  <c r="AA9" i="20" s="1"/>
  <c r="AB9" i="20" s="1"/>
  <c r="V10" i="20" s="1"/>
  <c r="AG20" i="19"/>
  <c r="AI20" i="19"/>
  <c r="AK20" i="19" s="1"/>
  <c r="AG21" i="19" s="1"/>
  <c r="AO11" i="12"/>
  <c r="AK11" i="12"/>
  <c r="AK18" i="21" l="1"/>
  <c r="AK18" i="20"/>
  <c r="AO20" i="19"/>
  <c r="AD12" i="21"/>
  <c r="Y12" i="21"/>
  <c r="Z12" i="21"/>
  <c r="AA12" i="21" s="1"/>
  <c r="W12" i="21"/>
  <c r="W10" i="20"/>
  <c r="AC9" i="20"/>
  <c r="X10" i="20" s="1"/>
  <c r="AI21" i="19"/>
  <c r="AK21" i="19" s="1"/>
  <c r="Z10" i="19"/>
  <c r="AA10" i="19" s="1"/>
  <c r="AC10" i="19" s="1"/>
  <c r="X11" i="19" s="1"/>
  <c r="W10" i="19"/>
  <c r="AD10" i="19"/>
  <c r="AI12" i="12"/>
  <c r="AG12" i="12"/>
  <c r="AG19" i="21" l="1"/>
  <c r="AI19" i="21"/>
  <c r="AO19" i="21" s="1"/>
  <c r="AO21" i="19"/>
  <c r="AB12" i="21"/>
  <c r="V13" i="21" s="1"/>
  <c r="AI19" i="20"/>
  <c r="AG19" i="20"/>
  <c r="W13" i="21"/>
  <c r="AC12" i="21"/>
  <c r="X13" i="21" s="1"/>
  <c r="AD10" i="20"/>
  <c r="Y10" i="20"/>
  <c r="Z10" i="20"/>
  <c r="AA10" i="20" s="1"/>
  <c r="AB10" i="20" s="1"/>
  <c r="V11" i="20" s="1"/>
  <c r="AB10" i="19"/>
  <c r="V11" i="19" s="1"/>
  <c r="W11" i="19" s="1"/>
  <c r="AG22" i="19"/>
  <c r="AI22" i="19"/>
  <c r="Y11" i="19"/>
  <c r="AO12" i="12"/>
  <c r="AK12" i="12"/>
  <c r="AK19" i="21" l="1"/>
  <c r="AK19" i="20"/>
  <c r="AI20" i="20" s="1"/>
  <c r="AG20" i="20"/>
  <c r="AK20" i="20" s="1"/>
  <c r="AO19" i="20"/>
  <c r="AD13" i="21"/>
  <c r="Y13" i="21"/>
  <c r="Z13" i="21"/>
  <c r="AA13" i="21" s="1"/>
  <c r="AB13" i="21" s="1"/>
  <c r="V14" i="21" s="1"/>
  <c r="AO22" i="19"/>
  <c r="Z11" i="19"/>
  <c r="AA11" i="19" s="1"/>
  <c r="AB11" i="19" s="1"/>
  <c r="V12" i="19" s="1"/>
  <c r="W12" i="19" s="1"/>
  <c r="AD11" i="19"/>
  <c r="AK22" i="19"/>
  <c r="AG23" i="19" s="1"/>
  <c r="W11" i="20"/>
  <c r="AC10" i="20"/>
  <c r="X11" i="20" s="1"/>
  <c r="AG13" i="12"/>
  <c r="AI13" i="12"/>
  <c r="AI20" i="21" l="1"/>
  <c r="AG20" i="21"/>
  <c r="AI23" i="19"/>
  <c r="AI21" i="20"/>
  <c r="AG21" i="20"/>
  <c r="AO20" i="20"/>
  <c r="AK23" i="19"/>
  <c r="AI24" i="19" s="1"/>
  <c r="W14" i="21"/>
  <c r="AC13" i="21"/>
  <c r="X14" i="21" s="1"/>
  <c r="AC11" i="19"/>
  <c r="X12" i="19" s="1"/>
  <c r="AD12" i="19" s="1"/>
  <c r="AO23" i="19"/>
  <c r="AG24" i="19"/>
  <c r="AD11" i="20"/>
  <c r="Y11" i="20"/>
  <c r="Z11" i="20"/>
  <c r="AA11" i="20" s="1"/>
  <c r="AB11" i="20" s="1"/>
  <c r="V12" i="20" s="1"/>
  <c r="AK13" i="12"/>
  <c r="AO13" i="12"/>
  <c r="AK20" i="21" l="1"/>
  <c r="AG21" i="21"/>
  <c r="AI21" i="21"/>
  <c r="AO21" i="21" s="1"/>
  <c r="AO20" i="21"/>
  <c r="AK21" i="20"/>
  <c r="AI22" i="20" s="1"/>
  <c r="AG22" i="20"/>
  <c r="AO21" i="20"/>
  <c r="Z12" i="19"/>
  <c r="AA12" i="19" s="1"/>
  <c r="AB12" i="19" s="1"/>
  <c r="V13" i="19" s="1"/>
  <c r="W13" i="19" s="1"/>
  <c r="Y12" i="19"/>
  <c r="AC12" i="19" s="1"/>
  <c r="X13" i="19" s="1"/>
  <c r="AD14" i="21"/>
  <c r="Y14" i="21"/>
  <c r="Z14" i="21"/>
  <c r="AA14" i="21" s="1"/>
  <c r="AB14" i="21" s="1"/>
  <c r="V15" i="21" s="1"/>
  <c r="AK24" i="19"/>
  <c r="AG25" i="19" s="1"/>
  <c r="AO24" i="19"/>
  <c r="W12" i="20"/>
  <c r="AC11" i="20"/>
  <c r="X12" i="20" s="1"/>
  <c r="AI14" i="12"/>
  <c r="AG14" i="12"/>
  <c r="AK21" i="21" l="1"/>
  <c r="AI25" i="19"/>
  <c r="AK22" i="20"/>
  <c r="AI23" i="20" s="1"/>
  <c r="AG23" i="20"/>
  <c r="AK23" i="20" s="1"/>
  <c r="AO22" i="20"/>
  <c r="AK25" i="19"/>
  <c r="AG26" i="19" s="1"/>
  <c r="AO25" i="19"/>
  <c r="W15" i="21"/>
  <c r="AC14" i="21"/>
  <c r="X15" i="21" s="1"/>
  <c r="AD12" i="20"/>
  <c r="Y12" i="20"/>
  <c r="Z12" i="20"/>
  <c r="AA12" i="20" s="1"/>
  <c r="AB12" i="20" s="1"/>
  <c r="V13" i="20" s="1"/>
  <c r="AD13" i="19"/>
  <c r="Y13" i="19"/>
  <c r="Z13" i="19"/>
  <c r="AA13" i="19" s="1"/>
  <c r="AB13" i="19" s="1"/>
  <c r="V14" i="19" s="1"/>
  <c r="AK14" i="12"/>
  <c r="AG15" i="12" s="1"/>
  <c r="AI15" i="12"/>
  <c r="AO14" i="12"/>
  <c r="AI22" i="21" l="1"/>
  <c r="AG22" i="21"/>
  <c r="AK22" i="21" s="1"/>
  <c r="AI26" i="19"/>
  <c r="AK26" i="19" s="1"/>
  <c r="AI24" i="20"/>
  <c r="AG24" i="20"/>
  <c r="AO23" i="20"/>
  <c r="AO26" i="19"/>
  <c r="AD15" i="21"/>
  <c r="Y15" i="21"/>
  <c r="Z15" i="21"/>
  <c r="AA15" i="21" s="1"/>
  <c r="AB15" i="21" s="1"/>
  <c r="V16" i="21" s="1"/>
  <c r="W13" i="20"/>
  <c r="AC12" i="20"/>
  <c r="X13" i="20" s="1"/>
  <c r="W14" i="19"/>
  <c r="AC13" i="19"/>
  <c r="X14" i="19" s="1"/>
  <c r="AO15" i="12"/>
  <c r="AK15" i="12"/>
  <c r="AK24" i="20" l="1"/>
  <c r="AI23" i="21"/>
  <c r="AG23" i="21"/>
  <c r="AK23" i="21" s="1"/>
  <c r="AO22" i="21"/>
  <c r="AI25" i="20"/>
  <c r="AG25" i="20"/>
  <c r="AO24" i="20"/>
  <c r="W16" i="21"/>
  <c r="AC15" i="21"/>
  <c r="X16" i="21" s="1"/>
  <c r="AD13" i="20"/>
  <c r="Y13" i="20"/>
  <c r="Z13" i="20"/>
  <c r="AA13" i="20" s="1"/>
  <c r="AB13" i="20" s="1"/>
  <c r="V14" i="20" s="1"/>
  <c r="AG27" i="19"/>
  <c r="AI27" i="19"/>
  <c r="AD14" i="19"/>
  <c r="Y14" i="19"/>
  <c r="Z14" i="19"/>
  <c r="AA14" i="19" s="1"/>
  <c r="AB14" i="19" s="1"/>
  <c r="V15" i="19" s="1"/>
  <c r="AG16" i="12"/>
  <c r="AI16" i="12"/>
  <c r="AK25" i="20" l="1"/>
  <c r="AO27" i="19"/>
  <c r="AI24" i="21"/>
  <c r="AG24" i="21"/>
  <c r="AK24" i="21" s="1"/>
  <c r="AO23" i="21"/>
  <c r="AI26" i="20"/>
  <c r="AG26" i="20"/>
  <c r="AK26" i="20" s="1"/>
  <c r="AO25" i="20"/>
  <c r="AD16" i="21"/>
  <c r="Y16" i="21"/>
  <c r="Z16" i="21"/>
  <c r="AA16" i="21" s="1"/>
  <c r="AB16" i="21" s="1"/>
  <c r="V17" i="21" s="1"/>
  <c r="W14" i="20"/>
  <c r="AC13" i="20"/>
  <c r="X14" i="20" s="1"/>
  <c r="AK27" i="19"/>
  <c r="W15" i="19"/>
  <c r="AC14" i="19"/>
  <c r="X15" i="19" s="1"/>
  <c r="AO16" i="12"/>
  <c r="AK16" i="12"/>
  <c r="AI25" i="21" l="1"/>
  <c r="AG25" i="21"/>
  <c r="AK25" i="21" s="1"/>
  <c r="AO24" i="21"/>
  <c r="AI27" i="20"/>
  <c r="AG27" i="20"/>
  <c r="AK27" i="20" s="1"/>
  <c r="AO26" i="20"/>
  <c r="W17" i="21"/>
  <c r="AC16" i="21"/>
  <c r="X17" i="21" s="1"/>
  <c r="AD14" i="20"/>
  <c r="Y14" i="20"/>
  <c r="Z14" i="20"/>
  <c r="AA14" i="20" s="1"/>
  <c r="AB14" i="20" s="1"/>
  <c r="V15" i="20" s="1"/>
  <c r="AG28" i="19"/>
  <c r="AI28" i="19"/>
  <c r="AD15" i="19"/>
  <c r="Y15" i="19"/>
  <c r="Z15" i="19"/>
  <c r="AA15" i="19" s="1"/>
  <c r="AB15" i="19" s="1"/>
  <c r="V16" i="19" s="1"/>
  <c r="AG17" i="12"/>
  <c r="AI17" i="12"/>
  <c r="AO28" i="19" l="1"/>
  <c r="AG26" i="21"/>
  <c r="AI26" i="21"/>
  <c r="AO26" i="21" s="1"/>
  <c r="AO25" i="21"/>
  <c r="AI28" i="20"/>
  <c r="AG28" i="20"/>
  <c r="AK28" i="20" s="1"/>
  <c r="AO27" i="20"/>
  <c r="AD17" i="21"/>
  <c r="Y17" i="21"/>
  <c r="Z17" i="21"/>
  <c r="AA17" i="21" s="1"/>
  <c r="AB17" i="21" s="1"/>
  <c r="V18" i="21" s="1"/>
  <c r="W15" i="20"/>
  <c r="AC14" i="20"/>
  <c r="X15" i="20" s="1"/>
  <c r="AK28" i="19"/>
  <c r="AC15" i="19"/>
  <c r="X16" i="19" s="1"/>
  <c r="Z16" i="19" s="1"/>
  <c r="AA16" i="19" s="1"/>
  <c r="W16" i="19"/>
  <c r="AK17" i="12"/>
  <c r="AO17" i="12"/>
  <c r="AK26" i="21" l="1"/>
  <c r="AI29" i="20"/>
  <c r="AG29" i="20"/>
  <c r="AK29" i="20" s="1"/>
  <c r="AO28" i="20"/>
  <c r="Y16" i="19"/>
  <c r="AC16" i="19" s="1"/>
  <c r="X17" i="19" s="1"/>
  <c r="AD16" i="19"/>
  <c r="W18" i="21"/>
  <c r="AC17" i="21"/>
  <c r="X18" i="21" s="1"/>
  <c r="AD15" i="20"/>
  <c r="Y15" i="20"/>
  <c r="Z15" i="20"/>
  <c r="AA15" i="20" s="1"/>
  <c r="AB15" i="20" s="1"/>
  <c r="V16" i="20" s="1"/>
  <c r="AB16" i="19"/>
  <c r="V17" i="19" s="1"/>
  <c r="W17" i="19" s="1"/>
  <c r="AG29" i="19"/>
  <c r="AI29" i="19"/>
  <c r="AI18" i="12"/>
  <c r="AG18" i="12"/>
  <c r="AG27" i="21" l="1"/>
  <c r="AI27" i="21"/>
  <c r="AD17" i="19"/>
  <c r="AI30" i="20"/>
  <c r="AG30" i="20"/>
  <c r="AK30" i="20" s="1"/>
  <c r="AO29" i="20"/>
  <c r="AD18" i="21"/>
  <c r="Y18" i="21"/>
  <c r="Z18" i="21"/>
  <c r="AA18" i="21" s="1"/>
  <c r="AB18" i="21" s="1"/>
  <c r="V19" i="21" s="1"/>
  <c r="AO29" i="19"/>
  <c r="Z17" i="19"/>
  <c r="AA17" i="19" s="1"/>
  <c r="AB17" i="19" s="1"/>
  <c r="V18" i="19" s="1"/>
  <c r="W18" i="19" s="1"/>
  <c r="Y17" i="19"/>
  <c r="W16" i="20"/>
  <c r="AC15" i="20"/>
  <c r="X16" i="20" s="1"/>
  <c r="AK29" i="19"/>
  <c r="AK18" i="12"/>
  <c r="AI19" i="12" s="1"/>
  <c r="AG19" i="12"/>
  <c r="AO18" i="12"/>
  <c r="AK27" i="21" l="1"/>
  <c r="AO27" i="21"/>
  <c r="AG28" i="21"/>
  <c r="AI28" i="21"/>
  <c r="AO28" i="21" s="1"/>
  <c r="AI31" i="20"/>
  <c r="AG31" i="20"/>
  <c r="AK31" i="20" s="1"/>
  <c r="AO30" i="20"/>
  <c r="W19" i="21"/>
  <c r="AC18" i="21"/>
  <c r="X19" i="21" s="1"/>
  <c r="AC17" i="19"/>
  <c r="X18" i="19" s="1"/>
  <c r="Z18" i="19" s="1"/>
  <c r="AA18" i="19" s="1"/>
  <c r="AB18" i="19" s="1"/>
  <c r="V19" i="19" s="1"/>
  <c r="W19" i="19" s="1"/>
  <c r="Y18" i="19"/>
  <c r="AD18" i="19"/>
  <c r="AD16" i="20"/>
  <c r="Y16" i="20"/>
  <c r="Z16" i="20"/>
  <c r="AA16" i="20" s="1"/>
  <c r="AB16" i="20" s="1"/>
  <c r="V17" i="20" s="1"/>
  <c r="AG30" i="19"/>
  <c r="AI30" i="19"/>
  <c r="AK19" i="12"/>
  <c r="AO19" i="12"/>
  <c r="AK28" i="21" l="1"/>
  <c r="AI32" i="20"/>
  <c r="AG32" i="20"/>
  <c r="AK32" i="20" s="1"/>
  <c r="AO31" i="20"/>
  <c r="AD19" i="21"/>
  <c r="Y19" i="21"/>
  <c r="Z19" i="21"/>
  <c r="AA19" i="21" s="1"/>
  <c r="AB19" i="21" s="1"/>
  <c r="V20" i="21" s="1"/>
  <c r="AC18" i="19"/>
  <c r="X19" i="19" s="1"/>
  <c r="Y19" i="19" s="1"/>
  <c r="AO30" i="19"/>
  <c r="W17" i="20"/>
  <c r="AC16" i="20"/>
  <c r="X17" i="20" s="1"/>
  <c r="AK30" i="19"/>
  <c r="AI20" i="12"/>
  <c r="AG20" i="12"/>
  <c r="AG29" i="21" l="1"/>
  <c r="AI29" i="21"/>
  <c r="AD19" i="19"/>
  <c r="Z19" i="19"/>
  <c r="AA19" i="19" s="1"/>
  <c r="AB19" i="19" s="1"/>
  <c r="V20" i="19" s="1"/>
  <c r="W20" i="19" s="1"/>
  <c r="AI33" i="20"/>
  <c r="AG33" i="20"/>
  <c r="AO32" i="20"/>
  <c r="W20" i="21"/>
  <c r="AC19" i="21"/>
  <c r="X20" i="21" s="1"/>
  <c r="AC19" i="19"/>
  <c r="X20" i="19" s="1"/>
  <c r="Y20" i="19" s="1"/>
  <c r="AD17" i="20"/>
  <c r="Y17" i="20"/>
  <c r="Z17" i="20"/>
  <c r="AA17" i="20" s="1"/>
  <c r="AB17" i="20" s="1"/>
  <c r="V18" i="20" s="1"/>
  <c r="AG31" i="19"/>
  <c r="AI31" i="19"/>
  <c r="AK20" i="12"/>
  <c r="AI21" i="12" s="1"/>
  <c r="AO20" i="12"/>
  <c r="AO29" i="21" l="1"/>
  <c r="AK29" i="21"/>
  <c r="AO33" i="20"/>
  <c r="AK33" i="20"/>
  <c r="AD20" i="21"/>
  <c r="Y20" i="21"/>
  <c r="Z20" i="21"/>
  <c r="AA20" i="21" s="1"/>
  <c r="AB20" i="21" s="1"/>
  <c r="V21" i="21" s="1"/>
  <c r="AO31" i="19"/>
  <c r="Z20" i="19"/>
  <c r="AA20" i="19" s="1"/>
  <c r="AB20" i="19" s="1"/>
  <c r="V21" i="19" s="1"/>
  <c r="W21" i="19" s="1"/>
  <c r="AD20" i="19"/>
  <c r="AG21" i="12"/>
  <c r="AK21" i="12" s="1"/>
  <c r="W18" i="20"/>
  <c r="AC17" i="20"/>
  <c r="X18" i="20" s="1"/>
  <c r="AK31" i="19"/>
  <c r="AI30" i="21" l="1"/>
  <c r="AG30" i="21"/>
  <c r="AK30" i="21" s="1"/>
  <c r="AI34" i="20"/>
  <c r="AG34" i="20"/>
  <c r="AK34" i="20" s="1"/>
  <c r="AC20" i="19"/>
  <c r="X21" i="19" s="1"/>
  <c r="AD21" i="19" s="1"/>
  <c r="W21" i="21"/>
  <c r="AC20" i="21"/>
  <c r="X21" i="21" s="1"/>
  <c r="AG22" i="12"/>
  <c r="AI22" i="12"/>
  <c r="AK22" i="12" s="1"/>
  <c r="AO21" i="12"/>
  <c r="AD18" i="20"/>
  <c r="Y18" i="20"/>
  <c r="Z18" i="20"/>
  <c r="AA18" i="20" s="1"/>
  <c r="AB18" i="20" s="1"/>
  <c r="V19" i="20" s="1"/>
  <c r="AG32" i="19"/>
  <c r="AI32" i="19"/>
  <c r="Z21" i="19" l="1"/>
  <c r="AA21" i="19" s="1"/>
  <c r="AB21" i="19" s="1"/>
  <c r="V22" i="19" s="1"/>
  <c r="Y21" i="19"/>
  <c r="AI31" i="21"/>
  <c r="AG31" i="21"/>
  <c r="AK31" i="21" s="1"/>
  <c r="AO30" i="21"/>
  <c r="AI35" i="20"/>
  <c r="AG35" i="20"/>
  <c r="AK35" i="20" s="1"/>
  <c r="AO34" i="20"/>
  <c r="AD21" i="21"/>
  <c r="Y21" i="21"/>
  <c r="Z21" i="21"/>
  <c r="AA21" i="21" s="1"/>
  <c r="AB21" i="21" s="1"/>
  <c r="V22" i="21" s="1"/>
  <c r="AO22" i="12"/>
  <c r="AO32" i="19"/>
  <c r="W19" i="20"/>
  <c r="AC18" i="20"/>
  <c r="X19" i="20" s="1"/>
  <c r="AK32" i="19"/>
  <c r="W22" i="19"/>
  <c r="AC21" i="19"/>
  <c r="X22" i="19" s="1"/>
  <c r="AG23" i="12"/>
  <c r="AI23" i="12"/>
  <c r="AG32" i="21" l="1"/>
  <c r="AI32" i="21"/>
  <c r="AO32" i="21" s="1"/>
  <c r="AO31" i="21"/>
  <c r="AI36" i="20"/>
  <c r="AG36" i="20"/>
  <c r="AK36" i="20" s="1"/>
  <c r="AO35" i="20"/>
  <c r="W22" i="21"/>
  <c r="AC21" i="21"/>
  <c r="X22" i="21" s="1"/>
  <c r="AD19" i="20"/>
  <c r="Y19" i="20"/>
  <c r="Z19" i="20"/>
  <c r="AA19" i="20" s="1"/>
  <c r="AB19" i="20" s="1"/>
  <c r="V20" i="20" s="1"/>
  <c r="AG33" i="19"/>
  <c r="AI33" i="19"/>
  <c r="AD22" i="19"/>
  <c r="Y22" i="19"/>
  <c r="Z22" i="19"/>
  <c r="AA22" i="19" s="1"/>
  <c r="AB22" i="19" s="1"/>
  <c r="V23" i="19" s="1"/>
  <c r="AK23" i="12"/>
  <c r="AO23" i="12"/>
  <c r="AK32" i="21" l="1"/>
  <c r="AI37" i="20"/>
  <c r="AG37" i="20"/>
  <c r="AK37" i="20" s="1"/>
  <c r="AO36" i="20"/>
  <c r="AD22" i="21"/>
  <c r="Y22" i="21"/>
  <c r="Z22" i="21"/>
  <c r="AA22" i="21" s="1"/>
  <c r="AB22" i="21" s="1"/>
  <c r="V23" i="21" s="1"/>
  <c r="AO33" i="19"/>
  <c r="W20" i="20"/>
  <c r="AC19" i="20"/>
  <c r="X20" i="20" s="1"/>
  <c r="AK33" i="19"/>
  <c r="W23" i="19"/>
  <c r="AC22" i="19"/>
  <c r="X23" i="19" s="1"/>
  <c r="AI24" i="12"/>
  <c r="AG24" i="12"/>
  <c r="AI33" i="21" l="1"/>
  <c r="AG33" i="21"/>
  <c r="AK33" i="21" s="1"/>
  <c r="AI38" i="20"/>
  <c r="AG38" i="20"/>
  <c r="AK38" i="20" s="1"/>
  <c r="AO37" i="20"/>
  <c r="W23" i="21"/>
  <c r="AC22" i="21"/>
  <c r="X23" i="21" s="1"/>
  <c r="AD20" i="20"/>
  <c r="Y20" i="20"/>
  <c r="Z20" i="20"/>
  <c r="AA20" i="20" s="1"/>
  <c r="AB20" i="20" s="1"/>
  <c r="V21" i="20" s="1"/>
  <c r="AG34" i="19"/>
  <c r="AI34" i="19"/>
  <c r="AD23" i="19"/>
  <c r="Y23" i="19"/>
  <c r="Z23" i="19"/>
  <c r="AA23" i="19" s="1"/>
  <c r="AB23" i="19" s="1"/>
  <c r="V24" i="19" s="1"/>
  <c r="AO24" i="12"/>
  <c r="AK24" i="12"/>
  <c r="AI34" i="21" l="1"/>
  <c r="AG34" i="21"/>
  <c r="AO33" i="21"/>
  <c r="AO34" i="19"/>
  <c r="AI39" i="20"/>
  <c r="AG39" i="20"/>
  <c r="AK39" i="20" s="1"/>
  <c r="AO38" i="20"/>
  <c r="AD23" i="21"/>
  <c r="Y23" i="21"/>
  <c r="Z23" i="21"/>
  <c r="AA23" i="21" s="1"/>
  <c r="AB23" i="21" s="1"/>
  <c r="V24" i="21" s="1"/>
  <c r="W21" i="20"/>
  <c r="AC20" i="20"/>
  <c r="X21" i="20" s="1"/>
  <c r="AK34" i="19"/>
  <c r="W24" i="19"/>
  <c r="AC23" i="19"/>
  <c r="X24" i="19" s="1"/>
  <c r="AG25" i="12"/>
  <c r="AI25" i="12"/>
  <c r="AK34" i="21" l="1"/>
  <c r="AI35" i="21"/>
  <c r="AG35" i="21"/>
  <c r="AK35" i="21" s="1"/>
  <c r="AO34" i="21"/>
  <c r="AI40" i="20"/>
  <c r="AG40" i="20"/>
  <c r="AO39" i="20"/>
  <c r="W24" i="21"/>
  <c r="AC23" i="21"/>
  <c r="X24" i="21" s="1"/>
  <c r="AD21" i="20"/>
  <c r="Y21" i="20"/>
  <c r="Z21" i="20"/>
  <c r="AA21" i="20" s="1"/>
  <c r="AB21" i="20" s="1"/>
  <c r="V22" i="20" s="1"/>
  <c r="AG35" i="19"/>
  <c r="AI35" i="19"/>
  <c r="AD24" i="19"/>
  <c r="Y24" i="19"/>
  <c r="Z24" i="19"/>
  <c r="AA24" i="19" s="1"/>
  <c r="AB24" i="19" s="1"/>
  <c r="V25" i="19" s="1"/>
  <c r="AK25" i="12"/>
  <c r="AO25" i="12"/>
  <c r="AG36" i="21" l="1"/>
  <c r="AI36" i="21"/>
  <c r="AO36" i="21" s="1"/>
  <c r="AO35" i="21"/>
  <c r="AK40" i="20"/>
  <c r="AO35" i="19"/>
  <c r="AI41" i="20"/>
  <c r="AG41" i="20"/>
  <c r="AO40" i="20"/>
  <c r="AD24" i="21"/>
  <c r="Y24" i="21"/>
  <c r="Z24" i="21"/>
  <c r="AA24" i="21" s="1"/>
  <c r="AB24" i="21" s="1"/>
  <c r="V25" i="21" s="1"/>
  <c r="W22" i="20"/>
  <c r="AC21" i="20"/>
  <c r="X22" i="20" s="1"/>
  <c r="AK35" i="19"/>
  <c r="W25" i="19"/>
  <c r="AC24" i="19"/>
  <c r="X25" i="19" s="1"/>
  <c r="AG26" i="12"/>
  <c r="AI26" i="12"/>
  <c r="AK36" i="21" l="1"/>
  <c r="AO41" i="20"/>
  <c r="AK41" i="20"/>
  <c r="W25" i="21"/>
  <c r="AC24" i="21"/>
  <c r="X25" i="21" s="1"/>
  <c r="AD22" i="20"/>
  <c r="Y22" i="20"/>
  <c r="Z22" i="20"/>
  <c r="AA22" i="20" s="1"/>
  <c r="AB22" i="20" s="1"/>
  <c r="V23" i="20" s="1"/>
  <c r="AG36" i="19"/>
  <c r="AI36" i="19"/>
  <c r="AO36" i="19" s="1"/>
  <c r="AD25" i="19"/>
  <c r="Y25" i="19"/>
  <c r="Z25" i="19"/>
  <c r="AA25" i="19" s="1"/>
  <c r="AB25" i="19" s="1"/>
  <c r="V26" i="19" s="1"/>
  <c r="AO26" i="12"/>
  <c r="AK26" i="12"/>
  <c r="AG37" i="21" l="1"/>
  <c r="AI37" i="21"/>
  <c r="AO37" i="21" s="1"/>
  <c r="AI42" i="20"/>
  <c r="AG42" i="20"/>
  <c r="AK42" i="20" s="1"/>
  <c r="AD25" i="21"/>
  <c r="Y25" i="21"/>
  <c r="Z25" i="21"/>
  <c r="AA25" i="21" s="1"/>
  <c r="AB25" i="21" s="1"/>
  <c r="V26" i="21" s="1"/>
  <c r="W23" i="20"/>
  <c r="AC22" i="20"/>
  <c r="X23" i="20" s="1"/>
  <c r="AK36" i="19"/>
  <c r="W26" i="19"/>
  <c r="AC25" i="19"/>
  <c r="X26" i="19" s="1"/>
  <c r="AG27" i="12"/>
  <c r="AI27" i="12"/>
  <c r="AK37" i="21" l="1"/>
  <c r="AI43" i="20"/>
  <c r="AG43" i="20"/>
  <c r="AK43" i="20" s="1"/>
  <c r="AO42" i="20"/>
  <c r="W26" i="21"/>
  <c r="AC25" i="21"/>
  <c r="X26" i="21" s="1"/>
  <c r="AD23" i="20"/>
  <c r="Y23" i="20"/>
  <c r="Z23" i="20"/>
  <c r="AA23" i="20" s="1"/>
  <c r="AB23" i="20" s="1"/>
  <c r="V24" i="20" s="1"/>
  <c r="AG37" i="19"/>
  <c r="AI37" i="19"/>
  <c r="AO37" i="19" s="1"/>
  <c r="AD26" i="19"/>
  <c r="Y26" i="19"/>
  <c r="Z26" i="19"/>
  <c r="AA26" i="19" s="1"/>
  <c r="AB26" i="19" s="1"/>
  <c r="V27" i="19" s="1"/>
  <c r="AO27" i="12"/>
  <c r="AK27" i="12"/>
  <c r="AG38" i="21" l="1"/>
  <c r="AI38" i="21"/>
  <c r="AO38" i="21" s="1"/>
  <c r="AI44" i="20"/>
  <c r="AG44" i="20"/>
  <c r="AK44" i="20" s="1"/>
  <c r="AO43" i="20"/>
  <c r="AD26" i="21"/>
  <c r="Y26" i="21"/>
  <c r="Z26" i="21"/>
  <c r="AA26" i="21" s="1"/>
  <c r="AB26" i="21" s="1"/>
  <c r="V27" i="21" s="1"/>
  <c r="W24" i="20"/>
  <c r="AC23" i="20"/>
  <c r="X24" i="20" s="1"/>
  <c r="AK37" i="19"/>
  <c r="W27" i="19"/>
  <c r="AC26" i="19"/>
  <c r="X27" i="19" s="1"/>
  <c r="AI28" i="12"/>
  <c r="AG28" i="12"/>
  <c r="AK38" i="21" l="1"/>
  <c r="AO44" i="20"/>
  <c r="W27" i="21"/>
  <c r="AC26" i="21"/>
  <c r="X27" i="21" s="1"/>
  <c r="AD24" i="20"/>
  <c r="Y24" i="20"/>
  <c r="Z24" i="20"/>
  <c r="AA24" i="20" s="1"/>
  <c r="AB24" i="20" s="1"/>
  <c r="V25" i="20" s="1"/>
  <c r="AG38" i="19"/>
  <c r="AI38" i="19"/>
  <c r="AD27" i="19"/>
  <c r="Y27" i="19"/>
  <c r="Z27" i="19"/>
  <c r="AA27" i="19" s="1"/>
  <c r="AB27" i="19" s="1"/>
  <c r="V28" i="19" s="1"/>
  <c r="AO28" i="12"/>
  <c r="AK28" i="12"/>
  <c r="AG39" i="21" l="1"/>
  <c r="AI39" i="21"/>
  <c r="AO39" i="21" s="1"/>
  <c r="AD27" i="21"/>
  <c r="Y27" i="21"/>
  <c r="Z27" i="21"/>
  <c r="AA27" i="21" s="1"/>
  <c r="AB27" i="21" s="1"/>
  <c r="V28" i="21" s="1"/>
  <c r="W25" i="20"/>
  <c r="AC24" i="20"/>
  <c r="X25" i="20" s="1"/>
  <c r="AK38" i="19"/>
  <c r="AO38" i="19"/>
  <c r="W28" i="19"/>
  <c r="AC27" i="19"/>
  <c r="X28" i="19" s="1"/>
  <c r="AI29" i="12"/>
  <c r="AG29" i="12"/>
  <c r="AK39" i="21" l="1"/>
  <c r="W28" i="21"/>
  <c r="AC27" i="21"/>
  <c r="X28" i="21" s="1"/>
  <c r="AD25" i="20"/>
  <c r="Y25" i="20"/>
  <c r="Z25" i="20"/>
  <c r="AA25" i="20" s="1"/>
  <c r="AB25" i="20" s="1"/>
  <c r="V26" i="20" s="1"/>
  <c r="AG39" i="19"/>
  <c r="AI39" i="19"/>
  <c r="AO39" i="19" s="1"/>
  <c r="AD28" i="19"/>
  <c r="Y28" i="19"/>
  <c r="Z28" i="19"/>
  <c r="AA28" i="19" s="1"/>
  <c r="AB28" i="19" s="1"/>
  <c r="V29" i="19" s="1"/>
  <c r="AK29" i="12"/>
  <c r="AI30" i="12" s="1"/>
  <c r="AO29" i="12"/>
  <c r="AI40" i="21" l="1"/>
  <c r="AG40" i="21"/>
  <c r="AK40" i="21" s="1"/>
  <c r="AD28" i="21"/>
  <c r="Y28" i="21"/>
  <c r="Z28" i="21"/>
  <c r="AA28" i="21" s="1"/>
  <c r="AB28" i="21" s="1"/>
  <c r="V29" i="21" s="1"/>
  <c r="W26" i="20"/>
  <c r="AC25" i="20"/>
  <c r="X26" i="20" s="1"/>
  <c r="AK39" i="19"/>
  <c r="W29" i="19"/>
  <c r="AC28" i="19"/>
  <c r="X29" i="19" s="1"/>
  <c r="AG30" i="12"/>
  <c r="AO30" i="12" s="1"/>
  <c r="AI41" i="21" l="1"/>
  <c r="AG41" i="21"/>
  <c r="AK41" i="21" s="1"/>
  <c r="AO40" i="21"/>
  <c r="W29" i="21"/>
  <c r="AC28" i="21"/>
  <c r="X29" i="21" s="1"/>
  <c r="AD26" i="20"/>
  <c r="Y26" i="20"/>
  <c r="Z26" i="20"/>
  <c r="AA26" i="20" s="1"/>
  <c r="AB26" i="20" s="1"/>
  <c r="V27" i="20" s="1"/>
  <c r="AG40" i="19"/>
  <c r="AI40" i="19"/>
  <c r="AO40" i="19" s="1"/>
  <c r="AD29" i="19"/>
  <c r="Y29" i="19"/>
  <c r="Z29" i="19"/>
  <c r="AA29" i="19" s="1"/>
  <c r="AB29" i="19" s="1"/>
  <c r="V30" i="19" s="1"/>
  <c r="AK30" i="12"/>
  <c r="AG31" i="12" s="1"/>
  <c r="AI31" i="12"/>
  <c r="AI42" i="21" l="1"/>
  <c r="AG42" i="21"/>
  <c r="AK42" i="21" s="1"/>
  <c r="AO41" i="21"/>
  <c r="AD29" i="21"/>
  <c r="Y29" i="21"/>
  <c r="Z29" i="21"/>
  <c r="AA29" i="21" s="1"/>
  <c r="AB29" i="21" s="1"/>
  <c r="V30" i="21" s="1"/>
  <c r="W27" i="20"/>
  <c r="AC26" i="20"/>
  <c r="X27" i="20" s="1"/>
  <c r="AK40" i="19"/>
  <c r="W30" i="19"/>
  <c r="AC29" i="19"/>
  <c r="X30" i="19" s="1"/>
  <c r="AO31" i="12"/>
  <c r="AK31" i="12"/>
  <c r="AG43" i="21" l="1"/>
  <c r="AI43" i="21"/>
  <c r="AO43" i="21" s="1"/>
  <c r="AO42" i="21"/>
  <c r="W30" i="21"/>
  <c r="AC29" i="21"/>
  <c r="X30" i="21" s="1"/>
  <c r="AD27" i="20"/>
  <c r="Y27" i="20"/>
  <c r="Z27" i="20"/>
  <c r="AA27" i="20" s="1"/>
  <c r="AB27" i="20" s="1"/>
  <c r="V28" i="20" s="1"/>
  <c r="AG41" i="19"/>
  <c r="AI41" i="19"/>
  <c r="AO41" i="19" s="1"/>
  <c r="AD30" i="19"/>
  <c r="Y30" i="19"/>
  <c r="Z30" i="19"/>
  <c r="AA30" i="19" s="1"/>
  <c r="AB30" i="19" s="1"/>
  <c r="V31" i="19" s="1"/>
  <c r="AG32" i="12"/>
  <c r="AI32" i="12"/>
  <c r="AK43" i="21" l="1"/>
  <c r="AD30" i="21"/>
  <c r="Y30" i="21"/>
  <c r="Z30" i="21"/>
  <c r="AA30" i="21" s="1"/>
  <c r="AB30" i="21" s="1"/>
  <c r="V31" i="21" s="1"/>
  <c r="W28" i="20"/>
  <c r="AC27" i="20"/>
  <c r="X28" i="20" s="1"/>
  <c r="AK41" i="19"/>
  <c r="W31" i="19"/>
  <c r="AC30" i="19"/>
  <c r="X31" i="19" s="1"/>
  <c r="AO32" i="12"/>
  <c r="AK32" i="12"/>
  <c r="AG44" i="21" l="1"/>
  <c r="AI44" i="21"/>
  <c r="AO44" i="21" s="1"/>
  <c r="W31" i="21"/>
  <c r="AC30" i="21"/>
  <c r="X31" i="21" s="1"/>
  <c r="AD28" i="20"/>
  <c r="Y28" i="20"/>
  <c r="Z28" i="20"/>
  <c r="AA28" i="20" s="1"/>
  <c r="AB28" i="20" s="1"/>
  <c r="V29" i="20" s="1"/>
  <c r="AG42" i="19"/>
  <c r="AI42" i="19"/>
  <c r="AO42" i="19" s="1"/>
  <c r="AD31" i="19"/>
  <c r="Y31" i="19"/>
  <c r="Z31" i="19"/>
  <c r="AA31" i="19" s="1"/>
  <c r="AB31" i="19" s="1"/>
  <c r="V32" i="19" s="1"/>
  <c r="AI33" i="12"/>
  <c r="AG33" i="12"/>
  <c r="AK44" i="21" l="1"/>
  <c r="AD31" i="21"/>
  <c r="Y31" i="21"/>
  <c r="Z31" i="21"/>
  <c r="AA31" i="21" s="1"/>
  <c r="AB31" i="21" s="1"/>
  <c r="V32" i="21" s="1"/>
  <c r="W29" i="20"/>
  <c r="AC28" i="20"/>
  <c r="X29" i="20" s="1"/>
  <c r="AK42" i="19"/>
  <c r="W32" i="19"/>
  <c r="AC31" i="19"/>
  <c r="X32" i="19" s="1"/>
  <c r="AK33" i="12"/>
  <c r="AI34" i="12" s="1"/>
  <c r="AG34" i="12"/>
  <c r="AO33" i="12"/>
  <c r="W32" i="21" l="1"/>
  <c r="AC31" i="21"/>
  <c r="X32" i="21" s="1"/>
  <c r="AD29" i="20"/>
  <c r="Y29" i="20"/>
  <c r="Z29" i="20"/>
  <c r="AA29" i="20" s="1"/>
  <c r="AB29" i="20" s="1"/>
  <c r="V30" i="20" s="1"/>
  <c r="AG43" i="19"/>
  <c r="AI43" i="19"/>
  <c r="AD32" i="19"/>
  <c r="Y32" i="19"/>
  <c r="Z32" i="19"/>
  <c r="AA32" i="19" s="1"/>
  <c r="AB32" i="19" s="1"/>
  <c r="V33" i="19" s="1"/>
  <c r="AK34" i="12"/>
  <c r="AG35" i="12" s="1"/>
  <c r="AI35" i="12"/>
  <c r="AO34" i="12"/>
  <c r="AD32" i="21" l="1"/>
  <c r="Y32" i="21"/>
  <c r="Z32" i="21"/>
  <c r="AA32" i="21" s="1"/>
  <c r="AB32" i="21" s="1"/>
  <c r="V33" i="21" s="1"/>
  <c r="W30" i="20"/>
  <c r="AC29" i="20"/>
  <c r="X30" i="20" s="1"/>
  <c r="AO43" i="19"/>
  <c r="AK43" i="19"/>
  <c r="W33" i="19"/>
  <c r="AC32" i="19"/>
  <c r="X33" i="19" s="1"/>
  <c r="AO35" i="12"/>
  <c r="AK35" i="12"/>
  <c r="W33" i="21" l="1"/>
  <c r="AC32" i="21"/>
  <c r="X33" i="21" s="1"/>
  <c r="AD30" i="20"/>
  <c r="Y30" i="20"/>
  <c r="Z30" i="20"/>
  <c r="AA30" i="20" s="1"/>
  <c r="AB30" i="20" s="1"/>
  <c r="V31" i="20" s="1"/>
  <c r="AG44" i="19"/>
  <c r="AI44" i="19"/>
  <c r="AO44" i="19" s="1"/>
  <c r="AD33" i="19"/>
  <c r="Y33" i="19"/>
  <c r="Z33" i="19"/>
  <c r="AA33" i="19" s="1"/>
  <c r="AB33" i="19" s="1"/>
  <c r="V34" i="19" s="1"/>
  <c r="AG36" i="12"/>
  <c r="AI36" i="12"/>
  <c r="AD33" i="21" l="1"/>
  <c r="Y33" i="21"/>
  <c r="Z33" i="21"/>
  <c r="AA33" i="21" s="1"/>
  <c r="AB33" i="21" s="1"/>
  <c r="V34" i="21" s="1"/>
  <c r="W31" i="20"/>
  <c r="AC30" i="20"/>
  <c r="X31" i="20" s="1"/>
  <c r="AK44" i="19"/>
  <c r="W34" i="19"/>
  <c r="AC33" i="19"/>
  <c r="X34" i="19" s="1"/>
  <c r="AO36" i="12"/>
  <c r="AK36" i="12"/>
  <c r="W34" i="21" l="1"/>
  <c r="AC33" i="21"/>
  <c r="X34" i="21" s="1"/>
  <c r="AD31" i="20"/>
  <c r="Y31" i="20"/>
  <c r="Z31" i="20"/>
  <c r="AA31" i="20" s="1"/>
  <c r="AB31" i="20" s="1"/>
  <c r="V32" i="20" s="1"/>
  <c r="AD34" i="19"/>
  <c r="Y34" i="19"/>
  <c r="Z34" i="19"/>
  <c r="AG37" i="12"/>
  <c r="AI37" i="12"/>
  <c r="AD34" i="21" l="1"/>
  <c r="Y34" i="21"/>
  <c r="Z34" i="21"/>
  <c r="W32" i="20"/>
  <c r="AC31" i="20"/>
  <c r="X32" i="20" s="1"/>
  <c r="O26" i="19"/>
  <c r="O27" i="19" s="1"/>
  <c r="G17" i="19" s="1"/>
  <c r="AA34" i="19"/>
  <c r="AB34" i="19" s="1"/>
  <c r="AO37" i="12"/>
  <c r="AK37" i="12"/>
  <c r="O26" i="21" l="1"/>
  <c r="O27" i="21" s="1"/>
  <c r="G17" i="21" s="1"/>
  <c r="AA34" i="21"/>
  <c r="AB34" i="21" s="1"/>
  <c r="AD32" i="20"/>
  <c r="Y32" i="20"/>
  <c r="Z32" i="20"/>
  <c r="AA32" i="20" s="1"/>
  <c r="AB32" i="20" s="1"/>
  <c r="V33" i="20" s="1"/>
  <c r="AC34" i="19"/>
  <c r="G20" i="19"/>
  <c r="G18" i="19"/>
  <c r="AI38" i="12"/>
  <c r="AG38" i="12"/>
  <c r="AC34" i="21" l="1"/>
  <c r="G20" i="21"/>
  <c r="G18" i="21"/>
  <c r="W33" i="20"/>
  <c r="AC32" i="20"/>
  <c r="X33" i="20" s="1"/>
  <c r="K6" i="19"/>
  <c r="G33" i="19"/>
  <c r="K10" i="19" s="1"/>
  <c r="K15" i="19" s="1"/>
  <c r="AK38" i="12"/>
  <c r="AG39" i="12" s="1"/>
  <c r="AO38" i="12"/>
  <c r="K6" i="21" l="1"/>
  <c r="G33" i="21"/>
  <c r="K10" i="21" s="1"/>
  <c r="K15" i="21" s="1"/>
  <c r="AD33" i="20"/>
  <c r="Y33" i="20"/>
  <c r="Z33" i="20"/>
  <c r="AA33" i="20" s="1"/>
  <c r="AB33" i="20" s="1"/>
  <c r="V34" i="20" s="1"/>
  <c r="K43" i="19"/>
  <c r="K35" i="19"/>
  <c r="K7" i="19"/>
  <c r="AI39" i="12"/>
  <c r="AO39" i="12" s="1"/>
  <c r="K35" i="21" l="1"/>
  <c r="K43" i="21"/>
  <c r="K7" i="21"/>
  <c r="W34" i="20"/>
  <c r="AC33" i="20"/>
  <c r="X34" i="20" s="1"/>
  <c r="AK39" i="12"/>
  <c r="AG40" i="12" s="1"/>
  <c r="AI40" i="12" l="1"/>
  <c r="AO40" i="12" s="1"/>
  <c r="AD34" i="20"/>
  <c r="Y34" i="20"/>
  <c r="Z34" i="20"/>
  <c r="AK40" i="12" l="1"/>
  <c r="O26" i="20"/>
  <c r="O27" i="20" s="1"/>
  <c r="G17" i="20" s="1"/>
  <c r="AA34" i="20"/>
  <c r="AB34" i="20" s="1"/>
  <c r="AI41" i="12"/>
  <c r="AG41" i="12"/>
  <c r="AC34" i="20" l="1"/>
  <c r="G20" i="20"/>
  <c r="G18" i="20"/>
  <c r="AK41" i="12"/>
  <c r="AG42" i="12" s="1"/>
  <c r="AI42" i="12"/>
  <c r="AO41" i="12"/>
  <c r="K6" i="20" l="1"/>
  <c r="G33" i="20"/>
  <c r="K10" i="20" s="1"/>
  <c r="K15" i="20" s="1"/>
  <c r="AO42" i="12"/>
  <c r="AK42" i="12"/>
  <c r="K43" i="20" l="1"/>
  <c r="K35" i="20"/>
  <c r="K7" i="20"/>
  <c r="K19" i="20"/>
  <c r="K19" i="21" s="1"/>
  <c r="K18" i="20"/>
  <c r="K18" i="21" s="1"/>
  <c r="AG43" i="12"/>
  <c r="AI43" i="12"/>
  <c r="K30" i="21" l="1"/>
  <c r="K44" i="21"/>
  <c r="K47" i="21" s="1"/>
  <c r="K36" i="21"/>
  <c r="K39" i="21" s="1"/>
  <c r="K36" i="20"/>
  <c r="K39" i="20" s="1"/>
  <c r="K44" i="20"/>
  <c r="K47" i="20" s="1"/>
  <c r="K30" i="20"/>
  <c r="AO43" i="12"/>
  <c r="AK43" i="12"/>
  <c r="K31" i="21" l="1"/>
  <c r="AJ4" i="21"/>
  <c r="AL4" i="21"/>
  <c r="AH4" i="21"/>
  <c r="K31" i="20"/>
  <c r="AH4" i="20"/>
  <c r="AL4" i="20"/>
  <c r="AJ4" i="20"/>
  <c r="AG44" i="12"/>
  <c r="AI44" i="12"/>
  <c r="AO44" i="12" l="1"/>
  <c r="AK44" i="12"/>
  <c r="G29" i="12" l="1"/>
  <c r="G27" i="12" s="1"/>
  <c r="K29" i="12"/>
  <c r="K29" i="19" s="1"/>
  <c r="K24" i="12"/>
  <c r="K24" i="19" s="1"/>
  <c r="K27" i="12"/>
  <c r="K27" i="19" s="1"/>
  <c r="O4" i="12"/>
  <c r="G7" i="12"/>
  <c r="G26" i="12"/>
  <c r="G10" i="12"/>
  <c r="K14" i="12"/>
  <c r="K34" i="12"/>
  <c r="K20" i="12"/>
  <c r="K20" i="19" s="1"/>
  <c r="K23" i="12"/>
  <c r="K23" i="19" s="1"/>
  <c r="K26" i="12"/>
  <c r="K26" i="19" s="1"/>
  <c r="K21" i="12"/>
  <c r="K21" i="19" s="1"/>
  <c r="O6" i="12"/>
  <c r="K22" i="12"/>
  <c r="K22" i="19" s="1"/>
  <c r="K28" i="12"/>
  <c r="K28" i="19" s="1"/>
  <c r="K46" i="19" l="1"/>
  <c r="K38" i="19"/>
  <c r="G28" i="12"/>
  <c r="K25" i="12"/>
  <c r="G8" i="12"/>
  <c r="G9" i="12" s="1"/>
  <c r="K4" i="12"/>
  <c r="K5" i="12" s="1"/>
  <c r="O12" i="12"/>
  <c r="O13" i="12" s="1"/>
  <c r="K38" i="12"/>
  <c r="K46" i="12"/>
  <c r="K45" i="12" l="1"/>
  <c r="K25" i="19"/>
  <c r="O16" i="12"/>
  <c r="O14" i="12"/>
  <c r="K37" i="12"/>
  <c r="K37" i="19" l="1"/>
  <c r="K45" i="19"/>
  <c r="O20" i="12"/>
  <c r="O15" i="12"/>
  <c r="O23" i="12" l="1"/>
  <c r="O28" i="12"/>
  <c r="O30" i="12" s="1"/>
  <c r="G16" i="12"/>
  <c r="K16" i="12"/>
  <c r="K16" i="19" s="1"/>
  <c r="G19" i="12" l="1"/>
  <c r="AA4" i="12"/>
  <c r="Y4" i="12"/>
  <c r="W4" i="12"/>
  <c r="AB4" i="12" l="1"/>
  <c r="V5" i="12" s="1"/>
  <c r="W5" i="12" s="1"/>
  <c r="AC4" i="12"/>
  <c r="X5" i="12" s="1"/>
  <c r="Y5" i="12" s="1"/>
  <c r="Z5" i="12" l="1"/>
  <c r="AA5" i="12" s="1"/>
  <c r="AC5" i="12" s="1"/>
  <c r="X6" i="12" s="1"/>
  <c r="Y6" i="12" s="1"/>
  <c r="AD5" i="12"/>
  <c r="AB5" i="12" l="1"/>
  <c r="V6" i="12" s="1"/>
  <c r="W6" i="12" s="1"/>
  <c r="AD6" i="12" l="1"/>
  <c r="Z6" i="12"/>
  <c r="AA6" i="12" s="1"/>
  <c r="AC6" i="12" s="1"/>
  <c r="X7" i="12" s="1"/>
  <c r="Y7" i="12" s="1"/>
  <c r="AB6" i="12" l="1"/>
  <c r="V7" i="12" s="1"/>
  <c r="Z7" i="12" s="1"/>
  <c r="AA7" i="12" s="1"/>
  <c r="AC7" i="12" s="1"/>
  <c r="X8" i="12" s="1"/>
  <c r="AD7" i="12" l="1"/>
  <c r="W7" i="12"/>
  <c r="AB7" i="12" s="1"/>
  <c r="V8" i="12" s="1"/>
  <c r="Z8" i="12" s="1"/>
  <c r="AA8" i="12" s="1"/>
  <c r="Y8" i="12"/>
  <c r="AD8" i="12" l="1"/>
  <c r="W8" i="12"/>
  <c r="AB8" i="12" s="1"/>
  <c r="V9" i="12" s="1"/>
  <c r="W9" i="12" s="1"/>
  <c r="AC8" i="12"/>
  <c r="X9" i="12" s="1"/>
  <c r="Y9" i="12" s="1"/>
  <c r="AD9" i="12" l="1"/>
  <c r="Z9" i="12"/>
  <c r="AA9" i="12" s="1"/>
  <c r="AB9" i="12" s="1"/>
  <c r="V10" i="12" s="1"/>
  <c r="W10" i="12" s="1"/>
  <c r="AC9" i="12" l="1"/>
  <c r="X10" i="12" s="1"/>
  <c r="Z10" i="12" s="1"/>
  <c r="AA10" i="12" s="1"/>
  <c r="AB10" i="12" s="1"/>
  <c r="V11" i="12" s="1"/>
  <c r="W11" i="12" s="1"/>
  <c r="AD10" i="12" l="1"/>
  <c r="Y10" i="12"/>
  <c r="AC10" i="12" s="1"/>
  <c r="X11" i="12" s="1"/>
  <c r="Y11" i="12" s="1"/>
  <c r="Z11" i="12" l="1"/>
  <c r="AA11" i="12" s="1"/>
  <c r="AB11" i="12" s="1"/>
  <c r="V12" i="12" s="1"/>
  <c r="W12" i="12" s="1"/>
  <c r="AD11" i="12"/>
  <c r="AC11" i="12" l="1"/>
  <c r="X12" i="12" s="1"/>
  <c r="AD12" i="12" s="1"/>
  <c r="Z12" i="12" l="1"/>
  <c r="AA12" i="12" s="1"/>
  <c r="AB12" i="12" s="1"/>
  <c r="V13" i="12" s="1"/>
  <c r="W13" i="12" s="1"/>
  <c r="Y12" i="12"/>
  <c r="AC12" i="12" l="1"/>
  <c r="X13" i="12" s="1"/>
  <c r="Z13" i="12" s="1"/>
  <c r="AA13" i="12" s="1"/>
  <c r="AB13" i="12" s="1"/>
  <c r="V14" i="12" s="1"/>
  <c r="W14" i="12" s="1"/>
  <c r="AD13" i="12" l="1"/>
  <c r="Y13" i="12"/>
  <c r="AC13" i="12" s="1"/>
  <c r="X14" i="12" s="1"/>
  <c r="AD14" i="12" s="1"/>
  <c r="Z14" i="12" l="1"/>
  <c r="AA14" i="12" s="1"/>
  <c r="AB14" i="12" s="1"/>
  <c r="V15" i="12" s="1"/>
  <c r="W15" i="12" s="1"/>
  <c r="Y14" i="12"/>
  <c r="AC14" i="12" l="1"/>
  <c r="X15" i="12" s="1"/>
  <c r="Z15" i="12" s="1"/>
  <c r="AA15" i="12" s="1"/>
  <c r="AB15" i="12" s="1"/>
  <c r="V16" i="12" s="1"/>
  <c r="Y15" i="12" l="1"/>
  <c r="AC15" i="12" s="1"/>
  <c r="X16" i="12" s="1"/>
  <c r="Z16" i="12" s="1"/>
  <c r="AA16" i="12" s="1"/>
  <c r="AD15" i="12"/>
  <c r="W16" i="12"/>
  <c r="AB16" i="12" l="1"/>
  <c r="V17" i="12" s="1"/>
  <c r="W17" i="12" s="1"/>
  <c r="AD16" i="12"/>
  <c r="Y16" i="12"/>
  <c r="AC16" i="12" s="1"/>
  <c r="X17" i="12" s="1"/>
  <c r="Y17" i="12" l="1"/>
  <c r="AD17" i="12"/>
  <c r="Z17" i="12"/>
  <c r="AA17" i="12" s="1"/>
  <c r="AB17" i="12" s="1"/>
  <c r="V18" i="12" s="1"/>
  <c r="W18" i="12" s="1"/>
  <c r="AC17" i="12" l="1"/>
  <c r="X18" i="12" s="1"/>
  <c r="Y18" i="12" l="1"/>
  <c r="AD18" i="12"/>
  <c r="Z18" i="12"/>
  <c r="AA18" i="12" s="1"/>
  <c r="AB18" i="12" s="1"/>
  <c r="V19" i="12" s="1"/>
  <c r="W19" i="12" s="1"/>
  <c r="AC18" i="12" l="1"/>
  <c r="X19" i="12" s="1"/>
  <c r="Z19" i="12" l="1"/>
  <c r="AA19" i="12" s="1"/>
  <c r="AB19" i="12" s="1"/>
  <c r="V20" i="12" s="1"/>
  <c r="AD19" i="12"/>
  <c r="Y19" i="12"/>
  <c r="AC19" i="12" l="1"/>
  <c r="X20" i="12" s="1"/>
  <c r="Y20" i="12" s="1"/>
  <c r="W20" i="12"/>
  <c r="Z20" i="12" l="1"/>
  <c r="AA20" i="12" s="1"/>
  <c r="AB20" i="12" s="1"/>
  <c r="V21" i="12" s="1"/>
  <c r="W21" i="12" s="1"/>
  <c r="AD20" i="12"/>
  <c r="AC20" i="12" l="1"/>
  <c r="X21" i="12" s="1"/>
  <c r="Z21" i="12" s="1"/>
  <c r="AA21" i="12" s="1"/>
  <c r="AB21" i="12" s="1"/>
  <c r="V22" i="12" s="1"/>
  <c r="Y21" i="12" l="1"/>
  <c r="AC21" i="12" s="1"/>
  <c r="X22" i="12" s="1"/>
  <c r="Z22" i="12" s="1"/>
  <c r="AA22" i="12" s="1"/>
  <c r="AD21" i="12"/>
  <c r="W22" i="12"/>
  <c r="Y22" i="12" l="1"/>
  <c r="AC22" i="12" s="1"/>
  <c r="X23" i="12" s="1"/>
  <c r="Y23" i="12" s="1"/>
  <c r="AD22" i="12"/>
  <c r="AB22" i="12"/>
  <c r="V23" i="12" s="1"/>
  <c r="W23" i="12" s="1"/>
  <c r="Z23" i="12" l="1"/>
  <c r="AA23" i="12" s="1"/>
  <c r="AB23" i="12" s="1"/>
  <c r="V24" i="12" s="1"/>
  <c r="AD23" i="12"/>
  <c r="W24" i="12" l="1"/>
  <c r="AC23" i="12"/>
  <c r="X24" i="12" s="1"/>
  <c r="Y24" i="12" l="1"/>
  <c r="AD24" i="12"/>
  <c r="Z24" i="12"/>
  <c r="AA24" i="12" s="1"/>
  <c r="AB24" i="12" s="1"/>
  <c r="V25" i="12" s="1"/>
  <c r="W25" i="12" l="1"/>
  <c r="AC24" i="12"/>
  <c r="X25" i="12" s="1"/>
  <c r="AD25" i="12" l="1"/>
  <c r="Y25" i="12"/>
  <c r="Z25" i="12"/>
  <c r="AA25" i="12" s="1"/>
  <c r="AB25" i="12" s="1"/>
  <c r="V26" i="12" s="1"/>
  <c r="W26" i="12" l="1"/>
  <c r="AC25" i="12"/>
  <c r="X26" i="12" s="1"/>
  <c r="Z26" i="12" s="1"/>
  <c r="AA26" i="12" s="1"/>
  <c r="Y26" i="12" l="1"/>
  <c r="AC26" i="12" s="1"/>
  <c r="X27" i="12" s="1"/>
  <c r="AD26" i="12"/>
  <c r="AB26" i="12"/>
  <c r="V27" i="12" s="1"/>
  <c r="W27" i="12" l="1"/>
  <c r="Z27" i="12"/>
  <c r="AA27" i="12" s="1"/>
  <c r="Y27" i="12"/>
  <c r="AD27" i="12"/>
  <c r="AB27" i="12" l="1"/>
  <c r="V28" i="12" s="1"/>
  <c r="W28" i="12" s="1"/>
  <c r="AC27" i="12"/>
  <c r="X28" i="12" s="1"/>
  <c r="Z28" i="12" l="1"/>
  <c r="AA28" i="12" s="1"/>
  <c r="AB28" i="12" s="1"/>
  <c r="V29" i="12" s="1"/>
  <c r="AD28" i="12"/>
  <c r="Y28" i="12"/>
  <c r="AC28" i="12" l="1"/>
  <c r="X29" i="12" s="1"/>
  <c r="Y29" i="12" s="1"/>
  <c r="W29" i="12"/>
  <c r="Z29" i="12" l="1"/>
  <c r="AA29" i="12" s="1"/>
  <c r="AB29" i="12" s="1"/>
  <c r="V30" i="12" s="1"/>
  <c r="W30" i="12" s="1"/>
  <c r="AD29" i="12"/>
  <c r="AC29" i="12" l="1"/>
  <c r="X30" i="12" s="1"/>
  <c r="Z30" i="12" s="1"/>
  <c r="AA30" i="12" s="1"/>
  <c r="AB30" i="12" s="1"/>
  <c r="V31" i="12" s="1"/>
  <c r="AD30" i="12" l="1"/>
  <c r="Y30" i="12"/>
  <c r="AC30" i="12" s="1"/>
  <c r="X31" i="12" s="1"/>
  <c r="Y31" i="12" s="1"/>
  <c r="W31" i="12"/>
  <c r="Z31" i="12" l="1"/>
  <c r="AA31" i="12" s="1"/>
  <c r="AB31" i="12" s="1"/>
  <c r="V32" i="12" s="1"/>
  <c r="W32" i="12" s="1"/>
  <c r="AD31" i="12"/>
  <c r="AC31" i="12" l="1"/>
  <c r="X32" i="12" s="1"/>
  <c r="Y32" i="12" s="1"/>
  <c r="Z32" i="12" l="1"/>
  <c r="AA32" i="12" s="1"/>
  <c r="AB32" i="12" s="1"/>
  <c r="V33" i="12" s="1"/>
  <c r="W33" i="12" s="1"/>
  <c r="AD32" i="12"/>
  <c r="AC32" i="12" l="1"/>
  <c r="X33" i="12" s="1"/>
  <c r="AD33" i="12" s="1"/>
  <c r="Z33" i="12" l="1"/>
  <c r="AA33" i="12" s="1"/>
  <c r="AB33" i="12" s="1"/>
  <c r="V34" i="12" s="1"/>
  <c r="W34" i="12" s="1"/>
  <c r="Y33" i="12"/>
  <c r="AC33" i="12" l="1"/>
  <c r="X34" i="12" s="1"/>
  <c r="Z34" i="12" s="1"/>
  <c r="O26" i="12" s="1"/>
  <c r="O27" i="12" s="1"/>
  <c r="G17" i="12" s="1"/>
  <c r="Y34" i="12" l="1"/>
  <c r="AD34" i="12"/>
  <c r="AA34" i="12"/>
  <c r="AB34" i="12" s="1"/>
  <c r="G18" i="12"/>
  <c r="G20" i="12"/>
  <c r="AC34" i="12" l="1"/>
  <c r="G33" i="12"/>
  <c r="K10" i="12" s="1"/>
  <c r="K15" i="12" s="1"/>
  <c r="K6" i="12"/>
  <c r="K7" i="12" l="1"/>
  <c r="K18" i="12"/>
  <c r="K18" i="19" s="1"/>
  <c r="K19" i="12"/>
  <c r="K19" i="19" s="1"/>
  <c r="K43" i="12"/>
  <c r="K35" i="12"/>
  <c r="K30" i="19" l="1"/>
  <c r="K44" i="19"/>
  <c r="K47" i="19" s="1"/>
  <c r="K36" i="19"/>
  <c r="K39" i="19" s="1"/>
  <c r="K30" i="12"/>
  <c r="K31" i="12" s="1"/>
  <c r="K36" i="12"/>
  <c r="K39" i="12" s="1"/>
  <c r="K44" i="12"/>
  <c r="K47" i="12" s="1"/>
  <c r="K31" i="19" l="1"/>
  <c r="AJ4" i="19"/>
  <c r="AL4" i="19"/>
  <c r="AH4" i="19"/>
  <c r="AL4" i="12"/>
  <c r="AH4" i="12"/>
  <c r="AJ4" i="12"/>
</calcChain>
</file>

<file path=xl/sharedStrings.xml><?xml version="1.0" encoding="utf-8"?>
<sst xmlns="http://schemas.openxmlformats.org/spreadsheetml/2006/main" count="1144" uniqueCount="179">
  <si>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</si>
  <si>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</si>
  <si>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</si>
  <si>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</si>
  <si>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</si>
  <si>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</si>
  <si>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</si>
  <si>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</si>
  <si>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</si>
  <si>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</si>
  <si>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</si>
  <si>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m^2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</si>
  <si>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</si>
  <si>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</si>
  <si>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</si>
  <si>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</si>
  <si>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</si>
  <si>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</si>
  <si>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</si>
  <si>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W</t>
  </si>
  <si>
    <t>thrust_each</t>
  </si>
  <si>
    <t>N</t>
  </si>
  <si>
    <t>Energy and time</t>
  </si>
  <si>
    <t>flight_time</t>
  </si>
  <si>
    <t>dyn_pressure</t>
  </si>
  <si>
    <t>N/m^2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</si>
  <si>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</si>
  <si>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</si>
  <si>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</si>
  <si>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</si>
  <si>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</si>
  <si>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</si>
  <si>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</si>
  <si>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</si>
  <si>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</si>
  <si>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</si>
  <si>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</si>
  <si>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</si>
  <si>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</si>
  <si>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</si>
  <si>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</si>
  <si>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</si>
  <si>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</si>
  <si>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</si>
  <si>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</si>
  <si>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</si>
  <si>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</si>
  <si>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</si>
  <si>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</si>
  <si>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</si>
  <si>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</si>
  <si>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</si>
  <si>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</si>
  <si>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</si>
  <si>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</si>
  <si>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</si>
  <si>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</si>
  <si>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</si>
  <si>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</si>
  <si>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</si>
  <si>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</si>
  <si>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</si>
  <si>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</si>
  <si>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</si>
  <si>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</si>
  <si>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</si>
  <si>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</si>
  <si>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</si>
  <si>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</si>
  <si>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</si>
  <si>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</si>
  <si>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</si>
  <si>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</si>
  <si>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</si>
  <si>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</si>
  <si>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</si>
  <si>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</si>
  <si>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</si>
  <si>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</si>
  <si>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</si>
  <si>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</si>
  <si>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</si>
  <si>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</si>
  <si>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</si>
  <si>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</si>
  <si>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</si>
  <si>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</si>
  <si>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</si>
  <si>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</si>
  <si>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</si>
  <si>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</si>
  <si>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</si>
  <si>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</si>
  <si>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</si>
  <si>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</si>
  <si>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</si>
  <si>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</si>
  <si>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</si>
  <si>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</si>
  <si>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</si>
  <si>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</si>
  <si>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</si>
  <si>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</si>
  <si>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</si>
  <si>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</si>
  <si>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l_sm</t>
  </si>
  <si>
    <t>n_ult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</si>
  <si>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</si>
  <si>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</si>
  <si>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</si>
  <si>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</si>
  <si>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</si>
  <si>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</si>
  <si>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</si>
  <si>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CD0_total</t>
  </si>
  <si>
    <t>type</t>
  </si>
  <si>
    <t>wheeled</t>
  </si>
  <si>
    <t>f_LG</t>
  </si>
  <si>
    <t>eVTOL design parameters</t>
  </si>
  <si>
    <t>lift_rotor_solidity</t>
  </si>
  <si>
    <t>M</t>
  </si>
  <si>
    <t>sound_speed</t>
  </si>
  <si>
    <t>RPM</t>
  </si>
  <si>
    <t>W_rotors_and_hubs</t>
  </si>
  <si>
    <t>W_extra_hubs</t>
  </si>
  <si>
    <t>Pa s</t>
  </si>
  <si>
    <t>mu_air</t>
  </si>
  <si>
    <t>c_to_r_lift_rotor</t>
  </si>
  <si>
    <t>power_cruise</t>
  </si>
  <si>
    <t>Bisection method for solving W_total</t>
  </si>
  <si>
    <t>lift+cruise</t>
  </si>
  <si>
    <t>lift</t>
  </si>
  <si>
    <t>p_max_prop</t>
  </si>
  <si>
    <t>p_max_prop_each</t>
  </si>
  <si>
    <t>r_propeller</t>
  </si>
  <si>
    <t>wing_area</t>
  </si>
  <si>
    <t>wing_AR</t>
  </si>
  <si>
    <t>Oswald_e</t>
  </si>
  <si>
    <t>CL</t>
  </si>
  <si>
    <t>CD</t>
  </si>
  <si>
    <t>L/D</t>
  </si>
  <si>
    <t>Propeller performance in cruise</t>
  </si>
  <si>
    <t>prop_tip_speed</t>
  </si>
  <si>
    <t>prop_tip_speed_Mach</t>
  </si>
  <si>
    <t>W_wing</t>
  </si>
  <si>
    <t>lift_rotor_FM</t>
  </si>
  <si>
    <t>Propeller parameters</t>
  </si>
  <si>
    <t>N_propeller</t>
  </si>
  <si>
    <t>N_blade_propeller</t>
  </si>
  <si>
    <t>propeller_solidity</t>
  </si>
  <si>
    <t>propeller_FM</t>
  </si>
  <si>
    <t>Wing parameters</t>
  </si>
  <si>
    <t>Horizontal tail parameters</t>
  </si>
  <si>
    <t>htail_AR</t>
  </si>
  <si>
    <t>htail_S</t>
  </si>
  <si>
    <t>t_rh</t>
  </si>
  <si>
    <t>Vertical tail parameters</t>
  </si>
  <si>
    <t>vtail_AR</t>
  </si>
  <si>
    <t>vtail_S</t>
  </si>
  <si>
    <t>t_rv</t>
  </si>
  <si>
    <t>quarter_chord_sweep</t>
  </si>
  <si>
    <t>AoA</t>
  </si>
  <si>
    <t>c_to_r_propeller</t>
  </si>
  <si>
    <t>mission_repetition</t>
  </si>
  <si>
    <t>rho_softmax</t>
  </si>
  <si>
    <t>tf_propulsion</t>
  </si>
  <si>
    <t>tf_structure</t>
  </si>
  <si>
    <t>tf_equipments</t>
  </si>
  <si>
    <t>Propeller|RPM_cruise</t>
  </si>
  <si>
    <t>Environment at 5500 ft</t>
  </si>
  <si>
    <t>Environment at 6500 ft</t>
  </si>
  <si>
    <t>efficiency T/P</t>
  </si>
  <si>
    <t>g/W</t>
  </si>
  <si>
    <t>CT/sigma</t>
  </si>
  <si>
    <t>motor_power_margin</t>
  </si>
  <si>
    <t>Reserve cruise segment</t>
  </si>
  <si>
    <t>reserve cruise duration</t>
  </si>
  <si>
    <t>CD0_wing</t>
  </si>
  <si>
    <t>f_e_non_hub_non_wing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</si>
</sst>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 vertical="center"/>
    </xf>
    <xf numFmtId="11" fontId="0" fillId="4" borderId="0" xfId="0" applyNumberFormat="1" applyFill="1" applyAlignment="1">
      <alignment vertical="center"/>
    </xf>
    <xf numFmtId="0" fontId="0" fillId="11" borderId="0" xfId="0" applyFill="1" applyAlignment="1">
      <alignment vertical="center"/>
    </xf>
    <xf numFmtId="0" fontId="3" fillId="11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B5F-4646-9083-700F5D6198D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B5F-4646-9083-700F5D6198D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B5F-4646-9083-700F5D6198D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B5F-4646-9083-700F5D6198D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B5F-4646-9083-700F5D6198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liftcruise_opt_250_test_250!$J$42:$J$46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liftcruise_opt_250_test_250!$K$42:$K$46</c:f>
              <c:numCache>
                <c:formatCode>General</c:formatCode>
                <c:ptCount val="5"/>
                <c:pt idx="0">
                  <c:v>600</c:v>
                </c:pt>
                <c:pt idx="1">
                  <c:v>654.53</c:v>
                </c:pt>
                <c:pt idx="2">
                  <c:v>339.1</c:v>
                </c:pt>
                <c:pt idx="3">
                  <c:v>484.55</c:v>
                </c:pt>
                <c:pt idx="4">
                  <c:v>104.98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5F-4646-9083-700F5D6198D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A9-D34A-80CC-998DBF2EAB6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A9-D34A-80CC-998DBF2EAB6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A9-D34A-80CC-998DBF2EAB6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A9-D34A-80CC-998DBF2EAB6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7A9-D34A-80CC-998DBF2EAB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liftcruise_opt_250_test_250!$J$34:$J$38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liftcruise_opt_250_test_250!$K$34:$K$38</c:f>
              <c:numCache>
                <c:formatCode>General</c:formatCode>
                <c:ptCount val="5"/>
                <c:pt idx="0">
                  <c:v>27.48</c:v>
                </c:pt>
                <c:pt idx="1">
                  <c:v>29.98</c:v>
                </c:pt>
                <c:pt idx="2">
                  <c:v>15.53</c:v>
                </c:pt>
                <c:pt idx="3">
                  <c:v>22.19</c:v>
                </c:pt>
                <c:pt idx="4">
                  <c:v>4.8099999999999996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A9-D34A-80CC-998DBF2EAB6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07-E94B-B13B-C211704CAF6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07-E94B-B13B-C211704CAF6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07-E94B-B13B-C211704CAF6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07-E94B-B13B-C211704CAF6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07-E94B-B13B-C211704CAF6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liftcruise_opt_250_test_550!$J$42:$J$46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liftcruise_opt_250_test_550!$K$42:$K$46</c:f>
              <c:numCache>
                <c:formatCode>General</c:formatCode>
                <c:ptCount val="5"/>
                <c:pt idx="0">
                  <c:v>600</c:v>
                </c:pt>
                <c:pt idx="1">
                  <c:v>261.58999999999997</c:v>
                </c:pt>
                <c:pt idx="2">
                  <c:v>339.1</c:v>
                </c:pt>
                <c:pt idx="3">
                  <c:v>484.55</c:v>
                </c:pt>
                <c:pt idx="4">
                  <c:v>104.98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307-E94B-B13B-C211704CAF6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49E-DA4A-A8F0-5E5709DF7EE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49E-DA4A-A8F0-5E5709DF7EE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49E-DA4A-A8F0-5E5709DF7EE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449E-DA4A-A8F0-5E5709DF7EE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449E-DA4A-A8F0-5E5709DF7EE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liftcruise_opt_250_test_550!$J$34:$J$38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liftcruise_opt_250_test_550!$K$34:$K$38</c:f>
              <c:numCache>
                <c:formatCode>General</c:formatCode>
                <c:ptCount val="5"/>
                <c:pt idx="0">
                  <c:v>33.520000000000003</c:v>
                </c:pt>
                <c:pt idx="1">
                  <c:v>14.61</c:v>
                </c:pt>
                <c:pt idx="2">
                  <c:v>18.940000000000001</c:v>
                </c:pt>
                <c:pt idx="3">
                  <c:v>27.07</c:v>
                </c:pt>
                <c:pt idx="4">
                  <c:v>5.86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49E-DA4A-A8F0-5E5709DF7EE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4DE-2242-ABB2-61C77477FCA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4DE-2242-ABB2-61C77477FCA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4DE-2242-ABB2-61C77477FCA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4DE-2242-ABB2-61C77477FCA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4DE-2242-ABB2-61C77477FCA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liftcruise_opt_550_test_550!$J$42:$J$46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liftcruise_opt_550_test_550!$K$42:$K$46</c:f>
              <c:numCache>
                <c:formatCode>General</c:formatCode>
                <c:ptCount val="5"/>
                <c:pt idx="0">
                  <c:v>600</c:v>
                </c:pt>
                <c:pt idx="1">
                  <c:v>260.14</c:v>
                </c:pt>
                <c:pt idx="2">
                  <c:v>251.27</c:v>
                </c:pt>
                <c:pt idx="3">
                  <c:v>361.12</c:v>
                </c:pt>
                <c:pt idx="4">
                  <c:v>73.06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4DE-2242-ABB2-61C77477FCA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541-3E40-BF25-7077355B37E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541-3E40-BF25-7077355B37E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541-3E40-BF25-7077355B37E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1541-3E40-BF25-7077355B37E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1541-3E40-BF25-7077355B37E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liftcruise_opt_550_test_550!$J$34:$J$38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liftcruise_opt_550_test_550!$K$34:$K$38</c:f>
              <c:numCache>
                <c:formatCode>General</c:formatCode>
                <c:ptCount val="5"/>
                <c:pt idx="0">
                  <c:v>38.82</c:v>
                </c:pt>
                <c:pt idx="1">
                  <c:v>16.829999999999998</c:v>
                </c:pt>
                <c:pt idx="2">
                  <c:v>16.260000000000002</c:v>
                </c:pt>
                <c:pt idx="3">
                  <c:v>23.36</c:v>
                </c:pt>
                <c:pt idx="4">
                  <c:v>4.7300000000000004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541-3E40-BF25-7077355B37E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F31-C64A-8546-7D051AED9EC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F31-C64A-8546-7D051AED9EC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F31-C64A-8546-7D051AED9EC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F31-C64A-8546-7D051AED9EC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F31-C64A-8546-7D051AED9EC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liftcruise_opt_550_test_250!$J$42:$J$46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liftcruise_opt_550_test_250!$K$42:$K$46</c:f>
              <c:numCache>
                <c:formatCode>General</c:formatCode>
                <c:ptCount val="5"/>
                <c:pt idx="0">
                  <c:v>600</c:v>
                </c:pt>
                <c:pt idx="1">
                  <c:v>667.53</c:v>
                </c:pt>
                <c:pt idx="2">
                  <c:v>251.27</c:v>
                </c:pt>
                <c:pt idx="3">
                  <c:v>361.12</c:v>
                </c:pt>
                <c:pt idx="4">
                  <c:v>73.06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F31-C64A-8546-7D051AED9EC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7B5-5C43-9182-ABF9BCB8D96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57B5-5C43-9182-ABF9BCB8D96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57B5-5C43-9182-ABF9BCB8D96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57B5-5C43-9182-ABF9BCB8D96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57B5-5C43-9182-ABF9BCB8D9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liftcruise_opt_550_test_250!$J$34:$J$38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liftcruise_opt_550_test_250!$K$34:$K$38</c:f>
              <c:numCache>
                <c:formatCode>General</c:formatCode>
                <c:ptCount val="5"/>
                <c:pt idx="0">
                  <c:v>30.72</c:v>
                </c:pt>
                <c:pt idx="1">
                  <c:v>34.18</c:v>
                </c:pt>
                <c:pt idx="2">
                  <c:v>12.87</c:v>
                </c:pt>
                <c:pt idx="3">
                  <c:v>18.489999999999998</c:v>
                </c:pt>
                <c:pt idx="4">
                  <c:v>3.74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7B5-5C43-9182-ABF9BCB8D96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B1CBC6-84EC-8745-BD4C-46A724EFF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E1386F-6C97-874B-857E-C5B3029F5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EBDA40-F24D-9343-A762-7E559C61EF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6A4612-758F-064D-8F06-F700304E5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58BBB3-E1AB-9E43-84F5-083CA8E5D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8A2940-D8F7-A74F-9578-E629963B04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64D466-C213-D040-808D-47E6369F82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D593DD-D3A0-7041-8B01-DCF9D68E4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CC91-5E9A-2041-A25C-AEB7F568B05D}">
  <dimension ref="B1:AO81"/>
  <sheetViews>
    <sheetView zoomScale="88" workbookViewId="0">
      <selection activeCell="E5" sqref="E5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27" t="s">
        <v>0</v>
      </c>
      <c r="C1" s="27"/>
      <c r="D1" s="27"/>
    </row>
    <row r="2" spans="2:41" x14ac:dyDescent="0.2">
      <c r="U2" s="15" t="s">
        <v>89</v>
      </c>
      <c r="AF2" s="26" t="s">
        <v>129</v>
      </c>
    </row>
    <row r="3" spans="2:41" x14ac:dyDescent="0.2">
      <c r="B3" s="28" t="s">
        <v>118</v>
      </c>
      <c r="C3" s="29"/>
      <c r="D3" s="29"/>
      <c r="F3" s="30" t="s">
        <v>76</v>
      </c>
      <c r="G3" s="31"/>
      <c r="H3" s="31"/>
      <c r="J3" s="28" t="s">
        <v>94</v>
      </c>
      <c r="K3" s="28"/>
      <c r="L3" s="28"/>
      <c r="N3" s="28" t="s">
        <v>88</v>
      </c>
      <c r="O3" s="28"/>
      <c r="P3" s="28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506.50635032070568</v>
      </c>
      <c r="L4" s="6" t="s">
        <v>97</v>
      </c>
      <c r="N4" s="6" t="s">
        <v>131</v>
      </c>
      <c r="O4" s="6">
        <f xml:space="preserve"> $C$5 * $C$74</f>
        <v>21396.232939944446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1.1823328246747573</v>
      </c>
      <c r="X4" s="3">
        <v>1</v>
      </c>
      <c r="Y4" s="2">
        <f t="shared" ref="Y4:Y34" si="1" xml:space="preserve"> $O$22 * TAN($O$19/180*PI()) + $O$23 / (2 * SQRT($O$22^2 + X4^2)) - X4</f>
        <v>-2.9541736788842754E-2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0.48923121571536055</v>
      </c>
      <c r="AB4" s="2">
        <f>W4*AA4</f>
        <v>0.57843412519580772</v>
      </c>
      <c r="AC4" s="2">
        <f>Y4*AA4</f>
        <v>-1.4452739803548732E-2</v>
      </c>
      <c r="AD4" s="2">
        <f>X4-V4</f>
        <v>1</v>
      </c>
      <c r="AF4" s="2">
        <v>0</v>
      </c>
      <c r="AH4" s="2">
        <f>K30</f>
        <v>1.2361867761228496E-2</v>
      </c>
      <c r="AJ4" s="2">
        <f>K30</f>
        <v>1.2361867761228496E-2</v>
      </c>
      <c r="AL4" s="2">
        <f>K30</f>
        <v>1.2361867761228496E-2</v>
      </c>
    </row>
    <row r="5" spans="2:41" x14ac:dyDescent="0.2">
      <c r="B5" s="9" t="s">
        <v>38</v>
      </c>
      <c r="C5" s="9">
        <v>2183.16573449515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63.31329379008821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0.48923121571536055</v>
      </c>
      <c r="X5" s="2">
        <f>IF(AC4&gt;0, Z4, X4)</f>
        <v>1</v>
      </c>
      <c r="Y5" s="2">
        <f t="shared" si="1"/>
        <v>-2.9541736788842754E-2</v>
      </c>
      <c r="Z5" s="2">
        <f t="shared" ref="Z5:Z34" si="3" xml:space="preserve"> (V5 + X5)/2</f>
        <v>0.75</v>
      </c>
      <c r="AA5" s="2">
        <f t="shared" si="2"/>
        <v>0.22677765091250668</v>
      </c>
      <c r="AB5" s="2">
        <f t="shared" ref="AB5:AB34" si="4">W5*AA5</f>
        <v>0.11094670585299929</v>
      </c>
      <c r="AC5" s="2">
        <f t="shared" ref="AC5:AC34" si="5">Y5*AA5</f>
        <v>-6.6994056728493382E-3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-897.12001879946001</v>
      </c>
      <c r="AI5" s="3">
        <v>10000</v>
      </c>
      <c r="AJ5" s="2">
        <f t="dataTable" ref="AJ5:AJ44" dt2D="0" dtr="0" r1="C5"/>
        <v>3018.0004128594146</v>
      </c>
      <c r="AK5" s="2">
        <f>(AG5+AI5)/2</f>
        <v>5250</v>
      </c>
      <c r="AL5" s="2">
        <f t="dataTable" ref="AL5:AL44" dt2D="0" dtr="0" r1="C5" ca="1"/>
        <v>995.28200150962903</v>
      </c>
      <c r="AM5" s="2">
        <f>AH5*AL5</f>
        <v>-892887.40790508257</v>
      </c>
      <c r="AN5" s="2">
        <f>AJ5*AL5</f>
        <v>3003761.4914676049</v>
      </c>
      <c r="AO5" s="2">
        <f>AI5-AG5</f>
        <v>9500</v>
      </c>
    </row>
    <row r="6" spans="2:41" x14ac:dyDescent="0.2">
      <c r="B6" s="6" t="s">
        <v>168</v>
      </c>
      <c r="C6" s="16">
        <v>408.42131465519498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170.56746806571724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0.22035236665126343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0.22677765091250668</v>
      </c>
      <c r="X6" s="2">
        <f t="shared" ref="X6:X34" si="8">IF(AC5&gt;0, Z5, X5)</f>
        <v>1</v>
      </c>
      <c r="Y6" s="2">
        <f t="shared" si="1"/>
        <v>-2.9541736788842754E-2</v>
      </c>
      <c r="Z6" s="2">
        <f t="shared" si="3"/>
        <v>0.875</v>
      </c>
      <c r="AA6" s="2">
        <f t="shared" si="2"/>
        <v>9.8172726071787619E-2</v>
      </c>
      <c r="AB6" s="2">
        <f t="shared" si="4"/>
        <v>2.2263380202236997E-2</v>
      </c>
      <c r="AC6" s="2">
        <f t="shared" si="5"/>
        <v>-2.9001928334559104E-3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-897.12001879946001</v>
      </c>
      <c r="AI6" s="2">
        <f>IF(AN5&gt;0,AK5,AI5)</f>
        <v>5250</v>
      </c>
      <c r="AJ6" s="2">
        <v>995.28200150962903</v>
      </c>
      <c r="AK6" s="2">
        <f t="shared" ref="AK6:AK44" si="9">(AG6+AI6)/2</f>
        <v>2875</v>
      </c>
      <c r="AL6" s="2">
        <v>298.55447645148161</v>
      </c>
      <c r="AM6" s="2">
        <f t="shared" ref="AM6:AM44" si="10">AH6*AL6</f>
        <v>-267839.1975268161</v>
      </c>
      <c r="AN6" s="2">
        <f t="shared" ref="AN6:AN44" si="11">AJ6*AL6</f>
        <v>297145.89688229002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2674.7849647757175</v>
      </c>
      <c r="H7" s="6" t="s">
        <v>21</v>
      </c>
      <c r="J7" s="6" t="s">
        <v>133</v>
      </c>
      <c r="K7" s="6">
        <f>K6/$C$28</f>
        <v>170.56746806571724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9.8172726071787619E-2</v>
      </c>
      <c r="X7" s="2">
        <f t="shared" si="8"/>
        <v>1</v>
      </c>
      <c r="Y7" s="2">
        <f t="shared" si="1"/>
        <v>-2.9541736788842754E-2</v>
      </c>
      <c r="Z7" s="2">
        <f t="shared" si="3"/>
        <v>0.9375</v>
      </c>
      <c r="AA7" s="2">
        <f t="shared" si="2"/>
        <v>3.4226076961102248E-2</v>
      </c>
      <c r="AB7" s="2">
        <f t="shared" si="4"/>
        <v>3.3600672780142123E-3</v>
      </c>
      <c r="AC7" s="2">
        <f t="shared" si="5"/>
        <v>-1.0110977568995577E-3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-897.12001879946001</v>
      </c>
      <c r="AI7" s="2">
        <f t="shared" ref="AI7:AI44" si="14">IF(AN6&gt;0,AK6,AI6)</f>
        <v>2875</v>
      </c>
      <c r="AJ7" s="2">
        <v>298.55447645148161</v>
      </c>
      <c r="AK7" s="2">
        <f t="shared" si="9"/>
        <v>1687.5</v>
      </c>
      <c r="AL7" s="2">
        <v>-240.24528044302497</v>
      </c>
      <c r="AM7" s="2">
        <f t="shared" si="10"/>
        <v>215528.85050752811</v>
      </c>
      <c r="AN7" s="2">
        <f t="shared" si="11"/>
        <v>-71726.30392260669</v>
      </c>
      <c r="AO7" s="2">
        <f t="shared" si="12"/>
        <v>2375</v>
      </c>
    </row>
    <row r="8" spans="2:41" x14ac:dyDescent="0.2">
      <c r="B8" s="6" t="s">
        <v>91</v>
      </c>
      <c r="C8" s="16">
        <v>1.92917253118986</v>
      </c>
      <c r="D8" s="6" t="s">
        <v>8</v>
      </c>
      <c r="F8" t="s">
        <v>93</v>
      </c>
      <c r="G8" s="6">
        <f>G10/$C$21</f>
        <v>42.208862526725476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3.4226076961102248E-2</v>
      </c>
      <c r="X8" s="2">
        <f t="shared" si="8"/>
        <v>1</v>
      </c>
      <c r="Y8" s="2">
        <f t="shared" si="1"/>
        <v>-2.9541736788842754E-2</v>
      </c>
      <c r="Z8" s="2">
        <f t="shared" si="3"/>
        <v>0.96875</v>
      </c>
      <c r="AA8" s="2">
        <f t="shared" si="2"/>
        <v>2.321946367472183E-3</v>
      </c>
      <c r="AB8" s="2">
        <f t="shared" si="4"/>
        <v>7.9471115072654732E-5</v>
      </c>
      <c r="AC8" s="2">
        <f t="shared" si="5"/>
        <v>-6.859432842567278E-5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-240.24528044302497</v>
      </c>
      <c r="AI8" s="2">
        <f t="shared" si="14"/>
        <v>2875</v>
      </c>
      <c r="AJ8" s="2">
        <v>298.55447645148161</v>
      </c>
      <c r="AK8" s="2">
        <f t="shared" si="9"/>
        <v>2281.25</v>
      </c>
      <c r="AL8" s="2">
        <v>44.955627401620632</v>
      </c>
      <c r="AM8" s="2">
        <f t="shared" si="10"/>
        <v>-10800.377312594486</v>
      </c>
      <c r="AN8" s="2">
        <f t="shared" si="11"/>
        <v>13421.703802438728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6.4653653397815161</v>
      </c>
      <c r="H9" s="6" t="s">
        <v>172</v>
      </c>
      <c r="J9" s="28" t="s">
        <v>22</v>
      </c>
      <c r="K9" s="28"/>
      <c r="L9" s="28"/>
      <c r="N9" s="6" t="s">
        <v>114</v>
      </c>
      <c r="O9" s="6">
        <f xml:space="preserve"> $O$8/$C$12 + $O$7</f>
        <v>1.8250480376239647E-2</v>
      </c>
      <c r="U9" s="2">
        <v>5</v>
      </c>
      <c r="V9" s="2">
        <f t="shared" si="7"/>
        <v>0.96875</v>
      </c>
      <c r="W9" s="2">
        <f t="shared" si="0"/>
        <v>2.321946367472183E-3</v>
      </c>
      <c r="X9" s="2">
        <f t="shared" si="8"/>
        <v>1</v>
      </c>
      <c r="Y9" s="2">
        <f t="shared" si="1"/>
        <v>-2.9541736788842754E-2</v>
      </c>
      <c r="Z9" s="2">
        <f t="shared" si="3"/>
        <v>0.984375</v>
      </c>
      <c r="AA9" s="2">
        <f t="shared" si="2"/>
        <v>-1.3614713848981719E-2</v>
      </c>
      <c r="AB9" s="2">
        <f t="shared" si="4"/>
        <v>-3.1612635365816324E-5</v>
      </c>
      <c r="AC9" s="2">
        <f t="shared" si="5"/>
        <v>4.0220229298203018E-4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-240.24528044302497</v>
      </c>
      <c r="AI9" s="2">
        <f t="shared" si="14"/>
        <v>2281.25</v>
      </c>
      <c r="AJ9" s="2">
        <v>44.955627401620632</v>
      </c>
      <c r="AK9" s="2">
        <f t="shared" si="9"/>
        <v>1984.375</v>
      </c>
      <c r="AL9" s="2">
        <v>-93.718633649473531</v>
      </c>
      <c r="AM9" s="2">
        <f t="shared" si="10"/>
        <v>22515.459423854885</v>
      </c>
      <c r="AN9" s="2">
        <f t="shared" si="11"/>
        <v>-4213.1799749347174</v>
      </c>
      <c r="AO9" s="2">
        <f t="shared" si="12"/>
        <v>593.75</v>
      </c>
    </row>
    <row r="10" spans="2:41" x14ac:dyDescent="0.2">
      <c r="B10" s="6" t="s">
        <v>134</v>
      </c>
      <c r="C10" s="16">
        <v>1.6418339973495399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337.6709002138038</v>
      </c>
      <c r="H10" s="22" t="s">
        <v>97</v>
      </c>
      <c r="J10" s="6" t="s">
        <v>92</v>
      </c>
      <c r="K10" s="6">
        <f xml:space="preserve"> $C$18 * (G10*G6 + G20*G13 + G29*G25 + G33*G32)/3600</f>
        <v>111.26927891651792</v>
      </c>
      <c r="L10" s="6" t="s">
        <v>98</v>
      </c>
      <c r="N10" s="6" t="s">
        <v>39</v>
      </c>
      <c r="O10" s="6">
        <f xml:space="preserve"> O5 * $C$12 * O9</f>
        <v>1241.4690996845673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2.321946367472183E-3</v>
      </c>
      <c r="X10" s="2">
        <f t="shared" si="8"/>
        <v>0.984375</v>
      </c>
      <c r="Y10" s="2">
        <f t="shared" si="1"/>
        <v>-1.3614713848981719E-2</v>
      </c>
      <c r="Z10" s="2">
        <f t="shared" si="3"/>
        <v>0.9765625</v>
      </c>
      <c r="AA10" s="2">
        <f t="shared" si="2"/>
        <v>-5.6476168968795371E-3</v>
      </c>
      <c r="AB10" s="2">
        <f t="shared" si="4"/>
        <v>-1.3113463538583963E-5</v>
      </c>
      <c r="AC10" s="2">
        <f t="shared" si="5"/>
        <v>7.6890687979688996E-5</v>
      </c>
      <c r="AD10" s="2">
        <f t="shared" si="6"/>
        <v>1.5625E-2</v>
      </c>
      <c r="AF10" s="2">
        <v>6</v>
      </c>
      <c r="AG10" s="2">
        <f t="shared" si="13"/>
        <v>1984.375</v>
      </c>
      <c r="AH10" s="2">
        <v>-93.718633649473531</v>
      </c>
      <c r="AI10" s="2">
        <f t="shared" si="14"/>
        <v>2281.25</v>
      </c>
      <c r="AJ10" s="2">
        <v>44.955627401620632</v>
      </c>
      <c r="AK10" s="2">
        <f t="shared" si="9"/>
        <v>2132.8125</v>
      </c>
      <c r="AL10" s="2">
        <v>-23.395119920450952</v>
      </c>
      <c r="AM10" s="2">
        <f t="shared" si="10"/>
        <v>2192.5586730102432</v>
      </c>
      <c r="AN10" s="2">
        <f t="shared" si="11"/>
        <v>-1051.7422941600255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0.84877964639246117</v>
      </c>
      <c r="U11" s="2">
        <v>7</v>
      </c>
      <c r="V11" s="2">
        <f t="shared" si="7"/>
        <v>0.96875</v>
      </c>
      <c r="W11" s="2">
        <f t="shared" si="0"/>
        <v>2.321946367472183E-3</v>
      </c>
      <c r="X11" s="2">
        <f t="shared" si="8"/>
        <v>0.9765625</v>
      </c>
      <c r="Y11" s="2">
        <f t="shared" si="1"/>
        <v>-5.6476168968795371E-3</v>
      </c>
      <c r="Z11" s="2">
        <f t="shared" si="3"/>
        <v>0.97265625</v>
      </c>
      <c r="AA11" s="2">
        <f t="shared" si="2"/>
        <v>-1.6631472141269699E-3</v>
      </c>
      <c r="AB11" s="2">
        <f t="shared" si="4"/>
        <v>-3.8617386324135987E-6</v>
      </c>
      <c r="AC11" s="2">
        <f t="shared" si="5"/>
        <v>9.3928183085016053E-6</v>
      </c>
      <c r="AD11" s="2">
        <f t="shared" si="6"/>
        <v>7.8125E-3</v>
      </c>
      <c r="AF11" s="2">
        <v>7</v>
      </c>
      <c r="AG11" s="2">
        <f t="shared" si="13"/>
        <v>2132.8125</v>
      </c>
      <c r="AH11" s="2">
        <v>-23.395119920450952</v>
      </c>
      <c r="AI11" s="2">
        <f t="shared" si="14"/>
        <v>2281.25</v>
      </c>
      <c r="AJ11" s="2">
        <v>44.955627401620632</v>
      </c>
      <c r="AK11" s="2">
        <f t="shared" si="9"/>
        <v>2207.03125</v>
      </c>
      <c r="AL11" s="2">
        <v>11.027242765849451</v>
      </c>
      <c r="AM11" s="2">
        <f t="shared" si="10"/>
        <v>-257.98366689897313</v>
      </c>
      <c r="AN11" s="2">
        <f t="shared" si="11"/>
        <v>495.73661704874445</v>
      </c>
      <c r="AO11" s="2">
        <f t="shared" si="12"/>
        <v>148.4375</v>
      </c>
    </row>
    <row r="12" spans="2:41" x14ac:dyDescent="0.2">
      <c r="B12" s="6" t="s">
        <v>135</v>
      </c>
      <c r="C12" s="16">
        <v>29.999999999999901</v>
      </c>
      <c r="D12" s="6" t="s">
        <v>11</v>
      </c>
      <c r="F12" s="30" t="s">
        <v>82</v>
      </c>
      <c r="G12" s="31"/>
      <c r="H12" s="31"/>
      <c r="N12" s="6" t="s">
        <v>138</v>
      </c>
      <c r="O12" s="6">
        <f xml:space="preserve"> O4 / (O5 * $C$12)</f>
        <v>0.31453987013863222</v>
      </c>
      <c r="U12" s="2">
        <v>8</v>
      </c>
      <c r="V12" s="2">
        <f t="shared" si="7"/>
        <v>0.96875</v>
      </c>
      <c r="W12" s="2">
        <f t="shared" si="0"/>
        <v>2.321946367472183E-3</v>
      </c>
      <c r="X12" s="2">
        <f t="shared" si="8"/>
        <v>0.97265625</v>
      </c>
      <c r="Y12" s="2">
        <f t="shared" si="1"/>
        <v>-1.6631472141269699E-3</v>
      </c>
      <c r="Z12" s="2">
        <f t="shared" si="3"/>
        <v>0.970703125</v>
      </c>
      <c r="AA12" s="2">
        <f t="shared" si="2"/>
        <v>3.29321125441151E-4</v>
      </c>
      <c r="AB12" s="2">
        <f t="shared" si="4"/>
        <v>7.6466599094993161E-7</v>
      </c>
      <c r="AC12" s="2">
        <f t="shared" si="5"/>
        <v>-5.4770951233060866E-7</v>
      </c>
      <c r="AD12" s="2">
        <f t="shared" si="6"/>
        <v>3.90625E-3</v>
      </c>
      <c r="AF12" s="2">
        <v>8</v>
      </c>
      <c r="AG12" s="2">
        <f t="shared" si="13"/>
        <v>2132.8125</v>
      </c>
      <c r="AH12" s="2">
        <v>-23.395119920450952</v>
      </c>
      <c r="AI12" s="2">
        <f t="shared" si="14"/>
        <v>2207.03125</v>
      </c>
      <c r="AJ12" s="2">
        <v>11.027242765849451</v>
      </c>
      <c r="AK12" s="2">
        <f t="shared" si="9"/>
        <v>2169.921875</v>
      </c>
      <c r="AL12" s="2">
        <v>-6.1222331605595173</v>
      </c>
      <c r="AM12" s="2">
        <f t="shared" si="10"/>
        <v>143.23037897225134</v>
      </c>
      <c r="AN12" s="2">
        <f t="shared" si="11"/>
        <v>-67.511351330623555</v>
      </c>
      <c r="AO12" s="2">
        <f t="shared" si="12"/>
        <v>74.21875</v>
      </c>
    </row>
    <row r="13" spans="2:41" x14ac:dyDescent="0.2">
      <c r="B13" s="6" t="s">
        <v>136</v>
      </c>
      <c r="C13" s="16">
        <v>6.6741489576089901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2.3809659677298364E-2</v>
      </c>
      <c r="U13" s="2">
        <v>9</v>
      </c>
      <c r="V13" s="2">
        <f t="shared" si="7"/>
        <v>0.970703125</v>
      </c>
      <c r="W13" s="2">
        <f t="shared" si="0"/>
        <v>3.29321125441151E-4</v>
      </c>
      <c r="X13" s="2">
        <f t="shared" si="8"/>
        <v>0.97265625</v>
      </c>
      <c r="Y13" s="2">
        <f t="shared" si="1"/>
        <v>-1.6631472141269699E-3</v>
      </c>
      <c r="Z13" s="2">
        <f t="shared" si="3"/>
        <v>0.9716796875</v>
      </c>
      <c r="AA13" s="2">
        <f t="shared" si="2"/>
        <v>-6.6693259888028766E-4</v>
      </c>
      <c r="AB13" s="2">
        <f t="shared" si="4"/>
        <v>-2.1963499405664805E-7</v>
      </c>
      <c r="AC13" s="2">
        <f t="shared" si="5"/>
        <v>1.1092070938382104E-6</v>
      </c>
      <c r="AD13" s="2">
        <f t="shared" si="6"/>
        <v>1.953125E-3</v>
      </c>
      <c r="AF13" s="2">
        <v>9</v>
      </c>
      <c r="AG13" s="2">
        <f t="shared" si="13"/>
        <v>2169.921875</v>
      </c>
      <c r="AH13" s="2">
        <v>-6.1222331605595173</v>
      </c>
      <c r="AI13" s="2">
        <f t="shared" si="14"/>
        <v>2207.03125</v>
      </c>
      <c r="AJ13" s="2">
        <v>11.027242765849451</v>
      </c>
      <c r="AK13" s="2">
        <f t="shared" si="9"/>
        <v>2188.4765625</v>
      </c>
      <c r="AL13" s="2">
        <v>2.467937183190088</v>
      </c>
      <c r="AM13" s="2">
        <f t="shared" si="10"/>
        <v>-15.109286861104206</v>
      </c>
      <c r="AN13" s="2">
        <f t="shared" si="11"/>
        <v>27.214542449903767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70.220878955663849</v>
      </c>
      <c r="H14" s="6" t="s">
        <v>10</v>
      </c>
      <c r="J14" s="9" t="s">
        <v>75</v>
      </c>
      <c r="K14" s="17">
        <f>C5</f>
        <v>2183.16573449515</v>
      </c>
      <c r="L14" s="6" t="s">
        <v>7</v>
      </c>
      <c r="N14" s="6" t="s">
        <v>40</v>
      </c>
      <c r="O14" s="6">
        <f xml:space="preserve"> O5 * O13 * $C$12</f>
        <v>1619.6262319678135</v>
      </c>
      <c r="P14" s="6" t="s">
        <v>21</v>
      </c>
      <c r="U14" s="2">
        <v>10</v>
      </c>
      <c r="V14" s="2">
        <f t="shared" si="7"/>
        <v>0.970703125</v>
      </c>
      <c r="W14" s="2">
        <f t="shared" si="0"/>
        <v>3.29321125441151E-4</v>
      </c>
      <c r="X14" s="2">
        <f t="shared" si="8"/>
        <v>0.9716796875</v>
      </c>
      <c r="Y14" s="2">
        <f t="shared" si="1"/>
        <v>-6.6693259888028766E-4</v>
      </c>
      <c r="Z14" s="2">
        <f t="shared" si="3"/>
        <v>0.97119140625</v>
      </c>
      <c r="AA14" s="2">
        <f t="shared" si="2"/>
        <v>-1.688106326197536E-4</v>
      </c>
      <c r="AB14" s="2">
        <f t="shared" si="4"/>
        <v>-5.5592907520769932E-8</v>
      </c>
      <c r="AC14" s="2">
        <f t="shared" si="5"/>
        <v>1.1258531393171774E-7</v>
      </c>
      <c r="AD14" s="2">
        <f t="shared" si="6"/>
        <v>9.765625E-4</v>
      </c>
      <c r="AF14" s="2">
        <v>10</v>
      </c>
      <c r="AG14" s="2">
        <f t="shared" si="13"/>
        <v>2169.921875</v>
      </c>
      <c r="AH14" s="2">
        <v>-6.1222331605595173</v>
      </c>
      <c r="AI14" s="2">
        <f t="shared" si="14"/>
        <v>2188.4765625</v>
      </c>
      <c r="AJ14" s="2">
        <v>2.467937183190088</v>
      </c>
      <c r="AK14" s="2">
        <f t="shared" si="9"/>
        <v>2179.19921875</v>
      </c>
      <c r="AL14" s="2">
        <v>-1.8232906568748604</v>
      </c>
      <c r="AM14" s="2">
        <f t="shared" si="10"/>
        <v>11.162610520857614</v>
      </c>
      <c r="AN14" s="2">
        <f t="shared" si="11"/>
        <v>-4.4997668078645479</v>
      </c>
      <c r="AO14" s="2">
        <f t="shared" si="12"/>
        <v>18.5546875</v>
      </c>
    </row>
    <row r="15" spans="2:41" x14ac:dyDescent="0.2">
      <c r="B15" s="28" t="s">
        <v>12</v>
      </c>
      <c r="C15" s="28"/>
      <c r="D15" s="28"/>
      <c r="F15" s="6" t="s">
        <v>143</v>
      </c>
      <c r="G15" s="6">
        <f>G14/$C$73</f>
        <v>0.2110498592361609</v>
      </c>
      <c r="H15" s="6" t="s">
        <v>120</v>
      </c>
      <c r="J15" s="10" t="s">
        <v>53</v>
      </c>
      <c r="K15" s="6">
        <f xml:space="preserve"> 1000 * K10 / ($C$60 * $C$61 * $C$62)</f>
        <v>654.52517009716416</v>
      </c>
      <c r="L15" s="6" t="s">
        <v>7</v>
      </c>
      <c r="N15" s="6" t="s">
        <v>140</v>
      </c>
      <c r="O15" s="6">
        <f>O4/O14</f>
        <v>13.210599160244799</v>
      </c>
      <c r="U15" s="2">
        <v>11</v>
      </c>
      <c r="V15" s="2">
        <f t="shared" si="7"/>
        <v>0.970703125</v>
      </c>
      <c r="W15" s="2">
        <f t="shared" si="0"/>
        <v>3.29321125441151E-4</v>
      </c>
      <c r="X15" s="2">
        <f t="shared" si="8"/>
        <v>0.97119140625</v>
      </c>
      <c r="Y15" s="2">
        <f t="shared" si="1"/>
        <v>-1.688106326197536E-4</v>
      </c>
      <c r="Z15" s="2">
        <f t="shared" si="3"/>
        <v>0.970947265625</v>
      </c>
      <c r="AA15" s="2">
        <f t="shared" si="2"/>
        <v>8.0254021525894004E-5</v>
      </c>
      <c r="AB15" s="2">
        <f t="shared" si="4"/>
        <v>2.6429344690085771E-8</v>
      </c>
      <c r="AC15" s="2">
        <f t="shared" si="5"/>
        <v>-1.354773214406549E-8</v>
      </c>
      <c r="AD15" s="2">
        <f t="shared" si="6"/>
        <v>4.8828125E-4</v>
      </c>
      <c r="AF15" s="2">
        <v>11</v>
      </c>
      <c r="AG15" s="2">
        <f t="shared" si="13"/>
        <v>2179.19921875</v>
      </c>
      <c r="AH15" s="2">
        <v>-1.8232906568748604</v>
      </c>
      <c r="AI15" s="2">
        <f t="shared" si="14"/>
        <v>2188.4765625</v>
      </c>
      <c r="AJ15" s="2">
        <v>2.467937183190088</v>
      </c>
      <c r="AK15" s="2">
        <f t="shared" si="9"/>
        <v>2183.837890625</v>
      </c>
      <c r="AL15" s="2">
        <v>0.3232873913768799</v>
      </c>
      <c r="AM15" s="2">
        <f t="shared" si="10"/>
        <v>-0.58944688018291136</v>
      </c>
      <c r="AN15" s="2">
        <f t="shared" si="11"/>
        <v>0.79785297403552857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1619.6262319678135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161.05808522131903</v>
      </c>
      <c r="L16" s="6" t="s">
        <v>7</v>
      </c>
      <c r="N16" s="6" t="s">
        <v>111</v>
      </c>
      <c r="O16" s="6">
        <f>(O13*$C$12)/(0.3048^2)/($C$5*2.20462/1000)^(2/3)</f>
        <v>2.6971031178712552</v>
      </c>
      <c r="U16" s="2">
        <v>12</v>
      </c>
      <c r="V16" s="2">
        <f t="shared" si="7"/>
        <v>0.970947265625</v>
      </c>
      <c r="W16" s="2">
        <f t="shared" si="0"/>
        <v>8.0254021525894004E-5</v>
      </c>
      <c r="X16" s="2">
        <f t="shared" si="8"/>
        <v>0.97119140625</v>
      </c>
      <c r="Y16" s="2">
        <f t="shared" si="1"/>
        <v>-1.688106326197536E-4</v>
      </c>
      <c r="Z16" s="2">
        <f t="shared" si="3"/>
        <v>0.9710693359375</v>
      </c>
      <c r="AA16" s="2">
        <f t="shared" si="2"/>
        <v>-4.4278611654346989E-5</v>
      </c>
      <c r="AB16" s="2">
        <f t="shared" si="4"/>
        <v>-3.5535366528446645E-9</v>
      </c>
      <c r="AC16" s="2">
        <f t="shared" si="5"/>
        <v>7.4747004448947095E-9</v>
      </c>
      <c r="AD16" s="2">
        <f t="shared" si="6"/>
        <v>2.44140625E-4</v>
      </c>
      <c r="AF16" s="2">
        <v>12</v>
      </c>
      <c r="AG16" s="2">
        <f t="shared" si="13"/>
        <v>2179.19921875</v>
      </c>
      <c r="AH16" s="2">
        <v>-1.8232906568748604</v>
      </c>
      <c r="AI16" s="2">
        <f t="shared" si="14"/>
        <v>2183.837890625</v>
      </c>
      <c r="AJ16" s="2">
        <v>0.3232873913768799</v>
      </c>
      <c r="AK16" s="2">
        <f t="shared" si="9"/>
        <v>2181.5185546875</v>
      </c>
      <c r="AL16" s="2">
        <v>-0.74976046523511286</v>
      </c>
      <c r="AM16" s="2">
        <f t="shared" si="10"/>
        <v>1.3670312511573299</v>
      </c>
      <c r="AN16" s="2">
        <f t="shared" si="11"/>
        <v>-0.24238810496337548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113.71164537714482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0.970947265625</v>
      </c>
      <c r="W17" s="2">
        <f t="shared" si="0"/>
        <v>8.0254021525894004E-5</v>
      </c>
      <c r="X17" s="2">
        <f t="shared" si="8"/>
        <v>0.9710693359375</v>
      </c>
      <c r="Y17" s="2">
        <f t="shared" si="1"/>
        <v>-4.4278611654346989E-5</v>
      </c>
      <c r="Z17" s="2">
        <f t="shared" si="3"/>
        <v>0.97100830078125</v>
      </c>
      <c r="AA17" s="2">
        <f t="shared" si="2"/>
        <v>1.7987628394666721E-5</v>
      </c>
      <c r="AB17" s="2">
        <f t="shared" si="4"/>
        <v>1.4435795163853653E-9</v>
      </c>
      <c r="AC17" s="2">
        <f t="shared" si="5"/>
        <v>-7.9646721227015275E-10</v>
      </c>
      <c r="AD17" s="2">
        <f t="shared" si="6"/>
        <v>1.220703125E-4</v>
      </c>
      <c r="AF17" s="2">
        <v>13</v>
      </c>
      <c r="AG17" s="2">
        <f t="shared" si="13"/>
        <v>2181.5185546875</v>
      </c>
      <c r="AH17" s="2">
        <v>-0.74976046523511286</v>
      </c>
      <c r="AI17" s="2">
        <f t="shared" si="14"/>
        <v>2183.837890625</v>
      </c>
      <c r="AJ17" s="2">
        <v>0.3232873913768799</v>
      </c>
      <c r="AK17" s="2">
        <f t="shared" si="9"/>
        <v>2182.67822265625</v>
      </c>
      <c r="AL17" s="2">
        <v>-0.21317646305351445</v>
      </c>
      <c r="AM17" s="2">
        <f t="shared" si="10"/>
        <v>0.15983128411617883</v>
      </c>
      <c r="AN17" s="2">
        <f t="shared" si="11"/>
        <v>-6.8917262643520508E-2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1.453313297743605</v>
      </c>
      <c r="H18" s="6" t="s">
        <v>172</v>
      </c>
      <c r="J18" s="12" t="s">
        <v>54</v>
      </c>
      <c r="K18" s="6">
        <f xml:space="preserve"> $C$78 * (0.2138 * K4 + 0.2138 * K6)</f>
        <v>115.80670589681377</v>
      </c>
      <c r="L18" s="6" t="s">
        <v>7</v>
      </c>
      <c r="N18" s="30" t="s">
        <v>141</v>
      </c>
      <c r="O18" s="32"/>
      <c r="P18" s="32"/>
      <c r="U18" s="2">
        <v>14</v>
      </c>
      <c r="V18" s="2">
        <f t="shared" si="7"/>
        <v>0.97100830078125</v>
      </c>
      <c r="W18" s="2">
        <f t="shared" si="0"/>
        <v>1.7987628394666721E-5</v>
      </c>
      <c r="X18" s="2">
        <f t="shared" si="8"/>
        <v>0.9710693359375</v>
      </c>
      <c r="Y18" s="2">
        <f t="shared" si="1"/>
        <v>-4.4278611654346989E-5</v>
      </c>
      <c r="Z18" s="2">
        <f t="shared" si="3"/>
        <v>0.971038818359375</v>
      </c>
      <c r="AA18" s="2">
        <f t="shared" si="2"/>
        <v>-1.3145510763368229E-5</v>
      </c>
      <c r="AB18" s="2">
        <f t="shared" si="4"/>
        <v>-2.3645656266955938E-10</v>
      </c>
      <c r="AC18" s="2">
        <f t="shared" si="5"/>
        <v>5.8206496608922021E-10</v>
      </c>
      <c r="AD18" s="2">
        <f t="shared" si="6"/>
        <v>6.103515625E-5</v>
      </c>
      <c r="AF18" s="2">
        <v>14</v>
      </c>
      <c r="AG18" s="2">
        <f t="shared" si="13"/>
        <v>2182.67822265625</v>
      </c>
      <c r="AH18" s="2">
        <v>-0.21317646305351445</v>
      </c>
      <c r="AI18" s="2">
        <f t="shared" si="14"/>
        <v>2183.837890625</v>
      </c>
      <c r="AJ18" s="2">
        <v>0.3232873913768799</v>
      </c>
      <c r="AK18" s="2">
        <f t="shared" si="9"/>
        <v>2183.258056640625</v>
      </c>
      <c r="AL18" s="2">
        <v>5.507062905667226E-2</v>
      </c>
      <c r="AM18" s="2">
        <f t="shared" si="10"/>
        <v>-1.1739761920433493E-2</v>
      </c>
      <c r="AN18" s="2">
        <f t="shared" si="11"/>
        <v>1.7803640009215378E-2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4.5244799398445931E-2</v>
      </c>
      <c r="J19" s="12" t="s">
        <v>73</v>
      </c>
      <c r="K19" s="6">
        <f xml:space="preserve"> $C$78 * (0.1149 * K4 + 0.1149 * K6)</f>
        <v>62.236625386079993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0.97100830078125</v>
      </c>
      <c r="W19" s="2">
        <f t="shared" si="0"/>
        <v>1.7987628394666721E-5</v>
      </c>
      <c r="X19" s="2">
        <f t="shared" si="8"/>
        <v>0.971038818359375</v>
      </c>
      <c r="Y19" s="2">
        <f t="shared" si="1"/>
        <v>-1.3145510763368229E-5</v>
      </c>
      <c r="Z19" s="2">
        <f t="shared" si="3"/>
        <v>0.9710235595703125</v>
      </c>
      <c r="AA19" s="2">
        <f t="shared" si="2"/>
        <v>2.4210540320313001E-6</v>
      </c>
      <c r="AB19" s="2">
        <f t="shared" si="4"/>
        <v>4.354902025158857E-11</v>
      </c>
      <c r="AC19" s="2">
        <f t="shared" si="5"/>
        <v>-3.1825991836763507E-11</v>
      </c>
      <c r="AD19" s="2">
        <f t="shared" si="6"/>
        <v>3.0517578125E-5</v>
      </c>
      <c r="AF19" s="2">
        <v>15</v>
      </c>
      <c r="AG19" s="2">
        <f t="shared" si="13"/>
        <v>2182.67822265625</v>
      </c>
      <c r="AH19" s="2">
        <v>-0.21317646305351445</v>
      </c>
      <c r="AI19" s="2">
        <f t="shared" si="14"/>
        <v>2183.258056640625</v>
      </c>
      <c r="AJ19" s="2">
        <v>5.507062905667226E-2</v>
      </c>
      <c r="AK19" s="2">
        <f t="shared" si="9"/>
        <v>2182.9681396484375</v>
      </c>
      <c r="AL19" s="2">
        <v>-7.9048906401112617E-2</v>
      </c>
      <c r="AM19" s="2">
        <f t="shared" si="10"/>
        <v>1.6851366274837506E-2</v>
      </c>
      <c r="AN19" s="2">
        <f t="shared" si="11"/>
        <v>-4.3532730017512783E-3</v>
      </c>
      <c r="AO19" s="2">
        <f t="shared" si="12"/>
        <v>0.579833984375</v>
      </c>
    </row>
    <row r="20" spans="2:41" x14ac:dyDescent="0.2">
      <c r="B20" s="28" t="s">
        <v>108</v>
      </c>
      <c r="C20" s="28"/>
      <c r="D20" s="28"/>
      <c r="F20" s="23" t="s">
        <v>128</v>
      </c>
      <c r="G20" s="22">
        <f xml:space="preserve"> $C$28 * G17</f>
        <v>113.71164537714482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214.67131484622092</v>
      </c>
      <c r="L20" s="6" t="s">
        <v>7</v>
      </c>
      <c r="N20" s="6" t="s">
        <v>20</v>
      </c>
      <c r="O20" s="6">
        <f xml:space="preserve"> O14 / $C$28</f>
        <v>1619.6262319678135</v>
      </c>
      <c r="P20" s="6" t="s">
        <v>21</v>
      </c>
      <c r="U20" s="2">
        <v>16</v>
      </c>
      <c r="V20" s="2">
        <f t="shared" si="7"/>
        <v>0.9710235595703125</v>
      </c>
      <c r="W20" s="2">
        <f t="shared" si="0"/>
        <v>2.4210540320313001E-6</v>
      </c>
      <c r="X20" s="2">
        <f t="shared" si="8"/>
        <v>0.971038818359375</v>
      </c>
      <c r="Y20" s="2">
        <f t="shared" si="1"/>
        <v>-1.3145510763368229E-5</v>
      </c>
      <c r="Z20" s="2">
        <f t="shared" si="3"/>
        <v>0.97103118896484375</v>
      </c>
      <c r="AA20" s="2">
        <f t="shared" si="2"/>
        <v>-5.3622295614896842E-6</v>
      </c>
      <c r="AB20" s="2">
        <f t="shared" si="4"/>
        <v>-1.298224750052203E-11</v>
      </c>
      <c r="AC20" s="2">
        <f t="shared" si="5"/>
        <v>7.048924641621394E-11</v>
      </c>
      <c r="AD20" s="2">
        <f t="shared" si="6"/>
        <v>1.52587890625E-5</v>
      </c>
      <c r="AF20" s="2">
        <v>16</v>
      </c>
      <c r="AG20" s="2">
        <f t="shared" si="13"/>
        <v>2182.9681396484375</v>
      </c>
      <c r="AH20" s="2">
        <v>-7.9048906401112617E-2</v>
      </c>
      <c r="AI20" s="2">
        <f t="shared" si="14"/>
        <v>2183.258056640625</v>
      </c>
      <c r="AJ20" s="2">
        <v>5.507062905667226E-2</v>
      </c>
      <c r="AK20" s="2">
        <f t="shared" si="9"/>
        <v>2183.1130981445312</v>
      </c>
      <c r="AL20" s="2">
        <v>-1.1988209149876639E-2</v>
      </c>
      <c r="AM20" s="2">
        <f t="shared" si="10"/>
        <v>9.4765482300556022E-4</v>
      </c>
      <c r="AN20" s="2">
        <f t="shared" si="11"/>
        <v>-6.6019821914666064E-4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56.762309096873906</v>
      </c>
      <c r="L21" s="6" t="s">
        <v>7</v>
      </c>
      <c r="N21" s="6" t="s">
        <v>27</v>
      </c>
      <c r="O21" s="6">
        <f>$C$6*2*PI()/60</f>
        <v>42.769780056341531</v>
      </c>
      <c r="P21" s="6" t="s">
        <v>28</v>
      </c>
      <c r="U21" s="2">
        <v>17</v>
      </c>
      <c r="V21" s="2">
        <f t="shared" si="7"/>
        <v>0.9710235595703125</v>
      </c>
      <c r="W21" s="2">
        <f t="shared" si="0"/>
        <v>2.4210540320313001E-6</v>
      </c>
      <c r="X21" s="2">
        <f t="shared" si="8"/>
        <v>0.97103118896484375</v>
      </c>
      <c r="Y21" s="2">
        <f t="shared" si="1"/>
        <v>-5.3622295614896842E-6</v>
      </c>
      <c r="Z21" s="2">
        <f t="shared" si="3"/>
        <v>0.97102737426757812</v>
      </c>
      <c r="AA21" s="2">
        <f t="shared" si="2"/>
        <v>-1.4705880636567414E-6</v>
      </c>
      <c r="AB21" s="2">
        <f t="shared" si="4"/>
        <v>-3.5603731609732559E-12</v>
      </c>
      <c r="AC21" s="2">
        <f t="shared" si="5"/>
        <v>7.8856307877140522E-12</v>
      </c>
      <c r="AD21" s="2">
        <f t="shared" si="6"/>
        <v>7.62939453125E-6</v>
      </c>
      <c r="AF21" s="2">
        <v>17</v>
      </c>
      <c r="AG21" s="2">
        <f t="shared" si="13"/>
        <v>2183.1130981445312</v>
      </c>
      <c r="AH21" s="2">
        <v>-1.1988209149876639E-2</v>
      </c>
      <c r="AI21" s="2">
        <f t="shared" si="14"/>
        <v>2183.258056640625</v>
      </c>
      <c r="AJ21" s="2">
        <v>5.507062905667226E-2</v>
      </c>
      <c r="AK21" s="2">
        <f t="shared" si="9"/>
        <v>2183.1855773925781</v>
      </c>
      <c r="AL21" s="2">
        <v>2.1541442333955274E-2</v>
      </c>
      <c r="AM21" s="2">
        <f t="shared" si="10"/>
        <v>-2.5824331608946262E-4</v>
      </c>
      <c r="AN21" s="2">
        <f t="shared" si="11"/>
        <v>1.1863007801189472E-3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28" t="s">
        <v>77</v>
      </c>
      <c r="G22" s="28"/>
      <c r="H22" s="28"/>
      <c r="J22" s="13" t="s">
        <v>144</v>
      </c>
      <c r="K22" s="6">
        <f xml:space="preserve"> $C$79 * (0.04674 * ($C$5*2.20462)^0.397 * ($C$12*3.28084^2)^0.36 * $C$46^0.397 * $C$13^1.712 * 0.453592)</f>
        <v>156.82698712971839</v>
      </c>
      <c r="L22" s="6" t="s">
        <v>7</v>
      </c>
      <c r="N22" s="6" t="s">
        <v>29</v>
      </c>
      <c r="O22" s="6">
        <f xml:space="preserve"> $C$7 * COS(O19/180*PI()) / (O21 * $C$10)</f>
        <v>8.3227603707110673E-2</v>
      </c>
      <c r="U22" s="2">
        <v>18</v>
      </c>
      <c r="V22" s="2">
        <f t="shared" si="7"/>
        <v>0.9710235595703125</v>
      </c>
      <c r="W22" s="2">
        <f t="shared" si="0"/>
        <v>2.4210540320313001E-6</v>
      </c>
      <c r="X22" s="2">
        <f t="shared" si="8"/>
        <v>0.97102737426757812</v>
      </c>
      <c r="Y22" s="2">
        <f t="shared" si="1"/>
        <v>-1.4705880636567414E-6</v>
      </c>
      <c r="Z22" s="2">
        <f t="shared" si="3"/>
        <v>0.97102546691894531</v>
      </c>
      <c r="AA22" s="2">
        <f t="shared" si="2"/>
        <v>4.7523290946926977E-7</v>
      </c>
      <c r="AB22" s="2">
        <f t="shared" si="4"/>
        <v>1.1505645516245414E-12</v>
      </c>
      <c r="AC22" s="2">
        <f t="shared" si="5"/>
        <v>-6.9887184412237293E-13</v>
      </c>
      <c r="AD22" s="2">
        <f t="shared" si="6"/>
        <v>3.814697265625E-6</v>
      </c>
      <c r="AF22" s="2">
        <v>18</v>
      </c>
      <c r="AG22" s="2">
        <f t="shared" si="13"/>
        <v>2183.1130981445312</v>
      </c>
      <c r="AH22" s="2">
        <v>-1.1988209149876639E-2</v>
      </c>
      <c r="AI22" s="2">
        <f t="shared" si="14"/>
        <v>2183.1855773925781</v>
      </c>
      <c r="AJ22" s="2">
        <v>2.1541442333955274E-2</v>
      </c>
      <c r="AK22" s="2">
        <f t="shared" si="9"/>
        <v>2183.1493377685547</v>
      </c>
      <c r="AL22" s="2">
        <v>4.7766746872639487E-3</v>
      </c>
      <c r="AM22" s="2">
        <f t="shared" si="10"/>
        <v>-5.7263775191841799E-5</v>
      </c>
      <c r="AN22" s="2">
        <f t="shared" si="11"/>
        <v>1.0289646232376019E-4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24.653765919406602</v>
      </c>
      <c r="L23" s="6" t="s">
        <v>7</v>
      </c>
      <c r="N23" s="6" t="s">
        <v>30</v>
      </c>
      <c r="O23" s="6">
        <f xml:space="preserve"> O20 / ( $C$71 * PI() * $C$10^2 * O21^2 * $C$10^2)</f>
        <v>3.8457305308381214E-2</v>
      </c>
      <c r="U23" s="2">
        <v>19</v>
      </c>
      <c r="V23" s="2">
        <f t="shared" si="7"/>
        <v>0.97102546691894531</v>
      </c>
      <c r="W23" s="2">
        <f t="shared" si="0"/>
        <v>4.7523290946926977E-7</v>
      </c>
      <c r="X23" s="2">
        <f t="shared" si="8"/>
        <v>0.97102737426757812</v>
      </c>
      <c r="Y23" s="2">
        <f t="shared" si="1"/>
        <v>-1.4705880636567414E-6</v>
      </c>
      <c r="Z23" s="2">
        <f t="shared" si="3"/>
        <v>0.97102642059326172</v>
      </c>
      <c r="AA23" s="2">
        <f t="shared" si="2"/>
        <v>-4.976775958009938E-7</v>
      </c>
      <c r="AB23" s="2">
        <f t="shared" si="4"/>
        <v>-2.3651277183017751E-13</v>
      </c>
      <c r="AC23" s="2">
        <f t="shared" si="5"/>
        <v>7.3187873193432594E-13</v>
      </c>
      <c r="AD23" s="2">
        <f t="shared" si="6"/>
        <v>1.9073486328125E-6</v>
      </c>
      <c r="AF23" s="2">
        <v>19</v>
      </c>
      <c r="AG23" s="2">
        <f t="shared" si="13"/>
        <v>2183.1130981445312</v>
      </c>
      <c r="AH23" s="2">
        <v>-1.1988209149876639E-2</v>
      </c>
      <c r="AI23" s="2">
        <f t="shared" si="14"/>
        <v>2183.1493377685547</v>
      </c>
      <c r="AJ23" s="2">
        <v>4.7766746872639487E-3</v>
      </c>
      <c r="AK23" s="2">
        <f t="shared" si="9"/>
        <v>2183.131217956543</v>
      </c>
      <c r="AL23" s="2">
        <v>-3.6054601628165983E-3</v>
      </c>
      <c r="AM23" s="2">
        <f t="shared" si="10"/>
        <v>4.3223010513393659E-5</v>
      </c>
      <c r="AN23" s="2">
        <f t="shared" si="11"/>
        <v>-1.7222110295664602E-5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8.6261599908252524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0.97102546691894531</v>
      </c>
      <c r="W24" s="2">
        <f t="shared" si="0"/>
        <v>4.7523290946926977E-7</v>
      </c>
      <c r="X24" s="2">
        <f t="shared" si="8"/>
        <v>0.97102642059326172</v>
      </c>
      <c r="Y24" s="2">
        <f t="shared" si="1"/>
        <v>-4.976775958009938E-7</v>
      </c>
      <c r="Z24" s="2">
        <f t="shared" si="3"/>
        <v>0.97102594375610352</v>
      </c>
      <c r="AA24" s="2">
        <f t="shared" si="2"/>
        <v>-1.1222347828798718E-8</v>
      </c>
      <c r="AB24" s="2">
        <f t="shared" si="4"/>
        <v>-5.333229009756157E-15</v>
      </c>
      <c r="AC24" s="2">
        <f t="shared" si="5"/>
        <v>5.585111086679049E-15</v>
      </c>
      <c r="AD24" s="2">
        <f t="shared" si="6"/>
        <v>9.5367431640625E-7</v>
      </c>
      <c r="AF24" s="2">
        <v>20</v>
      </c>
      <c r="AG24" s="2">
        <f t="shared" si="13"/>
        <v>2183.131217956543</v>
      </c>
      <c r="AH24" s="2">
        <v>-3.6054601628165983E-3</v>
      </c>
      <c r="AI24" s="2">
        <f t="shared" si="14"/>
        <v>2183.1493377685547</v>
      </c>
      <c r="AJ24" s="2">
        <v>4.7766746872639487E-3</v>
      </c>
      <c r="AK24" s="2">
        <f t="shared" si="9"/>
        <v>2183.1402778625488</v>
      </c>
      <c r="AL24" s="2">
        <v>5.853183481576707E-4</v>
      </c>
      <c r="AM24" s="2">
        <f t="shared" si="10"/>
        <v>-2.1103419868480977E-6</v>
      </c>
      <c r="AN24" s="2">
        <f t="shared" si="11"/>
        <v>2.7958753376358926E-6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23.00450546414822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2886.5586418855869</v>
      </c>
      <c r="P25" s="6" t="s">
        <v>19</v>
      </c>
      <c r="U25" s="2">
        <v>21</v>
      </c>
      <c r="V25" s="2">
        <f t="shared" si="7"/>
        <v>0.97102546691894531</v>
      </c>
      <c r="W25" s="2">
        <f t="shared" si="0"/>
        <v>4.7523290946926977E-7</v>
      </c>
      <c r="X25" s="2">
        <f t="shared" si="8"/>
        <v>0.97102594375610352</v>
      </c>
      <c r="Y25" s="2">
        <f t="shared" si="1"/>
        <v>-1.1222347828798718E-8</v>
      </c>
      <c r="Z25" s="2">
        <f t="shared" si="3"/>
        <v>0.97102570533752441</v>
      </c>
      <c r="AA25" s="2">
        <f t="shared" si="2"/>
        <v>2.3200527965450135E-7</v>
      </c>
      <c r="AB25" s="2">
        <f t="shared" si="4"/>
        <v>1.1025654406244025E-13</v>
      </c>
      <c r="AC25" s="2">
        <f t="shared" si="5"/>
        <v>-2.6036439464005325E-15</v>
      </c>
      <c r="AD25" s="2">
        <f t="shared" si="6"/>
        <v>4.76837158203125E-7</v>
      </c>
      <c r="AF25" s="2">
        <v>21</v>
      </c>
      <c r="AG25" s="2">
        <f t="shared" si="13"/>
        <v>2183.131217956543</v>
      </c>
      <c r="AH25" s="2">
        <v>-3.6054601628165983E-3</v>
      </c>
      <c r="AI25" s="2">
        <f t="shared" si="14"/>
        <v>2183.1402778625488</v>
      </c>
      <c r="AJ25" s="2">
        <v>5.853183481576707E-4</v>
      </c>
      <c r="AK25" s="2">
        <f t="shared" si="9"/>
        <v>2183.1357479095459</v>
      </c>
      <c r="AL25" s="2">
        <v>-1.5097774542027764E-3</v>
      </c>
      <c r="AM25" s="2">
        <f t="shared" si="10"/>
        <v>5.4434424658467717E-6</v>
      </c>
      <c r="AN25" s="2">
        <f t="shared" si="11"/>
        <v>-8.8370044557966237E-7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2674.7849647757175</v>
      </c>
      <c r="H26" s="6" t="s">
        <v>21</v>
      </c>
      <c r="J26" s="14" t="s">
        <v>65</v>
      </c>
      <c r="K26" s="6">
        <f xml:space="preserve"> $C$80 * (0.0268 * $C$5)</f>
        <v>46.807073347576022</v>
      </c>
      <c r="L26" s="6" t="s">
        <v>7</v>
      </c>
      <c r="N26" s="6" t="s">
        <v>32</v>
      </c>
      <c r="O26" s="17">
        <f>Z34</f>
        <v>0.97102593304589391</v>
      </c>
      <c r="U26" s="2">
        <v>22</v>
      </c>
      <c r="V26" s="2">
        <f t="shared" si="7"/>
        <v>0.97102570533752441</v>
      </c>
      <c r="W26" s="2">
        <f t="shared" si="0"/>
        <v>2.3200527965450135E-7</v>
      </c>
      <c r="X26" s="2">
        <f t="shared" si="8"/>
        <v>0.97102594375610352</v>
      </c>
      <c r="Y26" s="2">
        <f t="shared" si="1"/>
        <v>-1.1222347828798718E-8</v>
      </c>
      <c r="Z26" s="2">
        <f t="shared" si="3"/>
        <v>0.97102582454681396</v>
      </c>
      <c r="AA26" s="2">
        <f t="shared" si="2"/>
        <v>1.1039146563529556E-7</v>
      </c>
      <c r="AB26" s="2">
        <f t="shared" si="4"/>
        <v>2.5611402856187023E-14</v>
      </c>
      <c r="AC26" s="2">
        <f t="shared" si="5"/>
        <v>-1.2388514246901673E-15</v>
      </c>
      <c r="AD26" s="2">
        <f t="shared" si="6"/>
        <v>2.384185791015625E-7</v>
      </c>
      <c r="AF26" s="2">
        <v>22</v>
      </c>
      <c r="AG26" s="2">
        <f t="shared" si="13"/>
        <v>2183.1357479095459</v>
      </c>
      <c r="AH26" s="2">
        <v>-1.5097774542027764E-3</v>
      </c>
      <c r="AI26" s="2">
        <f t="shared" si="14"/>
        <v>2183.1402778625488</v>
      </c>
      <c r="AJ26" s="2">
        <v>5.853183481576707E-4</v>
      </c>
      <c r="AK26" s="2">
        <f t="shared" si="9"/>
        <v>2183.1380128860474</v>
      </c>
      <c r="AL26" s="2">
        <v>-4.6252187075879192E-4</v>
      </c>
      <c r="AM26" s="2">
        <f t="shared" si="10"/>
        <v>6.9830509254731446E-7</v>
      </c>
      <c r="AN26" s="2">
        <f t="shared" si="11"/>
        <v>-2.7072253737933176E-7</v>
      </c>
      <c r="AO26" s="2">
        <f t="shared" si="12"/>
        <v>4.5299530029296875E-3</v>
      </c>
    </row>
    <row r="27" spans="2:41" x14ac:dyDescent="0.2">
      <c r="B27" s="28" t="s">
        <v>146</v>
      </c>
      <c r="C27" s="28"/>
      <c r="D27" s="28"/>
      <c r="F27" t="s">
        <v>93</v>
      </c>
      <c r="G27" s="6">
        <f>G29/$C$21</f>
        <v>37.406345173841125</v>
      </c>
      <c r="H27" t="s">
        <v>97</v>
      </c>
      <c r="J27" s="14" t="s">
        <v>66</v>
      </c>
      <c r="K27" s="6">
        <f xml:space="preserve"> $C$80 * (11.5 * ($C$5*2.20462/1000)^0.4 * 0.453592)</f>
        <v>7.8238658146607865</v>
      </c>
      <c r="L27" s="6" t="s">
        <v>7</v>
      </c>
      <c r="N27" s="6" t="s">
        <v>33</v>
      </c>
      <c r="O27" s="6">
        <f xml:space="preserve"> O21 * $C$10 * O26 - $C$7 * SIN(O19/180*PI())</f>
        <v>1.3854628319861746</v>
      </c>
      <c r="P27" s="6" t="s">
        <v>10</v>
      </c>
      <c r="U27" s="2">
        <v>23</v>
      </c>
      <c r="V27" s="2">
        <f t="shared" si="7"/>
        <v>0.97102582454681396</v>
      </c>
      <c r="W27" s="2">
        <f t="shared" si="0"/>
        <v>1.1039146563529556E-7</v>
      </c>
      <c r="X27" s="2">
        <f t="shared" si="8"/>
        <v>0.97102594375610352</v>
      </c>
      <c r="Y27" s="2">
        <f t="shared" si="1"/>
        <v>-1.1222347828798718E-8</v>
      </c>
      <c r="Z27" s="2">
        <f t="shared" si="3"/>
        <v>0.97102588415145874</v>
      </c>
      <c r="AA27" s="2">
        <f t="shared" si="2"/>
        <v>4.9584558792226119E-8</v>
      </c>
      <c r="AB27" s="2">
        <f t="shared" si="4"/>
        <v>5.4737121179533216E-15</v>
      </c>
      <c r="AC27" s="2">
        <f t="shared" si="5"/>
        <v>-5.5645516570388112E-16</v>
      </c>
      <c r="AD27" s="2">
        <f t="shared" si="6"/>
        <v>1.1920928955078125E-7</v>
      </c>
      <c r="AF27" s="2">
        <v>23</v>
      </c>
      <c r="AG27" s="2">
        <f t="shared" si="13"/>
        <v>2183.1380128860474</v>
      </c>
      <c r="AH27" s="2">
        <v>-4.6252187075879192E-4</v>
      </c>
      <c r="AI27" s="2">
        <f t="shared" si="14"/>
        <v>2183.1402778625488</v>
      </c>
      <c r="AJ27" s="2">
        <v>5.853183481576707E-4</v>
      </c>
      <c r="AK27" s="2">
        <f t="shared" si="9"/>
        <v>2183.1391453742981</v>
      </c>
      <c r="AL27" s="2">
        <v>6.1398295201797737E-5</v>
      </c>
      <c r="AM27" s="2">
        <f t="shared" si="10"/>
        <v>-2.8398054358136046E-8</v>
      </c>
      <c r="AN27" s="2">
        <f t="shared" si="11"/>
        <v>3.593754872721329E-8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7.295439197378049</v>
      </c>
      <c r="H28" s="6" t="s">
        <v>172</v>
      </c>
      <c r="J28" s="14" t="s">
        <v>67</v>
      </c>
      <c r="K28" s="6">
        <f xml:space="preserve"> $C$80 * (8 * ($C$5/1000))</f>
        <v>13.97226070076896</v>
      </c>
      <c r="L28" s="6" t="s">
        <v>7</v>
      </c>
      <c r="N28" s="6" t="s">
        <v>34</v>
      </c>
      <c r="O28" s="6">
        <f xml:space="preserve"> 1/$C$31 - O25 * SQRT( (2*$C$71*PI()*$C$10^2) / O20^3 )</f>
        <v>1.1503022314457192</v>
      </c>
      <c r="U28" s="2">
        <v>24</v>
      </c>
      <c r="V28" s="2">
        <f t="shared" si="7"/>
        <v>0.97102588415145874</v>
      </c>
      <c r="W28" s="2">
        <f t="shared" si="0"/>
        <v>4.9584558792226119E-8</v>
      </c>
      <c r="X28" s="2">
        <f t="shared" si="8"/>
        <v>0.97102594375610352</v>
      </c>
      <c r="Y28" s="2">
        <f t="shared" si="1"/>
        <v>-1.1222347828798718E-8</v>
      </c>
      <c r="Z28" s="2">
        <f t="shared" si="3"/>
        <v>0.97102591395378113</v>
      </c>
      <c r="AA28" s="2">
        <f t="shared" si="2"/>
        <v>1.9181105481713701E-8</v>
      </c>
      <c r="AB28" s="2">
        <f t="shared" si="4"/>
        <v>9.5108665245792359E-16</v>
      </c>
      <c r="AC28" s="2">
        <f t="shared" si="5"/>
        <v>-2.1525703745666892E-16</v>
      </c>
      <c r="AD28" s="2">
        <f t="shared" si="6"/>
        <v>5.9604644775390625E-8</v>
      </c>
      <c r="AF28" s="2">
        <v>24</v>
      </c>
      <c r="AG28" s="2">
        <f t="shared" si="13"/>
        <v>2183.1380128860474</v>
      </c>
      <c r="AH28" s="2">
        <v>-4.6252187075879192E-4</v>
      </c>
      <c r="AI28" s="2">
        <f t="shared" si="14"/>
        <v>2183.1391453742981</v>
      </c>
      <c r="AJ28" s="2">
        <v>6.1398295201797737E-5</v>
      </c>
      <c r="AK28" s="2">
        <f t="shared" si="9"/>
        <v>2183.1385791301727</v>
      </c>
      <c r="AL28" s="2">
        <v>-2.0026922857141471E-4</v>
      </c>
      <c r="AM28" s="2">
        <f t="shared" si="10"/>
        <v>9.2628898254270836E-8</v>
      </c>
      <c r="AN28" s="2">
        <f t="shared" si="11"/>
        <v>-1.2296189215664027E-8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299.250761390729</v>
      </c>
      <c r="H29" s="22" t="s">
        <v>97</v>
      </c>
      <c r="J29" s="14" t="s">
        <v>68</v>
      </c>
      <c r="K29" s="6">
        <f xml:space="preserve"> $C$80 * (13 * ($C$5*2.20462/1000)^1.3 * 0.453592)</f>
        <v>36.378543715812718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0.97102591395378113</v>
      </c>
      <c r="W29" s="2">
        <f t="shared" si="0"/>
        <v>1.9181105481713701E-8</v>
      </c>
      <c r="X29" s="2">
        <f t="shared" si="8"/>
        <v>0.97102594375610352</v>
      </c>
      <c r="Y29" s="2">
        <f t="shared" si="1"/>
        <v>-1.1222347828798718E-8</v>
      </c>
      <c r="Z29" s="2">
        <f t="shared" si="3"/>
        <v>0.97102592885494232</v>
      </c>
      <c r="AA29" s="2">
        <f t="shared" si="2"/>
        <v>3.9793788264574914E-9</v>
      </c>
      <c r="AB29" s="2">
        <f t="shared" si="4"/>
        <v>7.6328885021979221E-17</v>
      </c>
      <c r="AC29" s="2">
        <f t="shared" si="5"/>
        <v>-4.4657973333062818E-17</v>
      </c>
      <c r="AD29" s="2">
        <f t="shared" si="6"/>
        <v>2.9802322387695312E-8</v>
      </c>
      <c r="AF29" s="2">
        <v>25</v>
      </c>
      <c r="AG29" s="2">
        <f t="shared" si="13"/>
        <v>2183.1385791301727</v>
      </c>
      <c r="AH29" s="2">
        <v>-2.0026922857141471E-4</v>
      </c>
      <c r="AI29" s="2">
        <f t="shared" si="14"/>
        <v>2183.1391453742981</v>
      </c>
      <c r="AJ29" s="2">
        <v>6.1398295201797737E-5</v>
      </c>
      <c r="AK29" s="2">
        <f t="shared" si="9"/>
        <v>2183.1388622522354</v>
      </c>
      <c r="AL29" s="2">
        <v>-6.9142918164288858E-5</v>
      </c>
      <c r="AM29" s="2">
        <f t="shared" si="10"/>
        <v>1.3847198881938588E-8</v>
      </c>
      <c r="AN29" s="2">
        <f t="shared" si="11"/>
        <v>-4.2452573005647504E-9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1.2361867761228496E-2</v>
      </c>
      <c r="L30" s="9" t="s">
        <v>7</v>
      </c>
      <c r="N30" s="6" t="s">
        <v>36</v>
      </c>
      <c r="O30" s="6">
        <f xml:space="preserve"> 1/$C$77 * LN( EXP($C$77 * O28) + EXP($C$77 * O29) )</f>
        <v>1.1732563642797766</v>
      </c>
      <c r="U30" s="2">
        <v>26</v>
      </c>
      <c r="V30" s="2">
        <f>IF(AB29&gt;0, Z29, V29)</f>
        <v>0.97102592885494232</v>
      </c>
      <c r="W30" s="2">
        <f t="shared" si="0"/>
        <v>3.9793788264574914E-9</v>
      </c>
      <c r="X30" s="2">
        <f t="shared" si="8"/>
        <v>0.97102594375610352</v>
      </c>
      <c r="Y30" s="2">
        <f t="shared" si="1"/>
        <v>-1.1222347828798718E-8</v>
      </c>
      <c r="Z30" s="2">
        <f t="shared" si="3"/>
        <v>0.97102593630552292</v>
      </c>
      <c r="AA30" s="2">
        <f t="shared" si="2"/>
        <v>-3.6214845566817644E-9</v>
      </c>
      <c r="AB30" s="2">
        <f t="shared" si="4"/>
        <v>-1.4411258965202208E-17</v>
      </c>
      <c r="AC30" s="2">
        <f t="shared" si="5"/>
        <v>4.0641559351705685E-17</v>
      </c>
      <c r="AD30" s="2">
        <f t="shared" si="6"/>
        <v>1.4901161193847656E-8</v>
      </c>
      <c r="AF30" s="2">
        <v>26</v>
      </c>
      <c r="AG30" s="2">
        <f t="shared" si="13"/>
        <v>2183.1388622522354</v>
      </c>
      <c r="AH30" s="2">
        <v>-6.9142918164288858E-5</v>
      </c>
      <c r="AI30" s="2">
        <f t="shared" si="14"/>
        <v>2183.1391453742981</v>
      </c>
      <c r="AJ30" s="2">
        <v>6.1398295201797737E-5</v>
      </c>
      <c r="AK30" s="2">
        <f t="shared" si="9"/>
        <v>2183.1390038132668</v>
      </c>
      <c r="AL30" s="2">
        <v>-3.8723101170035079E-6</v>
      </c>
      <c r="AM30" s="2">
        <f t="shared" si="10"/>
        <v>2.6774282152672136E-10</v>
      </c>
      <c r="AN30" s="2">
        <f t="shared" si="11"/>
        <v>-2.3775323967668931E-10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0" t="s">
        <v>175</v>
      </c>
      <c r="G31" s="31"/>
      <c r="H31" s="31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0.97102592885494232</v>
      </c>
      <c r="W31" s="2">
        <f t="shared" si="0"/>
        <v>3.9793788264574914E-9</v>
      </c>
      <c r="X31" s="2">
        <f t="shared" si="8"/>
        <v>0.97102593630552292</v>
      </c>
      <c r="Y31" s="2">
        <f t="shared" si="1"/>
        <v>-3.6214845566817644E-9</v>
      </c>
      <c r="Z31" s="2">
        <f t="shared" si="3"/>
        <v>0.97102593258023262</v>
      </c>
      <c r="AA31" s="2">
        <f t="shared" si="2"/>
        <v>1.7894719039901474E-10</v>
      </c>
      <c r="AB31" s="2">
        <f t="shared" si="4"/>
        <v>7.1209866052789657E-19</v>
      </c>
      <c r="AC31" s="2">
        <f t="shared" si="5"/>
        <v>-6.4805448649162319E-19</v>
      </c>
      <c r="AD31" s="2">
        <f t="shared" si="6"/>
        <v>7.4505805969238281E-9</v>
      </c>
      <c r="AF31" s="2">
        <v>27</v>
      </c>
      <c r="AG31" s="2">
        <f t="shared" si="13"/>
        <v>2183.1390038132668</v>
      </c>
      <c r="AH31" s="2">
        <v>-3.8723101170035079E-6</v>
      </c>
      <c r="AI31" s="2">
        <f t="shared" si="14"/>
        <v>2183.1391453742981</v>
      </c>
      <c r="AJ31" s="2">
        <v>6.1398295201797737E-5</v>
      </c>
      <c r="AK31" s="2">
        <f t="shared" si="9"/>
        <v>2183.1390745937824</v>
      </c>
      <c r="AL31" s="2">
        <v>2.9055537879685289E-5</v>
      </c>
      <c r="AM31" s="2">
        <f t="shared" si="10"/>
        <v>-1.12512053286484E-10</v>
      </c>
      <c r="AN31" s="2">
        <f t="shared" si="11"/>
        <v>1.7839604919839336E-9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0.97102593258023262</v>
      </c>
      <c r="W32" s="2">
        <f t="shared" si="0"/>
        <v>1.7894719039901474E-10</v>
      </c>
      <c r="X32" s="2">
        <f t="shared" si="8"/>
        <v>0.97102593630552292</v>
      </c>
      <c r="Y32" s="2">
        <f t="shared" si="1"/>
        <v>-3.6214845566817644E-9</v>
      </c>
      <c r="Z32" s="2">
        <f t="shared" si="3"/>
        <v>0.97102593444287777</v>
      </c>
      <c r="AA32" s="2">
        <f t="shared" si="2"/>
        <v>-1.7212686831413748E-9</v>
      </c>
      <c r="AB32" s="2">
        <f t="shared" si="4"/>
        <v>-3.0801619476996098E-19</v>
      </c>
      <c r="AC32" s="2">
        <f t="shared" si="5"/>
        <v>6.2335479538964462E-18</v>
      </c>
      <c r="AD32" s="2">
        <f t="shared" si="6"/>
        <v>3.7252902984619141E-9</v>
      </c>
      <c r="AF32" s="2">
        <v>28</v>
      </c>
      <c r="AG32" s="2">
        <f t="shared" si="13"/>
        <v>2183.1390038132668</v>
      </c>
      <c r="AH32" s="2">
        <v>-3.8723101170035079E-6</v>
      </c>
      <c r="AI32" s="2">
        <f t="shared" si="14"/>
        <v>2183.1390745937824</v>
      </c>
      <c r="AJ32" s="2">
        <v>2.9055537879685289E-5</v>
      </c>
      <c r="AK32" s="2">
        <f t="shared" si="9"/>
        <v>2183.1390392035246</v>
      </c>
      <c r="AL32" s="2">
        <v>1.2591613312906702E-5</v>
      </c>
      <c r="AM32" s="2">
        <f t="shared" si="10"/>
        <v>-4.8758631620964679E-11</v>
      </c>
      <c r="AN32" s="2">
        <f t="shared" si="11"/>
        <v>3.6585609757951026E-10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113.71164537714482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0.97102593258023262</v>
      </c>
      <c r="W33" s="2">
        <f t="shared" si="0"/>
        <v>1.7894719039901474E-10</v>
      </c>
      <c r="X33" s="2">
        <f t="shared" si="8"/>
        <v>0.97102593444287777</v>
      </c>
      <c r="Y33" s="2">
        <f t="shared" si="1"/>
        <v>-1.7212686831413748E-9</v>
      </c>
      <c r="Z33" s="2">
        <f t="shared" si="3"/>
        <v>0.97102593351155519</v>
      </c>
      <c r="AA33" s="2">
        <f t="shared" si="2"/>
        <v>-7.7116080188233127E-10</v>
      </c>
      <c r="AB33" s="2">
        <f t="shared" si="4"/>
        <v>-1.3799705884269442E-19</v>
      </c>
      <c r="AC33" s="2">
        <f t="shared" si="5"/>
        <v>1.327374937946247E-18</v>
      </c>
      <c r="AD33" s="2">
        <f t="shared" si="6"/>
        <v>1.862645149230957E-9</v>
      </c>
      <c r="AF33" s="2">
        <v>29</v>
      </c>
      <c r="AG33" s="2">
        <f t="shared" si="13"/>
        <v>2183.1390038132668</v>
      </c>
      <c r="AH33" s="2">
        <v>-3.8723101170035079E-6</v>
      </c>
      <c r="AI33" s="2">
        <f t="shared" si="14"/>
        <v>2183.1390392035246</v>
      </c>
      <c r="AJ33" s="2">
        <v>1.2591613312906702E-5</v>
      </c>
      <c r="AK33" s="2">
        <f t="shared" si="9"/>
        <v>2183.1390215083957</v>
      </c>
      <c r="AL33" s="2">
        <v>4.3596512568910839E-6</v>
      </c>
      <c r="AM33" s="2">
        <f t="shared" si="10"/>
        <v>-1.6881921668666403E-11</v>
      </c>
      <c r="AN33" s="2">
        <f t="shared" si="11"/>
        <v>5.4895042805900209E-11</v>
      </c>
      <c r="AO33" s="2">
        <f t="shared" si="12"/>
        <v>3.5390257835388184E-5</v>
      </c>
    </row>
    <row r="34" spans="2:41" x14ac:dyDescent="0.2">
      <c r="B34" s="28" t="s">
        <v>100</v>
      </c>
      <c r="C34" s="28"/>
      <c r="D34" s="28"/>
      <c r="J34" s="6" t="s">
        <v>58</v>
      </c>
      <c r="K34" s="6">
        <f>ROUND($C$16/$C$5 * 100, 2)</f>
        <v>27.48</v>
      </c>
      <c r="L34" s="6" t="s">
        <v>59</v>
      </c>
      <c r="U34" s="2">
        <v>30</v>
      </c>
      <c r="V34" s="2">
        <f t="shared" si="7"/>
        <v>0.97102593258023262</v>
      </c>
      <c r="W34" s="2">
        <f t="shared" si="0"/>
        <v>1.7894719039901474E-10</v>
      </c>
      <c r="X34" s="2">
        <f t="shared" si="8"/>
        <v>0.97102593351155519</v>
      </c>
      <c r="Y34" s="2">
        <f t="shared" si="1"/>
        <v>-7.7116080188233127E-10</v>
      </c>
      <c r="Z34" s="2">
        <f t="shared" si="3"/>
        <v>0.97102593304589391</v>
      </c>
      <c r="AA34" s="2">
        <f t="shared" si="2"/>
        <v>-2.9610680574165826E-10</v>
      </c>
      <c r="AB34" s="2">
        <f t="shared" si="4"/>
        <v>-5.2987480945496593E-20</v>
      </c>
      <c r="AC34" s="2">
        <f t="shared" si="5"/>
        <v>2.2834596175855288E-19</v>
      </c>
      <c r="AD34" s="2">
        <f t="shared" si="6"/>
        <v>9.3132257461547852E-10</v>
      </c>
      <c r="AF34" s="2">
        <v>30</v>
      </c>
      <c r="AG34" s="2">
        <f t="shared" si="13"/>
        <v>2183.1390038132668</v>
      </c>
      <c r="AH34" s="2">
        <v>-3.8723101170035079E-6</v>
      </c>
      <c r="AI34" s="2">
        <f t="shared" si="14"/>
        <v>2183.1390215083957</v>
      </c>
      <c r="AJ34" s="2">
        <v>4.3596512568910839E-6</v>
      </c>
      <c r="AK34" s="2">
        <f t="shared" si="9"/>
        <v>2183.1390126608312</v>
      </c>
      <c r="AL34" s="2">
        <v>2.4367068363062572E-7</v>
      </c>
      <c r="AM34" s="2">
        <f t="shared" si="10"/>
        <v>-9.4356845344003303E-13</v>
      </c>
      <c r="AN34" s="2">
        <f t="shared" si="11"/>
        <v>1.0623192021577671E-12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29.98</v>
      </c>
      <c r="L35" s="6" t="s">
        <v>59</v>
      </c>
      <c r="AF35" s="2">
        <v>31</v>
      </c>
      <c r="AG35" s="2">
        <f t="shared" si="13"/>
        <v>2183.1390038132668</v>
      </c>
      <c r="AH35" s="2">
        <v>-3.8723101170035079E-6</v>
      </c>
      <c r="AI35" s="2">
        <f t="shared" si="14"/>
        <v>2183.1390126608312</v>
      </c>
      <c r="AJ35" s="2">
        <v>2.4367068363062572E-7</v>
      </c>
      <c r="AK35" s="2">
        <f t="shared" si="9"/>
        <v>2183.139008237049</v>
      </c>
      <c r="AL35" s="2">
        <v>-1.8143196029996034E-6</v>
      </c>
      <c r="AM35" s="2">
        <f t="shared" si="10"/>
        <v>7.0256081541731522E-12</v>
      </c>
      <c r="AN35" s="2">
        <f t="shared" si="11"/>
        <v>-4.420964979873588E-13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15.53</v>
      </c>
      <c r="L36" s="6" t="s">
        <v>59</v>
      </c>
      <c r="AF36" s="2">
        <v>32</v>
      </c>
      <c r="AG36" s="2">
        <f t="shared" si="13"/>
        <v>2183.139008237049</v>
      </c>
      <c r="AH36" s="2">
        <v>-1.8143196029996034E-6</v>
      </c>
      <c r="AI36" s="2">
        <f t="shared" si="14"/>
        <v>2183.1390126608312</v>
      </c>
      <c r="AJ36" s="2">
        <v>2.4367068363062572E-7</v>
      </c>
      <c r="AK36" s="2">
        <f t="shared" si="9"/>
        <v>2183.1390104489401</v>
      </c>
      <c r="AL36" s="2">
        <v>-7.8532434599765111E-7</v>
      </c>
      <c r="AM36" s="2">
        <f t="shared" si="10"/>
        <v>1.4248293556563815E-12</v>
      </c>
      <c r="AN36" s="2">
        <f t="shared" si="11"/>
        <v>-1.9136052026102169E-13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22.19</v>
      </c>
      <c r="L37" s="6" t="s">
        <v>59</v>
      </c>
      <c r="AF37" s="2">
        <v>33</v>
      </c>
      <c r="AG37" s="2">
        <f t="shared" si="13"/>
        <v>2183.1390104489401</v>
      </c>
      <c r="AH37" s="2">
        <v>-7.8532434599765111E-7</v>
      </c>
      <c r="AI37" s="2">
        <f t="shared" si="14"/>
        <v>2183.1390126608312</v>
      </c>
      <c r="AJ37" s="2">
        <v>2.4367068363062572E-7</v>
      </c>
      <c r="AK37" s="2">
        <f t="shared" si="9"/>
        <v>2183.1390115548857</v>
      </c>
      <c r="AL37" s="2">
        <v>-2.7082705855718814E-7</v>
      </c>
      <c r="AM37" s="2">
        <f t="shared" si="10"/>
        <v>2.1268708263989133E-13</v>
      </c>
      <c r="AN37" s="2">
        <f t="shared" si="11"/>
        <v>-6.5992614504301536E-14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4.8099999999999996</v>
      </c>
      <c r="L38" s="6" t="s">
        <v>59</v>
      </c>
      <c r="AF38" s="2">
        <v>34</v>
      </c>
      <c r="AG38" s="2">
        <f t="shared" si="13"/>
        <v>2183.1390115548857</v>
      </c>
      <c r="AH38" s="2">
        <v>-2.7082705855718814E-7</v>
      </c>
      <c r="AI38" s="2">
        <f t="shared" si="14"/>
        <v>2183.1390126608312</v>
      </c>
      <c r="AJ38" s="2">
        <v>2.4367068363062572E-7</v>
      </c>
      <c r="AK38" s="2">
        <f t="shared" si="9"/>
        <v>2183.1390121078584</v>
      </c>
      <c r="AL38" s="2">
        <v>-1.3578301150118932E-8</v>
      </c>
      <c r="AM38" s="2">
        <f t="shared" si="10"/>
        <v>3.6773713606903951E-15</v>
      </c>
      <c r="AN38" s="2">
        <f t="shared" si="11"/>
        <v>-3.3086339237919916E-15</v>
      </c>
      <c r="AO38" s="2">
        <f t="shared" si="12"/>
        <v>1.1059455573558807E-6</v>
      </c>
    </row>
    <row r="39" spans="2:41" x14ac:dyDescent="0.2">
      <c r="B39" s="28" t="s">
        <v>104</v>
      </c>
      <c r="C39" s="28"/>
      <c r="D39" s="28"/>
      <c r="J39" s="9" t="s">
        <v>60</v>
      </c>
      <c r="K39" s="9">
        <f>SUM(K34:K38)</f>
        <v>99.99</v>
      </c>
      <c r="L39" s="9" t="s">
        <v>59</v>
      </c>
      <c r="AF39" s="2">
        <v>35</v>
      </c>
      <c r="AG39" s="2">
        <f t="shared" si="13"/>
        <v>2183.1390121078584</v>
      </c>
      <c r="AH39" s="2">
        <v>-1.3578301150118932E-8</v>
      </c>
      <c r="AI39" s="2">
        <f t="shared" si="14"/>
        <v>2183.1390126608312</v>
      </c>
      <c r="AJ39" s="2">
        <v>2.4367068363062572E-7</v>
      </c>
      <c r="AK39" s="2">
        <f t="shared" si="9"/>
        <v>2183.1390123843448</v>
      </c>
      <c r="AL39" s="2">
        <v>1.1504607755341567E-7</v>
      </c>
      <c r="AM39" s="2">
        <f t="shared" si="10"/>
        <v>-1.5621302871602159E-15</v>
      </c>
      <c r="AN39" s="2">
        <f t="shared" si="11"/>
        <v>2.8033356366462781E-14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2183.1390121078584</v>
      </c>
      <c r="AH40" s="2">
        <v>-1.3578301150118932E-8</v>
      </c>
      <c r="AI40" s="2">
        <f t="shared" si="14"/>
        <v>2183.1390123843448</v>
      </c>
      <c r="AJ40" s="2">
        <v>1.1504607755341567E-7</v>
      </c>
      <c r="AK40" s="2">
        <f t="shared" si="9"/>
        <v>2183.1390122461016</v>
      </c>
      <c r="AL40" s="2">
        <v>5.0733888201648369E-8</v>
      </c>
      <c r="AM40" s="2">
        <f t="shared" si="10"/>
        <v>-6.8888001251844738E-16</v>
      </c>
      <c r="AN40" s="2">
        <f t="shared" si="11"/>
        <v>5.8367348366331586E-15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28" t="s">
        <v>109</v>
      </c>
      <c r="K41" s="28"/>
      <c r="L41" s="28"/>
      <c r="AF41" s="2">
        <v>37</v>
      </c>
      <c r="AG41" s="2">
        <f t="shared" si="13"/>
        <v>2183.1390121078584</v>
      </c>
      <c r="AH41" s="2">
        <v>-1.3578301150118932E-8</v>
      </c>
      <c r="AI41" s="2">
        <f t="shared" si="14"/>
        <v>2183.1390122461016</v>
      </c>
      <c r="AJ41" s="2">
        <v>5.0733888201648369E-8</v>
      </c>
      <c r="AK41" s="2">
        <f t="shared" si="9"/>
        <v>2183.13901217698</v>
      </c>
      <c r="AL41" s="2">
        <v>1.8577793525764719E-8</v>
      </c>
      <c r="AM41" s="2">
        <f t="shared" si="10"/>
        <v>-2.5225487519756313E-16</v>
      </c>
      <c r="AN41" s="2">
        <f t="shared" si="11"/>
        <v>9.4252369976945412E-16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2183.1390121078584</v>
      </c>
      <c r="AH42" s="2">
        <v>-1.3578301150118932E-8</v>
      </c>
      <c r="AI42" s="2">
        <f t="shared" si="14"/>
        <v>2183.13901217698</v>
      </c>
      <c r="AJ42" s="2">
        <v>1.8577793525764719E-8</v>
      </c>
      <c r="AK42" s="2">
        <f t="shared" si="9"/>
        <v>2183.1390121424192</v>
      </c>
      <c r="AL42" s="2">
        <v>2.4997461878228933E-9</v>
      </c>
      <c r="AM42" s="2">
        <f t="shared" si="10"/>
        <v>-3.3942306537121008E-17</v>
      </c>
      <c r="AN42" s="2">
        <f t="shared" si="11"/>
        <v>4.6439768544191183E-17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654.53</v>
      </c>
      <c r="L43" s="6" t="s">
        <v>7</v>
      </c>
      <c r="AF43" s="2">
        <v>39</v>
      </c>
      <c r="AG43" s="2">
        <f t="shared" si="13"/>
        <v>2183.1390121078584</v>
      </c>
      <c r="AH43" s="2">
        <v>-1.3578301150118932E-8</v>
      </c>
      <c r="AI43" s="2">
        <f t="shared" si="14"/>
        <v>2183.1390121424192</v>
      </c>
      <c r="AJ43" s="2">
        <v>2.4997461878228933E-9</v>
      </c>
      <c r="AK43" s="2">
        <f t="shared" si="9"/>
        <v>2183.1390121251388</v>
      </c>
      <c r="AL43" s="2">
        <v>-5.5392774811480194E-9</v>
      </c>
      <c r="AM43" s="2">
        <f t="shared" si="10"/>
        <v>7.5213977793100054E-17</v>
      </c>
      <c r="AN43" s="2">
        <f t="shared" si="11"/>
        <v>-1.384678776679296E-17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339.1</v>
      </c>
      <c r="L44" s="6" t="s">
        <v>7</v>
      </c>
      <c r="AF44" s="2">
        <v>40</v>
      </c>
      <c r="AG44" s="2">
        <f t="shared" si="13"/>
        <v>2183.1390121251388</v>
      </c>
      <c r="AH44" s="2">
        <v>-5.5392774811480194E-9</v>
      </c>
      <c r="AI44" s="2">
        <f t="shared" si="14"/>
        <v>2183.1390121424192</v>
      </c>
      <c r="AJ44" s="2">
        <v>2.4997461878228933E-9</v>
      </c>
      <c r="AK44" s="5">
        <f t="shared" si="9"/>
        <v>2183.139012133779</v>
      </c>
      <c r="AL44" s="2">
        <v>-1.5195382729871199E-9</v>
      </c>
      <c r="AM44" s="2">
        <f t="shared" si="10"/>
        <v>8.4171441373001048E-18</v>
      </c>
      <c r="AN44" s="2">
        <f t="shared" si="11"/>
        <v>-3.7984600051505358E-18</v>
      </c>
      <c r="AO44" s="2">
        <f t="shared" si="12"/>
        <v>1.7280399333685637E-8</v>
      </c>
    </row>
    <row r="45" spans="2:41" x14ac:dyDescent="0.2">
      <c r="B45" s="28" t="s">
        <v>151</v>
      </c>
      <c r="C45" s="28"/>
      <c r="D45" s="28"/>
      <c r="J45" s="19" t="s">
        <v>70</v>
      </c>
      <c r="K45" s="6">
        <f>ROUND(SUM(K20:K25), 2)</f>
        <v>484.55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104.98</v>
      </c>
      <c r="L46" s="6" t="s">
        <v>7</v>
      </c>
    </row>
    <row r="47" spans="2:41" x14ac:dyDescent="0.2">
      <c r="J47" s="9" t="s">
        <v>60</v>
      </c>
      <c r="K47" s="9">
        <f>SUM(K42:K46)</f>
        <v>2183.1600000000003</v>
      </c>
      <c r="L47" s="6" t="s">
        <v>7</v>
      </c>
    </row>
    <row r="48" spans="2:41" x14ac:dyDescent="0.2">
      <c r="B48" s="28" t="s">
        <v>152</v>
      </c>
      <c r="C48" s="28"/>
      <c r="D48" s="28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8" t="s">
        <v>156</v>
      </c>
      <c r="C53" s="28"/>
      <c r="D53" s="28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0" t="s">
        <v>2</v>
      </c>
      <c r="C59" s="31"/>
      <c r="D59" s="31"/>
    </row>
    <row r="60" spans="2:4" x14ac:dyDescent="0.2">
      <c r="B60" s="6" t="s">
        <v>3</v>
      </c>
      <c r="C60" s="16">
        <v>250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8" t="s">
        <v>169</v>
      </c>
      <c r="C64" s="29"/>
      <c r="D64" s="29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8" t="s">
        <v>170</v>
      </c>
      <c r="C70" s="29"/>
      <c r="D70" s="29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8" t="s">
        <v>72</v>
      </c>
      <c r="C76" s="28"/>
      <c r="D76" s="28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48:D48"/>
    <mergeCell ref="B53:D53"/>
    <mergeCell ref="B76:D76"/>
    <mergeCell ref="B59:D59"/>
    <mergeCell ref="B64:D64"/>
    <mergeCell ref="B70:D70"/>
    <mergeCell ref="F22:H22"/>
    <mergeCell ref="B27:D27"/>
    <mergeCell ref="B39:D39"/>
    <mergeCell ref="J41:L41"/>
    <mergeCell ref="B45:D45"/>
    <mergeCell ref="B34:D34"/>
    <mergeCell ref="F31:H31"/>
    <mergeCell ref="J9:L9"/>
    <mergeCell ref="F12:H12"/>
    <mergeCell ref="B15:D15"/>
    <mergeCell ref="N18:P18"/>
    <mergeCell ref="B20:D20"/>
    <mergeCell ref="B1:D1"/>
    <mergeCell ref="B3:D3"/>
    <mergeCell ref="F3:H3"/>
    <mergeCell ref="J3:L3"/>
    <mergeCell ref="N3:P3"/>
  </mergeCells>
  <conditionalFormatting sqref="K31">
    <cfRule type="containsText" dxfId="23" priority="7" operator="containsText" text="FALSE">
      <formula>NOT(ISERROR(SEARCH("FALSE",K31)))</formula>
    </cfRule>
    <cfRule type="containsText" dxfId="22" priority="8" operator="containsText" text="TRUE">
      <formula>NOT(ISERROR(SEARCH("TRUE",K31)))</formula>
    </cfRule>
    <cfRule type="cellIs" dxfId="21" priority="9" operator="equal">
      <formula>1</formula>
    </cfRule>
    <cfRule type="cellIs" dxfId="20" priority="10" operator="equal">
      <formula>TRUE</formula>
    </cfRule>
    <cfRule type="containsText" dxfId="19" priority="11" operator="containsText" text="YES">
      <formula>NOT(ISERROR(SEARCH("YES",K31)))</formula>
    </cfRule>
    <cfRule type="cellIs" dxfId="18" priority="12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E599-B8DB-7C45-AD35-81934DFC24D5}">
  <dimension ref="B1:AO81"/>
  <sheetViews>
    <sheetView zoomScale="88" workbookViewId="0">
      <selection activeCell="K25" sqref="K25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27" t="s">
        <v>0</v>
      </c>
      <c r="C1" s="27"/>
      <c r="D1" s="27"/>
    </row>
    <row r="2" spans="2:41" x14ac:dyDescent="0.2">
      <c r="U2" s="15" t="s">
        <v>89</v>
      </c>
      <c r="AF2" s="26" t="s">
        <v>129</v>
      </c>
    </row>
    <row r="3" spans="2:41" x14ac:dyDescent="0.2">
      <c r="B3" s="28" t="s">
        <v>118</v>
      </c>
      <c r="C3" s="29"/>
      <c r="D3" s="29"/>
      <c r="F3" s="30" t="s">
        <v>76</v>
      </c>
      <c r="G3" s="31"/>
      <c r="H3" s="31"/>
      <c r="J3" s="28" t="s">
        <v>94</v>
      </c>
      <c r="K3" s="28"/>
      <c r="L3" s="28"/>
      <c r="N3" s="28" t="s">
        <v>88</v>
      </c>
      <c r="O3" s="28"/>
      <c r="P3" s="28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380.84842180791657</v>
      </c>
      <c r="L4" s="6" t="s">
        <v>97</v>
      </c>
      <c r="N4" s="6" t="s">
        <v>131</v>
      </c>
      <c r="O4" s="6">
        <f xml:space="preserve"> $C$5 * $C$74</f>
        <v>17545.051267209619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1.1646615206559601</v>
      </c>
      <c r="X4" s="3">
        <v>1</v>
      </c>
      <c r="Y4" s="2">
        <f t="shared" ref="Y4:Y34" si="1" xml:space="preserve"> $O$22 * TAN($O$19/180*PI()) + $O$23 / (2 * SQRT($O$22^2 + X4^2)) - X4</f>
        <v>-3.1007409600807057E-2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0.48632965771338132</v>
      </c>
      <c r="AB4" s="2">
        <f>W4*AA4</f>
        <v>0.56640943869255922</v>
      </c>
      <c r="AC4" s="2">
        <f>Y4*AA4</f>
        <v>-1.507982289773911E-2</v>
      </c>
      <c r="AD4" s="2">
        <f>X4-V4</f>
        <v>1</v>
      </c>
      <c r="AF4" s="2">
        <v>0</v>
      </c>
      <c r="AH4" s="2">
        <f>K30</f>
        <v>-3.7503786545585172E-3</v>
      </c>
      <c r="AJ4" s="2">
        <f>K30</f>
        <v>-3.7503786545585172E-3</v>
      </c>
      <c r="AL4" s="2">
        <f>K30</f>
        <v>-3.7503786545585172E-3</v>
      </c>
    </row>
    <row r="5" spans="2:41" x14ac:dyDescent="0.2">
      <c r="B5" s="9" t="s">
        <v>38</v>
      </c>
      <c r="C5" s="9">
        <v>1790.21021336068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47.606052725989571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0.48632965771338132</v>
      </c>
      <c r="X5" s="2">
        <f>IF(AC4&gt;0, Z4, X4)</f>
        <v>1</v>
      </c>
      <c r="Y5" s="2">
        <f t="shared" si="1"/>
        <v>-3.1007409600807057E-2</v>
      </c>
      <c r="Z5" s="2">
        <f t="shared" ref="Z5:Z34" si="3" xml:space="preserve"> (V5 + X5)/2</f>
        <v>0.75</v>
      </c>
      <c r="AA5" s="2">
        <f t="shared" si="2"/>
        <v>0.22482862764150846</v>
      </c>
      <c r="AB5" s="2">
        <f t="shared" ref="AB5:AB34" si="4">W5*AA5</f>
        <v>0.10934082952506408</v>
      </c>
      <c r="AC5" s="2">
        <f t="shared" ref="AC5:AC34" si="5">Y5*AA5</f>
        <v>-6.9713533472675841E-3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-1211.2127328893957</v>
      </c>
      <c r="AI5" s="3">
        <v>10000</v>
      </c>
      <c r="AJ5" s="2">
        <f t="dataTable" ref="AJ5:AJ44" dt2D="0" dtr="0" r1="C5" ca="1"/>
        <v>7304.0071528056642</v>
      </c>
      <c r="AK5" s="2">
        <f>(AG5+AI5)/2</f>
        <v>5250</v>
      </c>
      <c r="AL5" s="2">
        <f t="dataTable" ref="AL5:AL44" dt2D="0" dtr="0" r1="C5" ca="1"/>
        <v>2968.7701603603828</v>
      </c>
      <c r="AM5" s="2">
        <f>AH5*AL5</f>
        <v>-3595812.2192505887</v>
      </c>
      <c r="AN5" s="2">
        <f>AJ5*AL5</f>
        <v>21683918.486308254</v>
      </c>
      <c r="AO5" s="2">
        <f>AI5-AG5</f>
        <v>9500</v>
      </c>
    </row>
    <row r="6" spans="2:41" x14ac:dyDescent="0.2">
      <c r="B6" s="6" t="s">
        <v>168</v>
      </c>
      <c r="C6" s="16">
        <v>408.42131465519498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157.55081564031133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0.19304679781499373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0.22482862764150846</v>
      </c>
      <c r="X6" s="2">
        <f t="shared" ref="X6:X34" si="8">IF(AC5&gt;0, Z5, X5)</f>
        <v>1</v>
      </c>
      <c r="Y6" s="2">
        <f t="shared" si="1"/>
        <v>-3.1007409600807057E-2</v>
      </c>
      <c r="Z6" s="2">
        <f t="shared" si="3"/>
        <v>0.875</v>
      </c>
      <c r="AA6" s="2">
        <f t="shared" si="2"/>
        <v>9.6499432374427152E-2</v>
      </c>
      <c r="AB6" s="2">
        <f t="shared" si="4"/>
        <v>2.1695834948927011E-2</v>
      </c>
      <c r="AC6" s="2">
        <f t="shared" si="5"/>
        <v>-2.9921974258792436E-3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-1211.2127328893957</v>
      </c>
      <c r="AI6" s="2">
        <f>IF(AN5&gt;0,AK5,AI5)</f>
        <v>5250</v>
      </c>
      <c r="AJ6" s="2">
        <v>2968.7701603603828</v>
      </c>
      <c r="AK6" s="2">
        <f t="shared" ref="AK6:AK44" si="9">(AG6+AI6)/2</f>
        <v>2875</v>
      </c>
      <c r="AL6" s="2">
        <v>973.03527558546443</v>
      </c>
      <c r="AM6" s="2">
        <f t="shared" ref="AM6:AM44" si="10">AH6*AL6</f>
        <v>-1178552.7153396567</v>
      </c>
      <c r="AN6" s="2">
        <f t="shared" ref="AN6:AN44" si="11">AJ6*AL6</f>
        <v>2888718.0911361687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2193.3412048501141</v>
      </c>
      <c r="H7" s="6" t="s">
        <v>21</v>
      </c>
      <c r="J7" s="6" t="s">
        <v>133</v>
      </c>
      <c r="K7" s="6">
        <f>K6/$C$28</f>
        <v>157.55081564031133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9.6499432374427152E-2</v>
      </c>
      <c r="X7" s="2">
        <f t="shared" si="8"/>
        <v>1</v>
      </c>
      <c r="Y7" s="2">
        <f t="shared" si="1"/>
        <v>-3.1007409600807057E-2</v>
      </c>
      <c r="Z7" s="2">
        <f t="shared" si="3"/>
        <v>0.9375</v>
      </c>
      <c r="AA7" s="2">
        <f t="shared" si="2"/>
        <v>3.2663432988803254E-2</v>
      </c>
      <c r="AB7" s="2">
        <f t="shared" si="4"/>
        <v>3.1520027428196527E-3</v>
      </c>
      <c r="AC7" s="2">
        <f t="shared" si="5"/>
        <v>-1.012808445652336E-3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-1211.2127328893957</v>
      </c>
      <c r="AI7" s="2">
        <f t="shared" ref="AI7:AI44" si="14">IF(AN6&gt;0,AK6,AI6)</f>
        <v>2875</v>
      </c>
      <c r="AJ7" s="2">
        <v>973.03527558546443</v>
      </c>
      <c r="AK7" s="2">
        <f t="shared" si="9"/>
        <v>1687.5</v>
      </c>
      <c r="AL7" s="2">
        <v>-94.196031237465604</v>
      </c>
      <c r="AM7" s="2">
        <f t="shared" si="10"/>
        <v>114091.4324224656</v>
      </c>
      <c r="AN7" s="2">
        <f t="shared" si="11"/>
        <v>-91656.061214204354</v>
      </c>
      <c r="AO7" s="2">
        <f t="shared" si="12"/>
        <v>2375</v>
      </c>
    </row>
    <row r="8" spans="2:41" x14ac:dyDescent="0.2">
      <c r="B8" s="6" t="s">
        <v>91</v>
      </c>
      <c r="C8" s="16">
        <v>1.92917253118986</v>
      </c>
      <c r="D8" s="6" t="s">
        <v>8</v>
      </c>
      <c r="F8" t="s">
        <v>93</v>
      </c>
      <c r="G8" s="6">
        <f>G10/$C$21</f>
        <v>31.737368483993045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3.2663432988803254E-2</v>
      </c>
      <c r="X8" s="2">
        <f t="shared" si="8"/>
        <v>1</v>
      </c>
      <c r="Y8" s="2">
        <f t="shared" si="1"/>
        <v>-3.1007409600807057E-2</v>
      </c>
      <c r="Z8" s="2">
        <f t="shared" si="3"/>
        <v>0.96875</v>
      </c>
      <c r="AA8" s="2">
        <f t="shared" si="2"/>
        <v>8.0933482515554989E-4</v>
      </c>
      <c r="AB8" s="2">
        <f t="shared" si="4"/>
        <v>2.6435653826973103E-5</v>
      </c>
      <c r="AC8" s="2">
        <f t="shared" si="5"/>
        <v>-2.5095376427795699E-5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-94.196031237465604</v>
      </c>
      <c r="AI8" s="2">
        <f t="shared" si="14"/>
        <v>2875</v>
      </c>
      <c r="AJ8" s="2">
        <v>973.03527558546443</v>
      </c>
      <c r="AK8" s="2">
        <f t="shared" si="9"/>
        <v>2281.25</v>
      </c>
      <c r="AL8" s="2">
        <v>445.32837749629903</v>
      </c>
      <c r="AM8" s="2">
        <f t="shared" si="10"/>
        <v>-41948.16575757126</v>
      </c>
      <c r="AN8" s="2">
        <f t="shared" si="11"/>
        <v>433320.22052313905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7.0508768483104722</v>
      </c>
      <c r="H9" s="6" t="s">
        <v>172</v>
      </c>
      <c r="J9" s="28" t="s">
        <v>22</v>
      </c>
      <c r="K9" s="28"/>
      <c r="L9" s="28"/>
      <c r="N9" s="6" t="s">
        <v>114</v>
      </c>
      <c r="O9" s="6">
        <f xml:space="preserve"> $O$8/$C$12 + $O$7</f>
        <v>1.8250480376239647E-2</v>
      </c>
      <c r="U9" s="2">
        <v>5</v>
      </c>
      <c r="V9" s="2">
        <f t="shared" si="7"/>
        <v>0.96875</v>
      </c>
      <c r="W9" s="2">
        <f t="shared" si="0"/>
        <v>8.0933482515554989E-4</v>
      </c>
      <c r="X9" s="2">
        <f t="shared" si="8"/>
        <v>1</v>
      </c>
      <c r="Y9" s="2">
        <f t="shared" si="1"/>
        <v>-3.1007409600807057E-2</v>
      </c>
      <c r="Z9" s="2">
        <f t="shared" si="3"/>
        <v>0.984375</v>
      </c>
      <c r="AA9" s="2">
        <f t="shared" si="2"/>
        <v>-1.5103487463352772E-2</v>
      </c>
      <c r="AB9" s="2">
        <f t="shared" si="4"/>
        <v>-1.2223778385391656E-5</v>
      </c>
      <c r="AC9" s="2">
        <f t="shared" si="5"/>
        <v>4.6832002217683376E-4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-94.196031237465604</v>
      </c>
      <c r="AI9" s="2">
        <f t="shared" si="14"/>
        <v>2281.25</v>
      </c>
      <c r="AJ9" s="2">
        <v>445.32837749629903</v>
      </c>
      <c r="AK9" s="2">
        <f t="shared" si="9"/>
        <v>1984.375</v>
      </c>
      <c r="AL9" s="2">
        <v>177.06642577530329</v>
      </c>
      <c r="AM9" s="2">
        <f t="shared" si="10"/>
        <v>-16678.954573436855</v>
      </c>
      <c r="AN9" s="2">
        <f t="shared" si="11"/>
        <v>78852.704099584676</v>
      </c>
      <c r="AO9" s="2">
        <f t="shared" si="12"/>
        <v>593.75</v>
      </c>
    </row>
    <row r="10" spans="2:41" x14ac:dyDescent="0.2">
      <c r="B10" s="6" t="s">
        <v>134</v>
      </c>
      <c r="C10" s="16">
        <v>1.6418339973495399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253.89894787194436</v>
      </c>
      <c r="H10" s="22" t="s">
        <v>97</v>
      </c>
      <c r="J10" s="6" t="s">
        <v>92</v>
      </c>
      <c r="K10" s="6">
        <f xml:space="preserve"> $C$18 * (G10*G6 + G20*G13 + G29*G25 + G33*G32)/3600</f>
        <v>97.833074692207163</v>
      </c>
      <c r="L10" s="6" t="s">
        <v>98</v>
      </c>
      <c r="N10" s="6" t="s">
        <v>39</v>
      </c>
      <c r="O10" s="6">
        <f xml:space="preserve"> O5 * $C$12 * O9</f>
        <v>1241.4690996845673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8.0933482515554989E-4</v>
      </c>
      <c r="X10" s="2">
        <f t="shared" si="8"/>
        <v>0.984375</v>
      </c>
      <c r="Y10" s="2">
        <f t="shared" si="1"/>
        <v>-1.5103487463352772E-2</v>
      </c>
      <c r="Z10" s="2">
        <f t="shared" si="3"/>
        <v>0.9765625</v>
      </c>
      <c r="AA10" s="2">
        <f t="shared" si="2"/>
        <v>-7.1482151549178141E-3</v>
      </c>
      <c r="AB10" s="2">
        <f t="shared" si="4"/>
        <v>-5.7852994625796613E-6</v>
      </c>
      <c r="AC10" s="2">
        <f t="shared" si="5"/>
        <v>1.079629779776495E-4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-94.196031237465604</v>
      </c>
      <c r="AI10" s="2">
        <f t="shared" si="14"/>
        <v>1984.375</v>
      </c>
      <c r="AJ10" s="2">
        <v>177.06642577530329</v>
      </c>
      <c r="AK10" s="2">
        <f t="shared" si="9"/>
        <v>1835.9375</v>
      </c>
      <c r="AL10" s="2">
        <v>41.81401852030649</v>
      </c>
      <c r="AM10" s="2">
        <f t="shared" si="10"/>
        <v>-3938.7145947027557</v>
      </c>
      <c r="AN10" s="2">
        <f t="shared" si="11"/>
        <v>7403.858806693006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0.84877964639246117</v>
      </c>
      <c r="U11" s="2">
        <v>7</v>
      </c>
      <c r="V11" s="2">
        <f t="shared" si="7"/>
        <v>0.96875</v>
      </c>
      <c r="W11" s="2">
        <f t="shared" si="0"/>
        <v>8.0933482515554989E-4</v>
      </c>
      <c r="X11" s="2">
        <f t="shared" si="8"/>
        <v>0.9765625</v>
      </c>
      <c r="Y11" s="2">
        <f t="shared" si="1"/>
        <v>-7.1482151549178141E-3</v>
      </c>
      <c r="Z11" s="2">
        <f t="shared" si="3"/>
        <v>0.97265625</v>
      </c>
      <c r="AA11" s="2">
        <f t="shared" si="2"/>
        <v>-3.1697282542559879E-3</v>
      </c>
      <c r="AB11" s="2">
        <f t="shared" si="4"/>
        <v>-2.5653714624488763E-6</v>
      </c>
      <c r="AC11" s="2">
        <f t="shared" si="5"/>
        <v>2.265789954404384E-5</v>
      </c>
      <c r="AD11" s="2">
        <f t="shared" si="6"/>
        <v>7.8125E-3</v>
      </c>
      <c r="AF11" s="2">
        <v>7</v>
      </c>
      <c r="AG11" s="2">
        <f t="shared" si="13"/>
        <v>1687.5</v>
      </c>
      <c r="AH11" s="2">
        <v>-94.196031237465604</v>
      </c>
      <c r="AI11" s="2">
        <f t="shared" si="14"/>
        <v>1835.9375</v>
      </c>
      <c r="AJ11" s="2">
        <v>41.81401852030649</v>
      </c>
      <c r="AK11" s="2">
        <f t="shared" si="9"/>
        <v>1761.71875</v>
      </c>
      <c r="AL11" s="2">
        <v>-26.095759375662965</v>
      </c>
      <c r="AM11" s="2">
        <f t="shared" si="10"/>
        <v>2458.1169653153347</v>
      </c>
      <c r="AN11" s="2">
        <f t="shared" si="11"/>
        <v>-1091.1685658354329</v>
      </c>
      <c r="AO11" s="2">
        <f t="shared" si="12"/>
        <v>148.4375</v>
      </c>
    </row>
    <row r="12" spans="2:41" x14ac:dyDescent="0.2">
      <c r="B12" s="6" t="s">
        <v>135</v>
      </c>
      <c r="C12" s="16">
        <v>29.999999999999901</v>
      </c>
      <c r="D12" s="6" t="s">
        <v>11</v>
      </c>
      <c r="F12" s="30" t="s">
        <v>82</v>
      </c>
      <c r="G12" s="31"/>
      <c r="H12" s="31"/>
      <c r="N12" s="6" t="s">
        <v>138</v>
      </c>
      <c r="O12" s="6">
        <f xml:space="preserve"> O4 / (O5 * $C$12)</f>
        <v>0.25792475538350945</v>
      </c>
      <c r="U12" s="2">
        <v>8</v>
      </c>
      <c r="V12" s="2">
        <f t="shared" si="7"/>
        <v>0.96875</v>
      </c>
      <c r="W12" s="2">
        <f t="shared" si="0"/>
        <v>8.0933482515554989E-4</v>
      </c>
      <c r="X12" s="2">
        <f t="shared" si="8"/>
        <v>0.97265625</v>
      </c>
      <c r="Y12" s="2">
        <f t="shared" si="1"/>
        <v>-3.1697282542559879E-3</v>
      </c>
      <c r="Z12" s="2">
        <f t="shared" si="3"/>
        <v>0.970703125</v>
      </c>
      <c r="AA12" s="2">
        <f t="shared" si="2"/>
        <v>-1.1802691652891273E-3</v>
      </c>
      <c r="AB12" s="2">
        <f t="shared" si="4"/>
        <v>-9.552329385257627E-7</v>
      </c>
      <c r="AC12" s="2">
        <f t="shared" si="5"/>
        <v>3.7411325208440775E-6</v>
      </c>
      <c r="AD12" s="2">
        <f t="shared" si="6"/>
        <v>3.90625E-3</v>
      </c>
      <c r="AF12" s="2">
        <v>8</v>
      </c>
      <c r="AG12" s="2">
        <f t="shared" si="13"/>
        <v>1761.71875</v>
      </c>
      <c r="AH12" s="2">
        <v>-26.095759375662965</v>
      </c>
      <c r="AI12" s="2">
        <f t="shared" si="14"/>
        <v>1835.9375</v>
      </c>
      <c r="AJ12" s="2">
        <v>41.81401852030649</v>
      </c>
      <c r="AK12" s="2">
        <f t="shared" si="9"/>
        <v>1798.828125</v>
      </c>
      <c r="AL12" s="2">
        <v>7.8828699224748107</v>
      </c>
      <c r="AM12" s="2">
        <f t="shared" si="10"/>
        <v>-205.70947668655364</v>
      </c>
      <c r="AN12" s="2">
        <f t="shared" si="11"/>
        <v>329.61446893152873</v>
      </c>
      <c r="AO12" s="2">
        <f t="shared" si="12"/>
        <v>74.21875</v>
      </c>
    </row>
    <row r="13" spans="2:41" x14ac:dyDescent="0.2">
      <c r="B13" s="6" t="s">
        <v>136</v>
      </c>
      <c r="C13" s="16">
        <v>6.6741489576089901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2.1988532302567323E-2</v>
      </c>
      <c r="U13" s="2">
        <v>9</v>
      </c>
      <c r="V13" s="2">
        <f t="shared" si="7"/>
        <v>0.96875</v>
      </c>
      <c r="W13" s="2">
        <f t="shared" si="0"/>
        <v>8.0933482515554989E-4</v>
      </c>
      <c r="X13" s="2">
        <f t="shared" si="8"/>
        <v>0.970703125</v>
      </c>
      <c r="Y13" s="2">
        <f t="shared" si="1"/>
        <v>-1.1802691652891273E-3</v>
      </c>
      <c r="Z13" s="2">
        <f t="shared" si="3"/>
        <v>0.9697265625</v>
      </c>
      <c r="AA13" s="2">
        <f t="shared" si="2"/>
        <v>-1.8548533667150924E-4</v>
      </c>
      <c r="AB13" s="2">
        <f t="shared" si="4"/>
        <v>-1.5011974252395424E-7</v>
      </c>
      <c r="AC13" s="2">
        <f t="shared" si="5"/>
        <v>2.1892262348665496E-7</v>
      </c>
      <c r="AD13" s="2">
        <f t="shared" si="6"/>
        <v>1.953125E-3</v>
      </c>
      <c r="AF13" s="2">
        <v>9</v>
      </c>
      <c r="AG13" s="2">
        <f t="shared" si="13"/>
        <v>1761.71875</v>
      </c>
      <c r="AH13" s="2">
        <v>-26.095759375662965</v>
      </c>
      <c r="AI13" s="2">
        <f t="shared" si="14"/>
        <v>1798.828125</v>
      </c>
      <c r="AJ13" s="2">
        <v>7.8828699224748107</v>
      </c>
      <c r="AK13" s="2">
        <f t="shared" si="9"/>
        <v>1780.2734375</v>
      </c>
      <c r="AL13" s="2">
        <v>-9.1005009609484659</v>
      </c>
      <c r="AM13" s="2">
        <f t="shared" si="10"/>
        <v>237.48448327490075</v>
      </c>
      <c r="AN13" s="2">
        <f t="shared" si="11"/>
        <v>-71.738065304513768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70.220878955663849</v>
      </c>
      <c r="H14" s="6" t="s">
        <v>10</v>
      </c>
      <c r="J14" s="9" t="s">
        <v>75</v>
      </c>
      <c r="K14" s="17">
        <f>C5</f>
        <v>1790.21021336068</v>
      </c>
      <c r="L14" s="6" t="s">
        <v>7</v>
      </c>
      <c r="N14" s="6" t="s">
        <v>40</v>
      </c>
      <c r="O14" s="6">
        <f xml:space="preserve"> O5 * O13 * $C$12</f>
        <v>1495.7460208331136</v>
      </c>
      <c r="P14" s="6" t="s">
        <v>21</v>
      </c>
      <c r="U14" s="2">
        <v>10</v>
      </c>
      <c r="V14" s="2">
        <f t="shared" si="7"/>
        <v>0.96875</v>
      </c>
      <c r="W14" s="2">
        <f t="shared" si="0"/>
        <v>8.0933482515554989E-4</v>
      </c>
      <c r="X14" s="2">
        <f t="shared" si="8"/>
        <v>0.9697265625</v>
      </c>
      <c r="Y14" s="2">
        <f t="shared" si="1"/>
        <v>-1.8548533667150924E-4</v>
      </c>
      <c r="Z14" s="2">
        <f t="shared" si="3"/>
        <v>0.96923828125</v>
      </c>
      <c r="AA14" s="2">
        <f t="shared" si="2"/>
        <v>3.1192019582748642E-4</v>
      </c>
      <c r="AB14" s="2">
        <f t="shared" si="4"/>
        <v>2.5244787715252362E-7</v>
      </c>
      <c r="AC14" s="2">
        <f t="shared" si="5"/>
        <v>-5.7856622537704408E-8</v>
      </c>
      <c r="AD14" s="2">
        <f t="shared" si="6"/>
        <v>9.765625E-4</v>
      </c>
      <c r="AF14" s="2">
        <v>10</v>
      </c>
      <c r="AG14" s="2">
        <f t="shared" si="13"/>
        <v>1780.2734375</v>
      </c>
      <c r="AH14" s="2">
        <v>-9.1005009609484659</v>
      </c>
      <c r="AI14" s="2">
        <f t="shared" si="14"/>
        <v>1798.828125</v>
      </c>
      <c r="AJ14" s="2">
        <v>7.8828699224748107</v>
      </c>
      <c r="AK14" s="2">
        <f t="shared" si="9"/>
        <v>1789.55078125</v>
      </c>
      <c r="AL14" s="2">
        <v>-0.60733061805217403</v>
      </c>
      <c r="AM14" s="2">
        <f t="shared" si="10"/>
        <v>5.5270128731972354</v>
      </c>
      <c r="AN14" s="2">
        <f t="shared" si="11"/>
        <v>-4.7875082620415199</v>
      </c>
      <c r="AO14" s="2">
        <f t="shared" si="12"/>
        <v>18.5546875</v>
      </c>
    </row>
    <row r="15" spans="2:41" x14ac:dyDescent="0.2">
      <c r="B15" s="28" t="s">
        <v>12</v>
      </c>
      <c r="C15" s="28"/>
      <c r="D15" s="28"/>
      <c r="F15" s="6" t="s">
        <v>143</v>
      </c>
      <c r="G15" s="6">
        <f>G14/$C$73</f>
        <v>0.2110498592361609</v>
      </c>
      <c r="H15" s="6" t="s">
        <v>120</v>
      </c>
      <c r="J15" s="10" t="s">
        <v>53</v>
      </c>
      <c r="K15" s="6">
        <f xml:space="preserve"> 1000 * K10 / ($C$60 * $C$61 * $C$62)</f>
        <v>261.58576120911005</v>
      </c>
      <c r="L15" s="6" t="s">
        <v>7</v>
      </c>
      <c r="N15" s="6" t="s">
        <v>140</v>
      </c>
      <c r="O15" s="6">
        <f>O4/O14</f>
        <v>11.729966867929372</v>
      </c>
      <c r="U15" s="2">
        <v>11</v>
      </c>
      <c r="V15" s="2">
        <f t="shared" si="7"/>
        <v>0.96923828125</v>
      </c>
      <c r="W15" s="2">
        <f t="shared" si="0"/>
        <v>3.1192019582748642E-4</v>
      </c>
      <c r="X15" s="2">
        <f t="shared" si="8"/>
        <v>0.9697265625</v>
      </c>
      <c r="Y15" s="2">
        <f t="shared" si="1"/>
        <v>-1.8548533667150924E-4</v>
      </c>
      <c r="Z15" s="2">
        <f t="shared" si="3"/>
        <v>0.969482421875</v>
      </c>
      <c r="AA15" s="2">
        <f t="shared" si="2"/>
        <v>6.3216293320844663E-5</v>
      </c>
      <c r="AB15" s="2">
        <f t="shared" si="4"/>
        <v>1.971843859212569E-8</v>
      </c>
      <c r="AC15" s="2">
        <f t="shared" si="5"/>
        <v>-1.1725695449741753E-8</v>
      </c>
      <c r="AD15" s="2">
        <f t="shared" si="6"/>
        <v>4.8828125E-4</v>
      </c>
      <c r="AF15" s="2">
        <v>11</v>
      </c>
      <c r="AG15" s="2">
        <f t="shared" si="13"/>
        <v>1789.55078125</v>
      </c>
      <c r="AH15" s="2">
        <v>-0.60733061805217403</v>
      </c>
      <c r="AI15" s="2">
        <f t="shared" si="14"/>
        <v>1798.828125</v>
      </c>
      <c r="AJ15" s="2">
        <v>7.8828699224748107</v>
      </c>
      <c r="AK15" s="2">
        <f t="shared" si="9"/>
        <v>1794.189453125</v>
      </c>
      <c r="AL15" s="2">
        <v>3.6381407976944047</v>
      </c>
      <c r="AM15" s="2">
        <f t="shared" si="10"/>
        <v>-2.209554299224572</v>
      </c>
      <c r="AN15" s="2">
        <f t="shared" si="11"/>
        <v>28.678990667873737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1495.7460208331136</v>
      </c>
      <c r="H16" s="6" t="s">
        <v>21</v>
      </c>
      <c r="J16" s="11" t="s">
        <v>123</v>
      </c>
      <c r="K16" s="6">
        <f xml:space="preserve"> liftcruise_opt_250_test_250!K16</f>
        <v>161.05808522131903</v>
      </c>
      <c r="L16" s="6" t="s">
        <v>7</v>
      </c>
      <c r="N16" s="6" t="s">
        <v>111</v>
      </c>
      <c r="O16" s="6">
        <f>(O13*$C$12)/(0.3048^2)/($C$5*2.20462/1000)^(2/3)</f>
        <v>2.8431234821552875</v>
      </c>
      <c r="U16" s="2">
        <v>12</v>
      </c>
      <c r="V16" s="2">
        <f t="shared" si="7"/>
        <v>0.969482421875</v>
      </c>
      <c r="W16" s="2">
        <f t="shared" si="0"/>
        <v>6.3216293320844663E-5</v>
      </c>
      <c r="X16" s="2">
        <f t="shared" si="8"/>
        <v>0.9697265625</v>
      </c>
      <c r="Y16" s="2">
        <f t="shared" si="1"/>
        <v>-1.8548533667150924E-4</v>
      </c>
      <c r="Z16" s="2">
        <f t="shared" si="3"/>
        <v>0.9696044921875</v>
      </c>
      <c r="AA16" s="2">
        <f t="shared" si="2"/>
        <v>-6.1134805633966671E-5</v>
      </c>
      <c r="AB16" s="2">
        <f t="shared" si="4"/>
        <v>-3.864715805069664E-9</v>
      </c>
      <c r="AC16" s="2">
        <f t="shared" si="5"/>
        <v>1.1339610005363587E-8</v>
      </c>
      <c r="AD16" s="2">
        <f t="shared" si="6"/>
        <v>2.44140625E-4</v>
      </c>
      <c r="AF16" s="2">
        <v>12</v>
      </c>
      <c r="AG16" s="2">
        <f t="shared" si="13"/>
        <v>1789.55078125</v>
      </c>
      <c r="AH16" s="2">
        <v>-0.60733061805217403</v>
      </c>
      <c r="AI16" s="2">
        <f t="shared" si="14"/>
        <v>1794.189453125</v>
      </c>
      <c r="AJ16" s="2">
        <v>3.6381407976944047</v>
      </c>
      <c r="AK16" s="2">
        <f t="shared" si="9"/>
        <v>1791.8701171875</v>
      </c>
      <c r="AL16" s="2">
        <v>1.5154978930704601</v>
      </c>
      <c r="AM16" s="2">
        <f t="shared" si="10"/>
        <v>-0.92040827205525011</v>
      </c>
      <c r="AN16" s="2">
        <f t="shared" si="11"/>
        <v>5.5135947135995531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105.03387709354089</v>
      </c>
      <c r="H17" s="6" t="s">
        <v>97</v>
      </c>
      <c r="J17" s="11" t="s">
        <v>124</v>
      </c>
      <c r="K17" s="6">
        <f xml:space="preserve"> liftcruise_opt_250_test_250!K17</f>
        <v>0</v>
      </c>
      <c r="L17" s="6" t="s">
        <v>7</v>
      </c>
      <c r="U17" s="2">
        <v>13</v>
      </c>
      <c r="V17" s="2">
        <f t="shared" si="7"/>
        <v>0.969482421875</v>
      </c>
      <c r="W17" s="2">
        <f t="shared" si="0"/>
        <v>6.3216293320844663E-5</v>
      </c>
      <c r="X17" s="2">
        <f t="shared" si="8"/>
        <v>0.9696044921875</v>
      </c>
      <c r="Y17" s="2">
        <f t="shared" si="1"/>
        <v>-6.1134805633966671E-5</v>
      </c>
      <c r="Z17" s="2">
        <f t="shared" si="3"/>
        <v>0.96954345703125</v>
      </c>
      <c r="AA17" s="2">
        <f t="shared" si="2"/>
        <v>1.040672840568746E-6</v>
      </c>
      <c r="AB17" s="2">
        <f t="shared" si="4"/>
        <v>6.5787479540430464E-11</v>
      </c>
      <c r="AC17" s="2">
        <f t="shared" si="5"/>
        <v>-6.3621331836718272E-11</v>
      </c>
      <c r="AD17" s="2">
        <f t="shared" si="6"/>
        <v>1.220703125E-4</v>
      </c>
      <c r="AF17" s="2">
        <v>13</v>
      </c>
      <c r="AG17" s="2">
        <f t="shared" si="13"/>
        <v>1789.55078125</v>
      </c>
      <c r="AH17" s="2">
        <v>-0.60733061805217403</v>
      </c>
      <c r="AI17" s="2">
        <f t="shared" si="14"/>
        <v>1791.8701171875</v>
      </c>
      <c r="AJ17" s="2">
        <v>1.5154978930704601</v>
      </c>
      <c r="AK17" s="2">
        <f t="shared" si="9"/>
        <v>1790.71044921875</v>
      </c>
      <c r="AL17" s="2">
        <v>0.45410686833656655</v>
      </c>
      <c r="AM17" s="2">
        <f t="shared" si="10"/>
        <v>-0.27579300500858417</v>
      </c>
      <c r="AN17" s="2">
        <f t="shared" si="11"/>
        <v>0.6881980021928914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1.4530409312570483</v>
      </c>
      <c r="H18" s="6" t="s">
        <v>172</v>
      </c>
      <c r="J18" s="12" t="s">
        <v>54</v>
      </c>
      <c r="K18" s="6">
        <f xml:space="preserve"> liftcruise_opt_250_test_250!K18</f>
        <v>115.80670589681377</v>
      </c>
      <c r="L18" s="6" t="s">
        <v>7</v>
      </c>
      <c r="N18" s="30" t="s">
        <v>141</v>
      </c>
      <c r="O18" s="32"/>
      <c r="P18" s="32"/>
      <c r="U18" s="2">
        <v>14</v>
      </c>
      <c r="V18" s="2">
        <f t="shared" si="7"/>
        <v>0.96954345703125</v>
      </c>
      <c r="W18" s="2">
        <f t="shared" si="0"/>
        <v>1.040672840568746E-6</v>
      </c>
      <c r="X18" s="2">
        <f t="shared" si="8"/>
        <v>0.9696044921875</v>
      </c>
      <c r="Y18" s="2">
        <f t="shared" si="1"/>
        <v>-6.1134805633966671E-5</v>
      </c>
      <c r="Z18" s="2">
        <f t="shared" si="3"/>
        <v>0.969573974609375</v>
      </c>
      <c r="AA18" s="2">
        <f t="shared" si="2"/>
        <v>-3.0047084145667924E-5</v>
      </c>
      <c r="AB18" s="2">
        <f t="shared" si="4"/>
        <v>-3.1269184408680369E-11</v>
      </c>
      <c r="AC18" s="2">
        <f t="shared" si="5"/>
        <v>1.8369226491128499E-9</v>
      </c>
      <c r="AD18" s="2">
        <f t="shared" si="6"/>
        <v>6.103515625E-5</v>
      </c>
      <c r="AF18" s="2">
        <v>14</v>
      </c>
      <c r="AG18" s="2">
        <f t="shared" si="13"/>
        <v>1789.55078125</v>
      </c>
      <c r="AH18" s="2">
        <v>-0.60733061805217403</v>
      </c>
      <c r="AI18" s="2">
        <f t="shared" si="14"/>
        <v>1790.71044921875</v>
      </c>
      <c r="AJ18" s="2">
        <v>0.45410686833656655</v>
      </c>
      <c r="AK18" s="2">
        <f t="shared" si="9"/>
        <v>1790.130615234375</v>
      </c>
      <c r="AL18" s="2">
        <v>-7.6606150579209498E-2</v>
      </c>
      <c r="AM18" s="2">
        <f t="shared" si="10"/>
        <v>4.6525260777869212E-2</v>
      </c>
      <c r="AN18" s="2">
        <f t="shared" si="11"/>
        <v>-3.4787379134844282E-2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4.1784164350928368E-2</v>
      </c>
      <c r="J19" s="12" t="s">
        <v>73</v>
      </c>
      <c r="K19" s="6">
        <f xml:space="preserve"> liftcruise_opt_250_test_250!K19</f>
        <v>62.236625386079993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0.96954345703125</v>
      </c>
      <c r="W19" s="2">
        <f t="shared" si="0"/>
        <v>1.040672840568746E-6</v>
      </c>
      <c r="X19" s="2">
        <f t="shared" si="8"/>
        <v>0.969573974609375</v>
      </c>
      <c r="Y19" s="2">
        <f t="shared" si="1"/>
        <v>-3.0047084145667924E-5</v>
      </c>
      <c r="Z19" s="2">
        <f t="shared" si="3"/>
        <v>0.9695587158203125</v>
      </c>
      <c r="AA19" s="2">
        <f t="shared" si="2"/>
        <v>-1.4503210089999996E-5</v>
      </c>
      <c r="AB19" s="2">
        <f t="shared" si="4"/>
        <v>-1.5093096841725595E-11</v>
      </c>
      <c r="AC19" s="2">
        <f t="shared" si="5"/>
        <v>4.3577917395652992E-10</v>
      </c>
      <c r="AD19" s="2">
        <f t="shared" si="6"/>
        <v>3.0517578125E-5</v>
      </c>
      <c r="AF19" s="2">
        <v>15</v>
      </c>
      <c r="AG19" s="2">
        <f t="shared" si="13"/>
        <v>1790.130615234375</v>
      </c>
      <c r="AH19" s="2">
        <v>-7.6606150579209498E-2</v>
      </c>
      <c r="AI19" s="2">
        <f t="shared" si="14"/>
        <v>1790.71044921875</v>
      </c>
      <c r="AJ19" s="2">
        <v>0.45410686833656655</v>
      </c>
      <c r="AK19" s="2">
        <f t="shared" si="9"/>
        <v>1790.4205322265625</v>
      </c>
      <c r="AL19" s="2">
        <v>0.18875178991174835</v>
      </c>
      <c r="AM19" s="2">
        <f t="shared" si="10"/>
        <v>-1.445954804007471E-2</v>
      </c>
      <c r="AN19" s="2">
        <f t="shared" si="11"/>
        <v>8.5713484209745575E-2</v>
      </c>
      <c r="AO19" s="2">
        <f t="shared" si="12"/>
        <v>0.579833984375</v>
      </c>
    </row>
    <row r="20" spans="2:41" x14ac:dyDescent="0.2">
      <c r="B20" s="28" t="s">
        <v>108</v>
      </c>
      <c r="C20" s="28"/>
      <c r="D20" s="28"/>
      <c r="F20" s="23" t="s">
        <v>128</v>
      </c>
      <c r="G20" s="22">
        <f xml:space="preserve"> $C$28 * G17</f>
        <v>105.03387709354089</v>
      </c>
      <c r="H20" s="22" t="s">
        <v>97</v>
      </c>
      <c r="J20" s="13" t="s">
        <v>61</v>
      </c>
      <c r="K20" s="6">
        <f xml:space="preserve"> liftcruise_opt_250_test_250!K20</f>
        <v>214.67131484622092</v>
      </c>
      <c r="L20" s="6" t="s">
        <v>7</v>
      </c>
      <c r="N20" s="6" t="s">
        <v>20</v>
      </c>
      <c r="O20" s="6">
        <f xml:space="preserve"> O14 / $C$28</f>
        <v>1495.7460208331136</v>
      </c>
      <c r="P20" s="6" t="s">
        <v>21</v>
      </c>
      <c r="U20" s="2">
        <v>16</v>
      </c>
      <c r="V20" s="2">
        <f t="shared" si="7"/>
        <v>0.96954345703125</v>
      </c>
      <c r="W20" s="2">
        <f t="shared" si="0"/>
        <v>1.040672840568746E-6</v>
      </c>
      <c r="X20" s="2">
        <f t="shared" si="8"/>
        <v>0.9695587158203125</v>
      </c>
      <c r="Y20" s="2">
        <f t="shared" si="1"/>
        <v>-1.4503210089999996E-5</v>
      </c>
      <c r="Z20" s="2">
        <f t="shared" si="3"/>
        <v>0.96955108642578125</v>
      </c>
      <c r="AA20" s="2">
        <f t="shared" si="2"/>
        <v>-6.7312697341614935E-6</v>
      </c>
      <c r="AB20" s="2">
        <f t="shared" si="4"/>
        <v>-7.0050495948842689E-12</v>
      </c>
      <c r="AC20" s="2">
        <f t="shared" si="5"/>
        <v>9.7625019127002562E-11</v>
      </c>
      <c r="AD20" s="2">
        <f t="shared" si="6"/>
        <v>1.52587890625E-5</v>
      </c>
      <c r="AF20" s="2">
        <v>16</v>
      </c>
      <c r="AG20" s="2">
        <f t="shared" si="13"/>
        <v>1790.130615234375</v>
      </c>
      <c r="AH20" s="2">
        <v>-7.6606150579209498E-2</v>
      </c>
      <c r="AI20" s="2">
        <f t="shared" si="14"/>
        <v>1790.4205322265625</v>
      </c>
      <c r="AJ20" s="2">
        <v>0.18875178991174835</v>
      </c>
      <c r="AK20" s="2">
        <f t="shared" si="9"/>
        <v>1790.2755737304688</v>
      </c>
      <c r="AL20" s="2">
        <v>5.6073289019650474E-2</v>
      </c>
      <c r="AM20" s="2">
        <f t="shared" si="10"/>
        <v>-4.295558822110879E-3</v>
      </c>
      <c r="AN20" s="2">
        <f t="shared" si="11"/>
        <v>1.0583933668697811E-2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liftcruise_opt_250_test_250!K21</f>
        <v>56.762309096873906</v>
      </c>
      <c r="L21" s="6" t="s">
        <v>7</v>
      </c>
      <c r="N21" s="6" t="s">
        <v>27</v>
      </c>
      <c r="O21" s="6">
        <f>$C$6*2*PI()/60</f>
        <v>42.769780056341531</v>
      </c>
      <c r="P21" s="6" t="s">
        <v>28</v>
      </c>
      <c r="U21" s="2">
        <v>17</v>
      </c>
      <c r="V21" s="2">
        <f t="shared" si="7"/>
        <v>0.96954345703125</v>
      </c>
      <c r="W21" s="2">
        <f t="shared" si="0"/>
        <v>1.040672840568746E-6</v>
      </c>
      <c r="X21" s="2">
        <f t="shared" si="8"/>
        <v>0.96955108642578125</v>
      </c>
      <c r="Y21" s="2">
        <f t="shared" si="1"/>
        <v>-6.7312697341614935E-6</v>
      </c>
      <c r="Z21" s="2">
        <f t="shared" si="3"/>
        <v>0.96954727172851562</v>
      </c>
      <c r="AA21" s="2">
        <f t="shared" si="2"/>
        <v>-2.8452987240745742E-6</v>
      </c>
      <c r="AB21" s="2">
        <f t="shared" si="4"/>
        <v>-2.9610251054493156E-12</v>
      </c>
      <c r="AC21" s="2">
        <f t="shared" si="5"/>
        <v>1.9152473186011496E-11</v>
      </c>
      <c r="AD21" s="2">
        <f t="shared" si="6"/>
        <v>7.62939453125E-6</v>
      </c>
      <c r="AF21" s="2">
        <v>17</v>
      </c>
      <c r="AG21" s="2">
        <f t="shared" si="13"/>
        <v>1790.130615234375</v>
      </c>
      <c r="AH21" s="2">
        <v>-7.6606150579209498E-2</v>
      </c>
      <c r="AI21" s="2">
        <f t="shared" si="14"/>
        <v>1790.2755737304688</v>
      </c>
      <c r="AJ21" s="2">
        <v>5.6073289019650474E-2</v>
      </c>
      <c r="AK21" s="2">
        <f t="shared" si="9"/>
        <v>1790.2030944824219</v>
      </c>
      <c r="AL21" s="2">
        <v>-1.0266229750413913E-2</v>
      </c>
      <c r="AM21" s="2">
        <f t="shared" si="10"/>
        <v>7.864563421409686E-4</v>
      </c>
      <c r="AN21" s="2">
        <f t="shared" si="11"/>
        <v>-5.7566126793709351E-4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28" t="s">
        <v>77</v>
      </c>
      <c r="G22" s="28"/>
      <c r="H22" s="28"/>
      <c r="J22" s="13" t="s">
        <v>144</v>
      </c>
      <c r="K22" s="6">
        <f xml:space="preserve"> liftcruise_opt_250_test_250!K22</f>
        <v>156.82698712971839</v>
      </c>
      <c r="L22" s="6" t="s">
        <v>7</v>
      </c>
      <c r="N22" s="6" t="s">
        <v>29</v>
      </c>
      <c r="O22" s="6">
        <f xml:space="preserve"> $C$7 * COS(O19/180*PI()) / (O21 * $C$10)</f>
        <v>8.3227603707110673E-2</v>
      </c>
      <c r="U22" s="2">
        <v>18</v>
      </c>
      <c r="V22" s="2">
        <f t="shared" si="7"/>
        <v>0.96954345703125</v>
      </c>
      <c r="W22" s="2">
        <f t="shared" si="0"/>
        <v>1.040672840568746E-6</v>
      </c>
      <c r="X22" s="2">
        <f t="shared" si="8"/>
        <v>0.96954727172851562</v>
      </c>
      <c r="Y22" s="2">
        <f t="shared" si="1"/>
        <v>-2.8452987240745742E-6</v>
      </c>
      <c r="Z22" s="2">
        <f t="shared" si="3"/>
        <v>0.96954536437988281</v>
      </c>
      <c r="AA22" s="2">
        <f t="shared" si="2"/>
        <v>-9.0231301108634199E-7</v>
      </c>
      <c r="AB22" s="2">
        <f t="shared" si="4"/>
        <v>-9.3901264432936183E-13</v>
      </c>
      <c r="AC22" s="2">
        <f t="shared" si="5"/>
        <v>2.567350059159856E-12</v>
      </c>
      <c r="AD22" s="2">
        <f t="shared" si="6"/>
        <v>3.814697265625E-6</v>
      </c>
      <c r="AF22" s="2">
        <v>18</v>
      </c>
      <c r="AG22" s="2">
        <f t="shared" si="13"/>
        <v>1790.2030944824219</v>
      </c>
      <c r="AH22" s="2">
        <v>-1.0266229750413913E-2</v>
      </c>
      <c r="AI22" s="2">
        <f t="shared" si="14"/>
        <v>1790.2755737304688</v>
      </c>
      <c r="AJ22" s="2">
        <v>5.6073289019650474E-2</v>
      </c>
      <c r="AK22" s="2">
        <f t="shared" si="9"/>
        <v>1790.2393341064453</v>
      </c>
      <c r="AL22" s="2">
        <v>2.2903440405571018E-2</v>
      </c>
      <c r="AM22" s="2">
        <f t="shared" si="10"/>
        <v>-2.3513198127850528E-4</v>
      </c>
      <c r="AN22" s="2">
        <f t="shared" si="11"/>
        <v>1.2842712334059244E-3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liftcruise_opt_250_test_250!K23</f>
        <v>24.653765919406602</v>
      </c>
      <c r="L23" s="6" t="s">
        <v>7</v>
      </c>
      <c r="N23" s="6" t="s">
        <v>30</v>
      </c>
      <c r="O23" s="6">
        <f xml:space="preserve"> O20 / ( $C$71 * PI() * $C$10^2 * O21^2 * $C$10^2)</f>
        <v>3.5515824732652579E-2</v>
      </c>
      <c r="U23" s="2">
        <v>19</v>
      </c>
      <c r="V23" s="2">
        <f t="shared" si="7"/>
        <v>0.96954345703125</v>
      </c>
      <c r="W23" s="2">
        <f t="shared" si="0"/>
        <v>1.040672840568746E-6</v>
      </c>
      <c r="X23" s="2">
        <f t="shared" si="8"/>
        <v>0.96954536437988281</v>
      </c>
      <c r="Y23" s="2">
        <f t="shared" si="1"/>
        <v>-9.0231301108634199E-7</v>
      </c>
      <c r="Z23" s="2">
        <f t="shared" si="3"/>
        <v>0.96954441070556641</v>
      </c>
      <c r="AA23" s="2">
        <f t="shared" si="2"/>
        <v>6.9179897366211662E-8</v>
      </c>
      <c r="AB23" s="2">
        <f t="shared" si="4"/>
        <v>7.1993640302349804E-14</v>
      </c>
      <c r="AC23" s="2">
        <f t="shared" si="5"/>
        <v>-6.2421921499150541E-14</v>
      </c>
      <c r="AD23" s="2">
        <f t="shared" si="6"/>
        <v>1.9073486328125E-6</v>
      </c>
      <c r="AF23" s="2">
        <v>19</v>
      </c>
      <c r="AG23" s="2">
        <f t="shared" si="13"/>
        <v>1790.2030944824219</v>
      </c>
      <c r="AH23" s="2">
        <v>-1.0266229750413913E-2</v>
      </c>
      <c r="AI23" s="2">
        <f t="shared" si="14"/>
        <v>1790.2393341064453</v>
      </c>
      <c r="AJ23" s="2">
        <v>5.6073289019650474E-2</v>
      </c>
      <c r="AK23" s="2">
        <f t="shared" si="9"/>
        <v>1790.2212142944336</v>
      </c>
      <c r="AL23" s="2">
        <v>3.948837030247887E-2</v>
      </c>
      <c r="AM23" s="2">
        <f t="shared" si="10"/>
        <v>-4.0539668199466981E-4</v>
      </c>
      <c r="AN23" s="2">
        <f t="shared" si="11"/>
        <v>2.2142428008858801E-3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liftcruise_opt_250_test_250!K24</f>
        <v>8.6261599908252524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0.96954441070556641</v>
      </c>
      <c r="W24" s="2">
        <f t="shared" si="0"/>
        <v>6.9179897366211662E-8</v>
      </c>
      <c r="X24" s="2">
        <f t="shared" si="8"/>
        <v>0.96954536437988281</v>
      </c>
      <c r="Y24" s="2">
        <f t="shared" si="1"/>
        <v>-9.0231301108634199E-7</v>
      </c>
      <c r="Z24" s="2">
        <f t="shared" si="3"/>
        <v>0.96954488754272461</v>
      </c>
      <c r="AA24" s="2">
        <f t="shared" si="2"/>
        <v>-4.1656656113442381E-7</v>
      </c>
      <c r="AB24" s="2">
        <f t="shared" si="4"/>
        <v>-2.8818031945475176E-14</v>
      </c>
      <c r="AC24" s="2">
        <f t="shared" si="5"/>
        <v>3.7587342809508473E-13</v>
      </c>
      <c r="AD24" s="2">
        <f t="shared" si="6"/>
        <v>9.5367431640625E-7</v>
      </c>
      <c r="AF24" s="2">
        <v>20</v>
      </c>
      <c r="AG24" s="2">
        <f t="shared" si="13"/>
        <v>1790.2030944824219</v>
      </c>
      <c r="AH24" s="2">
        <v>-1.0266229750413913E-2</v>
      </c>
      <c r="AI24" s="2">
        <f t="shared" si="14"/>
        <v>1790.2212142944336</v>
      </c>
      <c r="AJ24" s="2">
        <v>5.6073289019650474E-2</v>
      </c>
      <c r="AK24" s="2">
        <f t="shared" si="9"/>
        <v>1790.2121543884277</v>
      </c>
      <c r="AL24" s="2">
        <v>4.7780831058616968E-2</v>
      </c>
      <c r="AM24" s="2">
        <f t="shared" si="10"/>
        <v>-4.9052898931347462E-4</v>
      </c>
      <c r="AN24" s="2">
        <f t="shared" si="11"/>
        <v>2.6792283495489211E-3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 xml:space="preserve"> liftcruise_opt_250_test_250!K25</f>
        <v>23.00450546414822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2886.5586418855869</v>
      </c>
      <c r="P25" s="6" t="s">
        <v>19</v>
      </c>
      <c r="U25" s="2">
        <v>21</v>
      </c>
      <c r="V25" s="2">
        <f t="shared" si="7"/>
        <v>0.96954441070556641</v>
      </c>
      <c r="W25" s="2">
        <f t="shared" si="0"/>
        <v>6.9179897366211662E-8</v>
      </c>
      <c r="X25" s="2">
        <f t="shared" si="8"/>
        <v>0.96954488754272461</v>
      </c>
      <c r="Y25" s="2">
        <f t="shared" si="1"/>
        <v>-4.1656656113442381E-7</v>
      </c>
      <c r="Z25" s="2">
        <f t="shared" si="3"/>
        <v>0.96954464912414551</v>
      </c>
      <c r="AA25" s="2">
        <f t="shared" si="2"/>
        <v>-1.7369333293881795E-7</v>
      </c>
      <c r="AB25" s="2">
        <f t="shared" si="4"/>
        <v>-1.2016086945902658E-14</v>
      </c>
      <c r="AC25" s="2">
        <f t="shared" si="5"/>
        <v>7.2354834394299934E-14</v>
      </c>
      <c r="AD25" s="2">
        <f t="shared" si="6"/>
        <v>4.76837158203125E-7</v>
      </c>
      <c r="AF25" s="2">
        <v>21</v>
      </c>
      <c r="AG25" s="2">
        <f t="shared" si="13"/>
        <v>1790.2030944824219</v>
      </c>
      <c r="AH25" s="2">
        <v>-1.0266229750413913E-2</v>
      </c>
      <c r="AI25" s="2">
        <f t="shared" si="14"/>
        <v>1790.2121543884277</v>
      </c>
      <c r="AJ25" s="2">
        <v>5.6073289019650474E-2</v>
      </c>
      <c r="AK25" s="2">
        <f t="shared" si="9"/>
        <v>1790.2076244354248</v>
      </c>
      <c r="AL25" s="2">
        <v>5.1926948797927253E-2</v>
      </c>
      <c r="AM25" s="2">
        <f t="shared" si="10"/>
        <v>-5.3309398659750074E-4</v>
      </c>
      <c r="AN25" s="2">
        <f t="shared" si="11"/>
        <v>2.9117148078547667E-3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2193.3412048501141</v>
      </c>
      <c r="H26" s="6" t="s">
        <v>21</v>
      </c>
      <c r="J26" s="14" t="s">
        <v>65</v>
      </c>
      <c r="K26" s="6">
        <f xml:space="preserve"> liftcruise_opt_250_test_250!K26</f>
        <v>46.807073347576022</v>
      </c>
      <c r="L26" s="6" t="s">
        <v>7</v>
      </c>
      <c r="N26" s="6" t="s">
        <v>32</v>
      </c>
      <c r="O26" s="17">
        <f>Z34</f>
        <v>0.96954447822645307</v>
      </c>
      <c r="U26" s="2">
        <v>22</v>
      </c>
      <c r="V26" s="2">
        <f t="shared" si="7"/>
        <v>0.96954441070556641</v>
      </c>
      <c r="W26" s="2">
        <f t="shared" si="0"/>
        <v>6.9179897366211662E-8</v>
      </c>
      <c r="X26" s="2">
        <f t="shared" si="8"/>
        <v>0.96954464912414551</v>
      </c>
      <c r="Y26" s="2">
        <f t="shared" si="1"/>
        <v>-1.7369333293881795E-7</v>
      </c>
      <c r="Z26" s="2">
        <f t="shared" si="3"/>
        <v>0.96954452991485596</v>
      </c>
      <c r="AA26" s="2">
        <f t="shared" si="2"/>
        <v>-5.2256718063858898E-8</v>
      </c>
      <c r="AB26" s="2">
        <f t="shared" si="4"/>
        <v>-3.6151143923528176E-15</v>
      </c>
      <c r="AC26" s="2">
        <f t="shared" si="5"/>
        <v>9.0766435289557857E-15</v>
      </c>
      <c r="AD26" s="2">
        <f t="shared" si="6"/>
        <v>2.384185791015625E-7</v>
      </c>
      <c r="AF26" s="2">
        <v>22</v>
      </c>
      <c r="AG26" s="2">
        <f t="shared" si="13"/>
        <v>1790.2030944824219</v>
      </c>
      <c r="AH26" s="2">
        <v>-1.0266229750413913E-2</v>
      </c>
      <c r="AI26" s="2">
        <f t="shared" si="14"/>
        <v>1790.2076244354248</v>
      </c>
      <c r="AJ26" s="2">
        <v>5.6073289019650474E-2</v>
      </c>
      <c r="AK26" s="2">
        <f t="shared" si="9"/>
        <v>1790.2053594589233</v>
      </c>
      <c r="AL26" s="2">
        <v>5.4000118996100355E-2</v>
      </c>
      <c r="AM26" s="2">
        <f t="shared" si="10"/>
        <v>-5.5437762816365694E-4</v>
      </c>
      <c r="AN26" s="2">
        <f t="shared" si="11"/>
        <v>3.0279642795638531E-3</v>
      </c>
      <c r="AO26" s="2">
        <f t="shared" si="12"/>
        <v>4.5299530029296875E-3</v>
      </c>
    </row>
    <row r="27" spans="2:41" x14ac:dyDescent="0.2">
      <c r="B27" s="28" t="s">
        <v>146</v>
      </c>
      <c r="C27" s="28"/>
      <c r="D27" s="28"/>
      <c r="F27" t="s">
        <v>93</v>
      </c>
      <c r="G27" s="6">
        <f>G29/$C$21</f>
        <v>27.776099762727785</v>
      </c>
      <c r="H27" t="s">
        <v>97</v>
      </c>
      <c r="J27" s="14" t="s">
        <v>66</v>
      </c>
      <c r="K27" s="6">
        <f xml:space="preserve"> liftcruise_opt_250_test_250!K27</f>
        <v>7.8238658146607865</v>
      </c>
      <c r="L27" s="6" t="s">
        <v>7</v>
      </c>
      <c r="N27" s="6" t="s">
        <v>33</v>
      </c>
      <c r="O27" s="6">
        <f xml:space="preserve"> O21 * $C$10 * O26 - $C$7 * SIN(O19/180*PI())</f>
        <v>1.2814337724319387</v>
      </c>
      <c r="P27" s="6" t="s">
        <v>10</v>
      </c>
      <c r="U27" s="2">
        <v>23</v>
      </c>
      <c r="V27" s="2">
        <f t="shared" si="7"/>
        <v>0.96954441070556641</v>
      </c>
      <c r="W27" s="2">
        <f t="shared" si="0"/>
        <v>6.9179897366211662E-8</v>
      </c>
      <c r="X27" s="2">
        <f t="shared" si="8"/>
        <v>0.96954452991485596</v>
      </c>
      <c r="Y27" s="2">
        <f t="shared" si="1"/>
        <v>-5.2256718063858898E-8</v>
      </c>
      <c r="Z27" s="2">
        <f t="shared" si="3"/>
        <v>0.96954447031021118</v>
      </c>
      <c r="AA27" s="2">
        <f t="shared" si="2"/>
        <v>8.4615896511763822E-9</v>
      </c>
      <c r="AB27" s="2">
        <f t="shared" si="4"/>
        <v>5.8537190362338086E-16</v>
      </c>
      <c r="AC27" s="2">
        <f t="shared" si="5"/>
        <v>-4.4217490477359036E-16</v>
      </c>
      <c r="AD27" s="2">
        <f t="shared" si="6"/>
        <v>1.1920928955078125E-7</v>
      </c>
      <c r="AF27" s="2">
        <v>23</v>
      </c>
      <c r="AG27" s="2">
        <f t="shared" si="13"/>
        <v>1790.2030944824219</v>
      </c>
      <c r="AH27" s="2">
        <v>-1.0266229750413913E-2</v>
      </c>
      <c r="AI27" s="2">
        <f t="shared" si="14"/>
        <v>1790.2053594589233</v>
      </c>
      <c r="AJ27" s="2">
        <v>5.6073289019650474E-2</v>
      </c>
      <c r="AK27" s="2">
        <f t="shared" si="9"/>
        <v>1790.2042269706726</v>
      </c>
      <c r="AL27" s="2">
        <v>5.5036704029816974E-2</v>
      </c>
      <c r="AM27" s="2">
        <f t="shared" si="10"/>
        <v>-5.6501944827563237E-4</v>
      </c>
      <c r="AN27" s="2">
        <f t="shared" si="11"/>
        <v>3.0860890117528892E-3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8.0564326374707971</v>
      </c>
      <c r="H28" s="6" t="s">
        <v>172</v>
      </c>
      <c r="J28" s="14" t="s">
        <v>67</v>
      </c>
      <c r="K28" s="6">
        <f xml:space="preserve"> liftcruise_opt_250_test_250!K28</f>
        <v>13.97226070076896</v>
      </c>
      <c r="L28" s="6" t="s">
        <v>7</v>
      </c>
      <c r="N28" s="6" t="s">
        <v>34</v>
      </c>
      <c r="O28" s="6">
        <f xml:space="preserve"> 1/$C$31 - O25 * SQRT( (2*$C$71*PI()*$C$10^2) / O20^3 )</f>
        <v>1.1270993105250973</v>
      </c>
      <c r="U28" s="2">
        <v>24</v>
      </c>
      <c r="V28" s="2">
        <f t="shared" si="7"/>
        <v>0.96954447031021118</v>
      </c>
      <c r="W28" s="2">
        <f t="shared" si="0"/>
        <v>8.4615896511763822E-9</v>
      </c>
      <c r="X28" s="2">
        <f t="shared" si="8"/>
        <v>0.96954452991485596</v>
      </c>
      <c r="Y28" s="2">
        <f t="shared" si="1"/>
        <v>-5.2256718063858898E-8</v>
      </c>
      <c r="Z28" s="2">
        <f t="shared" si="3"/>
        <v>0.96954450011253357</v>
      </c>
      <c r="AA28" s="2">
        <f t="shared" si="2"/>
        <v>-2.1897564206341258E-8</v>
      </c>
      <c r="AB28" s="2">
        <f t="shared" si="4"/>
        <v>-1.8528820267434756E-16</v>
      </c>
      <c r="AC28" s="2">
        <f t="shared" si="5"/>
        <v>1.1442948390160232E-15</v>
      </c>
      <c r="AD28" s="2">
        <f t="shared" si="6"/>
        <v>5.9604644775390625E-8</v>
      </c>
      <c r="AF28" s="2">
        <v>24</v>
      </c>
      <c r="AG28" s="2">
        <f t="shared" si="13"/>
        <v>1790.2030944824219</v>
      </c>
      <c r="AH28" s="2">
        <v>-1.0266229750413913E-2</v>
      </c>
      <c r="AI28" s="2">
        <f t="shared" si="14"/>
        <v>1790.2042269706726</v>
      </c>
      <c r="AJ28" s="2">
        <v>5.6073289019650474E-2</v>
      </c>
      <c r="AK28" s="2">
        <f t="shared" si="9"/>
        <v>1790.2036607265472</v>
      </c>
      <c r="AL28" s="2">
        <v>5.5554996530190692E-2</v>
      </c>
      <c r="AM28" s="2">
        <f t="shared" si="10"/>
        <v>-5.703403581623854E-4</v>
      </c>
      <c r="AN28" s="2">
        <f t="shared" si="11"/>
        <v>3.1151513769230618E-3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222.20879810182228</v>
      </c>
      <c r="H29" s="22" t="s">
        <v>97</v>
      </c>
      <c r="J29" s="14" t="s">
        <v>68</v>
      </c>
      <c r="K29" s="6">
        <f xml:space="preserve"> liftcruise_opt_250_test_250!K29</f>
        <v>36.378543715812718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0.96954447031021118</v>
      </c>
      <c r="W29" s="2">
        <f t="shared" si="0"/>
        <v>8.4615896511763822E-9</v>
      </c>
      <c r="X29" s="2">
        <f t="shared" si="8"/>
        <v>0.96954450011253357</v>
      </c>
      <c r="Y29" s="2">
        <f t="shared" si="1"/>
        <v>-2.1897564206341258E-8</v>
      </c>
      <c r="Z29" s="2">
        <f t="shared" si="3"/>
        <v>0.96954448521137238</v>
      </c>
      <c r="AA29" s="2">
        <f t="shared" si="2"/>
        <v>-6.7179872775824379E-9</v>
      </c>
      <c r="AB29" s="2">
        <f t="shared" si="4"/>
        <v>-5.6844851624726154E-17</v>
      </c>
      <c r="AC29" s="2">
        <f t="shared" si="5"/>
        <v>1.4710755774824514E-16</v>
      </c>
      <c r="AD29" s="2">
        <f t="shared" si="6"/>
        <v>2.9802322387695312E-8</v>
      </c>
      <c r="AF29" s="2">
        <v>25</v>
      </c>
      <c r="AG29" s="2">
        <f t="shared" si="13"/>
        <v>1790.2030944824219</v>
      </c>
      <c r="AH29" s="2">
        <v>-1.0266229750413913E-2</v>
      </c>
      <c r="AI29" s="2">
        <f t="shared" si="14"/>
        <v>1790.2036607265472</v>
      </c>
      <c r="AJ29" s="2">
        <v>5.6073289019650474E-2</v>
      </c>
      <c r="AK29" s="2">
        <f t="shared" si="9"/>
        <v>1790.2033776044846</v>
      </c>
      <c r="AL29" s="2">
        <v>5.5814142776398512E-2</v>
      </c>
      <c r="AM29" s="2">
        <f t="shared" si="10"/>
        <v>-5.7300081306491221E-4</v>
      </c>
      <c r="AN29" s="2">
        <f t="shared" si="11"/>
        <v>3.1296825592850306E-3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-3.7503786545585172E-3</v>
      </c>
      <c r="L30" s="9" t="s">
        <v>7</v>
      </c>
      <c r="N30" s="6" t="s">
        <v>36</v>
      </c>
      <c r="O30" s="6">
        <f xml:space="preserve"> 1/$C$77 * LN( EXP($C$77 * O28) + EXP($C$77 * O29) )</f>
        <v>1.1635837148940003</v>
      </c>
      <c r="U30" s="2">
        <v>26</v>
      </c>
      <c r="V30" s="2">
        <f>IF(AB29&gt;0, Z29, V29)</f>
        <v>0.96954447031021118</v>
      </c>
      <c r="W30" s="2">
        <f t="shared" si="0"/>
        <v>8.4615896511763822E-9</v>
      </c>
      <c r="X30" s="2">
        <f t="shared" si="8"/>
        <v>0.96954448521137238</v>
      </c>
      <c r="Y30" s="2">
        <f t="shared" si="1"/>
        <v>-6.7179872775824379E-9</v>
      </c>
      <c r="Z30" s="2">
        <f t="shared" si="3"/>
        <v>0.96954447776079178</v>
      </c>
      <c r="AA30" s="2">
        <f t="shared" si="2"/>
        <v>8.7180118679697216E-10</v>
      </c>
      <c r="AB30" s="2">
        <f t="shared" si="4"/>
        <v>7.3768239000845477E-18</v>
      </c>
      <c r="AC30" s="2">
        <f t="shared" si="5"/>
        <v>-5.8567492814833294E-18</v>
      </c>
      <c r="AD30" s="2">
        <f t="shared" si="6"/>
        <v>1.4901161193847656E-8</v>
      </c>
      <c r="AF30" s="2">
        <v>26</v>
      </c>
      <c r="AG30" s="2">
        <f t="shared" si="13"/>
        <v>1790.2030944824219</v>
      </c>
      <c r="AH30" s="2">
        <v>-1.0266229750413913E-2</v>
      </c>
      <c r="AI30" s="2">
        <f t="shared" si="14"/>
        <v>1790.2033776044846</v>
      </c>
      <c r="AJ30" s="2">
        <v>5.6073289019650474E-2</v>
      </c>
      <c r="AK30" s="2">
        <f t="shared" si="9"/>
        <v>1790.2032360434532</v>
      </c>
      <c r="AL30" s="2">
        <v>5.5943604307685746E-2</v>
      </c>
      <c r="AM30" s="2">
        <f t="shared" si="10"/>
        <v>-5.7432989488894739E-4</v>
      </c>
      <c r="AN30" s="2">
        <f t="shared" si="11"/>
        <v>3.1369418931458263E-3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0" t="s">
        <v>175</v>
      </c>
      <c r="G31" s="31"/>
      <c r="H31" s="31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0.96954447776079178</v>
      </c>
      <c r="W31" s="2">
        <f t="shared" si="0"/>
        <v>8.7180118679697216E-10</v>
      </c>
      <c r="X31" s="2">
        <f t="shared" si="8"/>
        <v>0.96954448521137238</v>
      </c>
      <c r="Y31" s="2">
        <f t="shared" si="1"/>
        <v>-6.7179872775824379E-9</v>
      </c>
      <c r="Z31" s="2">
        <f t="shared" si="3"/>
        <v>0.96954448148608208</v>
      </c>
      <c r="AA31" s="2">
        <f t="shared" si="2"/>
        <v>-2.9230931009038841E-9</v>
      </c>
      <c r="AB31" s="2">
        <f t="shared" si="4"/>
        <v>-2.5483560344860476E-18</v>
      </c>
      <c r="AC31" s="2">
        <f t="shared" si="5"/>
        <v>1.9637302263061291E-17</v>
      </c>
      <c r="AD31" s="2">
        <f t="shared" si="6"/>
        <v>7.4505805969238281E-9</v>
      </c>
      <c r="AF31" s="2">
        <v>27</v>
      </c>
      <c r="AG31" s="2">
        <f t="shared" si="13"/>
        <v>1790.2030944824219</v>
      </c>
      <c r="AH31" s="2">
        <v>-1.0266229750413913E-2</v>
      </c>
      <c r="AI31" s="2">
        <f t="shared" si="14"/>
        <v>1790.2032360434532</v>
      </c>
      <c r="AJ31" s="2">
        <v>5.6073289019650474E-2</v>
      </c>
      <c r="AK31" s="2">
        <f t="shared" si="9"/>
        <v>1790.2031652629375</v>
      </c>
      <c r="AL31" s="2">
        <v>5.6008446663781797E-2</v>
      </c>
      <c r="AM31" s="2">
        <f t="shared" si="10"/>
        <v>-5.7499558141418754E-4</v>
      </c>
      <c r="AN31" s="2">
        <f t="shared" si="11"/>
        <v>3.1405778173199152E-3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0.96954447776079178</v>
      </c>
      <c r="W32" s="2">
        <f t="shared" si="0"/>
        <v>8.7180118679697216E-10</v>
      </c>
      <c r="X32" s="2">
        <f t="shared" si="8"/>
        <v>0.96954448148608208</v>
      </c>
      <c r="Y32" s="2">
        <f t="shared" si="1"/>
        <v>-2.9230931009038841E-9</v>
      </c>
      <c r="Z32" s="2">
        <f t="shared" si="3"/>
        <v>0.96954447962343693</v>
      </c>
      <c r="AA32" s="2">
        <f t="shared" si="2"/>
        <v>-1.0256460125646072E-9</v>
      </c>
      <c r="AB32" s="2">
        <f t="shared" si="4"/>
        <v>-8.9415941098740677E-19</v>
      </c>
      <c r="AC32" s="2">
        <f t="shared" si="5"/>
        <v>2.9980587832971817E-18</v>
      </c>
      <c r="AD32" s="2">
        <f t="shared" si="6"/>
        <v>3.7252902984619141E-9</v>
      </c>
      <c r="AF32" s="2">
        <v>28</v>
      </c>
      <c r="AG32" s="2">
        <f t="shared" si="13"/>
        <v>1790.2030944824219</v>
      </c>
      <c r="AH32" s="2">
        <v>-1.0266229750413913E-2</v>
      </c>
      <c r="AI32" s="2">
        <f t="shared" si="14"/>
        <v>1790.2031652629375</v>
      </c>
      <c r="AJ32" s="2">
        <v>5.6073289019650474E-2</v>
      </c>
      <c r="AK32" s="2">
        <f t="shared" si="9"/>
        <v>1790.2031298726797</v>
      </c>
      <c r="AL32" s="2">
        <v>5.6040867841829822E-2</v>
      </c>
      <c r="AM32" s="2">
        <f t="shared" si="10"/>
        <v>-5.7532842467680767E-4</v>
      </c>
      <c r="AN32" s="2">
        <f t="shared" si="11"/>
        <v>3.1423957794069596E-3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105.03387709354089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0.96954447776079178</v>
      </c>
      <c r="W33" s="2">
        <f t="shared" si="0"/>
        <v>8.7180118679697216E-10</v>
      </c>
      <c r="X33" s="2">
        <f t="shared" si="8"/>
        <v>0.96954447962343693</v>
      </c>
      <c r="Y33" s="2">
        <f t="shared" si="1"/>
        <v>-1.0256460125646072E-9</v>
      </c>
      <c r="Z33" s="2">
        <f t="shared" si="3"/>
        <v>0.96954447869211435</v>
      </c>
      <c r="AA33" s="2">
        <f t="shared" si="2"/>
        <v>-7.6922357372666283E-11</v>
      </c>
      <c r="AB33" s="2">
        <f t="shared" si="4"/>
        <v>-6.7061002448711287E-20</v>
      </c>
      <c r="AC33" s="2">
        <f t="shared" si="5"/>
        <v>7.8895109116344888E-20</v>
      </c>
      <c r="AD33" s="2">
        <f t="shared" si="6"/>
        <v>1.862645149230957E-9</v>
      </c>
      <c r="AF33" s="2">
        <v>29</v>
      </c>
      <c r="AG33" s="2">
        <f t="shared" si="13"/>
        <v>1790.2030944824219</v>
      </c>
      <c r="AH33" s="2">
        <v>-1.0266229750413913E-2</v>
      </c>
      <c r="AI33" s="2">
        <f t="shared" si="14"/>
        <v>1790.2031298726797</v>
      </c>
      <c r="AJ33" s="2">
        <v>5.6073289019650474E-2</v>
      </c>
      <c r="AK33" s="2">
        <f t="shared" si="9"/>
        <v>1790.2031121775508</v>
      </c>
      <c r="AL33" s="2">
        <v>5.6057078430740148E-2</v>
      </c>
      <c r="AM33" s="2">
        <f t="shared" si="10"/>
        <v>-5.7549484630695059E-4</v>
      </c>
      <c r="AN33" s="2">
        <f t="shared" si="11"/>
        <v>3.143304760444107E-3</v>
      </c>
      <c r="AO33" s="2">
        <f t="shared" si="12"/>
        <v>3.5390257835388184E-5</v>
      </c>
    </row>
    <row r="34" spans="2:41" x14ac:dyDescent="0.2">
      <c r="B34" s="28" t="s">
        <v>100</v>
      </c>
      <c r="C34" s="28"/>
      <c r="D34" s="28"/>
      <c r="J34" s="6" t="s">
        <v>58</v>
      </c>
      <c r="K34" s="6">
        <f>ROUND($C$16/$C$5 * 100, 2)</f>
        <v>33.520000000000003</v>
      </c>
      <c r="L34" s="6" t="s">
        <v>59</v>
      </c>
      <c r="U34" s="2">
        <v>30</v>
      </c>
      <c r="V34" s="2">
        <f t="shared" si="7"/>
        <v>0.96954447776079178</v>
      </c>
      <c r="W34" s="2">
        <f t="shared" si="0"/>
        <v>8.7180118679697216E-10</v>
      </c>
      <c r="X34" s="2">
        <f t="shared" si="8"/>
        <v>0.96954447869211435</v>
      </c>
      <c r="Y34" s="2">
        <f t="shared" si="1"/>
        <v>-7.6922357372666283E-11</v>
      </c>
      <c r="Z34" s="2">
        <f t="shared" si="3"/>
        <v>0.96954447822645307</v>
      </c>
      <c r="AA34" s="2">
        <f t="shared" si="2"/>
        <v>3.9743941471215294E-10</v>
      </c>
      <c r="AB34" s="2">
        <f t="shared" si="4"/>
        <v>3.4648815342594893E-19</v>
      </c>
      <c r="AC34" s="2">
        <f t="shared" si="5"/>
        <v>-3.057197669247155E-20</v>
      </c>
      <c r="AD34" s="2">
        <f t="shared" si="6"/>
        <v>9.3132257461547852E-10</v>
      </c>
      <c r="AF34" s="2">
        <v>30</v>
      </c>
      <c r="AG34" s="2">
        <f t="shared" si="13"/>
        <v>1790.2030944824219</v>
      </c>
      <c r="AH34" s="2">
        <v>-1.0266229750413913E-2</v>
      </c>
      <c r="AI34" s="2">
        <f t="shared" si="14"/>
        <v>1790.2031121775508</v>
      </c>
      <c r="AJ34" s="2">
        <v>5.6073289019650474E-2</v>
      </c>
      <c r="AK34" s="2">
        <f t="shared" si="9"/>
        <v>1790.2031033299863</v>
      </c>
      <c r="AL34" s="2">
        <v>5.6065183725195311E-2</v>
      </c>
      <c r="AM34" s="2">
        <f t="shared" si="10"/>
        <v>-5.7557805712202205E-4</v>
      </c>
      <c r="AN34" s="2">
        <f t="shared" si="11"/>
        <v>3.1437592509626806E-3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14.61</v>
      </c>
      <c r="L35" s="6" t="s">
        <v>59</v>
      </c>
      <c r="AF35" s="2">
        <v>31</v>
      </c>
      <c r="AG35" s="2">
        <f t="shared" si="13"/>
        <v>1790.2030944824219</v>
      </c>
      <c r="AH35" s="2">
        <v>-1.0266229750413913E-2</v>
      </c>
      <c r="AI35" s="2">
        <f t="shared" si="14"/>
        <v>1790.2031033299863</v>
      </c>
      <c r="AJ35" s="2">
        <v>5.6073289019650474E-2</v>
      </c>
      <c r="AK35" s="2">
        <f t="shared" si="9"/>
        <v>1790.2030989062041</v>
      </c>
      <c r="AL35" s="2">
        <v>5.6069236372422893E-2</v>
      </c>
      <c r="AM35" s="2">
        <f t="shared" si="10"/>
        <v>-5.7561966252955778E-4</v>
      </c>
      <c r="AN35" s="2">
        <f t="shared" si="11"/>
        <v>3.1439864962219677E-3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18.940000000000001</v>
      </c>
      <c r="L36" s="6" t="s">
        <v>59</v>
      </c>
      <c r="AF36" s="2">
        <v>32</v>
      </c>
      <c r="AG36" s="2">
        <f t="shared" si="13"/>
        <v>1790.2030944824219</v>
      </c>
      <c r="AH36" s="2">
        <v>-1.0266229750413913E-2</v>
      </c>
      <c r="AI36" s="2">
        <f t="shared" si="14"/>
        <v>1790.2030989062041</v>
      </c>
      <c r="AJ36" s="2">
        <v>5.6073289019650474E-2</v>
      </c>
      <c r="AK36" s="2">
        <f t="shared" si="9"/>
        <v>1790.203096694313</v>
      </c>
      <c r="AL36" s="2">
        <v>5.607126269615037E-2</v>
      </c>
      <c r="AM36" s="2">
        <f t="shared" si="10"/>
        <v>-5.7564046523449273E-4</v>
      </c>
      <c r="AN36" s="2">
        <f t="shared" si="11"/>
        <v>3.1441001188579859E-3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27.07</v>
      </c>
      <c r="L37" s="6" t="s">
        <v>59</v>
      </c>
      <c r="AF37" s="2">
        <v>33</v>
      </c>
      <c r="AG37" s="2">
        <f t="shared" si="13"/>
        <v>1790.2030944824219</v>
      </c>
      <c r="AH37" s="2">
        <v>-1.0266229750413913E-2</v>
      </c>
      <c r="AI37" s="2">
        <f t="shared" si="14"/>
        <v>1790.203096694313</v>
      </c>
      <c r="AJ37" s="2">
        <v>5.6073289019650474E-2</v>
      </c>
      <c r="AK37" s="2">
        <f t="shared" si="9"/>
        <v>1790.2030955883674</v>
      </c>
      <c r="AL37" s="2">
        <v>5.6072275858014109E-2</v>
      </c>
      <c r="AM37" s="2">
        <f t="shared" si="10"/>
        <v>-5.7565086658696032E-4</v>
      </c>
      <c r="AN37" s="2">
        <f t="shared" si="11"/>
        <v>3.1441569301759948E-3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5.86</v>
      </c>
      <c r="L38" s="6" t="s">
        <v>59</v>
      </c>
      <c r="AF38" s="2">
        <v>34</v>
      </c>
      <c r="AG38" s="2">
        <f t="shared" si="13"/>
        <v>1790.2030944824219</v>
      </c>
      <c r="AH38" s="2">
        <v>-1.0266229750413913E-2</v>
      </c>
      <c r="AI38" s="2">
        <f t="shared" si="14"/>
        <v>1790.2030955883674</v>
      </c>
      <c r="AJ38" s="2">
        <v>5.6073289019650474E-2</v>
      </c>
      <c r="AK38" s="2">
        <f t="shared" si="9"/>
        <v>1790.2030950353947</v>
      </c>
      <c r="AL38" s="2">
        <v>5.6072782438832292E-2</v>
      </c>
      <c r="AM38" s="2">
        <f t="shared" si="10"/>
        <v>-5.7565606726202691E-4</v>
      </c>
      <c r="AN38" s="2">
        <f t="shared" si="11"/>
        <v>3.1441853358286248E-3</v>
      </c>
      <c r="AO38" s="2">
        <f t="shared" si="12"/>
        <v>1.1059455573558807E-6</v>
      </c>
    </row>
    <row r="39" spans="2:41" x14ac:dyDescent="0.2">
      <c r="B39" s="28" t="s">
        <v>104</v>
      </c>
      <c r="C39" s="28"/>
      <c r="D39" s="28"/>
      <c r="J39" s="9" t="s">
        <v>60</v>
      </c>
      <c r="K39" s="9">
        <f>SUM(K34:K38)</f>
        <v>100.00000000000001</v>
      </c>
      <c r="L39" s="9" t="s">
        <v>59</v>
      </c>
      <c r="AF39" s="2">
        <v>35</v>
      </c>
      <c r="AG39" s="2">
        <f t="shared" si="13"/>
        <v>1790.2030944824219</v>
      </c>
      <c r="AH39" s="2">
        <v>-1.0266229750413913E-2</v>
      </c>
      <c r="AI39" s="2">
        <f t="shared" si="14"/>
        <v>1790.2030950353947</v>
      </c>
      <c r="AJ39" s="2">
        <v>5.6073289019650474E-2</v>
      </c>
      <c r="AK39" s="2">
        <f t="shared" si="9"/>
        <v>1790.2030947589083</v>
      </c>
      <c r="AL39" s="2">
        <v>5.6073035729241383E-2</v>
      </c>
      <c r="AM39" s="2">
        <f t="shared" si="10"/>
        <v>-5.7565866759956021E-4</v>
      </c>
      <c r="AN39" s="2">
        <f t="shared" si="11"/>
        <v>3.1441995386549395E-3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1790.2030944824219</v>
      </c>
      <c r="AH40" s="2">
        <v>-1.0266229750413913E-2</v>
      </c>
      <c r="AI40" s="2">
        <f t="shared" si="14"/>
        <v>1790.2030947589083</v>
      </c>
      <c r="AJ40" s="2">
        <v>5.6073289019650474E-2</v>
      </c>
      <c r="AK40" s="2">
        <f t="shared" si="9"/>
        <v>1790.2030946206651</v>
      </c>
      <c r="AL40" s="2">
        <v>5.6073162374559615E-2</v>
      </c>
      <c r="AM40" s="2">
        <f t="shared" si="10"/>
        <v>-5.7565996776949395E-4</v>
      </c>
      <c r="AN40" s="2">
        <f t="shared" si="11"/>
        <v>3.1442066400744718E-3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28" t="s">
        <v>109</v>
      </c>
      <c r="K41" s="28"/>
      <c r="L41" s="28"/>
      <c r="AF41" s="2">
        <v>37</v>
      </c>
      <c r="AG41" s="2">
        <f t="shared" si="13"/>
        <v>1790.2030944824219</v>
      </c>
      <c r="AH41" s="2">
        <v>-1.0266229750413913E-2</v>
      </c>
      <c r="AI41" s="2">
        <f t="shared" si="14"/>
        <v>1790.2030946206651</v>
      </c>
      <c r="AJ41" s="2">
        <v>5.6073289019650474E-2</v>
      </c>
      <c r="AK41" s="2">
        <f t="shared" si="9"/>
        <v>1790.2030945515435</v>
      </c>
      <c r="AL41" s="2">
        <v>5.6073225697218732E-2</v>
      </c>
      <c r="AM41" s="2">
        <f t="shared" si="10"/>
        <v>-5.7566061785446093E-4</v>
      </c>
      <c r="AN41" s="2">
        <f t="shared" si="11"/>
        <v>3.1442101907842379E-3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1790.2030944824219</v>
      </c>
      <c r="AH42" s="2">
        <v>-1.0266229750413913E-2</v>
      </c>
      <c r="AI42" s="2">
        <f t="shared" si="14"/>
        <v>1790.2030945515435</v>
      </c>
      <c r="AJ42" s="2">
        <v>5.6073289019650474E-2</v>
      </c>
      <c r="AK42" s="2">
        <f t="shared" si="9"/>
        <v>1790.2030945169827</v>
      </c>
      <c r="AL42" s="2">
        <v>5.607325735854829E-2</v>
      </c>
      <c r="AM42" s="2">
        <f t="shared" si="10"/>
        <v>-5.7566094289694431E-4</v>
      </c>
      <c r="AN42" s="2">
        <f t="shared" si="11"/>
        <v>3.144211966139121E-3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261.58999999999997</v>
      </c>
      <c r="L43" s="6" t="s">
        <v>7</v>
      </c>
      <c r="AF43" s="2">
        <v>39</v>
      </c>
      <c r="AG43" s="2">
        <f t="shared" si="13"/>
        <v>1790.2030944824219</v>
      </c>
      <c r="AH43" s="2">
        <v>-1.0266229750413913E-2</v>
      </c>
      <c r="AI43" s="2">
        <f t="shared" si="14"/>
        <v>1790.2030945169827</v>
      </c>
      <c r="AJ43" s="2">
        <v>5.6073289019650474E-2</v>
      </c>
      <c r="AK43" s="2">
        <f t="shared" si="9"/>
        <v>1790.2030944997023</v>
      </c>
      <c r="AL43" s="2">
        <v>5.6073273189213069E-2</v>
      </c>
      <c r="AM43" s="2">
        <f t="shared" si="10"/>
        <v>-5.7566110541818611E-4</v>
      </c>
      <c r="AN43" s="2">
        <f t="shared" si="11"/>
        <v>3.1442128538165626E-3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339.1</v>
      </c>
      <c r="L44" s="6" t="s">
        <v>7</v>
      </c>
      <c r="AF44" s="2">
        <v>40</v>
      </c>
      <c r="AG44" s="2">
        <f t="shared" si="13"/>
        <v>1790.2030944824219</v>
      </c>
      <c r="AH44" s="2">
        <v>-1.0266229750413913E-2</v>
      </c>
      <c r="AI44" s="2">
        <f t="shared" si="14"/>
        <v>1790.2030944997023</v>
      </c>
      <c r="AJ44" s="2">
        <v>5.6073289019650474E-2</v>
      </c>
      <c r="AK44" s="5">
        <f t="shared" si="9"/>
        <v>1790.2030944910621</v>
      </c>
      <c r="AL44" s="2">
        <v>5.6073281104318085E-2</v>
      </c>
      <c r="AM44" s="2">
        <f t="shared" si="10"/>
        <v>-5.7566118667647266E-4</v>
      </c>
      <c r="AN44" s="2">
        <f t="shared" si="11"/>
        <v>3.1442132976425338E-3</v>
      </c>
      <c r="AO44" s="2">
        <f t="shared" si="12"/>
        <v>1.7280399333685637E-8</v>
      </c>
    </row>
    <row r="45" spans="2:41" x14ac:dyDescent="0.2">
      <c r="B45" s="28" t="s">
        <v>151</v>
      </c>
      <c r="C45" s="28"/>
      <c r="D45" s="28"/>
      <c r="J45" s="19" t="s">
        <v>70</v>
      </c>
      <c r="K45" s="6">
        <f>ROUND(SUM(K20:K25), 2)</f>
        <v>484.55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104.98</v>
      </c>
      <c r="L46" s="6" t="s">
        <v>7</v>
      </c>
    </row>
    <row r="47" spans="2:41" x14ac:dyDescent="0.2">
      <c r="J47" s="9" t="s">
        <v>60</v>
      </c>
      <c r="K47" s="9">
        <f>SUM(K42:K46)</f>
        <v>1790.22</v>
      </c>
      <c r="L47" s="6" t="s">
        <v>7</v>
      </c>
    </row>
    <row r="48" spans="2:41" x14ac:dyDescent="0.2">
      <c r="B48" s="28" t="s">
        <v>152</v>
      </c>
      <c r="C48" s="28"/>
      <c r="D48" s="28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8" t="s">
        <v>156</v>
      </c>
      <c r="C53" s="28"/>
      <c r="D53" s="28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0" t="s">
        <v>2</v>
      </c>
      <c r="C59" s="31"/>
      <c r="D59" s="31"/>
    </row>
    <row r="60" spans="2:4" x14ac:dyDescent="0.2">
      <c r="B60" s="6" t="s">
        <v>3</v>
      </c>
      <c r="C60" s="16">
        <v>550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8" t="s">
        <v>169</v>
      </c>
      <c r="C64" s="29"/>
      <c r="D64" s="29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8" t="s">
        <v>170</v>
      </c>
      <c r="C70" s="29"/>
      <c r="D70" s="29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8" t="s">
        <v>72</v>
      </c>
      <c r="C76" s="28"/>
      <c r="D76" s="28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53:D53"/>
    <mergeCell ref="B59:D59"/>
    <mergeCell ref="B64:D64"/>
    <mergeCell ref="B70:D70"/>
    <mergeCell ref="B76:D76"/>
    <mergeCell ref="N3:P3"/>
    <mergeCell ref="B48:D48"/>
    <mergeCell ref="F12:H12"/>
    <mergeCell ref="B15:D15"/>
    <mergeCell ref="N18:P18"/>
    <mergeCell ref="B20:D20"/>
    <mergeCell ref="F22:H22"/>
    <mergeCell ref="B27:D27"/>
    <mergeCell ref="F31:H31"/>
    <mergeCell ref="B34:D34"/>
    <mergeCell ref="B39:D39"/>
    <mergeCell ref="J41:L41"/>
    <mergeCell ref="B45:D45"/>
    <mergeCell ref="J9:L9"/>
    <mergeCell ref="B1:D1"/>
    <mergeCell ref="B3:D3"/>
    <mergeCell ref="F3:H3"/>
    <mergeCell ref="J3:L3"/>
  </mergeCells>
  <conditionalFormatting sqref="K31">
    <cfRule type="containsText" dxfId="17" priority="1" operator="containsText" text="FALSE">
      <formula>NOT(ISERROR(SEARCH("FALSE",K31)))</formula>
    </cfRule>
    <cfRule type="containsText" dxfId="16" priority="2" operator="containsText" text="TRUE">
      <formula>NOT(ISERROR(SEARCH("TRUE",K31)))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NOT(ISERROR(SEARCH("YES",K31)))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287B-15E3-F74A-8EAB-6E6701AC89FE}">
  <dimension ref="B1:AO81"/>
  <sheetViews>
    <sheetView tabSelected="1" zoomScale="88" workbookViewId="0">
      <selection activeCell="E21" sqref="E21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27" t="s">
        <v>0</v>
      </c>
      <c r="C1" s="27"/>
      <c r="D1" s="27"/>
    </row>
    <row r="2" spans="2:41" x14ac:dyDescent="0.2">
      <c r="U2" s="15" t="s">
        <v>89</v>
      </c>
      <c r="AF2" s="26" t="s">
        <v>129</v>
      </c>
    </row>
    <row r="3" spans="2:41" x14ac:dyDescent="0.2">
      <c r="B3" s="28" t="s">
        <v>118</v>
      </c>
      <c r="C3" s="29"/>
      <c r="D3" s="29"/>
      <c r="F3" s="30" t="s">
        <v>76</v>
      </c>
      <c r="G3" s="31"/>
      <c r="H3" s="31"/>
      <c r="J3" s="28" t="s">
        <v>94</v>
      </c>
      <c r="K3" s="28"/>
      <c r="L3" s="28"/>
      <c r="N3" s="28" t="s">
        <v>88</v>
      </c>
      <c r="O3" s="28"/>
      <c r="P3" s="28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370.10996895135611</v>
      </c>
      <c r="L4" s="6" t="s">
        <v>97</v>
      </c>
      <c r="N4" s="6" t="s">
        <v>131</v>
      </c>
      <c r="O4" s="6">
        <f xml:space="preserve"> $C$5 * $C$74</f>
        <v>15147.644565743258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1.1827798728614694</v>
      </c>
      <c r="X4" s="3">
        <v>1</v>
      </c>
      <c r="Y4" s="2">
        <f t="shared" ref="Y4:Y34" si="1" xml:space="preserve"> $O$22 * TAN($O$19/180*PI()) + $O$23 / (2 * SQRT($O$22^2 + X4^2)) - X4</f>
        <v>-2.949111368656776E-2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0.48931726157018873</v>
      </c>
      <c r="AB4" s="2">
        <f>W4*AA4</f>
        <v>0.57875460842891013</v>
      </c>
      <c r="AC4" s="2">
        <f>Y4*AA4</f>
        <v>-1.443051098976645E-2</v>
      </c>
      <c r="AD4" s="2">
        <f>X4-V4</f>
        <v>1</v>
      </c>
      <c r="AF4" s="2">
        <v>0</v>
      </c>
      <c r="AH4" s="2">
        <f>K30</f>
        <v>-2.3685998532982921E-3</v>
      </c>
      <c r="AJ4" s="2">
        <f>K30</f>
        <v>-2.3685998532982921E-3</v>
      </c>
      <c r="AL4" s="2">
        <f>K30</f>
        <v>-2.3685998532982921E-3</v>
      </c>
    </row>
    <row r="5" spans="2:41" x14ac:dyDescent="0.2">
      <c r="B5" s="9" t="s">
        <v>38</v>
      </c>
      <c r="C5" s="9">
        <v>1545.59069659896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46.263746118919514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0.48931726157018873</v>
      </c>
      <c r="X5" s="2">
        <f>IF(AC4&gt;0, Z4, X4)</f>
        <v>1</v>
      </c>
      <c r="Y5" s="2">
        <f t="shared" si="1"/>
        <v>-2.949111368656776E-2</v>
      </c>
      <c r="Z5" s="2">
        <f t="shared" ref="Z5:Z34" si="3" xml:space="preserve"> (V5 + X5)/2</f>
        <v>0.75</v>
      </c>
      <c r="AA5" s="2">
        <f t="shared" si="2"/>
        <v>0.22684019994385585</v>
      </c>
      <c r="AB5" s="2">
        <f t="shared" ref="AB5:AB34" si="4">W5*AA5</f>
        <v>0.11099682545056162</v>
      </c>
      <c r="AC5" s="2">
        <f t="shared" ref="AC5:AC34" si="5">Y5*AA5</f>
        <v>-6.6897701252280149E-3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-644.46009049456086</v>
      </c>
      <c r="AI5" s="3">
        <v>10000</v>
      </c>
      <c r="AJ5" s="2">
        <f t="dataTable" ref="AJ5:AJ44" dt2D="0" dtr="0" r1="C5"/>
        <v>3906.2123314321916</v>
      </c>
      <c r="AK5" s="2">
        <f>(AG5+AI5)/2</f>
        <v>5250</v>
      </c>
      <c r="AL5" s="2">
        <f t="dataTable" ref="AL5:AL44" dt2D="0" dtr="0" r1="C5" ca="1"/>
        <v>2130.8875675634372</v>
      </c>
      <c r="AM5" s="2">
        <f>AH5*AL5</f>
        <v>-1373271.9946256673</v>
      </c>
      <c r="AN5" s="2">
        <f>AJ5*AL5</f>
        <v>8323699.2933118455</v>
      </c>
      <c r="AO5" s="2">
        <f>AI5-AG5</f>
        <v>9500</v>
      </c>
    </row>
    <row r="6" spans="2:41" x14ac:dyDescent="0.2">
      <c r="B6" s="6" t="s">
        <v>168</v>
      </c>
      <c r="C6" s="16">
        <v>425.780054499046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157.22970764125057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0.17503419910644463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0.22684019994385585</v>
      </c>
      <c r="X6" s="2">
        <f t="shared" ref="X6:X34" si="8">IF(AC5&gt;0, Z5, X5)</f>
        <v>1</v>
      </c>
      <c r="Y6" s="2">
        <f t="shared" si="1"/>
        <v>-2.949111368656776E-2</v>
      </c>
      <c r="Z6" s="2">
        <f t="shared" si="3"/>
        <v>0.875</v>
      </c>
      <c r="AA6" s="2">
        <f t="shared" si="2"/>
        <v>9.8228472085677199E-2</v>
      </c>
      <c r="AB6" s="2">
        <f t="shared" si="4"/>
        <v>2.2282166248094478E-2</v>
      </c>
      <c r="AC6" s="2">
        <f t="shared" si="5"/>
        <v>-2.8968670375365542E-3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-644.46009049456086</v>
      </c>
      <c r="AI6" s="2">
        <f>IF(AN5&gt;0,AK5,AI5)</f>
        <v>5250</v>
      </c>
      <c r="AJ6" s="2">
        <v>2130.8875675634372</v>
      </c>
      <c r="AK6" s="2">
        <f t="shared" ref="AK6:AK44" si="9">(AG6+AI6)/2</f>
        <v>2875</v>
      </c>
      <c r="AL6" s="2">
        <v>714.78101538135616</v>
      </c>
      <c r="AM6" s="2">
        <f t="shared" ref="AM6:AM44" si="10">AH6*AL6</f>
        <v>-460647.83785646287</v>
      </c>
      <c r="AN6" s="2">
        <f t="shared" ref="AN6:AN44" si="11">AJ6*AL6</f>
        <v>1523117.9792065017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1893.6366999714426</v>
      </c>
      <c r="H7" s="6" t="s">
        <v>21</v>
      </c>
      <c r="J7" s="6" t="s">
        <v>133</v>
      </c>
      <c r="K7" s="6">
        <f>K6/$C$28</f>
        <v>157.22970764125057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9.8228472085677199E-2</v>
      </c>
      <c r="X7" s="2">
        <f t="shared" si="8"/>
        <v>1</v>
      </c>
      <c r="Y7" s="2">
        <f t="shared" si="1"/>
        <v>-2.949111368656776E-2</v>
      </c>
      <c r="Z7" s="2">
        <f t="shared" si="3"/>
        <v>0.9375</v>
      </c>
      <c r="AA7" s="2">
        <f t="shared" si="2"/>
        <v>3.4279092796449029E-2</v>
      </c>
      <c r="AB7" s="2">
        <f t="shared" si="4"/>
        <v>3.3671829098783318E-3</v>
      </c>
      <c r="AC7" s="2">
        <f t="shared" si="5"/>
        <v>-1.0109286227324842E-3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-644.46009049456086</v>
      </c>
      <c r="AI7" s="2">
        <f t="shared" ref="AI7:AI44" si="14">IF(AN6&gt;0,AK6,AI6)</f>
        <v>2875</v>
      </c>
      <c r="AJ7" s="2">
        <v>714.78101538135616</v>
      </c>
      <c r="AK7" s="2">
        <f t="shared" si="9"/>
        <v>1687.5</v>
      </c>
      <c r="AL7" s="2">
        <v>82.205094684914684</v>
      </c>
      <c r="AM7" s="2">
        <f t="shared" si="10"/>
        <v>-52977.902759754063</v>
      </c>
      <c r="AN7" s="2">
        <f t="shared" si="11"/>
        <v>58758.641048403842</v>
      </c>
      <c r="AO7" s="2">
        <f t="shared" si="12"/>
        <v>2375</v>
      </c>
    </row>
    <row r="8" spans="2:41" x14ac:dyDescent="0.2">
      <c r="B8" s="6" t="s">
        <v>91</v>
      </c>
      <c r="C8" s="16">
        <v>1.5660190058410901</v>
      </c>
      <c r="D8" s="6" t="s">
        <v>8</v>
      </c>
      <c r="F8" t="s">
        <v>93</v>
      </c>
      <c r="G8" s="6">
        <f>G10/$C$21</f>
        <v>30.84249741261301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3.4279092796449029E-2</v>
      </c>
      <c r="X8" s="2">
        <f t="shared" si="8"/>
        <v>1</v>
      </c>
      <c r="Y8" s="2">
        <f t="shared" si="1"/>
        <v>-2.949111368656776E-2</v>
      </c>
      <c r="Z8" s="2">
        <f t="shared" si="3"/>
        <v>0.96875</v>
      </c>
      <c r="AA8" s="2">
        <f t="shared" si="2"/>
        <v>2.3737276750439573E-3</v>
      </c>
      <c r="AB8" s="2">
        <f t="shared" si="4"/>
        <v>8.1369231246331016E-5</v>
      </c>
      <c r="AC8" s="2">
        <f t="shared" si="5"/>
        <v>-7.0003872725673522E-5</v>
      </c>
      <c r="AD8" s="2">
        <f t="shared" si="6"/>
        <v>6.25E-2</v>
      </c>
      <c r="AF8" s="2">
        <v>4</v>
      </c>
      <c r="AG8" s="2">
        <f t="shared" si="13"/>
        <v>500</v>
      </c>
      <c r="AH8" s="2">
        <v>-644.46009049456086</v>
      </c>
      <c r="AI8" s="2">
        <f t="shared" si="14"/>
        <v>1687.5</v>
      </c>
      <c r="AJ8" s="2">
        <v>82.205094684914684</v>
      </c>
      <c r="AK8" s="2">
        <f t="shared" si="9"/>
        <v>1093.75</v>
      </c>
      <c r="AL8" s="2">
        <v>-270.85340150138666</v>
      </c>
      <c r="AM8" s="2">
        <f t="shared" si="10"/>
        <v>174554.20764234327</v>
      </c>
      <c r="AN8" s="2">
        <f t="shared" si="11"/>
        <v>-22265.529516152703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6.2640464710183137</v>
      </c>
      <c r="H9" s="6" t="s">
        <v>172</v>
      </c>
      <c r="J9" s="28" t="s">
        <v>22</v>
      </c>
      <c r="K9" s="28"/>
      <c r="L9" s="28"/>
      <c r="N9" s="6" t="s">
        <v>114</v>
      </c>
      <c r="O9" s="6">
        <f xml:space="preserve"> $O$8/$C$12 + $O$7</f>
        <v>1.8250480376239647E-2</v>
      </c>
      <c r="U9" s="2">
        <v>5</v>
      </c>
      <c r="V9" s="2">
        <f t="shared" si="7"/>
        <v>0.96875</v>
      </c>
      <c r="W9" s="2">
        <f t="shared" si="0"/>
        <v>2.3737276750439573E-3</v>
      </c>
      <c r="X9" s="2">
        <f t="shared" si="8"/>
        <v>1</v>
      </c>
      <c r="Y9" s="2">
        <f t="shared" si="1"/>
        <v>-2.949111368656776E-2</v>
      </c>
      <c r="Z9" s="2">
        <f t="shared" si="3"/>
        <v>0.984375</v>
      </c>
      <c r="AA9" s="2">
        <f t="shared" si="2"/>
        <v>-1.3563520736715073E-2</v>
      </c>
      <c r="AB9" s="2">
        <f t="shared" si="4"/>
        <v>-3.2196104543773176E-5</v>
      </c>
      <c r="AC9" s="2">
        <f t="shared" si="5"/>
        <v>4.0000333203658352E-4</v>
      </c>
      <c r="AD9" s="2">
        <f t="shared" si="6"/>
        <v>3.125E-2</v>
      </c>
      <c r="AF9" s="2">
        <v>5</v>
      </c>
      <c r="AG9" s="2">
        <f t="shared" si="13"/>
        <v>1093.75</v>
      </c>
      <c r="AH9" s="2">
        <v>-270.85340150138666</v>
      </c>
      <c r="AI9" s="2">
        <f t="shared" si="14"/>
        <v>1687.5</v>
      </c>
      <c r="AJ9" s="2">
        <v>82.205094684914684</v>
      </c>
      <c r="AK9" s="2">
        <f t="shared" si="9"/>
        <v>1390.625</v>
      </c>
      <c r="AL9" s="2">
        <v>-91.356910647333393</v>
      </c>
      <c r="AM9" s="2">
        <f t="shared" si="10"/>
        <v>24744.329999488498</v>
      </c>
      <c r="AN9" s="2">
        <f t="shared" si="11"/>
        <v>-7510.0034898853319</v>
      </c>
      <c r="AO9" s="2">
        <f t="shared" si="12"/>
        <v>593.75</v>
      </c>
    </row>
    <row r="10" spans="2:41" x14ac:dyDescent="0.2">
      <c r="B10" s="6" t="s">
        <v>134</v>
      </c>
      <c r="C10" s="16">
        <v>1.5748737040488201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246.73997930090408</v>
      </c>
      <c r="H10" s="22" t="s">
        <v>97</v>
      </c>
      <c r="J10" s="6" t="s">
        <v>92</v>
      </c>
      <c r="K10" s="6">
        <f xml:space="preserve"> $C$18 * (G10*G6 + G20*G13 + G29*G25 + G33*G32)/3600</f>
        <v>97.292204272499589</v>
      </c>
      <c r="L10" s="6" t="s">
        <v>98</v>
      </c>
      <c r="N10" s="6" t="s">
        <v>39</v>
      </c>
      <c r="O10" s="6">
        <f xml:space="preserve"> O5 * $C$12 * O9</f>
        <v>1241.4690996845673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2.3737276750439573E-3</v>
      </c>
      <c r="X10" s="2">
        <f t="shared" si="8"/>
        <v>0.984375</v>
      </c>
      <c r="Y10" s="2">
        <f t="shared" si="1"/>
        <v>-1.3563520736715073E-2</v>
      </c>
      <c r="Z10" s="2">
        <f t="shared" si="3"/>
        <v>0.9765625</v>
      </c>
      <c r="AA10" s="2">
        <f t="shared" si="2"/>
        <v>-5.596132013884314E-3</v>
      </c>
      <c r="AB10" s="2">
        <f t="shared" si="4"/>
        <v>-1.3283693434556671E-5</v>
      </c>
      <c r="AC10" s="2">
        <f t="shared" si="5"/>
        <v>7.5903252615714976E-5</v>
      </c>
      <c r="AD10" s="2">
        <f t="shared" si="6"/>
        <v>1.5625E-2</v>
      </c>
      <c r="AF10" s="2">
        <v>6</v>
      </c>
      <c r="AG10" s="2">
        <f t="shared" si="13"/>
        <v>1390.625</v>
      </c>
      <c r="AH10" s="2">
        <v>-91.356910647333393</v>
      </c>
      <c r="AI10" s="2">
        <f t="shared" si="14"/>
        <v>1687.5</v>
      </c>
      <c r="AJ10" s="2">
        <v>82.205094684914684</v>
      </c>
      <c r="AK10" s="2">
        <f t="shared" si="9"/>
        <v>1539.0625</v>
      </c>
      <c r="AL10" s="2">
        <v>-3.8176383559518854</v>
      </c>
      <c r="AM10" s="2">
        <f t="shared" si="10"/>
        <v>348.76764616852915</v>
      </c>
      <c r="AN10" s="2">
        <f t="shared" si="11"/>
        <v>-313.82932252378674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0.91103494981239208</v>
      </c>
      <c r="U11" s="2">
        <v>7</v>
      </c>
      <c r="V11" s="2">
        <f t="shared" si="7"/>
        <v>0.96875</v>
      </c>
      <c r="W11" s="2">
        <f t="shared" si="0"/>
        <v>2.3737276750439573E-3</v>
      </c>
      <c r="X11" s="2">
        <f t="shared" si="8"/>
        <v>0.9765625</v>
      </c>
      <c r="Y11" s="2">
        <f t="shared" si="1"/>
        <v>-5.596132013884314E-3</v>
      </c>
      <c r="Z11" s="2">
        <f t="shared" si="3"/>
        <v>0.97265625</v>
      </c>
      <c r="AA11" s="2">
        <f t="shared" si="2"/>
        <v>-1.6115147074798886E-3</v>
      </c>
      <c r="AB11" s="2">
        <f t="shared" si="4"/>
        <v>-3.825297059885379E-6</v>
      </c>
      <c r="AC11" s="2">
        <f t="shared" si="5"/>
        <v>9.0182490453736206E-6</v>
      </c>
      <c r="AD11" s="2">
        <f t="shared" si="6"/>
        <v>7.8125E-3</v>
      </c>
      <c r="AF11" s="2">
        <v>7</v>
      </c>
      <c r="AG11" s="2">
        <f t="shared" si="13"/>
        <v>1539.0625</v>
      </c>
      <c r="AH11" s="2">
        <v>-3.8176383559518854</v>
      </c>
      <c r="AI11" s="2">
        <f t="shared" si="14"/>
        <v>1687.5</v>
      </c>
      <c r="AJ11" s="2">
        <v>82.205094684914684</v>
      </c>
      <c r="AK11" s="2">
        <f t="shared" si="9"/>
        <v>1613.28125</v>
      </c>
      <c r="AL11" s="2">
        <v>39.384566729169023</v>
      </c>
      <c r="AM11" s="2">
        <f t="shared" si="10"/>
        <v>-150.35603257782216</v>
      </c>
      <c r="AN11" s="2">
        <f t="shared" si="11"/>
        <v>3237.6120370956801</v>
      </c>
      <c r="AO11" s="2">
        <f t="shared" si="12"/>
        <v>148.4375</v>
      </c>
    </row>
    <row r="12" spans="2:41" x14ac:dyDescent="0.2">
      <c r="B12" s="6" t="s">
        <v>135</v>
      </c>
      <c r="C12" s="16">
        <v>29.999999999999901</v>
      </c>
      <c r="D12" s="6" t="s">
        <v>11</v>
      </c>
      <c r="F12" s="30" t="s">
        <v>82</v>
      </c>
      <c r="G12" s="31"/>
      <c r="H12" s="31"/>
      <c r="N12" s="6" t="s">
        <v>138</v>
      </c>
      <c r="O12" s="6">
        <f xml:space="preserve"> O4 / (O5 * $C$12)</f>
        <v>0.22268116859581233</v>
      </c>
      <c r="U12" s="2">
        <v>8</v>
      </c>
      <c r="V12" s="2">
        <f t="shared" si="7"/>
        <v>0.96875</v>
      </c>
      <c r="W12" s="2">
        <f t="shared" si="0"/>
        <v>2.3737276750439573E-3</v>
      </c>
      <c r="X12" s="2">
        <f t="shared" si="8"/>
        <v>0.97265625</v>
      </c>
      <c r="Y12" s="2">
        <f t="shared" si="1"/>
        <v>-1.6115147074798886E-3</v>
      </c>
      <c r="Z12" s="2">
        <f t="shared" si="3"/>
        <v>0.970703125</v>
      </c>
      <c r="AA12" s="2">
        <f t="shared" si="2"/>
        <v>3.8102788451643832E-4</v>
      </c>
      <c r="AB12" s="2">
        <f t="shared" si="4"/>
        <v>9.0445643444012258E-7</v>
      </c>
      <c r="AC12" s="2">
        <f t="shared" si="5"/>
        <v>-6.1403203985818883E-7</v>
      </c>
      <c r="AD12" s="2">
        <f t="shared" si="6"/>
        <v>3.90625E-3</v>
      </c>
      <c r="AF12" s="2">
        <v>8</v>
      </c>
      <c r="AG12" s="2">
        <f t="shared" si="13"/>
        <v>1539.0625</v>
      </c>
      <c r="AH12" s="2">
        <v>-3.8176383559518854</v>
      </c>
      <c r="AI12" s="2">
        <f t="shared" si="14"/>
        <v>1613.28125</v>
      </c>
      <c r="AJ12" s="2">
        <v>39.384566729169023</v>
      </c>
      <c r="AK12" s="2">
        <f t="shared" si="9"/>
        <v>1576.171875</v>
      </c>
      <c r="AL12" s="2">
        <v>17.831039994241451</v>
      </c>
      <c r="AM12" s="2">
        <f t="shared" si="10"/>
        <v>-68.07246220852825</v>
      </c>
      <c r="AN12" s="2">
        <f t="shared" si="11"/>
        <v>702.26778450368408</v>
      </c>
      <c r="AO12" s="2">
        <f t="shared" si="12"/>
        <v>74.21875</v>
      </c>
    </row>
    <row r="13" spans="2:41" x14ac:dyDescent="0.2">
      <c r="B13" s="6" t="s">
        <v>136</v>
      </c>
      <c r="C13" s="16">
        <v>4.6858591968161596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2.1947849738968326E-2</v>
      </c>
      <c r="U13" s="2">
        <v>9</v>
      </c>
      <c r="V13" s="2">
        <f t="shared" si="7"/>
        <v>0.970703125</v>
      </c>
      <c r="W13" s="2">
        <f t="shared" si="0"/>
        <v>3.8102788451643832E-4</v>
      </c>
      <c r="X13" s="2">
        <f t="shared" si="8"/>
        <v>0.97265625</v>
      </c>
      <c r="Y13" s="2">
        <f t="shared" si="1"/>
        <v>-1.6115147074798886E-3</v>
      </c>
      <c r="Z13" s="2">
        <f t="shared" si="3"/>
        <v>0.9716796875</v>
      </c>
      <c r="AA13" s="2">
        <f t="shared" si="2"/>
        <v>-6.1526300291769864E-4</v>
      </c>
      <c r="AB13" s="2">
        <f t="shared" si="4"/>
        <v>-2.3443236042296193E-7</v>
      </c>
      <c r="AC13" s="2">
        <f t="shared" si="5"/>
        <v>9.9150537817011299E-7</v>
      </c>
      <c r="AD13" s="2">
        <f t="shared" si="6"/>
        <v>1.953125E-3</v>
      </c>
      <c r="AF13" s="2">
        <v>9</v>
      </c>
      <c r="AG13" s="2">
        <f t="shared" si="13"/>
        <v>1539.0625</v>
      </c>
      <c r="AH13" s="2">
        <v>-3.8176383559518854</v>
      </c>
      <c r="AI13" s="2">
        <f t="shared" si="14"/>
        <v>1576.171875</v>
      </c>
      <c r="AJ13" s="2">
        <v>17.831039994241451</v>
      </c>
      <c r="AK13" s="2">
        <f t="shared" si="9"/>
        <v>1557.6171875</v>
      </c>
      <c r="AL13" s="2">
        <v>7.0185760080819364</v>
      </c>
      <c r="AM13" s="2">
        <f t="shared" si="10"/>
        <v>-26.794384972617269</v>
      </c>
      <c r="AN13" s="2">
        <f t="shared" si="11"/>
        <v>125.14850950273251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70.219812059900292</v>
      </c>
      <c r="H14" s="6" t="s">
        <v>10</v>
      </c>
      <c r="J14" s="9" t="s">
        <v>75</v>
      </c>
      <c r="K14" s="17">
        <f>C5</f>
        <v>1545.59069659896</v>
      </c>
      <c r="L14" s="6" t="s">
        <v>7</v>
      </c>
      <c r="N14" s="6" t="s">
        <v>40</v>
      </c>
      <c r="O14" s="6">
        <f xml:space="preserve"> O5 * O13 * $C$12</f>
        <v>1492.978633643138</v>
      </c>
      <c r="P14" s="6" t="s">
        <v>21</v>
      </c>
      <c r="U14" s="2">
        <v>10</v>
      </c>
      <c r="V14" s="2">
        <f t="shared" si="7"/>
        <v>0.970703125</v>
      </c>
      <c r="W14" s="2">
        <f t="shared" si="0"/>
        <v>3.8102788451643832E-4</v>
      </c>
      <c r="X14" s="2">
        <f t="shared" si="8"/>
        <v>0.9716796875</v>
      </c>
      <c r="Y14" s="2">
        <f t="shared" si="1"/>
        <v>-6.1526300291769864E-4</v>
      </c>
      <c r="Z14" s="2">
        <f t="shared" si="3"/>
        <v>0.97119140625</v>
      </c>
      <c r="AA14" s="2">
        <f t="shared" si="2"/>
        <v>-1.1712246433925877E-4</v>
      </c>
      <c r="AB14" s="2">
        <f t="shared" si="4"/>
        <v>-4.4626924816539757E-8</v>
      </c>
      <c r="AC14" s="2">
        <f t="shared" si="5"/>
        <v>7.2061119118493418E-8</v>
      </c>
      <c r="AD14" s="2">
        <f t="shared" si="6"/>
        <v>9.765625E-4</v>
      </c>
      <c r="AF14" s="2">
        <v>10</v>
      </c>
      <c r="AG14" s="2">
        <f t="shared" si="13"/>
        <v>1539.0625</v>
      </c>
      <c r="AH14" s="2">
        <v>-3.8176383559518854</v>
      </c>
      <c r="AI14" s="2">
        <f t="shared" si="14"/>
        <v>1557.6171875</v>
      </c>
      <c r="AJ14" s="2">
        <v>7.0185760080819364</v>
      </c>
      <c r="AK14" s="2">
        <f t="shared" si="9"/>
        <v>1548.33984375</v>
      </c>
      <c r="AL14" s="2">
        <v>1.6034351440581531</v>
      </c>
      <c r="AM14" s="2">
        <f t="shared" si="10"/>
        <v>-6.1213355072376423</v>
      </c>
      <c r="AN14" s="2">
        <f t="shared" si="11"/>
        <v>11.253831432601958</v>
      </c>
      <c r="AO14" s="2">
        <f t="shared" si="12"/>
        <v>18.5546875</v>
      </c>
    </row>
    <row r="15" spans="2:41" x14ac:dyDescent="0.2">
      <c r="B15" s="28" t="s">
        <v>12</v>
      </c>
      <c r="C15" s="28"/>
      <c r="D15" s="28"/>
      <c r="F15" s="6" t="s">
        <v>143</v>
      </c>
      <c r="G15" s="6">
        <f>G14/$C$73</f>
        <v>0.21104665266563563</v>
      </c>
      <c r="H15" s="6" t="s">
        <v>120</v>
      </c>
      <c r="J15" s="10" t="s">
        <v>53</v>
      </c>
      <c r="K15" s="6">
        <f xml:space="preserve"> 1000 * K10 / ($C$60 * $C$61 * $C$62)</f>
        <v>260.13958361630904</v>
      </c>
      <c r="L15" s="6" t="s">
        <v>7</v>
      </c>
      <c r="N15" s="6" t="s">
        <v>140</v>
      </c>
      <c r="O15" s="6">
        <f>O4/O14</f>
        <v>10.145921866798766</v>
      </c>
      <c r="U15" s="2">
        <v>11</v>
      </c>
      <c r="V15" s="2">
        <f t="shared" si="7"/>
        <v>0.970703125</v>
      </c>
      <c r="W15" s="2">
        <f t="shared" si="0"/>
        <v>3.8102788451643832E-4</v>
      </c>
      <c r="X15" s="2">
        <f t="shared" si="8"/>
        <v>0.97119140625</v>
      </c>
      <c r="Y15" s="2">
        <f t="shared" si="1"/>
        <v>-1.1712246433925877E-4</v>
      </c>
      <c r="Z15" s="2">
        <f t="shared" si="3"/>
        <v>0.970947265625</v>
      </c>
      <c r="AA15" s="2">
        <f t="shared" si="2"/>
        <v>1.3195148289246728E-4</v>
      </c>
      <c r="AB15" s="2">
        <f t="shared" si="4"/>
        <v>5.0277194385323807E-8</v>
      </c>
      <c r="AC15" s="2">
        <f t="shared" si="5"/>
        <v>-1.5454482849585311E-8</v>
      </c>
      <c r="AD15" s="2">
        <f t="shared" si="6"/>
        <v>4.8828125E-4</v>
      </c>
      <c r="AF15" s="2">
        <v>11</v>
      </c>
      <c r="AG15" s="2">
        <f t="shared" si="13"/>
        <v>1539.0625</v>
      </c>
      <c r="AH15" s="2">
        <v>-3.8176383559518854</v>
      </c>
      <c r="AI15" s="2">
        <f t="shared" si="14"/>
        <v>1548.33984375</v>
      </c>
      <c r="AJ15" s="2">
        <v>1.6034351440581531</v>
      </c>
      <c r="AK15" s="2">
        <f t="shared" si="9"/>
        <v>1543.701171875</v>
      </c>
      <c r="AL15" s="2">
        <v>-1.1063603787949887</v>
      </c>
      <c r="AM15" s="2">
        <f t="shared" si="10"/>
        <v>4.2236838175932059</v>
      </c>
      <c r="AN15" s="2">
        <f t="shared" si="11"/>
        <v>-1.7739771133533755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1492.978633643138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112.60174897395157</v>
      </c>
      <c r="L16" s="6" t="s">
        <v>7</v>
      </c>
      <c r="N16" s="6" t="s">
        <v>111</v>
      </c>
      <c r="O16" s="6">
        <f>(O13*$C$12)/(0.3048^2)/($C$5*2.20462/1000)^(2/3)</f>
        <v>3.1299049506345913</v>
      </c>
      <c r="U16" s="2">
        <v>12</v>
      </c>
      <c r="V16" s="2">
        <f t="shared" si="7"/>
        <v>0.970947265625</v>
      </c>
      <c r="W16" s="2">
        <f t="shared" si="0"/>
        <v>1.3195148289246728E-4</v>
      </c>
      <c r="X16" s="2">
        <f t="shared" si="8"/>
        <v>0.97119140625</v>
      </c>
      <c r="Y16" s="2">
        <f t="shared" si="1"/>
        <v>-1.1712246433925877E-4</v>
      </c>
      <c r="Z16" s="2">
        <f t="shared" si="3"/>
        <v>0.9710693359375</v>
      </c>
      <c r="AA16" s="2">
        <f t="shared" si="2"/>
        <v>7.4142025915380216E-6</v>
      </c>
      <c r="AB16" s="2">
        <f t="shared" si="4"/>
        <v>9.7831502641861584E-10</v>
      </c>
      <c r="AC16" s="2">
        <f t="shared" si="5"/>
        <v>-8.683696786314519E-10</v>
      </c>
      <c r="AD16" s="2">
        <f t="shared" si="6"/>
        <v>2.44140625E-4</v>
      </c>
      <c r="AF16" s="2">
        <v>12</v>
      </c>
      <c r="AG16" s="2">
        <f t="shared" si="13"/>
        <v>1543.701171875</v>
      </c>
      <c r="AH16" s="2">
        <v>-1.1063603787949887</v>
      </c>
      <c r="AI16" s="2">
        <f t="shared" si="14"/>
        <v>1548.33984375</v>
      </c>
      <c r="AJ16" s="2">
        <v>1.6034351440581531</v>
      </c>
      <c r="AK16" s="2">
        <f t="shared" si="9"/>
        <v>1546.0205078125</v>
      </c>
      <c r="AL16" s="2">
        <v>0.24872279710223211</v>
      </c>
      <c r="AM16" s="2">
        <f t="shared" si="10"/>
        <v>-0.27517704801697462</v>
      </c>
      <c r="AN16" s="2">
        <f t="shared" si="11"/>
        <v>0.39881087400216431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104.81980509416705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0.9710693359375</v>
      </c>
      <c r="W17" s="2">
        <f t="shared" si="0"/>
        <v>7.4142025915380216E-6</v>
      </c>
      <c r="X17" s="2">
        <f t="shared" si="8"/>
        <v>0.97119140625</v>
      </c>
      <c r="Y17" s="2">
        <f t="shared" si="1"/>
        <v>-1.1712246433925877E-4</v>
      </c>
      <c r="Z17" s="2">
        <f t="shared" si="3"/>
        <v>0.97113037109375</v>
      </c>
      <c r="AA17" s="2">
        <f t="shared" si="2"/>
        <v>-5.4854207530818933E-5</v>
      </c>
      <c r="AB17" s="2">
        <f t="shared" si="4"/>
        <v>-4.0670020763176222E-10</v>
      </c>
      <c r="AC17" s="2">
        <f t="shared" si="5"/>
        <v>6.4246599653866401E-9</v>
      </c>
      <c r="AD17" s="2">
        <f t="shared" si="6"/>
        <v>1.220703125E-4</v>
      </c>
      <c r="AF17" s="2">
        <v>13</v>
      </c>
      <c r="AG17" s="2">
        <f t="shared" si="13"/>
        <v>1543.701171875</v>
      </c>
      <c r="AH17" s="2">
        <v>-1.1063603787949887</v>
      </c>
      <c r="AI17" s="2">
        <f t="shared" si="14"/>
        <v>1546.0205078125</v>
      </c>
      <c r="AJ17" s="2">
        <v>0.24872279710223211</v>
      </c>
      <c r="AK17" s="2">
        <f t="shared" si="9"/>
        <v>1544.86083984375</v>
      </c>
      <c r="AL17" s="2">
        <v>-0.42877257714951611</v>
      </c>
      <c r="AM17" s="2">
        <f t="shared" si="10"/>
        <v>0.47437699087204216</v>
      </c>
      <c r="AN17" s="2">
        <f t="shared" si="11"/>
        <v>-0.10664551470936026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1.453314590249839</v>
      </c>
      <c r="H18" s="6" t="s">
        <v>172</v>
      </c>
      <c r="J18" s="12" t="s">
        <v>54</v>
      </c>
      <c r="K18" s="6">
        <f xml:space="preserve"> $C$78 * (0.2138 * K4 + 0.2138 * K6)</f>
        <v>90.196178284399437</v>
      </c>
      <c r="L18" s="6" t="s">
        <v>7</v>
      </c>
      <c r="N18" s="30" t="s">
        <v>141</v>
      </c>
      <c r="O18" s="32"/>
      <c r="P18" s="32"/>
      <c r="U18" s="2">
        <v>14</v>
      </c>
      <c r="V18" s="2">
        <f t="shared" si="7"/>
        <v>0.9710693359375</v>
      </c>
      <c r="W18" s="2">
        <f t="shared" si="0"/>
        <v>7.4142025915380216E-6</v>
      </c>
      <c r="X18" s="2">
        <f t="shared" si="8"/>
        <v>0.97113037109375</v>
      </c>
      <c r="Y18" s="2">
        <f t="shared" si="1"/>
        <v>-5.4854207530818933E-5</v>
      </c>
      <c r="Z18" s="2">
        <f t="shared" si="3"/>
        <v>0.971099853515625</v>
      </c>
      <c r="AA18" s="2">
        <f t="shared" si="2"/>
        <v>-2.3720021635642574E-5</v>
      </c>
      <c r="AB18" s="2">
        <f t="shared" si="4"/>
        <v>-1.7586504588231911E-10</v>
      </c>
      <c r="AC18" s="2">
        <f t="shared" si="5"/>
        <v>1.3011429894370529E-9</v>
      </c>
      <c r="AD18" s="2">
        <f t="shared" si="6"/>
        <v>6.103515625E-5</v>
      </c>
      <c r="AF18" s="2">
        <v>14</v>
      </c>
      <c r="AG18" s="2">
        <f t="shared" si="13"/>
        <v>1544.86083984375</v>
      </c>
      <c r="AH18" s="2">
        <v>-0.42877257714951611</v>
      </c>
      <c r="AI18" s="2">
        <f t="shared" si="14"/>
        <v>1546.0205078125</v>
      </c>
      <c r="AJ18" s="2">
        <v>0.24872279710223211</v>
      </c>
      <c r="AK18" s="2">
        <f t="shared" si="9"/>
        <v>1545.440673828125</v>
      </c>
      <c r="AL18" s="2">
        <v>-9.0013167330198485E-2</v>
      </c>
      <c r="AM18" s="2">
        <f t="shared" si="10"/>
        <v>3.8595177733559832E-2</v>
      </c>
      <c r="AN18" s="2">
        <f t="shared" si="11"/>
        <v>-2.2388326754398225E-2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4.5330204661560951E-2</v>
      </c>
      <c r="J19" s="12" t="s">
        <v>73</v>
      </c>
      <c r="K19" s="6">
        <f xml:space="preserve"> $C$78 * (0.1149 * K4 + 0.1149 * K6)</f>
        <v>48.473063072392407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0.9710693359375</v>
      </c>
      <c r="W19" s="2">
        <f t="shared" si="0"/>
        <v>7.4142025915380216E-6</v>
      </c>
      <c r="X19" s="2">
        <f t="shared" si="8"/>
        <v>0.971099853515625</v>
      </c>
      <c r="Y19" s="2">
        <f t="shared" si="1"/>
        <v>-2.3720021635642574E-5</v>
      </c>
      <c r="Z19" s="2">
        <f t="shared" si="3"/>
        <v>0.9710845947265625</v>
      </c>
      <c r="AA19" s="2">
        <f t="shared" si="2"/>
        <v>-8.1529143137748505E-6</v>
      </c>
      <c r="AB19" s="2">
        <f t="shared" si="4"/>
        <v>-6.0447358433776934E-11</v>
      </c>
      <c r="AC19" s="2">
        <f t="shared" si="5"/>
        <v>1.9338730391627948E-10</v>
      </c>
      <c r="AD19" s="2">
        <f t="shared" si="6"/>
        <v>3.0517578125E-5</v>
      </c>
      <c r="AF19" s="2">
        <v>15</v>
      </c>
      <c r="AG19" s="2">
        <f t="shared" si="13"/>
        <v>1545.440673828125</v>
      </c>
      <c r="AH19" s="2">
        <v>-9.0013167330198485E-2</v>
      </c>
      <c r="AI19" s="2">
        <f t="shared" si="14"/>
        <v>1546.0205078125</v>
      </c>
      <c r="AJ19" s="2">
        <v>0.24872279710223211</v>
      </c>
      <c r="AK19" s="2">
        <f t="shared" si="9"/>
        <v>1545.7305908203125</v>
      </c>
      <c r="AL19" s="2">
        <v>7.9357678178212154E-2</v>
      </c>
      <c r="AM19" s="2">
        <f t="shared" si="10"/>
        <v>-7.1432359647914511E-3</v>
      </c>
      <c r="AN19" s="2">
        <f t="shared" si="11"/>
        <v>1.9738063688023694E-2</v>
      </c>
      <c r="AO19" s="2">
        <f t="shared" si="12"/>
        <v>0.579833984375</v>
      </c>
    </row>
    <row r="20" spans="2:41" x14ac:dyDescent="0.2">
      <c r="B20" s="28" t="s">
        <v>108</v>
      </c>
      <c r="C20" s="28"/>
      <c r="D20" s="28"/>
      <c r="F20" s="23" t="s">
        <v>128</v>
      </c>
      <c r="G20" s="22">
        <f xml:space="preserve"> $C$28 * G17</f>
        <v>104.81980509416705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204.25614821113149</v>
      </c>
      <c r="L20" s="6" t="s">
        <v>7</v>
      </c>
      <c r="N20" s="6" t="s">
        <v>20</v>
      </c>
      <c r="O20" s="6">
        <f xml:space="preserve"> O14 / $C$28</f>
        <v>1492.978633643138</v>
      </c>
      <c r="P20" s="6" t="s">
        <v>21</v>
      </c>
      <c r="U20" s="2">
        <v>16</v>
      </c>
      <c r="V20" s="2">
        <f t="shared" si="7"/>
        <v>0.9710693359375</v>
      </c>
      <c r="W20" s="2">
        <f t="shared" si="0"/>
        <v>7.4142025915380216E-6</v>
      </c>
      <c r="X20" s="2">
        <f t="shared" si="8"/>
        <v>0.9710845947265625</v>
      </c>
      <c r="Y20" s="2">
        <f t="shared" si="1"/>
        <v>-8.1529143137748505E-6</v>
      </c>
      <c r="Z20" s="2">
        <f t="shared" si="3"/>
        <v>0.97107696533203125</v>
      </c>
      <c r="AA20" s="2">
        <f t="shared" si="2"/>
        <v>-3.6935705904905802E-7</v>
      </c>
      <c r="AB20" s="2">
        <f t="shared" si="4"/>
        <v>-2.7384880644043879E-12</v>
      </c>
      <c r="AC20" s="2">
        <f t="shared" si="5"/>
        <v>3.0113364536148479E-12</v>
      </c>
      <c r="AD20" s="2">
        <f t="shared" si="6"/>
        <v>1.52587890625E-5</v>
      </c>
      <c r="AF20" s="2">
        <v>16</v>
      </c>
      <c r="AG20" s="2">
        <f t="shared" si="13"/>
        <v>1545.440673828125</v>
      </c>
      <c r="AH20" s="2">
        <v>-9.0013167330198485E-2</v>
      </c>
      <c r="AI20" s="2">
        <f t="shared" si="14"/>
        <v>1545.7305908203125</v>
      </c>
      <c r="AJ20" s="2">
        <v>7.9357678178212154E-2</v>
      </c>
      <c r="AK20" s="2">
        <f t="shared" si="9"/>
        <v>1545.5856323242188</v>
      </c>
      <c r="AL20" s="2">
        <v>-5.327163690708403E-3</v>
      </c>
      <c r="AM20" s="2">
        <f t="shared" si="10"/>
        <v>4.795148766870932E-4</v>
      </c>
      <c r="AN20" s="2">
        <f t="shared" si="11"/>
        <v>-4.2275134176989436E-4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40.185358111572967</v>
      </c>
      <c r="L21" s="6" t="s">
        <v>7</v>
      </c>
      <c r="N21" s="6" t="s">
        <v>27</v>
      </c>
      <c r="O21" s="6">
        <f>$C$6*2*PI()/60</f>
        <v>44.587583041975485</v>
      </c>
      <c r="P21" s="6" t="s">
        <v>28</v>
      </c>
      <c r="U21" s="2">
        <v>17</v>
      </c>
      <c r="V21" s="2">
        <f t="shared" si="7"/>
        <v>0.9710693359375</v>
      </c>
      <c r="W21" s="2">
        <f t="shared" si="0"/>
        <v>7.4142025915380216E-6</v>
      </c>
      <c r="X21" s="2">
        <f t="shared" si="8"/>
        <v>0.97107696533203125</v>
      </c>
      <c r="Y21" s="2">
        <f t="shared" si="1"/>
        <v>-3.6935705904905802E-7</v>
      </c>
      <c r="Z21" s="2">
        <f t="shared" si="3"/>
        <v>0.97107315063476562</v>
      </c>
      <c r="AA21" s="2">
        <f t="shared" si="2"/>
        <v>3.5224224668173321E-6</v>
      </c>
      <c r="AB21" s="2">
        <f t="shared" si="4"/>
        <v>2.6115953781968813E-11</v>
      </c>
      <c r="AC21" s="2">
        <f t="shared" si="5"/>
        <v>-1.301031603071978E-12</v>
      </c>
      <c r="AD21" s="2">
        <f t="shared" si="6"/>
        <v>7.62939453125E-6</v>
      </c>
      <c r="AF21" s="2">
        <v>17</v>
      </c>
      <c r="AG21" s="2">
        <f t="shared" si="13"/>
        <v>1545.5856323242188</v>
      </c>
      <c r="AH21" s="2">
        <v>-5.327163690708403E-3</v>
      </c>
      <c r="AI21" s="2">
        <f t="shared" si="14"/>
        <v>1545.7305908203125</v>
      </c>
      <c r="AJ21" s="2">
        <v>7.9357678178212154E-2</v>
      </c>
      <c r="AK21" s="2">
        <f t="shared" si="9"/>
        <v>1545.6581115722656</v>
      </c>
      <c r="AL21" s="2">
        <v>3.7015571128335978E-2</v>
      </c>
      <c r="AM21" s="2">
        <f t="shared" si="10"/>
        <v>-1.9718800650570569E-4</v>
      </c>
      <c r="AN21" s="2">
        <f t="shared" si="11"/>
        <v>2.9374697811852079E-3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28" t="s">
        <v>77</v>
      </c>
      <c r="G22" s="28"/>
      <c r="H22" s="28"/>
      <c r="J22" s="13" t="s">
        <v>144</v>
      </c>
      <c r="K22" s="6">
        <f xml:space="preserve"> $C$79 * (0.04674 * ($C$5*2.20462)^0.397 * ($C$12*3.28084^2)^0.36 * $C$46^0.397 * $C$13^1.712 * 0.453592)</f>
        <v>74.627567860889812</v>
      </c>
      <c r="L22" s="6" t="s">
        <v>7</v>
      </c>
      <c r="N22" s="6" t="s">
        <v>29</v>
      </c>
      <c r="O22" s="6">
        <f xml:space="preserve"> $C$7 * COS(O19/180*PI()) / (O21 * $C$10)</f>
        <v>8.3228868238803391E-2</v>
      </c>
      <c r="U22" s="2">
        <v>18</v>
      </c>
      <c r="V22" s="2">
        <f t="shared" si="7"/>
        <v>0.97107315063476562</v>
      </c>
      <c r="W22" s="2">
        <f t="shared" si="0"/>
        <v>3.5224224668173321E-6</v>
      </c>
      <c r="X22" s="2">
        <f t="shared" si="8"/>
        <v>0.97107696533203125</v>
      </c>
      <c r="Y22" s="2">
        <f t="shared" si="1"/>
        <v>-3.6935705904905802E-7</v>
      </c>
      <c r="Z22" s="2">
        <f t="shared" si="3"/>
        <v>0.97107505798339844</v>
      </c>
      <c r="AA22" s="2">
        <f t="shared" si="2"/>
        <v>1.576532628999594E-6</v>
      </c>
      <c r="AB22" s="2">
        <f t="shared" si="4"/>
        <v>5.5532139520587639E-12</v>
      </c>
      <c r="AC22" s="2">
        <f t="shared" si="5"/>
        <v>-5.8230345534216971E-13</v>
      </c>
      <c r="AD22" s="2">
        <f t="shared" si="6"/>
        <v>3.814697265625E-6</v>
      </c>
      <c r="AF22" s="2">
        <v>18</v>
      </c>
      <c r="AG22" s="2">
        <f t="shared" si="13"/>
        <v>1545.5856323242188</v>
      </c>
      <c r="AH22" s="2">
        <v>-5.327163690708403E-3</v>
      </c>
      <c r="AI22" s="2">
        <f t="shared" si="14"/>
        <v>1545.6581115722656</v>
      </c>
      <c r="AJ22" s="2">
        <v>3.7015571128335978E-2</v>
      </c>
      <c r="AK22" s="2">
        <f t="shared" si="9"/>
        <v>1545.6218719482422</v>
      </c>
      <c r="AL22" s="2">
        <v>1.5844248456346577E-2</v>
      </c>
      <c r="AM22" s="2">
        <f t="shared" si="10"/>
        <v>-8.4404905083212153E-5</v>
      </c>
      <c r="AN22" s="2">
        <f t="shared" si="11"/>
        <v>5.8648390571092428E-4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18.148476634754942</v>
      </c>
      <c r="L23" s="6" t="s">
        <v>7</v>
      </c>
      <c r="N23" s="6" t="s">
        <v>30</v>
      </c>
      <c r="O23" s="6">
        <f xml:space="preserve"> O20 / ( $C$71 * PI() * $C$10^2 * O21^2 * $C$10^2)</f>
        <v>3.8529898320666063E-2</v>
      </c>
      <c r="U23" s="2">
        <v>19</v>
      </c>
      <c r="V23" s="2">
        <f t="shared" si="7"/>
        <v>0.97107505798339844</v>
      </c>
      <c r="W23" s="2">
        <f t="shared" si="0"/>
        <v>1.576532628999594E-6</v>
      </c>
      <c r="X23" s="2">
        <f t="shared" si="8"/>
        <v>0.97107696533203125</v>
      </c>
      <c r="Y23" s="2">
        <f t="shared" si="1"/>
        <v>-3.6935705904905802E-7</v>
      </c>
      <c r="Z23" s="2">
        <f t="shared" si="3"/>
        <v>0.97107601165771484</v>
      </c>
      <c r="AA23" s="2">
        <f t="shared" si="2"/>
        <v>6.0358776621249888E-7</v>
      </c>
      <c r="AB23" s="2">
        <f t="shared" si="4"/>
        <v>9.5157580789898321E-13</v>
      </c>
      <c r="AC23" s="2">
        <f t="shared" si="5"/>
        <v>-2.2293940220623899E-13</v>
      </c>
      <c r="AD23" s="2">
        <f t="shared" si="6"/>
        <v>1.9073486328125E-6</v>
      </c>
      <c r="AF23" s="2">
        <v>19</v>
      </c>
      <c r="AG23" s="2">
        <f t="shared" si="13"/>
        <v>1545.5856323242188</v>
      </c>
      <c r="AH23" s="2">
        <v>-5.327163690708403E-3</v>
      </c>
      <c r="AI23" s="2">
        <f t="shared" si="14"/>
        <v>1545.6218719482422</v>
      </c>
      <c r="AJ23" s="2">
        <v>1.5844248456346577E-2</v>
      </c>
      <c r="AK23" s="2">
        <f t="shared" si="9"/>
        <v>1545.6037521362305</v>
      </c>
      <c r="AL23" s="2">
        <v>5.258553566932278E-3</v>
      </c>
      <c r="AM23" s="2">
        <f t="shared" si="10"/>
        <v>-2.801317562740679E-5</v>
      </c>
      <c r="AN23" s="2">
        <f t="shared" si="11"/>
        <v>8.3317829235482528E-5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7.0920522237342096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0.97107601165771484</v>
      </c>
      <c r="W24" s="2">
        <f t="shared" si="0"/>
        <v>6.0358776621249888E-7</v>
      </c>
      <c r="X24" s="2">
        <f t="shared" si="8"/>
        <v>0.97107696533203125</v>
      </c>
      <c r="Y24" s="2">
        <f t="shared" si="1"/>
        <v>-3.6935705904905802E-7</v>
      </c>
      <c r="Z24" s="2">
        <f t="shared" si="3"/>
        <v>0.97107648849487305</v>
      </c>
      <c r="AA24" s="2">
        <f t="shared" si="2"/>
        <v>1.1711534897429488E-7</v>
      </c>
      <c r="AB24" s="2">
        <f t="shared" si="4"/>
        <v>7.0689391876591921E-14</v>
      </c>
      <c r="AC24" s="2">
        <f t="shared" si="5"/>
        <v>-4.3257380866649667E-14</v>
      </c>
      <c r="AD24" s="2">
        <f t="shared" si="6"/>
        <v>9.5367431640625E-7</v>
      </c>
      <c r="AF24" s="2">
        <v>20</v>
      </c>
      <c r="AG24" s="2">
        <f t="shared" si="13"/>
        <v>1545.5856323242188</v>
      </c>
      <c r="AH24" s="2">
        <v>-5.327163690708403E-3</v>
      </c>
      <c r="AI24" s="2">
        <f t="shared" si="14"/>
        <v>1545.6037521362305</v>
      </c>
      <c r="AJ24" s="2">
        <v>5.258553566932278E-3</v>
      </c>
      <c r="AK24" s="2">
        <f t="shared" si="9"/>
        <v>1545.5946922302246</v>
      </c>
      <c r="AL24" s="2">
        <v>-3.4302265589758463E-5</v>
      </c>
      <c r="AM24" s="2">
        <f t="shared" si="10"/>
        <v>1.8273378375879756E-7</v>
      </c>
      <c r="AN24" s="2">
        <f t="shared" si="11"/>
        <v>-1.8038030107088272E-7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16.809654602921061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2655.7914945779944</v>
      </c>
      <c r="P25" s="6" t="s">
        <v>19</v>
      </c>
      <c r="U25" s="2">
        <v>21</v>
      </c>
      <c r="V25" s="2">
        <f t="shared" si="7"/>
        <v>0.97107648849487305</v>
      </c>
      <c r="W25" s="2">
        <f t="shared" si="0"/>
        <v>1.1711534897429488E-7</v>
      </c>
      <c r="X25" s="2">
        <f t="shared" si="8"/>
        <v>0.97107696533203125</v>
      </c>
      <c r="Y25" s="2">
        <f t="shared" si="1"/>
        <v>-3.6935705904905802E-7</v>
      </c>
      <c r="Z25" s="2">
        <f t="shared" si="3"/>
        <v>0.97107672691345215</v>
      </c>
      <c r="AA25" s="2">
        <f t="shared" si="2"/>
        <v>-1.2612085620311575E-7</v>
      </c>
      <c r="AB25" s="2">
        <f t="shared" si="4"/>
        <v>-1.4770688087164765E-14</v>
      </c>
      <c r="AC25" s="2">
        <f t="shared" si="5"/>
        <v>4.6583628531931981E-14</v>
      </c>
      <c r="AD25" s="2">
        <f t="shared" si="6"/>
        <v>4.76837158203125E-7</v>
      </c>
      <c r="AF25" s="2">
        <v>21</v>
      </c>
      <c r="AG25" s="2">
        <f t="shared" si="13"/>
        <v>1545.5946922302246</v>
      </c>
      <c r="AH25" s="2">
        <v>-3.4302265589758463E-5</v>
      </c>
      <c r="AI25" s="2">
        <f t="shared" si="14"/>
        <v>1545.6037521362305</v>
      </c>
      <c r="AJ25" s="2">
        <v>5.258553566932278E-3</v>
      </c>
      <c r="AK25" s="2">
        <f t="shared" si="9"/>
        <v>1545.5992221832275</v>
      </c>
      <c r="AL25" s="2">
        <v>2.6122612790686617E-3</v>
      </c>
      <c r="AM25" s="2">
        <f t="shared" si="10"/>
        <v>-8.9606480184455383E-8</v>
      </c>
      <c r="AN25" s="2">
        <f t="shared" si="11"/>
        <v>1.3736715866805586E-5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1893.6366999714426</v>
      </c>
      <c r="H26" s="6" t="s">
        <v>21</v>
      </c>
      <c r="J26" s="14" t="s">
        <v>65</v>
      </c>
      <c r="K26" s="6">
        <f xml:space="preserve"> $C$80 * (0.0268 * $C$5)</f>
        <v>33.137464535081705</v>
      </c>
      <c r="L26" s="6" t="s">
        <v>7</v>
      </c>
      <c r="N26" s="6" t="s">
        <v>32</v>
      </c>
      <c r="O26" s="17">
        <f>Z34</f>
        <v>0.97107660351321101</v>
      </c>
      <c r="U26" s="2">
        <v>22</v>
      </c>
      <c r="V26" s="2">
        <f t="shared" si="7"/>
        <v>0.97107648849487305</v>
      </c>
      <c r="W26" s="2">
        <f t="shared" si="0"/>
        <v>1.1711534897429488E-7</v>
      </c>
      <c r="X26" s="2">
        <f t="shared" si="8"/>
        <v>0.97107672691345215</v>
      </c>
      <c r="Y26" s="2">
        <f t="shared" si="1"/>
        <v>-1.2612085620311575E-7</v>
      </c>
      <c r="Z26" s="2">
        <f t="shared" si="3"/>
        <v>0.9710766077041626</v>
      </c>
      <c r="AA26" s="2">
        <f t="shared" si="2"/>
        <v>-4.5027539474773448E-9</v>
      </c>
      <c r="AB26" s="2">
        <f t="shared" si="4"/>
        <v>-5.2734159990419305E-16</v>
      </c>
      <c r="AC26" s="2">
        <f t="shared" si="5"/>
        <v>5.6789118312780196E-16</v>
      </c>
      <c r="AD26" s="2">
        <f t="shared" si="6"/>
        <v>2.384185791015625E-7</v>
      </c>
      <c r="AF26" s="2">
        <v>22</v>
      </c>
      <c r="AG26" s="2">
        <f t="shared" si="13"/>
        <v>1545.5946922302246</v>
      </c>
      <c r="AH26" s="2">
        <v>-3.4302265589758463E-5</v>
      </c>
      <c r="AI26" s="2">
        <f t="shared" si="14"/>
        <v>1545.5992221832275</v>
      </c>
      <c r="AJ26" s="2">
        <v>2.6122612790686617E-3</v>
      </c>
      <c r="AK26" s="2">
        <f t="shared" si="9"/>
        <v>1545.5969572067261</v>
      </c>
      <c r="AL26" s="2">
        <v>1.2889796814761212E-3</v>
      </c>
      <c r="AM26" s="2">
        <f t="shared" si="10"/>
        <v>-4.4214923373796177E-8</v>
      </c>
      <c r="AN26" s="2">
        <f t="shared" si="11"/>
        <v>3.3671517114263286E-6</v>
      </c>
      <c r="AO26" s="2">
        <f t="shared" si="12"/>
        <v>4.5299530029296875E-3</v>
      </c>
    </row>
    <row r="27" spans="2:41" x14ac:dyDescent="0.2">
      <c r="B27" s="28" t="s">
        <v>146</v>
      </c>
      <c r="C27" s="28"/>
      <c r="D27" s="28"/>
      <c r="F27" t="s">
        <v>93</v>
      </c>
      <c r="G27" s="6">
        <f>G29/$C$21</f>
        <v>27.449282760180644</v>
      </c>
      <c r="H27" t="s">
        <v>97</v>
      </c>
      <c r="J27" s="14" t="s">
        <v>66</v>
      </c>
      <c r="K27" s="6">
        <f xml:space="preserve"> $C$80 * (11.5 * ($C$5*2.20462/1000)^0.4 * 0.453592)</f>
        <v>6.814351140307318</v>
      </c>
      <c r="L27" s="6" t="s">
        <v>7</v>
      </c>
      <c r="N27" s="6" t="s">
        <v>33</v>
      </c>
      <c r="O27" s="6">
        <f xml:space="preserve"> O21 * $C$10 * O26 - $C$7 * SIN(O19/180*PI())</f>
        <v>1.3879849192238964</v>
      </c>
      <c r="P27" s="6" t="s">
        <v>10</v>
      </c>
      <c r="U27" s="2">
        <v>23</v>
      </c>
      <c r="V27" s="2">
        <f t="shared" si="7"/>
        <v>0.97107648849487305</v>
      </c>
      <c r="W27" s="2">
        <f t="shared" si="0"/>
        <v>1.1711534897429488E-7</v>
      </c>
      <c r="X27" s="2">
        <f t="shared" si="8"/>
        <v>0.9710766077041626</v>
      </c>
      <c r="Y27" s="2">
        <f t="shared" si="1"/>
        <v>-4.5027539474773448E-9</v>
      </c>
      <c r="Z27" s="2">
        <f t="shared" si="3"/>
        <v>0.97107654809951782</v>
      </c>
      <c r="AA27" s="2">
        <f t="shared" si="2"/>
        <v>5.6306297402386463E-8</v>
      </c>
      <c r="AB27" s="2">
        <f t="shared" si="4"/>
        <v>6.594331669730924E-15</v>
      </c>
      <c r="AC27" s="2">
        <f t="shared" si="5"/>
        <v>-2.5353340289642901E-16</v>
      </c>
      <c r="AD27" s="2">
        <f t="shared" si="6"/>
        <v>1.1920928955078125E-7</v>
      </c>
      <c r="AF27" s="2">
        <v>23</v>
      </c>
      <c r="AG27" s="2">
        <f t="shared" si="13"/>
        <v>1545.5946922302246</v>
      </c>
      <c r="AH27" s="2">
        <v>-3.4302265589758463E-5</v>
      </c>
      <c r="AI27" s="2">
        <f t="shared" si="14"/>
        <v>1545.5969572067261</v>
      </c>
      <c r="AJ27" s="2">
        <v>1.2889796814761212E-3</v>
      </c>
      <c r="AK27" s="2">
        <f t="shared" si="9"/>
        <v>1545.5958247184753</v>
      </c>
      <c r="AL27" s="2">
        <v>6.2733875165577047E-4</v>
      </c>
      <c r="AM27" s="2">
        <f t="shared" si="10"/>
        <v>-2.1519140474043766E-8</v>
      </c>
      <c r="AN27" s="2">
        <f t="shared" si="11"/>
        <v>8.0862690428688249E-7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7.038392906758725</v>
      </c>
      <c r="H28" s="6" t="s">
        <v>172</v>
      </c>
      <c r="J28" s="14" t="s">
        <v>67</v>
      </c>
      <c r="K28" s="6">
        <f xml:space="preserve"> $C$80 * (8 * ($C$5/1000))</f>
        <v>9.8917804582333453</v>
      </c>
      <c r="L28" s="6" t="s">
        <v>7</v>
      </c>
      <c r="N28" s="6" t="s">
        <v>34</v>
      </c>
      <c r="O28" s="6">
        <f xml:space="preserve"> 1/$C$31 - O25 * SQRT( (2*$C$71*PI()*$C$10^2) / O20^3 )</f>
        <v>1.1508190796801534</v>
      </c>
      <c r="U28" s="2">
        <v>24</v>
      </c>
      <c r="V28" s="2">
        <f t="shared" si="7"/>
        <v>0.97107654809951782</v>
      </c>
      <c r="W28" s="2">
        <f t="shared" si="0"/>
        <v>5.6306297402386463E-8</v>
      </c>
      <c r="X28" s="2">
        <f t="shared" si="8"/>
        <v>0.9710766077041626</v>
      </c>
      <c r="Y28" s="2">
        <f t="shared" si="1"/>
        <v>-4.5027539474773448E-9</v>
      </c>
      <c r="Z28" s="2">
        <f t="shared" si="3"/>
        <v>0.97107657790184021</v>
      </c>
      <c r="AA28" s="2">
        <f t="shared" si="2"/>
        <v>2.5901771727454559E-8</v>
      </c>
      <c r="AB28" s="2">
        <f t="shared" si="4"/>
        <v>1.4584328621347817E-15</v>
      </c>
      <c r="AC28" s="2">
        <f t="shared" si="5"/>
        <v>-1.166293048924531E-16</v>
      </c>
      <c r="AD28" s="2">
        <f t="shared" si="6"/>
        <v>5.9604644775390625E-8</v>
      </c>
      <c r="AF28" s="2">
        <v>24</v>
      </c>
      <c r="AG28" s="2">
        <f t="shared" si="13"/>
        <v>1545.5946922302246</v>
      </c>
      <c r="AH28" s="2">
        <v>-3.4302265589758463E-5</v>
      </c>
      <c r="AI28" s="2">
        <f t="shared" si="14"/>
        <v>1545.5958247184753</v>
      </c>
      <c r="AJ28" s="2">
        <v>6.2733875165577047E-4</v>
      </c>
      <c r="AK28" s="2">
        <f t="shared" si="9"/>
        <v>1545.59525847435</v>
      </c>
      <c r="AL28" s="2">
        <v>2.9665318288607523E-4</v>
      </c>
      <c r="AM28" s="2">
        <f t="shared" si="10"/>
        <v>-1.0175876267405342E-8</v>
      </c>
      <c r="AN28" s="2">
        <f t="shared" si="11"/>
        <v>1.8610203742646141E-7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219.59426208144515</v>
      </c>
      <c r="H29" s="22" t="s">
        <v>97</v>
      </c>
      <c r="J29" s="14" t="s">
        <v>68</v>
      </c>
      <c r="K29" s="6">
        <f xml:space="preserve"> $C$80 * (13 * ($C$5*2.20462/1000)^1.3 * 0.453592)</f>
        <v>23.219637473133915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0.97107657790184021</v>
      </c>
      <c r="W29" s="2">
        <f t="shared" si="0"/>
        <v>2.5901771727454559E-8</v>
      </c>
      <c r="X29" s="2">
        <f t="shared" si="8"/>
        <v>0.9710766077041626</v>
      </c>
      <c r="Y29" s="2">
        <f t="shared" si="1"/>
        <v>-4.5027539474773448E-9</v>
      </c>
      <c r="Z29" s="2">
        <f t="shared" si="3"/>
        <v>0.9710765928030014</v>
      </c>
      <c r="AA29" s="2">
        <f t="shared" si="2"/>
        <v>1.0699508834477456E-8</v>
      </c>
      <c r="AB29" s="2">
        <f t="shared" si="4"/>
        <v>2.7713623542651845E-16</v>
      </c>
      <c r="AC29" s="2">
        <f t="shared" si="5"/>
        <v>-4.8177255640512089E-17</v>
      </c>
      <c r="AD29" s="2">
        <f t="shared" si="6"/>
        <v>2.9802322387695312E-8</v>
      </c>
      <c r="AF29" s="2">
        <v>25</v>
      </c>
      <c r="AG29" s="2">
        <f t="shared" si="13"/>
        <v>1545.5946922302246</v>
      </c>
      <c r="AH29" s="2">
        <v>-3.4302265589758463E-5</v>
      </c>
      <c r="AI29" s="2">
        <f t="shared" si="14"/>
        <v>1545.59525847435</v>
      </c>
      <c r="AJ29" s="2">
        <v>2.9665318288607523E-4</v>
      </c>
      <c r="AK29" s="2">
        <f t="shared" si="9"/>
        <v>1545.5949753522873</v>
      </c>
      <c r="AL29" s="2">
        <v>1.3117546154717274E-4</v>
      </c>
      <c r="AM29" s="2">
        <f t="shared" si="10"/>
        <v>-4.4996155208502682E-9</v>
      </c>
      <c r="AN29" s="2">
        <f t="shared" si="11"/>
        <v>3.8913618184518767E-8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-2.3685998532982921E-3</v>
      </c>
      <c r="L30" s="9" t="s">
        <v>7</v>
      </c>
      <c r="N30" s="6" t="s">
        <v>36</v>
      </c>
      <c r="O30" s="6">
        <f xml:space="preserve"> 1/$C$77 * LN( EXP($C$77 * O28) + EXP($C$77 * O29) )</f>
        <v>1.1735169616386585</v>
      </c>
      <c r="U30" s="2">
        <v>26</v>
      </c>
      <c r="V30" s="2">
        <f>IF(AB29&gt;0, Z29, V29)</f>
        <v>0.9710765928030014</v>
      </c>
      <c r="W30" s="2">
        <f t="shared" si="0"/>
        <v>1.0699508834477456E-8</v>
      </c>
      <c r="X30" s="2">
        <f t="shared" si="8"/>
        <v>0.9710766077041626</v>
      </c>
      <c r="Y30" s="2">
        <f t="shared" si="1"/>
        <v>-4.5027539474773448E-9</v>
      </c>
      <c r="Z30" s="2">
        <f t="shared" si="3"/>
        <v>0.971076600253582</v>
      </c>
      <c r="AA30" s="2">
        <f t="shared" si="2"/>
        <v>3.0983774435000555E-9</v>
      </c>
      <c r="AB30" s="2">
        <f t="shared" si="4"/>
        <v>3.3151116829274518E-17</v>
      </c>
      <c r="AC30" s="2">
        <f t="shared" si="5"/>
        <v>-1.3951231264494639E-17</v>
      </c>
      <c r="AD30" s="2">
        <f t="shared" si="6"/>
        <v>1.4901161193847656E-8</v>
      </c>
      <c r="AF30" s="2">
        <v>26</v>
      </c>
      <c r="AG30" s="2">
        <f t="shared" si="13"/>
        <v>1545.5946922302246</v>
      </c>
      <c r="AH30" s="2">
        <v>-3.4302265589758463E-5</v>
      </c>
      <c r="AI30" s="2">
        <f t="shared" si="14"/>
        <v>1545.5949753522873</v>
      </c>
      <c r="AJ30" s="2">
        <v>1.3117546154717274E-4</v>
      </c>
      <c r="AK30" s="2">
        <f t="shared" si="9"/>
        <v>1545.594833791256</v>
      </c>
      <c r="AL30" s="2">
        <v>4.8301669494321686E-5</v>
      </c>
      <c r="AM30" s="2">
        <f t="shared" si="10"/>
        <v>-1.6568566954229567E-9</v>
      </c>
      <c r="AN30" s="2">
        <f t="shared" si="11"/>
        <v>6.3359937894166411E-9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0" t="s">
        <v>175</v>
      </c>
      <c r="G31" s="31"/>
      <c r="H31" s="31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0.971076600253582</v>
      </c>
      <c r="W31" s="2">
        <f t="shared" si="0"/>
        <v>3.0983774435000555E-9</v>
      </c>
      <c r="X31" s="2">
        <f t="shared" si="8"/>
        <v>0.9710766077041626</v>
      </c>
      <c r="Y31" s="2">
        <f t="shared" si="1"/>
        <v>-4.5027539474773448E-9</v>
      </c>
      <c r="Z31" s="2">
        <f t="shared" si="3"/>
        <v>0.9710766039788723</v>
      </c>
      <c r="AA31" s="2">
        <f t="shared" si="2"/>
        <v>-7.0218819647749342E-10</v>
      </c>
      <c r="AB31" s="2">
        <f t="shared" si="4"/>
        <v>-2.1756440690578507E-18</v>
      </c>
      <c r="AC31" s="2">
        <f t="shared" si="5"/>
        <v>3.1617806735610309E-18</v>
      </c>
      <c r="AD31" s="2">
        <f t="shared" si="6"/>
        <v>7.4505805969238281E-9</v>
      </c>
      <c r="AF31" s="2">
        <v>27</v>
      </c>
      <c r="AG31" s="2">
        <f t="shared" si="13"/>
        <v>1545.5946922302246</v>
      </c>
      <c r="AH31" s="2">
        <v>-3.4302265589758463E-5</v>
      </c>
      <c r="AI31" s="2">
        <f t="shared" si="14"/>
        <v>1545.594833791256</v>
      </c>
      <c r="AJ31" s="2">
        <v>4.8301669494321686E-5</v>
      </c>
      <c r="AK31" s="2">
        <f t="shared" si="9"/>
        <v>1545.5947630107403</v>
      </c>
      <c r="AL31" s="2">
        <v>7.1346310051012551E-6</v>
      </c>
      <c r="AM31" s="2">
        <f t="shared" si="10"/>
        <v>-2.4473400762190859E-10</v>
      </c>
      <c r="AN31" s="2">
        <f t="shared" si="11"/>
        <v>3.4461458877234097E-10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0.971076600253582</v>
      </c>
      <c r="W32" s="2">
        <f t="shared" si="0"/>
        <v>3.0983774435000555E-9</v>
      </c>
      <c r="X32" s="2">
        <f t="shared" si="8"/>
        <v>0.9710766039788723</v>
      </c>
      <c r="Y32" s="2">
        <f t="shared" si="1"/>
        <v>-7.0218819647749342E-10</v>
      </c>
      <c r="Z32" s="2">
        <f t="shared" si="3"/>
        <v>0.97107660211622715</v>
      </c>
      <c r="AA32" s="2">
        <f t="shared" si="2"/>
        <v>1.198094623511281E-9</v>
      </c>
      <c r="AB32" s="2">
        <f t="shared" si="4"/>
        <v>3.7121493566660445E-18</v>
      </c>
      <c r="AC32" s="2">
        <f t="shared" si="5"/>
        <v>-8.4128790289276792E-19</v>
      </c>
      <c r="AD32" s="2">
        <f t="shared" si="6"/>
        <v>3.7252902984619141E-9</v>
      </c>
      <c r="AF32" s="2">
        <v>28</v>
      </c>
      <c r="AG32" s="2">
        <f t="shared" si="13"/>
        <v>1545.5946922302246</v>
      </c>
      <c r="AH32" s="2">
        <v>-3.4302265589758463E-5</v>
      </c>
      <c r="AI32" s="2">
        <f t="shared" si="14"/>
        <v>1545.5947630107403</v>
      </c>
      <c r="AJ32" s="2">
        <v>7.1346310051012551E-6</v>
      </c>
      <c r="AK32" s="2">
        <f t="shared" si="9"/>
        <v>1545.5947276204824</v>
      </c>
      <c r="AL32" s="2">
        <v>-1.3583817121798347E-5</v>
      </c>
      <c r="AM32" s="2">
        <f t="shared" si="10"/>
        <v>4.6595570263463527E-10</v>
      </c>
      <c r="AN32" s="2">
        <f t="shared" si="11"/>
        <v>-9.6915522804807781E-11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104.81980509416705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0.97107660211622715</v>
      </c>
      <c r="W33" s="2">
        <f t="shared" si="0"/>
        <v>1.198094623511281E-9</v>
      </c>
      <c r="X33" s="2">
        <f t="shared" si="8"/>
        <v>0.9710766039788723</v>
      </c>
      <c r="Y33" s="2">
        <f t="shared" si="1"/>
        <v>-7.0218819647749342E-10</v>
      </c>
      <c r="Z33" s="2">
        <f t="shared" si="3"/>
        <v>0.97107660304754972</v>
      </c>
      <c r="AA33" s="2">
        <f t="shared" si="2"/>
        <v>2.4795321351689381E-10</v>
      </c>
      <c r="AB33" s="2">
        <f t="shared" si="4"/>
        <v>2.9707141199693517E-19</v>
      </c>
      <c r="AC33" s="2">
        <f t="shared" si="5"/>
        <v>-1.7410981981022651E-19</v>
      </c>
      <c r="AD33" s="2">
        <f t="shared" si="6"/>
        <v>1.862645149230957E-9</v>
      </c>
      <c r="AF33" s="2">
        <v>29</v>
      </c>
      <c r="AG33" s="2">
        <f t="shared" si="13"/>
        <v>1545.5947276204824</v>
      </c>
      <c r="AH33" s="2">
        <v>-1.3583817121798347E-5</v>
      </c>
      <c r="AI33" s="2">
        <f t="shared" si="14"/>
        <v>1545.5947630107403</v>
      </c>
      <c r="AJ33" s="2">
        <v>7.1346310051012551E-6</v>
      </c>
      <c r="AK33" s="2">
        <f t="shared" si="9"/>
        <v>1545.5947453156114</v>
      </c>
      <c r="AL33" s="2">
        <v>-3.2245928878182895E-6</v>
      </c>
      <c r="AM33" s="2">
        <f t="shared" si="10"/>
        <v>4.3802280080375257E-11</v>
      </c>
      <c r="AN33" s="2">
        <f t="shared" si="11"/>
        <v>-2.3006280396257361E-11</v>
      </c>
      <c r="AO33" s="2">
        <f t="shared" si="12"/>
        <v>3.5390257835388184E-5</v>
      </c>
    </row>
    <row r="34" spans="2:41" x14ac:dyDescent="0.2">
      <c r="B34" s="28" t="s">
        <v>100</v>
      </c>
      <c r="C34" s="28"/>
      <c r="D34" s="28"/>
      <c r="J34" s="6" t="s">
        <v>58</v>
      </c>
      <c r="K34" s="6">
        <f>ROUND($C$16/$C$5 * 100, 2)</f>
        <v>38.82</v>
      </c>
      <c r="L34" s="6" t="s">
        <v>59</v>
      </c>
      <c r="U34" s="2">
        <v>30</v>
      </c>
      <c r="V34" s="2">
        <f t="shared" si="7"/>
        <v>0.97107660304754972</v>
      </c>
      <c r="W34" s="2">
        <f t="shared" si="0"/>
        <v>2.4795321351689381E-10</v>
      </c>
      <c r="X34" s="2">
        <f t="shared" si="8"/>
        <v>0.9710766039788723</v>
      </c>
      <c r="Y34" s="2">
        <f t="shared" si="1"/>
        <v>-7.0218819647749342E-10</v>
      </c>
      <c r="Z34" s="2">
        <f t="shared" si="3"/>
        <v>0.97107660351321101</v>
      </c>
      <c r="AA34" s="2">
        <f t="shared" si="2"/>
        <v>-2.2711754699145104E-10</v>
      </c>
      <c r="AB34" s="2">
        <f t="shared" si="4"/>
        <v>-5.6314525622604422E-20</v>
      </c>
      <c r="AC34" s="2">
        <f t="shared" si="5"/>
        <v>1.5947926071031936E-19</v>
      </c>
      <c r="AD34" s="2">
        <f t="shared" si="6"/>
        <v>9.3132257461547852E-10</v>
      </c>
      <c r="AF34" s="2">
        <v>30</v>
      </c>
      <c r="AG34" s="2">
        <f t="shared" si="13"/>
        <v>1545.5947453156114</v>
      </c>
      <c r="AH34" s="2">
        <v>-3.2245928878182895E-6</v>
      </c>
      <c r="AI34" s="2">
        <f t="shared" si="14"/>
        <v>1545.5947630107403</v>
      </c>
      <c r="AJ34" s="2">
        <v>7.1346310051012551E-6</v>
      </c>
      <c r="AK34" s="2">
        <f t="shared" si="9"/>
        <v>1545.5947541631758</v>
      </c>
      <c r="AL34" s="2">
        <v>1.9550191154849017E-6</v>
      </c>
      <c r="AM34" s="2">
        <f t="shared" si="10"/>
        <v>-6.3041407353414171E-12</v>
      </c>
      <c r="AN34" s="2">
        <f t="shared" si="11"/>
        <v>1.3948339996904211E-11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16.829999999999998</v>
      </c>
      <c r="L35" s="6" t="s">
        <v>59</v>
      </c>
      <c r="AF35" s="2">
        <v>31</v>
      </c>
      <c r="AG35" s="2">
        <f t="shared" si="13"/>
        <v>1545.5947453156114</v>
      </c>
      <c r="AH35" s="2">
        <v>1.9550191154849017E-6</v>
      </c>
      <c r="AI35" s="2">
        <f t="shared" si="14"/>
        <v>1545.5947541631758</v>
      </c>
      <c r="AJ35" s="2">
        <v>7.1346310051012551E-6</v>
      </c>
      <c r="AK35" s="2">
        <f t="shared" si="9"/>
        <v>1545.5947497393936</v>
      </c>
      <c r="AL35" s="2">
        <v>1.9550191154849017E-6</v>
      </c>
      <c r="AM35" s="2">
        <f t="shared" si="10"/>
        <v>3.8220997419113674E-12</v>
      </c>
      <c r="AN35" s="2">
        <f t="shared" si="11"/>
        <v>1.3948339996904211E-11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16.260000000000002</v>
      </c>
      <c r="L36" s="6" t="s">
        <v>59</v>
      </c>
      <c r="AF36" s="2">
        <v>32</v>
      </c>
      <c r="AG36" s="2">
        <f t="shared" si="13"/>
        <v>1545.5947497393936</v>
      </c>
      <c r="AH36" s="2">
        <v>1.9550191154849017E-6</v>
      </c>
      <c r="AI36" s="2">
        <f t="shared" si="14"/>
        <v>1545.5947497393936</v>
      </c>
      <c r="AJ36" s="2">
        <v>7.1346310051012551E-6</v>
      </c>
      <c r="AK36" s="2">
        <f t="shared" si="9"/>
        <v>1545.5947497393936</v>
      </c>
      <c r="AL36" s="2">
        <v>1.9550191154849017E-6</v>
      </c>
      <c r="AM36" s="2">
        <f t="shared" si="10"/>
        <v>3.8220997419113674E-12</v>
      </c>
      <c r="AN36" s="2">
        <f t="shared" si="11"/>
        <v>1.3948339996904211E-11</v>
      </c>
      <c r="AO36" s="2">
        <f t="shared" si="12"/>
        <v>0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23.36</v>
      </c>
      <c r="L37" s="6" t="s">
        <v>59</v>
      </c>
      <c r="AF37" s="2">
        <v>33</v>
      </c>
      <c r="AG37" s="2">
        <f t="shared" si="13"/>
        <v>1545.5947497393936</v>
      </c>
      <c r="AH37" s="2">
        <v>1.9550191154849017E-6</v>
      </c>
      <c r="AI37" s="2">
        <f t="shared" si="14"/>
        <v>1545.5947497393936</v>
      </c>
      <c r="AJ37" s="2">
        <v>7.1346310051012551E-6</v>
      </c>
      <c r="AK37" s="2">
        <f t="shared" si="9"/>
        <v>1545.5947497393936</v>
      </c>
      <c r="AL37" s="2">
        <v>1.9550191154849017E-6</v>
      </c>
      <c r="AM37" s="2">
        <f t="shared" si="10"/>
        <v>3.8220997419113674E-12</v>
      </c>
      <c r="AN37" s="2">
        <f t="shared" si="11"/>
        <v>1.3948339996904211E-11</v>
      </c>
      <c r="AO37" s="2">
        <f t="shared" si="12"/>
        <v>0</v>
      </c>
    </row>
    <row r="38" spans="2:41" x14ac:dyDescent="0.2">
      <c r="J38" s="14" t="s">
        <v>71</v>
      </c>
      <c r="K38" s="6">
        <f>ROUND(SUM(K26:K29)/$C$5*100, 2)</f>
        <v>4.7300000000000004</v>
      </c>
      <c r="L38" s="6" t="s">
        <v>59</v>
      </c>
      <c r="AF38" s="2">
        <v>34</v>
      </c>
      <c r="AG38" s="2">
        <f t="shared" si="13"/>
        <v>1545.5947497393936</v>
      </c>
      <c r="AH38" s="2">
        <v>1.9550191154849017E-6</v>
      </c>
      <c r="AI38" s="2">
        <f t="shared" si="14"/>
        <v>1545.5947497393936</v>
      </c>
      <c r="AJ38" s="2">
        <v>7.1346310051012551E-6</v>
      </c>
      <c r="AK38" s="2">
        <f t="shared" si="9"/>
        <v>1545.5947497393936</v>
      </c>
      <c r="AL38" s="2">
        <v>1.9550191154849017E-6</v>
      </c>
      <c r="AM38" s="2">
        <f t="shared" si="10"/>
        <v>3.8220997419113674E-12</v>
      </c>
      <c r="AN38" s="2">
        <f t="shared" si="11"/>
        <v>1.3948339996904211E-11</v>
      </c>
      <c r="AO38" s="2">
        <f t="shared" si="12"/>
        <v>0</v>
      </c>
    </row>
    <row r="39" spans="2:41" x14ac:dyDescent="0.2">
      <c r="B39" s="28" t="s">
        <v>104</v>
      </c>
      <c r="C39" s="28"/>
      <c r="D39" s="28"/>
      <c r="J39" s="9" t="s">
        <v>60</v>
      </c>
      <c r="K39" s="9">
        <f>SUM(K34:K38)</f>
        <v>100</v>
      </c>
      <c r="L39" s="9" t="s">
        <v>59</v>
      </c>
      <c r="AF39" s="2">
        <v>35</v>
      </c>
      <c r="AG39" s="2">
        <f t="shared" si="13"/>
        <v>1545.5947497393936</v>
      </c>
      <c r="AH39" s="2">
        <v>1.9550191154849017E-6</v>
      </c>
      <c r="AI39" s="2">
        <f t="shared" si="14"/>
        <v>1545.5947497393936</v>
      </c>
      <c r="AJ39" s="2">
        <v>7.1346310051012551E-6</v>
      </c>
      <c r="AK39" s="2">
        <f t="shared" si="9"/>
        <v>1545.5947497393936</v>
      </c>
      <c r="AL39" s="2">
        <v>1.9550191154849017E-6</v>
      </c>
      <c r="AM39" s="2">
        <f t="shared" si="10"/>
        <v>3.8220997419113674E-12</v>
      </c>
      <c r="AN39" s="2">
        <f t="shared" si="11"/>
        <v>1.3948339996904211E-11</v>
      </c>
      <c r="AO39" s="2">
        <f t="shared" si="12"/>
        <v>0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1545.5947497393936</v>
      </c>
      <c r="AH40" s="2">
        <v>1.9550191154849017E-6</v>
      </c>
      <c r="AI40" s="2">
        <f t="shared" si="14"/>
        <v>1545.5947497393936</v>
      </c>
      <c r="AJ40" s="2">
        <v>7.1346310051012551E-6</v>
      </c>
      <c r="AK40" s="2">
        <f t="shared" si="9"/>
        <v>1545.5947497393936</v>
      </c>
      <c r="AL40" s="2">
        <v>1.9550191154849017E-6</v>
      </c>
      <c r="AM40" s="2">
        <f t="shared" si="10"/>
        <v>3.8220997419113674E-12</v>
      </c>
      <c r="AN40" s="2">
        <f t="shared" si="11"/>
        <v>1.3948339996904211E-11</v>
      </c>
      <c r="AO40" s="2">
        <f t="shared" si="12"/>
        <v>0</v>
      </c>
    </row>
    <row r="41" spans="2:41" x14ac:dyDescent="0.2">
      <c r="B41" s="6" t="s">
        <v>117</v>
      </c>
      <c r="C41" s="6">
        <f>IF(C40="wheeled",0.0325,0.014)</f>
        <v>3.2500000000000001E-2</v>
      </c>
      <c r="J41" s="28" t="s">
        <v>109</v>
      </c>
      <c r="K41" s="28"/>
      <c r="L41" s="28"/>
      <c r="AF41" s="2">
        <v>37</v>
      </c>
      <c r="AG41" s="2">
        <f t="shared" si="13"/>
        <v>1545.5947497393936</v>
      </c>
      <c r="AH41" s="2">
        <v>1.9550191154849017E-6</v>
      </c>
      <c r="AI41" s="2">
        <f t="shared" si="14"/>
        <v>1545.5947497393936</v>
      </c>
      <c r="AJ41" s="2">
        <v>7.1346310051012551E-6</v>
      </c>
      <c r="AK41" s="2">
        <f t="shared" si="9"/>
        <v>1545.5947497393936</v>
      </c>
      <c r="AL41" s="2">
        <v>1.9550191154849017E-6</v>
      </c>
      <c r="AM41" s="2">
        <f t="shared" si="10"/>
        <v>3.8220997419113674E-12</v>
      </c>
      <c r="AN41" s="2">
        <f t="shared" si="11"/>
        <v>1.3948339996904211E-11</v>
      </c>
      <c r="AO41" s="2">
        <f t="shared" si="12"/>
        <v>0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1545.5947497393936</v>
      </c>
      <c r="AH42" s="2">
        <v>1.9550191154849017E-6</v>
      </c>
      <c r="AI42" s="2">
        <f t="shared" si="14"/>
        <v>1545.5947497393936</v>
      </c>
      <c r="AJ42" s="2">
        <v>7.1346310051012551E-6</v>
      </c>
      <c r="AK42" s="2">
        <f t="shared" si="9"/>
        <v>1545.5947497393936</v>
      </c>
      <c r="AL42" s="2">
        <v>1.9550191154849017E-6</v>
      </c>
      <c r="AM42" s="2">
        <f t="shared" si="10"/>
        <v>3.8220997419113674E-12</v>
      </c>
      <c r="AN42" s="2">
        <f t="shared" si="11"/>
        <v>1.3948339996904211E-11</v>
      </c>
      <c r="AO42" s="2">
        <f t="shared" si="12"/>
        <v>0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260.14</v>
      </c>
      <c r="L43" s="6" t="s">
        <v>7</v>
      </c>
      <c r="AF43" s="2">
        <v>39</v>
      </c>
      <c r="AG43" s="2">
        <f t="shared" si="13"/>
        <v>1545.5947497393936</v>
      </c>
      <c r="AH43" s="2">
        <v>1.9550191154849017E-6</v>
      </c>
      <c r="AI43" s="2">
        <f t="shared" si="14"/>
        <v>1545.5947497393936</v>
      </c>
      <c r="AJ43" s="2">
        <v>7.1346310051012551E-6</v>
      </c>
      <c r="AK43" s="2">
        <f t="shared" si="9"/>
        <v>1545.5947497393936</v>
      </c>
      <c r="AL43" s="2">
        <v>1.9550191154849017E-6</v>
      </c>
      <c r="AM43" s="2">
        <f t="shared" si="10"/>
        <v>3.8220997419113674E-12</v>
      </c>
      <c r="AN43" s="2">
        <f t="shared" si="11"/>
        <v>1.3948339996904211E-11</v>
      </c>
      <c r="AO43" s="2">
        <f t="shared" si="12"/>
        <v>0</v>
      </c>
    </row>
    <row r="44" spans="2:41" x14ac:dyDescent="0.2">
      <c r="J44" s="18" t="s">
        <v>74</v>
      </c>
      <c r="K44" s="6">
        <f>ROUND(SUM(K16:K19), 2)</f>
        <v>251.27</v>
      </c>
      <c r="L44" s="6" t="s">
        <v>7</v>
      </c>
      <c r="AF44" s="2">
        <v>40</v>
      </c>
      <c r="AG44" s="2">
        <f t="shared" si="13"/>
        <v>1545.5947497393936</v>
      </c>
      <c r="AH44" s="2">
        <v>1.9550191154849017E-6</v>
      </c>
      <c r="AI44" s="2">
        <f t="shared" si="14"/>
        <v>1545.5947497393936</v>
      </c>
      <c r="AJ44" s="2">
        <v>7.1346310051012551E-6</v>
      </c>
      <c r="AK44" s="5">
        <f t="shared" si="9"/>
        <v>1545.5947497393936</v>
      </c>
      <c r="AL44" s="2">
        <v>1.9550191154849017E-6</v>
      </c>
      <c r="AM44" s="2">
        <f t="shared" si="10"/>
        <v>3.8220997419113674E-12</v>
      </c>
      <c r="AN44" s="2">
        <f t="shared" si="11"/>
        <v>1.3948339996904211E-11</v>
      </c>
      <c r="AO44" s="2">
        <f t="shared" si="12"/>
        <v>0</v>
      </c>
    </row>
    <row r="45" spans="2:41" x14ac:dyDescent="0.2">
      <c r="B45" s="28" t="s">
        <v>151</v>
      </c>
      <c r="C45" s="28"/>
      <c r="D45" s="28"/>
      <c r="J45" s="19" t="s">
        <v>70</v>
      </c>
      <c r="K45" s="6">
        <f>ROUND(SUM(K20:K25), 2)</f>
        <v>361.12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73.06</v>
      </c>
      <c r="L46" s="6" t="s">
        <v>7</v>
      </c>
    </row>
    <row r="47" spans="2:41" x14ac:dyDescent="0.2">
      <c r="J47" s="9" t="s">
        <v>60</v>
      </c>
      <c r="K47" s="9">
        <f>SUM(K42:K46)</f>
        <v>1545.5900000000001</v>
      </c>
      <c r="L47" s="6" t="s">
        <v>7</v>
      </c>
    </row>
    <row r="48" spans="2:41" x14ac:dyDescent="0.2">
      <c r="B48" s="28" t="s">
        <v>152</v>
      </c>
      <c r="C48" s="28"/>
      <c r="D48" s="28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8" t="s">
        <v>156</v>
      </c>
      <c r="C53" s="28"/>
      <c r="D53" s="28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0" t="s">
        <v>2</v>
      </c>
      <c r="C59" s="31"/>
      <c r="D59" s="31"/>
    </row>
    <row r="60" spans="2:4" x14ac:dyDescent="0.2">
      <c r="B60" s="6" t="s">
        <v>3</v>
      </c>
      <c r="C60" s="16">
        <v>550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8" t="s">
        <v>169</v>
      </c>
      <c r="C64" s="29"/>
      <c r="D64" s="29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8" t="s">
        <v>170</v>
      </c>
      <c r="C70" s="29"/>
      <c r="D70" s="29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8" t="s">
        <v>72</v>
      </c>
      <c r="C76" s="28"/>
      <c r="D76" s="28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53:D53"/>
    <mergeCell ref="B59:D59"/>
    <mergeCell ref="B64:D64"/>
    <mergeCell ref="B70:D70"/>
    <mergeCell ref="B76:D76"/>
    <mergeCell ref="N3:P3"/>
    <mergeCell ref="B48:D48"/>
    <mergeCell ref="F12:H12"/>
    <mergeCell ref="B15:D15"/>
    <mergeCell ref="N18:P18"/>
    <mergeCell ref="B20:D20"/>
    <mergeCell ref="F22:H22"/>
    <mergeCell ref="B27:D27"/>
    <mergeCell ref="F31:H31"/>
    <mergeCell ref="B34:D34"/>
    <mergeCell ref="B39:D39"/>
    <mergeCell ref="J41:L41"/>
    <mergeCell ref="B45:D45"/>
    <mergeCell ref="J9:L9"/>
    <mergeCell ref="B1:D1"/>
    <mergeCell ref="B3:D3"/>
    <mergeCell ref="F3:H3"/>
    <mergeCell ref="J3:L3"/>
  </mergeCells>
  <conditionalFormatting sqref="K31">
    <cfRule type="containsText" dxfId="11" priority="1" operator="containsText" text="FALSE">
      <formula>NOT(ISERROR(SEARCH("FALSE",K31)))</formula>
    </cfRule>
    <cfRule type="containsText" dxfId="10" priority="2" operator="containsText" text="TRUE">
      <formula>NOT(ISERROR(SEARCH("TRUE",K31)))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NOT(ISERROR(SEARCH("YES",K31)))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6557-3E86-6947-9919-E953C0BC06E0}">
  <dimension ref="B1:AO81"/>
  <sheetViews>
    <sheetView zoomScale="88" workbookViewId="0">
      <selection activeCell="G38" sqref="G38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27" t="s">
        <v>0</v>
      </c>
      <c r="C1" s="27"/>
      <c r="D1" s="27"/>
    </row>
    <row r="2" spans="2:41" x14ac:dyDescent="0.2">
      <c r="U2" s="15" t="s">
        <v>89</v>
      </c>
      <c r="AF2" s="26" t="s">
        <v>129</v>
      </c>
    </row>
    <row r="3" spans="2:41" x14ac:dyDescent="0.2">
      <c r="B3" s="28" t="s">
        <v>118</v>
      </c>
      <c r="C3" s="29"/>
      <c r="D3" s="29"/>
      <c r="F3" s="30" t="s">
        <v>76</v>
      </c>
      <c r="G3" s="31"/>
      <c r="H3" s="31"/>
      <c r="J3" s="28" t="s">
        <v>94</v>
      </c>
      <c r="K3" s="28"/>
      <c r="L3" s="28"/>
      <c r="N3" s="28" t="s">
        <v>88</v>
      </c>
      <c r="O3" s="28"/>
      <c r="P3" s="28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519.00223520454131</v>
      </c>
      <c r="L4" s="6" t="s">
        <v>97</v>
      </c>
      <c r="N4" s="6" t="s">
        <v>131</v>
      </c>
      <c r="O4" s="6">
        <f xml:space="preserve"> $C$5 * $C$74</f>
        <v>19140.292296571541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1.2060450773720002</v>
      </c>
      <c r="X4" s="3">
        <v>1</v>
      </c>
      <c r="Y4" s="2">
        <f t="shared" ref="Y4:Y34" si="1" xml:space="preserve"> $O$22 * TAN($O$19/180*PI()) + $O$23 / (2 * SQRT($O$22^2 + X4^2)) - X4</f>
        <v>-2.7561448948374201E-2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0.49313737231265875</v>
      </c>
      <c r="AB4" s="2">
        <f>W4*AA4</f>
        <v>0.5947459003458454</v>
      </c>
      <c r="AC4" s="2">
        <f>Y4*AA4</f>
        <v>-1.3591580511530746E-2</v>
      </c>
      <c r="AD4" s="2">
        <f>X4-V4</f>
        <v>1</v>
      </c>
      <c r="AF4" s="2">
        <v>0</v>
      </c>
      <c r="AH4" s="2">
        <f>K30</f>
        <v>1.1086710521794885E-3</v>
      </c>
      <c r="AJ4" s="2">
        <f>K30</f>
        <v>1.1086710521794885E-3</v>
      </c>
      <c r="AL4" s="2">
        <f>K30</f>
        <v>1.1086710521794885E-3</v>
      </c>
    </row>
    <row r="5" spans="2:41" x14ac:dyDescent="0.2">
      <c r="B5" s="9" t="s">
        <v>38</v>
      </c>
      <c r="C5" s="9">
        <v>1952.98071428666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64.875279400567663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0.49313737231265875</v>
      </c>
      <c r="X5" s="2">
        <f>IF(AC4&gt;0, Z4, X4)</f>
        <v>1</v>
      </c>
      <c r="Y5" s="2">
        <f t="shared" si="1"/>
        <v>-2.7561448948374201E-2</v>
      </c>
      <c r="Z5" s="2">
        <f t="shared" ref="Z5:Z34" si="3" xml:space="preserve"> (V5 + X5)/2</f>
        <v>0.75</v>
      </c>
      <c r="AA5" s="2">
        <f t="shared" si="2"/>
        <v>0.2294062304707507</v>
      </c>
      <c r="AB5" s="2">
        <f t="shared" ref="AB5:AB34" si="4">W5*AA5</f>
        <v>0.11312878568649819</v>
      </c>
      <c r="AC5" s="2">
        <f t="shared" ref="AC5:AC34" si="5">Y5*AA5</f>
        <v>-6.3227681095585613E-3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-1192.6346511579784</v>
      </c>
      <c r="AI5" s="3">
        <v>10000</v>
      </c>
      <c r="AJ5" s="2">
        <f t="dataTable" ref="AJ5:AJ44" dt2D="0" dtr="0" r1="C5" ca="1"/>
        <v>5520.9076544902418</v>
      </c>
      <c r="AK5" s="2">
        <f>(AG5+AI5)/2</f>
        <v>5250</v>
      </c>
      <c r="AL5" s="2">
        <f t="dataTable" ref="AL5:AL44" dt2D="0" dtr="0" r1="C5" ca="1"/>
        <v>2755.8139606043887</v>
      </c>
      <c r="AM5" s="2">
        <f>AH5*AL5</f>
        <v>-3286679.221561702</v>
      </c>
      <c r="AN5" s="2">
        <f>AJ5*AL5</f>
        <v>15214594.389451839</v>
      </c>
      <c r="AO5" s="2">
        <f>AI5-AG5</f>
        <v>9500</v>
      </c>
    </row>
    <row r="6" spans="2:41" x14ac:dyDescent="0.2">
      <c r="B6" s="6" t="s">
        <v>168</v>
      </c>
      <c r="C6" s="16">
        <v>425.780054499046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173.08196443776933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0.20457782241471992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0.2294062304707507</v>
      </c>
      <c r="X6" s="2">
        <f t="shared" ref="X6:X34" si="8">IF(AC5&gt;0, Z5, X5)</f>
        <v>1</v>
      </c>
      <c r="Y6" s="2">
        <f t="shared" si="1"/>
        <v>-2.7561448948374201E-2</v>
      </c>
      <c r="Z6" s="2">
        <f t="shared" si="3"/>
        <v>0.875</v>
      </c>
      <c r="AA6" s="2">
        <f t="shared" si="2"/>
        <v>0.10043148473331232</v>
      </c>
      <c r="AB6" s="2">
        <f t="shared" si="4"/>
        <v>2.3039608333249927E-2</v>
      </c>
      <c r="AC6" s="2">
        <f t="shared" si="5"/>
        <v>-2.7680372392866102E-3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-1192.6346511579784</v>
      </c>
      <c r="AI6" s="2">
        <f>IF(AN5&gt;0,AK5,AI5)</f>
        <v>5250</v>
      </c>
      <c r="AJ6" s="2">
        <v>2755.8139606043887</v>
      </c>
      <c r="AK6" s="2">
        <f t="shared" ref="AK6:AK44" si="9">(AG6+AI6)/2</f>
        <v>2875</v>
      </c>
      <c r="AL6" s="2">
        <v>646.73866273023327</v>
      </c>
      <c r="AM6" s="2">
        <f t="shared" ref="AM6:AM44" si="10">AH6*AL6</f>
        <v>-771322.93941564916</v>
      </c>
      <c r="AN6" s="2">
        <f t="shared" ref="AN6:AN44" si="11">AJ6*AL6</f>
        <v>1782291.4356145901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2392.7654087511992</v>
      </c>
      <c r="H7" s="6" t="s">
        <v>21</v>
      </c>
      <c r="J7" s="6" t="s">
        <v>133</v>
      </c>
      <c r="K7" s="6">
        <f>K6/$C$28</f>
        <v>173.08196443776933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0.10043148473331232</v>
      </c>
      <c r="X7" s="2">
        <f t="shared" si="8"/>
        <v>1</v>
      </c>
      <c r="Y7" s="2">
        <f t="shared" si="1"/>
        <v>-2.7561448948374201E-2</v>
      </c>
      <c r="Z7" s="2">
        <f t="shared" si="3"/>
        <v>0.9375</v>
      </c>
      <c r="AA7" s="2">
        <f t="shared" si="2"/>
        <v>3.6336427082790279E-2</v>
      </c>
      <c r="AB7" s="2">
        <f t="shared" si="4"/>
        <v>3.6493213218283678E-3</v>
      </c>
      <c r="AC7" s="2">
        <f t="shared" si="5"/>
        <v>-1.0014845800086459E-3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-1192.6346511579784</v>
      </c>
      <c r="AI7" s="2">
        <f t="shared" ref="AI7:AI44" si="14">IF(AN6&gt;0,AK6,AI6)</f>
        <v>2875</v>
      </c>
      <c r="AJ7" s="2">
        <v>646.73866273023327</v>
      </c>
      <c r="AK7" s="2">
        <f t="shared" si="9"/>
        <v>1687.5</v>
      </c>
      <c r="AL7" s="2">
        <v>-201.5525978930832</v>
      </c>
      <c r="AM7" s="2">
        <f t="shared" si="10"/>
        <v>240378.61227820159</v>
      </c>
      <c r="AN7" s="2">
        <f t="shared" si="11"/>
        <v>-130351.85763117706</v>
      </c>
      <c r="AO7" s="2">
        <f t="shared" si="12"/>
        <v>2375</v>
      </c>
    </row>
    <row r="8" spans="2:41" x14ac:dyDescent="0.2">
      <c r="B8" s="6" t="s">
        <v>91</v>
      </c>
      <c r="C8" s="16">
        <v>1.5660190058410901</v>
      </c>
      <c r="D8" s="6" t="s">
        <v>8</v>
      </c>
      <c r="F8" t="s">
        <v>93</v>
      </c>
      <c r="G8" s="6">
        <f>G10/$C$21</f>
        <v>43.250186267045109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3.6336427082790279E-2</v>
      </c>
      <c r="X8" s="2">
        <f t="shared" si="8"/>
        <v>1</v>
      </c>
      <c r="Y8" s="2">
        <f t="shared" si="1"/>
        <v>-2.7561448948374201E-2</v>
      </c>
      <c r="Z8" s="2">
        <f t="shared" si="3"/>
        <v>0.96875</v>
      </c>
      <c r="AA8" s="2">
        <f t="shared" si="2"/>
        <v>4.3651906483032077E-3</v>
      </c>
      <c r="AB8" s="2">
        <f t="shared" si="4"/>
        <v>1.5861543169454754E-4</v>
      </c>
      <c r="AC8" s="2">
        <f t="shared" si="5"/>
        <v>-1.2031097920312934E-4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-201.5525978930832</v>
      </c>
      <c r="AI8" s="2">
        <f t="shared" si="14"/>
        <v>2875</v>
      </c>
      <c r="AJ8" s="2">
        <v>646.73866273023327</v>
      </c>
      <c r="AK8" s="2">
        <f t="shared" si="9"/>
        <v>2281.25</v>
      </c>
      <c r="AL8" s="2">
        <v>239.66485127055239</v>
      </c>
      <c r="AM8" s="2">
        <f t="shared" si="10"/>
        <v>-48305.073397239234</v>
      </c>
      <c r="AN8" s="2">
        <f t="shared" si="11"/>
        <v>155000.52541415731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5.6444286223073217</v>
      </c>
      <c r="H9" s="6" t="s">
        <v>172</v>
      </c>
      <c r="J9" s="28" t="s">
        <v>22</v>
      </c>
      <c r="K9" s="28"/>
      <c r="L9" s="28"/>
      <c r="N9" s="6" t="s">
        <v>114</v>
      </c>
      <c r="O9" s="6">
        <f xml:space="preserve"> $O$8/$C$12 + $O$7</f>
        <v>1.8250480376239647E-2</v>
      </c>
      <c r="U9" s="2">
        <v>5</v>
      </c>
      <c r="V9" s="2">
        <f t="shared" si="7"/>
        <v>0.96875</v>
      </c>
      <c r="W9" s="2">
        <f t="shared" si="0"/>
        <v>4.3651906483032077E-3</v>
      </c>
      <c r="X9" s="2">
        <f t="shared" si="8"/>
        <v>1</v>
      </c>
      <c r="Y9" s="2">
        <f t="shared" si="1"/>
        <v>-2.7561448948374201E-2</v>
      </c>
      <c r="Z9" s="2">
        <f t="shared" si="3"/>
        <v>0.984375</v>
      </c>
      <c r="AA9" s="2">
        <f t="shared" si="2"/>
        <v>-1.1603442120386886E-2</v>
      </c>
      <c r="AB9" s="2">
        <f t="shared" si="4"/>
        <v>-5.0651237032040378E-5</v>
      </c>
      <c r="AC9" s="2">
        <f t="shared" si="5"/>
        <v>3.1980767762645806E-4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-201.5525978930832</v>
      </c>
      <c r="AI9" s="2">
        <f t="shared" si="14"/>
        <v>2281.25</v>
      </c>
      <c r="AJ9" s="2">
        <v>239.66485127055239</v>
      </c>
      <c r="AK9" s="2">
        <f t="shared" si="9"/>
        <v>1984.375</v>
      </c>
      <c r="AL9" s="2">
        <v>23.376165803675349</v>
      </c>
      <c r="AM9" s="2">
        <f t="shared" si="10"/>
        <v>-4711.5269465102201</v>
      </c>
      <c r="AN9" s="2">
        <f t="shared" si="11"/>
        <v>5602.4453006136255</v>
      </c>
      <c r="AO9" s="2">
        <f t="shared" si="12"/>
        <v>593.75</v>
      </c>
    </row>
    <row r="10" spans="2:41" x14ac:dyDescent="0.2">
      <c r="B10" s="6" t="s">
        <v>134</v>
      </c>
      <c r="C10" s="16">
        <v>1.5748737040488201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346.00149013636087</v>
      </c>
      <c r="H10" s="22" t="s">
        <v>97</v>
      </c>
      <c r="J10" s="6" t="s">
        <v>92</v>
      </c>
      <c r="K10" s="6">
        <f xml:space="preserve"> $C$18 * (G10*G6 + G20*G13 + G29*G25 + G33*G32)/3600</f>
        <v>113.47944108562767</v>
      </c>
      <c r="L10" s="6" t="s">
        <v>98</v>
      </c>
      <c r="N10" s="6" t="s">
        <v>39</v>
      </c>
      <c r="O10" s="6">
        <f xml:space="preserve"> O5 * $C$12 * O9</f>
        <v>1241.4690996845673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4.3651906483032077E-3</v>
      </c>
      <c r="X10" s="2">
        <f t="shared" si="8"/>
        <v>0.984375</v>
      </c>
      <c r="Y10" s="2">
        <f t="shared" si="1"/>
        <v>-1.1603442120386886E-2</v>
      </c>
      <c r="Z10" s="2">
        <f t="shared" si="3"/>
        <v>0.9765625</v>
      </c>
      <c r="AA10" s="2">
        <f t="shared" si="2"/>
        <v>-3.6204853985564167E-3</v>
      </c>
      <c r="AB10" s="2">
        <f t="shared" si="4"/>
        <v>-1.5804109004096781E-5</v>
      </c>
      <c r="AC10" s="2">
        <f t="shared" si="5"/>
        <v>4.2010092769855233E-5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-201.5525978930832</v>
      </c>
      <c r="AI10" s="2">
        <f t="shared" si="14"/>
        <v>1984.375</v>
      </c>
      <c r="AJ10" s="2">
        <v>23.376165803675349</v>
      </c>
      <c r="AK10" s="2">
        <f t="shared" si="9"/>
        <v>1835.9375</v>
      </c>
      <c r="AL10" s="2">
        <v>-87.999100101464137</v>
      </c>
      <c r="AM10" s="2">
        <f t="shared" si="10"/>
        <v>17736.447237703578</v>
      </c>
      <c r="AN10" s="2">
        <f t="shared" si="11"/>
        <v>-2057.08155454605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0.91103494981239208</v>
      </c>
      <c r="U11" s="2">
        <v>7</v>
      </c>
      <c r="V11" s="2">
        <f t="shared" si="7"/>
        <v>0.96875</v>
      </c>
      <c r="W11" s="2">
        <f t="shared" si="0"/>
        <v>4.3651906483032077E-3</v>
      </c>
      <c r="X11" s="2">
        <f t="shared" si="8"/>
        <v>0.9765625</v>
      </c>
      <c r="Y11" s="2">
        <f t="shared" si="1"/>
        <v>-3.6204853985564167E-3</v>
      </c>
      <c r="Z11" s="2">
        <f t="shared" si="3"/>
        <v>0.97265625</v>
      </c>
      <c r="AA11" s="2">
        <f t="shared" si="2"/>
        <v>3.7200867334408194E-4</v>
      </c>
      <c r="AB11" s="2">
        <f t="shared" si="4"/>
        <v>1.6238887819692692E-6</v>
      </c>
      <c r="AC11" s="2">
        <f t="shared" si="5"/>
        <v>-1.3468519699785923E-6</v>
      </c>
      <c r="AD11" s="2">
        <f t="shared" si="6"/>
        <v>7.8125E-3</v>
      </c>
      <c r="AF11" s="2">
        <v>7</v>
      </c>
      <c r="AG11" s="2">
        <f t="shared" si="13"/>
        <v>1835.9375</v>
      </c>
      <c r="AH11" s="2">
        <v>-87.999100101464137</v>
      </c>
      <c r="AI11" s="2">
        <f t="shared" si="14"/>
        <v>1984.375</v>
      </c>
      <c r="AJ11" s="2">
        <v>23.376165803675349</v>
      </c>
      <c r="AK11" s="2">
        <f t="shared" si="9"/>
        <v>1910.15625</v>
      </c>
      <c r="AL11" s="2">
        <v>-32.040463417758247</v>
      </c>
      <c r="AM11" s="2">
        <f t="shared" si="10"/>
        <v>2819.5319475966076</v>
      </c>
      <c r="AN11" s="2">
        <f t="shared" si="11"/>
        <v>-748.98318528011134</v>
      </c>
      <c r="AO11" s="2">
        <f t="shared" si="12"/>
        <v>148.4375</v>
      </c>
    </row>
    <row r="12" spans="2:41" x14ac:dyDescent="0.2">
      <c r="B12" s="6" t="s">
        <v>135</v>
      </c>
      <c r="C12" s="16">
        <v>29.999999999999901</v>
      </c>
      <c r="D12" s="6" t="s">
        <v>11</v>
      </c>
      <c r="F12" s="30" t="s">
        <v>82</v>
      </c>
      <c r="G12" s="31"/>
      <c r="H12" s="31"/>
      <c r="N12" s="6" t="s">
        <v>138</v>
      </c>
      <c r="O12" s="6">
        <f xml:space="preserve"> O4 / (O5 * $C$12)</f>
        <v>0.28137593520678444</v>
      </c>
      <c r="U12" s="2">
        <v>8</v>
      </c>
      <c r="V12" s="2">
        <f t="shared" si="7"/>
        <v>0.97265625</v>
      </c>
      <c r="W12" s="2">
        <f t="shared" si="0"/>
        <v>3.7200867334408194E-4</v>
      </c>
      <c r="X12" s="2">
        <f t="shared" si="8"/>
        <v>0.9765625</v>
      </c>
      <c r="Y12" s="2">
        <f t="shared" si="1"/>
        <v>-3.6204853985564167E-3</v>
      </c>
      <c r="Z12" s="2">
        <f t="shared" si="3"/>
        <v>0.974609375</v>
      </c>
      <c r="AA12" s="2">
        <f t="shared" si="2"/>
        <v>-1.6243238410378336E-3</v>
      </c>
      <c r="AB12" s="2">
        <f t="shared" si="4"/>
        <v>-6.0426255718564791E-7</v>
      </c>
      <c r="AC12" s="2">
        <f t="shared" si="5"/>
        <v>5.8808407490045503E-6</v>
      </c>
      <c r="AD12" s="2">
        <f t="shared" si="6"/>
        <v>3.90625E-3</v>
      </c>
      <c r="AF12" s="2">
        <v>8</v>
      </c>
      <c r="AG12" s="2">
        <f t="shared" si="13"/>
        <v>1910.15625</v>
      </c>
      <c r="AH12" s="2">
        <v>-32.040463417758247</v>
      </c>
      <c r="AI12" s="2">
        <f t="shared" si="14"/>
        <v>1984.375</v>
      </c>
      <c r="AJ12" s="2">
        <v>23.376165803675349</v>
      </c>
      <c r="AK12" s="2">
        <f t="shared" si="9"/>
        <v>1947.265625</v>
      </c>
      <c r="AL12" s="2">
        <v>-4.2645447600993975</v>
      </c>
      <c r="AM12" s="2">
        <f t="shared" si="10"/>
        <v>136.63799037935738</v>
      </c>
      <c r="AN12" s="2">
        <f t="shared" si="11"/>
        <v>-99.688705389278425</v>
      </c>
      <c r="AO12" s="2">
        <f t="shared" si="12"/>
        <v>74.21875</v>
      </c>
    </row>
    <row r="13" spans="2:41" x14ac:dyDescent="0.2">
      <c r="B13" s="6" t="s">
        <v>136</v>
      </c>
      <c r="C13" s="16">
        <v>4.6858591968161596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2.4153847028744315E-2</v>
      </c>
      <c r="U13" s="2">
        <v>9</v>
      </c>
      <c r="V13" s="2">
        <f t="shared" si="7"/>
        <v>0.97265625</v>
      </c>
      <c r="W13" s="2">
        <f t="shared" si="0"/>
        <v>3.7200867334408194E-4</v>
      </c>
      <c r="X13" s="2">
        <f t="shared" si="8"/>
        <v>0.974609375</v>
      </c>
      <c r="Y13" s="2">
        <f t="shared" si="1"/>
        <v>-1.6243238410378336E-3</v>
      </c>
      <c r="Z13" s="2">
        <f t="shared" si="3"/>
        <v>0.9736328125</v>
      </c>
      <c r="AA13" s="2">
        <f t="shared" si="2"/>
        <v>-6.2617901682260335E-4</v>
      </c>
      <c r="AB13" s="2">
        <f t="shared" si="4"/>
        <v>-2.3294402532407823E-7</v>
      </c>
      <c r="AC13" s="2">
        <f t="shared" si="5"/>
        <v>1.0171175057825852E-6</v>
      </c>
      <c r="AD13" s="2">
        <f t="shared" si="6"/>
        <v>1.953125E-3</v>
      </c>
      <c r="AF13" s="2">
        <v>9</v>
      </c>
      <c r="AG13" s="2">
        <f t="shared" si="13"/>
        <v>1947.265625</v>
      </c>
      <c r="AH13" s="2">
        <v>-4.2645447600993975</v>
      </c>
      <c r="AI13" s="2">
        <f t="shared" si="14"/>
        <v>1984.375</v>
      </c>
      <c r="AJ13" s="2">
        <v>-4.2645447600993975</v>
      </c>
      <c r="AK13" s="2">
        <f t="shared" si="9"/>
        <v>1965.8203125</v>
      </c>
      <c r="AL13" s="2">
        <v>-4.2645447600993975</v>
      </c>
      <c r="AM13" s="2">
        <f t="shared" si="10"/>
        <v>18.186342010891227</v>
      </c>
      <c r="AN13" s="2">
        <f t="shared" si="11"/>
        <v>18.186342010891227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70.219812059900292</v>
      </c>
      <c r="H14" s="6" t="s">
        <v>10</v>
      </c>
      <c r="J14" s="9" t="s">
        <v>75</v>
      </c>
      <c r="K14" s="17">
        <f>C5</f>
        <v>1952.98071428666</v>
      </c>
      <c r="L14" s="6" t="s">
        <v>7</v>
      </c>
      <c r="N14" s="6" t="s">
        <v>40</v>
      </c>
      <c r="O14" s="6">
        <f xml:space="preserve"> O5 * O13 * $C$12</f>
        <v>1643.0392026137106</v>
      </c>
      <c r="P14" s="6" t="s">
        <v>21</v>
      </c>
      <c r="U14" s="2">
        <v>10</v>
      </c>
      <c r="V14" s="2">
        <f t="shared" si="7"/>
        <v>0.97265625</v>
      </c>
      <c r="W14" s="2">
        <f t="shared" si="0"/>
        <v>3.7200867334408194E-4</v>
      </c>
      <c r="X14" s="2">
        <f t="shared" si="8"/>
        <v>0.9736328125</v>
      </c>
      <c r="Y14" s="2">
        <f t="shared" si="1"/>
        <v>-6.2617901682260335E-4</v>
      </c>
      <c r="Z14" s="2">
        <f t="shared" si="3"/>
        <v>0.97314453125</v>
      </c>
      <c r="AA14" s="2">
        <f t="shared" si="2"/>
        <v>-1.2709053793147351E-4</v>
      </c>
      <c r="AB14" s="2">
        <f t="shared" si="4"/>
        <v>-4.7278782410473185E-8</v>
      </c>
      <c r="AC14" s="2">
        <f t="shared" si="5"/>
        <v>7.9581428089385859E-8</v>
      </c>
      <c r="AD14" s="2">
        <f t="shared" si="6"/>
        <v>9.765625E-4</v>
      </c>
      <c r="AF14" s="2">
        <v>10</v>
      </c>
      <c r="AG14" s="2">
        <f t="shared" si="13"/>
        <v>1965.8203125</v>
      </c>
      <c r="AH14" s="2">
        <v>9.5726940555694</v>
      </c>
      <c r="AI14" s="2">
        <f t="shared" si="14"/>
        <v>1965.8203125</v>
      </c>
      <c r="AJ14" s="2">
        <v>-4.2645447600993975</v>
      </c>
      <c r="AK14" s="2">
        <f t="shared" si="9"/>
        <v>1965.8203125</v>
      </c>
      <c r="AL14" s="2">
        <v>-4.2645447600993975</v>
      </c>
      <c r="AM14" s="2">
        <f t="shared" si="10"/>
        <v>-40.823182274713133</v>
      </c>
      <c r="AN14" s="2">
        <f t="shared" si="11"/>
        <v>18.186342010891227</v>
      </c>
      <c r="AO14" s="2">
        <f t="shared" si="12"/>
        <v>0</v>
      </c>
    </row>
    <row r="15" spans="2:41" x14ac:dyDescent="0.2">
      <c r="B15" s="28" t="s">
        <v>12</v>
      </c>
      <c r="C15" s="28"/>
      <c r="D15" s="28"/>
      <c r="F15" s="6" t="s">
        <v>143</v>
      </c>
      <c r="G15" s="6">
        <f>G14/$C$73</f>
        <v>0.21104665266563563</v>
      </c>
      <c r="H15" s="6" t="s">
        <v>120</v>
      </c>
      <c r="J15" s="10" t="s">
        <v>53</v>
      </c>
      <c r="K15" s="6">
        <f xml:space="preserve"> 1000 * K10 / ($C$60 * $C$61 * $C$62)</f>
        <v>667.52612403310388</v>
      </c>
      <c r="L15" s="6" t="s">
        <v>7</v>
      </c>
      <c r="N15" s="6" t="s">
        <v>140</v>
      </c>
      <c r="O15" s="6">
        <f>O4/O14</f>
        <v>11.64932173628212</v>
      </c>
      <c r="U15" s="2">
        <v>11</v>
      </c>
      <c r="V15" s="2">
        <f t="shared" si="7"/>
        <v>0.97265625</v>
      </c>
      <c r="W15" s="2">
        <f t="shared" si="0"/>
        <v>3.7200867334408194E-4</v>
      </c>
      <c r="X15" s="2">
        <f t="shared" si="8"/>
        <v>0.97314453125</v>
      </c>
      <c r="Y15" s="2">
        <f t="shared" si="1"/>
        <v>-1.2709053793147351E-4</v>
      </c>
      <c r="Z15" s="2">
        <f t="shared" si="3"/>
        <v>0.972900390625</v>
      </c>
      <c r="AA15" s="2">
        <f t="shared" si="2"/>
        <v>1.2245772516294995E-4</v>
      </c>
      <c r="AB15" s="2">
        <f t="shared" si="4"/>
        <v>4.5555335878603213E-8</v>
      </c>
      <c r="AC15" s="2">
        <f t="shared" si="5"/>
        <v>-1.5563218164823849E-8</v>
      </c>
      <c r="AD15" s="2">
        <f t="shared" si="6"/>
        <v>4.8828125E-4</v>
      </c>
      <c r="AF15" s="2">
        <v>11</v>
      </c>
      <c r="AG15" s="2">
        <f t="shared" si="13"/>
        <v>1965.8203125</v>
      </c>
      <c r="AH15" s="2">
        <v>9.5726940555694</v>
      </c>
      <c r="AI15" s="2">
        <f t="shared" si="14"/>
        <v>1965.8203125</v>
      </c>
      <c r="AJ15" s="2">
        <v>-4.2645447600993975</v>
      </c>
      <c r="AK15" s="2">
        <f t="shared" si="9"/>
        <v>1965.8203125</v>
      </c>
      <c r="AL15" s="2">
        <v>-4.2645447600993975</v>
      </c>
      <c r="AM15" s="2">
        <f t="shared" si="10"/>
        <v>-40.823182274713133</v>
      </c>
      <c r="AN15" s="2">
        <f t="shared" si="11"/>
        <v>18.186342010891227</v>
      </c>
      <c r="AO15" s="2">
        <f t="shared" si="12"/>
        <v>0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1643.0392026137106</v>
      </c>
      <c r="H16" s="6" t="s">
        <v>21</v>
      </c>
      <c r="J16" s="11" t="s">
        <v>123</v>
      </c>
      <c r="K16" s="6">
        <f xml:space="preserve"> liftcruise_opt_550_test_550!K16</f>
        <v>112.60174897395157</v>
      </c>
      <c r="L16" s="6" t="s">
        <v>7</v>
      </c>
      <c r="N16" s="6" t="s">
        <v>111</v>
      </c>
      <c r="O16" s="6">
        <f>(O13*$C$12)/(0.3048^2)/($C$5*2.20462/1000)^(2/3)</f>
        <v>2.9470658672147132</v>
      </c>
      <c r="U16" s="2">
        <v>12</v>
      </c>
      <c r="V16" s="2">
        <f t="shared" si="7"/>
        <v>0.972900390625</v>
      </c>
      <c r="W16" s="2">
        <f t="shared" si="0"/>
        <v>1.2245772516294995E-4</v>
      </c>
      <c r="X16" s="2">
        <f t="shared" si="8"/>
        <v>0.97314453125</v>
      </c>
      <c r="Y16" s="2">
        <f t="shared" si="1"/>
        <v>-1.2709053793147351E-4</v>
      </c>
      <c r="Z16" s="2">
        <f t="shared" si="3"/>
        <v>0.9730224609375</v>
      </c>
      <c r="AA16" s="2">
        <f t="shared" si="2"/>
        <v>-2.3167418956582253E-6</v>
      </c>
      <c r="AB16" s="2">
        <f t="shared" si="4"/>
        <v>-2.8370294233200664E-10</v>
      </c>
      <c r="AC16" s="2">
        <f t="shared" si="5"/>
        <v>2.9443597376758555E-10</v>
      </c>
      <c r="AD16" s="2">
        <f t="shared" si="6"/>
        <v>2.44140625E-4</v>
      </c>
      <c r="AF16" s="2">
        <v>12</v>
      </c>
      <c r="AG16" s="2">
        <f t="shared" si="13"/>
        <v>1965.8203125</v>
      </c>
      <c r="AH16" s="2">
        <v>9.5726940555694</v>
      </c>
      <c r="AI16" s="2">
        <f t="shared" si="14"/>
        <v>1965.8203125</v>
      </c>
      <c r="AJ16" s="2">
        <v>-4.2645447600993975</v>
      </c>
      <c r="AK16" s="2">
        <f t="shared" si="9"/>
        <v>1965.8203125</v>
      </c>
      <c r="AL16" s="2">
        <v>-4.2645447600993975</v>
      </c>
      <c r="AM16" s="2">
        <f t="shared" si="10"/>
        <v>-40.823182274713133</v>
      </c>
      <c r="AN16" s="2">
        <f t="shared" si="11"/>
        <v>18.186342010891227</v>
      </c>
      <c r="AO16" s="2">
        <f t="shared" si="12"/>
        <v>0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115.38797629184621</v>
      </c>
      <c r="H17" s="6" t="s">
        <v>97</v>
      </c>
      <c r="J17" s="11" t="s">
        <v>124</v>
      </c>
      <c r="K17" s="6">
        <f xml:space="preserve"> liftcruise_opt_550_test_550!K17</f>
        <v>0</v>
      </c>
      <c r="L17" s="6" t="s">
        <v>7</v>
      </c>
      <c r="U17" s="2">
        <v>13</v>
      </c>
      <c r="V17" s="2">
        <f t="shared" si="7"/>
        <v>0.972900390625</v>
      </c>
      <c r="W17" s="2">
        <f t="shared" si="0"/>
        <v>1.2245772516294995E-4</v>
      </c>
      <c r="X17" s="2">
        <f t="shared" si="8"/>
        <v>0.9730224609375</v>
      </c>
      <c r="Y17" s="2">
        <f t="shared" si="1"/>
        <v>-2.3167418956582253E-6</v>
      </c>
      <c r="Z17" s="2">
        <f t="shared" si="3"/>
        <v>0.97296142578125</v>
      </c>
      <c r="AA17" s="2">
        <f t="shared" si="2"/>
        <v>6.0070407740253629E-5</v>
      </c>
      <c r="AB17" s="2">
        <f t="shared" si="4"/>
        <v>7.3560854814823202E-9</v>
      </c>
      <c r="AC17" s="2">
        <f t="shared" si="5"/>
        <v>-1.3916763030111772E-10</v>
      </c>
      <c r="AD17" s="2">
        <f t="shared" si="6"/>
        <v>1.220703125E-4</v>
      </c>
      <c r="AF17" s="2">
        <v>13</v>
      </c>
      <c r="AG17" s="2">
        <f t="shared" si="13"/>
        <v>1965.8203125</v>
      </c>
      <c r="AH17" s="2">
        <v>9.5726940555694</v>
      </c>
      <c r="AI17" s="2">
        <f t="shared" si="14"/>
        <v>1965.8203125</v>
      </c>
      <c r="AJ17" s="2">
        <v>-4.2645447600993975</v>
      </c>
      <c r="AK17" s="2">
        <f t="shared" si="9"/>
        <v>1965.8203125</v>
      </c>
      <c r="AL17" s="2">
        <v>-4.2645447600993975</v>
      </c>
      <c r="AM17" s="2">
        <f t="shared" si="10"/>
        <v>-40.823182274713133</v>
      </c>
      <c r="AN17" s="2">
        <f t="shared" si="11"/>
        <v>18.186342010891227</v>
      </c>
      <c r="AO17" s="2">
        <f t="shared" si="12"/>
        <v>0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1.452903460075418</v>
      </c>
      <c r="H18" s="6" t="s">
        <v>172</v>
      </c>
      <c r="J18" s="12" t="s">
        <v>54</v>
      </c>
      <c r="K18" s="6">
        <f xml:space="preserve"> liftcruise_opt_550_test_550!K18</f>
        <v>90.196178284399437</v>
      </c>
      <c r="L18" s="6" t="s">
        <v>7</v>
      </c>
      <c r="N18" s="30" t="s">
        <v>141</v>
      </c>
      <c r="O18" s="32"/>
      <c r="P18" s="32"/>
      <c r="U18" s="2">
        <v>14</v>
      </c>
      <c r="V18" s="2">
        <f t="shared" si="7"/>
        <v>0.97296142578125</v>
      </c>
      <c r="W18" s="2">
        <f t="shared" si="0"/>
        <v>6.0070407740253629E-5</v>
      </c>
      <c r="X18" s="2">
        <f t="shared" si="8"/>
        <v>0.9730224609375</v>
      </c>
      <c r="Y18" s="2">
        <f t="shared" si="1"/>
        <v>-2.3167418956582253E-6</v>
      </c>
      <c r="Z18" s="2">
        <f t="shared" si="3"/>
        <v>0.972991943359375</v>
      </c>
      <c r="AA18" s="2">
        <f t="shared" si="2"/>
        <v>2.8876811950961923E-5</v>
      </c>
      <c r="AB18" s="2">
        <f t="shared" si="4"/>
        <v>1.7346418681329115E-9</v>
      </c>
      <c r="AC18" s="2">
        <f t="shared" si="5"/>
        <v>-6.6900120059837626E-11</v>
      </c>
      <c r="AD18" s="2">
        <f t="shared" si="6"/>
        <v>6.103515625E-5</v>
      </c>
      <c r="AF18" s="2">
        <v>14</v>
      </c>
      <c r="AG18" s="2">
        <f t="shared" si="13"/>
        <v>1965.8203125</v>
      </c>
      <c r="AH18" s="2">
        <v>9.5726940555694</v>
      </c>
      <c r="AI18" s="2">
        <f t="shared" si="14"/>
        <v>1965.8203125</v>
      </c>
      <c r="AJ18" s="2">
        <v>-4.2645447600993975</v>
      </c>
      <c r="AK18" s="2">
        <f t="shared" si="9"/>
        <v>1965.8203125</v>
      </c>
      <c r="AL18" s="2">
        <v>-4.2645447600993975</v>
      </c>
      <c r="AM18" s="2">
        <f t="shared" si="10"/>
        <v>-40.823182274713133</v>
      </c>
      <c r="AN18" s="2">
        <f t="shared" si="11"/>
        <v>18.186342010891227</v>
      </c>
      <c r="AO18" s="2">
        <f t="shared" si="12"/>
        <v>0</v>
      </c>
    </row>
    <row r="19" spans="2:41" x14ac:dyDescent="0.2">
      <c r="F19" s="8" t="s">
        <v>173</v>
      </c>
      <c r="G19" s="6">
        <f>O23 / ($C$29*$C$11/PI())</f>
        <v>4.9886382593235398E-2</v>
      </c>
      <c r="J19" s="12" t="s">
        <v>73</v>
      </c>
      <c r="K19" s="6">
        <f xml:space="preserve"> liftcruise_opt_550_test_550!K19</f>
        <v>48.473063072392407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0.972991943359375</v>
      </c>
      <c r="W19" s="2">
        <f t="shared" si="0"/>
        <v>2.8876811950961923E-5</v>
      </c>
      <c r="X19" s="2">
        <f t="shared" si="8"/>
        <v>0.9730224609375</v>
      </c>
      <c r="Y19" s="2">
        <f t="shared" si="1"/>
        <v>-2.3167418956582253E-6</v>
      </c>
      <c r="Z19" s="2">
        <f t="shared" si="3"/>
        <v>0.9730072021484375</v>
      </c>
      <c r="AA19" s="2">
        <f t="shared" si="2"/>
        <v>1.3280029785067704E-5</v>
      </c>
      <c r="AB19" s="2">
        <f t="shared" si="4"/>
        <v>3.8348492280657336E-10</v>
      </c>
      <c r="AC19" s="2">
        <f t="shared" si="5"/>
        <v>-3.0766401378655449E-11</v>
      </c>
      <c r="AD19" s="2">
        <f t="shared" si="6"/>
        <v>3.0517578125E-5</v>
      </c>
      <c r="AF19" s="2">
        <v>15</v>
      </c>
      <c r="AG19" s="2">
        <f t="shared" si="13"/>
        <v>1965.8203125</v>
      </c>
      <c r="AH19" s="2">
        <v>9.5726940555694</v>
      </c>
      <c r="AI19" s="2">
        <f t="shared" si="14"/>
        <v>1965.8203125</v>
      </c>
      <c r="AJ19" s="2">
        <v>-4.2645447600993975</v>
      </c>
      <c r="AK19" s="2">
        <f t="shared" si="9"/>
        <v>1965.8203125</v>
      </c>
      <c r="AL19" s="2">
        <v>-4.2645447600993975</v>
      </c>
      <c r="AM19" s="2">
        <f t="shared" si="10"/>
        <v>-40.823182274713133</v>
      </c>
      <c r="AN19" s="2">
        <f t="shared" si="11"/>
        <v>18.186342010891227</v>
      </c>
      <c r="AO19" s="2">
        <f t="shared" si="12"/>
        <v>0</v>
      </c>
    </row>
    <row r="20" spans="2:41" x14ac:dyDescent="0.2">
      <c r="B20" s="28" t="s">
        <v>108</v>
      </c>
      <c r="C20" s="28"/>
      <c r="D20" s="28"/>
      <c r="F20" s="23" t="s">
        <v>128</v>
      </c>
      <c r="G20" s="22">
        <f xml:space="preserve"> $C$28 * G17</f>
        <v>115.38797629184621</v>
      </c>
      <c r="H20" s="22" t="s">
        <v>97</v>
      </c>
      <c r="J20" s="13" t="s">
        <v>61</v>
      </c>
      <c r="K20" s="6">
        <f xml:space="preserve"> liftcruise_opt_550_test_550!K20</f>
        <v>204.25614821113149</v>
      </c>
      <c r="L20" s="6" t="s">
        <v>7</v>
      </c>
      <c r="N20" s="6" t="s">
        <v>20</v>
      </c>
      <c r="O20" s="6">
        <f xml:space="preserve"> O14 / $C$28</f>
        <v>1643.0392026137106</v>
      </c>
      <c r="P20" s="6" t="s">
        <v>21</v>
      </c>
      <c r="U20" s="2">
        <v>16</v>
      </c>
      <c r="V20" s="2">
        <f t="shared" si="7"/>
        <v>0.9730072021484375</v>
      </c>
      <c r="W20" s="2">
        <f t="shared" si="0"/>
        <v>1.3280029785067704E-5</v>
      </c>
      <c r="X20" s="2">
        <f t="shared" si="8"/>
        <v>0.9730224609375</v>
      </c>
      <c r="Y20" s="2">
        <f t="shared" si="1"/>
        <v>-2.3167418956582253E-6</v>
      </c>
      <c r="Z20" s="2">
        <f t="shared" si="3"/>
        <v>0.97301483154296875</v>
      </c>
      <c r="AA20" s="2">
        <f t="shared" si="2"/>
        <v>5.4816426340309476E-6</v>
      </c>
      <c r="AB20" s="2">
        <f t="shared" si="4"/>
        <v>7.2796377451027964E-11</v>
      </c>
      <c r="AC20" s="2">
        <f t="shared" si="5"/>
        <v>-1.2699551147285805E-11</v>
      </c>
      <c r="AD20" s="2">
        <f t="shared" si="6"/>
        <v>1.52587890625E-5</v>
      </c>
      <c r="AF20" s="2">
        <v>16</v>
      </c>
      <c r="AG20" s="2">
        <f t="shared" si="13"/>
        <v>1965.8203125</v>
      </c>
      <c r="AH20" s="2">
        <v>9.5726940555694</v>
      </c>
      <c r="AI20" s="2">
        <f t="shared" si="14"/>
        <v>1965.8203125</v>
      </c>
      <c r="AJ20" s="2">
        <v>-4.2645447600993975</v>
      </c>
      <c r="AK20" s="2">
        <f t="shared" si="9"/>
        <v>1965.8203125</v>
      </c>
      <c r="AL20" s="2">
        <v>-4.2645447600993975</v>
      </c>
      <c r="AM20" s="2">
        <f t="shared" si="10"/>
        <v>-40.823182274713133</v>
      </c>
      <c r="AN20" s="2">
        <f t="shared" si="11"/>
        <v>18.186342010891227</v>
      </c>
      <c r="AO20" s="2">
        <f t="shared" si="12"/>
        <v>0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liftcruise_opt_550_test_550!K21</f>
        <v>40.185358111572967</v>
      </c>
      <c r="L21" s="6" t="s">
        <v>7</v>
      </c>
      <c r="N21" s="6" t="s">
        <v>27</v>
      </c>
      <c r="O21" s="6">
        <f>$C$6*2*PI()/60</f>
        <v>44.587583041975485</v>
      </c>
      <c r="P21" s="6" t="s">
        <v>28</v>
      </c>
      <c r="U21" s="2">
        <v>17</v>
      </c>
      <c r="V21" s="2">
        <f t="shared" si="7"/>
        <v>0.97301483154296875</v>
      </c>
      <c r="W21" s="2">
        <f t="shared" si="0"/>
        <v>5.4816426340309476E-6</v>
      </c>
      <c r="X21" s="2">
        <f t="shared" si="8"/>
        <v>0.9730224609375</v>
      </c>
      <c r="Y21" s="2">
        <f t="shared" si="1"/>
        <v>-2.3167418956582253E-6</v>
      </c>
      <c r="Z21" s="2">
        <f t="shared" si="3"/>
        <v>0.97301864624023438</v>
      </c>
      <c r="AA21" s="2">
        <f t="shared" si="2"/>
        <v>1.5824500415595466E-6</v>
      </c>
      <c r="AB21" s="2">
        <f t="shared" si="4"/>
        <v>8.6744256140368557E-12</v>
      </c>
      <c r="AC21" s="2">
        <f t="shared" si="5"/>
        <v>-3.6661283090671012E-12</v>
      </c>
      <c r="AD21" s="2">
        <f t="shared" si="6"/>
        <v>7.62939453125E-6</v>
      </c>
      <c r="AF21" s="2">
        <v>17</v>
      </c>
      <c r="AG21" s="2">
        <f t="shared" si="13"/>
        <v>1965.8203125</v>
      </c>
      <c r="AH21" s="2">
        <v>9.5726940555694</v>
      </c>
      <c r="AI21" s="2">
        <f t="shared" si="14"/>
        <v>1965.8203125</v>
      </c>
      <c r="AJ21" s="2">
        <v>-4.2645447600993975</v>
      </c>
      <c r="AK21" s="2">
        <f t="shared" si="9"/>
        <v>1965.8203125</v>
      </c>
      <c r="AL21" s="2">
        <v>-4.2645447600993975</v>
      </c>
      <c r="AM21" s="2">
        <f t="shared" si="10"/>
        <v>-40.823182274713133</v>
      </c>
      <c r="AN21" s="2">
        <f t="shared" si="11"/>
        <v>18.186342010891227</v>
      </c>
      <c r="AO21" s="2">
        <f t="shared" si="12"/>
        <v>0</v>
      </c>
    </row>
    <row r="22" spans="2:41" x14ac:dyDescent="0.2">
      <c r="B22" s="6" t="s">
        <v>107</v>
      </c>
      <c r="C22" s="16">
        <v>2</v>
      </c>
      <c r="F22" s="28" t="s">
        <v>77</v>
      </c>
      <c r="G22" s="28"/>
      <c r="H22" s="28"/>
      <c r="J22" s="13" t="s">
        <v>144</v>
      </c>
      <c r="K22" s="6">
        <f xml:space="preserve"> liftcruise_opt_550_test_550!K22</f>
        <v>74.627567860889812</v>
      </c>
      <c r="L22" s="6" t="s">
        <v>7</v>
      </c>
      <c r="N22" s="6" t="s">
        <v>29</v>
      </c>
      <c r="O22" s="6">
        <f xml:space="preserve"> $C$7 * COS(O19/180*PI()) / (O21 * $C$10)</f>
        <v>8.3228868238803391E-2</v>
      </c>
      <c r="U22" s="2">
        <v>18</v>
      </c>
      <c r="V22" s="2">
        <f t="shared" si="7"/>
        <v>0.97301864624023438</v>
      </c>
      <c r="W22" s="2">
        <f t="shared" si="0"/>
        <v>1.5824500415595466E-6</v>
      </c>
      <c r="X22" s="2">
        <f t="shared" si="8"/>
        <v>0.9730224609375</v>
      </c>
      <c r="Y22" s="2">
        <f t="shared" si="1"/>
        <v>-2.3167418956582253E-6</v>
      </c>
      <c r="Z22" s="2">
        <f t="shared" si="3"/>
        <v>0.97302055358886719</v>
      </c>
      <c r="AA22" s="2">
        <f t="shared" si="2"/>
        <v>-3.6714600892828742E-7</v>
      </c>
      <c r="AB22" s="2">
        <f t="shared" si="4"/>
        <v>-5.8099021708699009E-13</v>
      </c>
      <c r="AC22" s="2">
        <f t="shared" si="5"/>
        <v>8.505825407078723E-13</v>
      </c>
      <c r="AD22" s="2">
        <f t="shared" si="6"/>
        <v>3.814697265625E-6</v>
      </c>
      <c r="AF22" s="2">
        <v>18</v>
      </c>
      <c r="AG22" s="2">
        <f t="shared" si="13"/>
        <v>1965.8203125</v>
      </c>
      <c r="AH22" s="2">
        <v>9.5726940555694</v>
      </c>
      <c r="AI22" s="2">
        <f t="shared" si="14"/>
        <v>1965.8203125</v>
      </c>
      <c r="AJ22" s="2">
        <v>-4.2645447600993975</v>
      </c>
      <c r="AK22" s="2">
        <f t="shared" si="9"/>
        <v>1965.8203125</v>
      </c>
      <c r="AL22" s="2">
        <v>-4.2645447600993975</v>
      </c>
      <c r="AM22" s="2">
        <f t="shared" si="10"/>
        <v>-40.823182274713133</v>
      </c>
      <c r="AN22" s="2">
        <f t="shared" si="11"/>
        <v>18.186342010891227</v>
      </c>
      <c r="AO22" s="2">
        <f t="shared" si="12"/>
        <v>0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liftcruise_opt_550_test_550!K23</f>
        <v>18.148476634754942</v>
      </c>
      <c r="L23" s="6" t="s">
        <v>7</v>
      </c>
      <c r="N23" s="6" t="s">
        <v>30</v>
      </c>
      <c r="O23" s="6">
        <f xml:space="preserve"> O20 / ( $C$71 * PI() * $C$10^2 * O21^2 * $C$10^2)</f>
        <v>4.2402571602177648E-2</v>
      </c>
      <c r="U23" s="2">
        <v>19</v>
      </c>
      <c r="V23" s="2">
        <f t="shared" si="7"/>
        <v>0.97301864624023438</v>
      </c>
      <c r="W23" s="2">
        <f t="shared" si="0"/>
        <v>1.5824500415595466E-6</v>
      </c>
      <c r="X23" s="2">
        <f t="shared" si="8"/>
        <v>0.97302055358886719</v>
      </c>
      <c r="Y23" s="2">
        <f t="shared" si="1"/>
        <v>-3.6714600892828742E-7</v>
      </c>
      <c r="Z23" s="2">
        <f t="shared" si="3"/>
        <v>0.97301959991455078</v>
      </c>
      <c r="AA23" s="2">
        <f t="shared" si="2"/>
        <v>6.0765199583201479E-7</v>
      </c>
      <c r="AB23" s="2">
        <f t="shared" si="4"/>
        <v>9.6157892605811326E-13</v>
      </c>
      <c r="AC23" s="2">
        <f t="shared" si="5"/>
        <v>-2.2309700508703257E-13</v>
      </c>
      <c r="AD23" s="2">
        <f t="shared" si="6"/>
        <v>1.9073486328125E-6</v>
      </c>
      <c r="AF23" s="2">
        <v>19</v>
      </c>
      <c r="AG23" s="2">
        <f t="shared" si="13"/>
        <v>1965.8203125</v>
      </c>
      <c r="AH23" s="2">
        <v>9.5726940555694</v>
      </c>
      <c r="AI23" s="2">
        <f t="shared" si="14"/>
        <v>1965.8203125</v>
      </c>
      <c r="AJ23" s="2">
        <v>-4.2645447600993975</v>
      </c>
      <c r="AK23" s="2">
        <f t="shared" si="9"/>
        <v>1965.8203125</v>
      </c>
      <c r="AL23" s="2">
        <v>-4.2645447600993975</v>
      </c>
      <c r="AM23" s="2">
        <f t="shared" si="10"/>
        <v>-40.823182274713133</v>
      </c>
      <c r="AN23" s="2">
        <f t="shared" si="11"/>
        <v>18.186342010891227</v>
      </c>
      <c r="AO23" s="2">
        <f t="shared" si="12"/>
        <v>0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liftcruise_opt_550_test_550!K24</f>
        <v>7.0920522237342096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0.97301959991455078</v>
      </c>
      <c r="W24" s="2">
        <f t="shared" si="0"/>
        <v>6.0765199583201479E-7</v>
      </c>
      <c r="X24" s="2">
        <f t="shared" si="8"/>
        <v>0.97302055358886719</v>
      </c>
      <c r="Y24" s="2">
        <f t="shared" si="1"/>
        <v>-3.6714600892828742E-7</v>
      </c>
      <c r="Z24" s="2">
        <f t="shared" si="3"/>
        <v>0.97302007675170898</v>
      </c>
      <c r="AA24" s="2">
        <f t="shared" si="2"/>
        <v>1.2025298834483777E-7</v>
      </c>
      <c r="AB24" s="2">
        <f t="shared" si="4"/>
        <v>7.3071968372504686E-14</v>
      </c>
      <c r="AC24" s="2">
        <f t="shared" si="5"/>
        <v>-4.4150404732507052E-14</v>
      </c>
      <c r="AD24" s="2">
        <f t="shared" si="6"/>
        <v>9.5367431640625E-7</v>
      </c>
      <c r="AF24" s="2">
        <v>20</v>
      </c>
      <c r="AG24" s="2">
        <f t="shared" si="13"/>
        <v>1965.8203125</v>
      </c>
      <c r="AH24" s="2">
        <v>9.5726940555694</v>
      </c>
      <c r="AI24" s="2">
        <f t="shared" si="14"/>
        <v>1965.8203125</v>
      </c>
      <c r="AJ24" s="2">
        <v>-4.2645447600993975</v>
      </c>
      <c r="AK24" s="2">
        <f t="shared" si="9"/>
        <v>1965.8203125</v>
      </c>
      <c r="AL24" s="2">
        <v>-4.2645447600993975</v>
      </c>
      <c r="AM24" s="2">
        <f t="shared" si="10"/>
        <v>-40.823182274713133</v>
      </c>
      <c r="AN24" s="2">
        <f t="shared" si="11"/>
        <v>18.186342010891227</v>
      </c>
      <c r="AO24" s="2">
        <f t="shared" si="12"/>
        <v>0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 xml:space="preserve"> liftcruise_opt_550_test_550!K25</f>
        <v>16.809654602921061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2655.7914945779944</v>
      </c>
      <c r="P25" s="6" t="s">
        <v>19</v>
      </c>
      <c r="U25" s="2">
        <v>21</v>
      </c>
      <c r="V25" s="2">
        <f t="shared" si="7"/>
        <v>0.97302007675170898</v>
      </c>
      <c r="W25" s="2">
        <f t="shared" si="0"/>
        <v>1.2025298834483777E-7</v>
      </c>
      <c r="X25" s="2">
        <f t="shared" si="8"/>
        <v>0.97302055358886719</v>
      </c>
      <c r="Y25" s="2">
        <f t="shared" si="1"/>
        <v>-3.6714600892828742E-7</v>
      </c>
      <c r="Z25" s="2">
        <f t="shared" si="3"/>
        <v>0.97302031517028809</v>
      </c>
      <c r="AA25" s="2">
        <f t="shared" si="2"/>
        <v>-1.234465115684813E-7</v>
      </c>
      <c r="AB25" s="2">
        <f t="shared" si="4"/>
        <v>-1.4844811916855463E-14</v>
      </c>
      <c r="AC25" s="2">
        <f t="shared" si="5"/>
        <v>4.532289403848757E-14</v>
      </c>
      <c r="AD25" s="2">
        <f t="shared" si="6"/>
        <v>4.76837158203125E-7</v>
      </c>
      <c r="AF25" s="2">
        <v>21</v>
      </c>
      <c r="AG25" s="2">
        <f t="shared" si="13"/>
        <v>1965.8203125</v>
      </c>
      <c r="AH25" s="2">
        <v>9.5726940555694</v>
      </c>
      <c r="AI25" s="2">
        <f t="shared" si="14"/>
        <v>1965.8203125</v>
      </c>
      <c r="AJ25" s="2">
        <v>-4.2645447600993975</v>
      </c>
      <c r="AK25" s="2">
        <f t="shared" si="9"/>
        <v>1965.8203125</v>
      </c>
      <c r="AL25" s="2">
        <v>-4.2645447600993975</v>
      </c>
      <c r="AM25" s="2">
        <f t="shared" si="10"/>
        <v>-40.823182274713133</v>
      </c>
      <c r="AN25" s="2">
        <f t="shared" si="11"/>
        <v>18.186342010891227</v>
      </c>
      <c r="AO25" s="2">
        <f t="shared" si="12"/>
        <v>0</v>
      </c>
    </row>
    <row r="26" spans="2:41" x14ac:dyDescent="0.2">
      <c r="F26" s="6" t="s">
        <v>20</v>
      </c>
      <c r="G26" s="6">
        <f xml:space="preserve"> $C$5 * $C$68 / $C$21</f>
        <v>2392.7654087511992</v>
      </c>
      <c r="H26" s="6" t="s">
        <v>21</v>
      </c>
      <c r="J26" s="14" t="s">
        <v>65</v>
      </c>
      <c r="K26" s="6">
        <f xml:space="preserve"> liftcruise_opt_550_test_550!K26</f>
        <v>33.137464535081705</v>
      </c>
      <c r="L26" s="6" t="s">
        <v>7</v>
      </c>
      <c r="N26" s="6" t="s">
        <v>32</v>
      </c>
      <c r="O26" s="17">
        <f>Z34</f>
        <v>0.97302019456401467</v>
      </c>
      <c r="U26" s="2">
        <v>22</v>
      </c>
      <c r="V26" s="2">
        <f t="shared" si="7"/>
        <v>0.97302007675170898</v>
      </c>
      <c r="W26" s="2">
        <f t="shared" si="0"/>
        <v>1.2025298834483777E-7</v>
      </c>
      <c r="X26" s="2">
        <f t="shared" si="8"/>
        <v>0.97302031517028809</v>
      </c>
      <c r="Y26" s="2">
        <f t="shared" si="1"/>
        <v>-1.234465115684813E-7</v>
      </c>
      <c r="Z26" s="2">
        <f t="shared" si="3"/>
        <v>0.97302019596099854</v>
      </c>
      <c r="AA26" s="2">
        <f t="shared" si="2"/>
        <v>-1.5967619448886694E-9</v>
      </c>
      <c r="AB26" s="2">
        <f t="shared" si="4"/>
        <v>-1.9201539554817767E-16</v>
      </c>
      <c r="AC26" s="2">
        <f t="shared" si="5"/>
        <v>1.9711469190180984E-16</v>
      </c>
      <c r="AD26" s="2">
        <f t="shared" si="6"/>
        <v>2.384185791015625E-7</v>
      </c>
      <c r="AF26" s="2">
        <v>22</v>
      </c>
      <c r="AG26" s="2">
        <f t="shared" si="13"/>
        <v>1965.8203125</v>
      </c>
      <c r="AH26" s="2">
        <v>9.5726940555694</v>
      </c>
      <c r="AI26" s="2">
        <f t="shared" si="14"/>
        <v>1965.8203125</v>
      </c>
      <c r="AJ26" s="2">
        <v>-4.2645447600993975</v>
      </c>
      <c r="AK26" s="2">
        <f t="shared" si="9"/>
        <v>1965.8203125</v>
      </c>
      <c r="AL26" s="2">
        <v>-4.2645447600993975</v>
      </c>
      <c r="AM26" s="2">
        <f t="shared" si="10"/>
        <v>-40.823182274713133</v>
      </c>
      <c r="AN26" s="2">
        <f t="shared" si="11"/>
        <v>18.186342010891227</v>
      </c>
      <c r="AO26" s="2">
        <f t="shared" si="12"/>
        <v>0</v>
      </c>
    </row>
    <row r="27" spans="2:41" x14ac:dyDescent="0.2">
      <c r="B27" s="28" t="s">
        <v>146</v>
      </c>
      <c r="C27" s="28"/>
      <c r="D27" s="28"/>
      <c r="F27" t="s">
        <v>93</v>
      </c>
      <c r="G27" s="6">
        <f>G29/$C$21</f>
        <v>38.988469800888929</v>
      </c>
      <c r="H27" t="s">
        <v>97</v>
      </c>
      <c r="J27" s="14" t="s">
        <v>66</v>
      </c>
      <c r="K27" s="6">
        <f xml:space="preserve"> liftcruise_opt_550_test_550!K27</f>
        <v>6.814351140307318</v>
      </c>
      <c r="L27" s="6" t="s">
        <v>7</v>
      </c>
      <c r="N27" s="6" t="s">
        <v>33</v>
      </c>
      <c r="O27" s="6">
        <f xml:space="preserve"> O21 * $C$10 * O26 - $C$7 * SIN(O19/180*PI())</f>
        <v>1.524463517532638</v>
      </c>
      <c r="P27" s="6" t="s">
        <v>10</v>
      </c>
      <c r="U27" s="2">
        <v>23</v>
      </c>
      <c r="V27" s="2">
        <f t="shared" si="7"/>
        <v>0.97302007675170898</v>
      </c>
      <c r="W27" s="2">
        <f t="shared" si="0"/>
        <v>1.2025298834483777E-7</v>
      </c>
      <c r="X27" s="2">
        <f t="shared" si="8"/>
        <v>0.97302019596099854</v>
      </c>
      <c r="Y27" s="2">
        <f t="shared" si="1"/>
        <v>-1.5967619448886694E-9</v>
      </c>
      <c r="Z27" s="2">
        <f t="shared" si="3"/>
        <v>0.97302013635635376</v>
      </c>
      <c r="AA27" s="2">
        <f t="shared" si="2"/>
        <v>5.932811308895225E-8</v>
      </c>
      <c r="AB27" s="2">
        <f t="shared" si="4"/>
        <v>7.1343828918069917E-15</v>
      </c>
      <c r="AC27" s="2">
        <f t="shared" si="5"/>
        <v>-9.4732873242490319E-17</v>
      </c>
      <c r="AD27" s="2">
        <f t="shared" si="6"/>
        <v>1.1920928955078125E-7</v>
      </c>
      <c r="AF27" s="2">
        <v>23</v>
      </c>
      <c r="AG27" s="2">
        <f t="shared" si="13"/>
        <v>1965.8203125</v>
      </c>
      <c r="AH27" s="2">
        <v>9.5726940555694</v>
      </c>
      <c r="AI27" s="2">
        <f t="shared" si="14"/>
        <v>1965.8203125</v>
      </c>
      <c r="AJ27" s="2">
        <v>-4.2645447600993975</v>
      </c>
      <c r="AK27" s="2">
        <f t="shared" si="9"/>
        <v>1965.8203125</v>
      </c>
      <c r="AL27" s="2">
        <v>-4.2645447600993975</v>
      </c>
      <c r="AM27" s="2">
        <f t="shared" si="10"/>
        <v>-40.823182274713133</v>
      </c>
      <c r="AN27" s="2">
        <f t="shared" si="11"/>
        <v>18.186342010891227</v>
      </c>
      <c r="AO27" s="2">
        <f t="shared" si="12"/>
        <v>0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6.261404731515432</v>
      </c>
      <c r="H28" s="6" t="s">
        <v>172</v>
      </c>
      <c r="J28" s="14" t="s">
        <v>67</v>
      </c>
      <c r="K28" s="6">
        <f xml:space="preserve"> liftcruise_opt_550_test_550!K28</f>
        <v>9.8917804582333453</v>
      </c>
      <c r="L28" s="6" t="s">
        <v>7</v>
      </c>
      <c r="N28" s="6" t="s">
        <v>34</v>
      </c>
      <c r="O28" s="6">
        <f xml:space="preserve"> 1/$C$31 - O25 * SQRT( (2*$C$71*PI()*$C$10^2) / O20^3 )</f>
        <v>1.1752430102780611</v>
      </c>
      <c r="U28" s="2">
        <v>24</v>
      </c>
      <c r="V28" s="2">
        <f t="shared" si="7"/>
        <v>0.97302013635635376</v>
      </c>
      <c r="W28" s="2">
        <f t="shared" si="0"/>
        <v>5.932811308895225E-8</v>
      </c>
      <c r="X28" s="2">
        <f t="shared" si="8"/>
        <v>0.97302019596099854</v>
      </c>
      <c r="Y28" s="2">
        <f t="shared" si="1"/>
        <v>-1.5967619448886694E-9</v>
      </c>
      <c r="Z28" s="2">
        <f t="shared" si="3"/>
        <v>0.97302016615867615</v>
      </c>
      <c r="AA28" s="2">
        <f t="shared" si="2"/>
        <v>2.8865675627542942E-8</v>
      </c>
      <c r="AB28" s="2">
        <f t="shared" si="4"/>
        <v>1.7125460680198803E-15</v>
      </c>
      <c r="AC28" s="2">
        <f t="shared" si="5"/>
        <v>-4.609161235556093E-17</v>
      </c>
      <c r="AD28" s="2">
        <f t="shared" si="6"/>
        <v>5.9604644775390625E-8</v>
      </c>
      <c r="AF28" s="2">
        <v>24</v>
      </c>
      <c r="AG28" s="2">
        <f t="shared" si="13"/>
        <v>1965.8203125</v>
      </c>
      <c r="AH28" s="2">
        <v>9.5726940555694</v>
      </c>
      <c r="AI28" s="2">
        <f t="shared" si="14"/>
        <v>1965.8203125</v>
      </c>
      <c r="AJ28" s="2">
        <v>-4.2645447600993975</v>
      </c>
      <c r="AK28" s="2">
        <f t="shared" si="9"/>
        <v>1965.8203125</v>
      </c>
      <c r="AL28" s="2">
        <v>-4.2645447600993975</v>
      </c>
      <c r="AM28" s="2">
        <f t="shared" si="10"/>
        <v>-40.823182274713133</v>
      </c>
      <c r="AN28" s="2">
        <f t="shared" si="11"/>
        <v>18.186342010891227</v>
      </c>
      <c r="AO28" s="2">
        <f t="shared" si="12"/>
        <v>0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311.90775840711143</v>
      </c>
      <c r="H29" s="22" t="s">
        <v>97</v>
      </c>
      <c r="J29" s="14" t="s">
        <v>68</v>
      </c>
      <c r="K29" s="6">
        <f xml:space="preserve"> liftcruise_opt_550_test_550!K29</f>
        <v>23.219637473133915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0.97302016615867615</v>
      </c>
      <c r="W29" s="2">
        <f t="shared" si="0"/>
        <v>2.8865675627542942E-8</v>
      </c>
      <c r="X29" s="2">
        <f t="shared" si="8"/>
        <v>0.97302019596099854</v>
      </c>
      <c r="Y29" s="2">
        <f t="shared" si="1"/>
        <v>-1.5967619448886694E-9</v>
      </c>
      <c r="Z29" s="2">
        <f t="shared" si="3"/>
        <v>0.97302018105983734</v>
      </c>
      <c r="AA29" s="2">
        <f t="shared" si="2"/>
        <v>1.3634456785815985E-8</v>
      </c>
      <c r="AB29" s="2">
        <f t="shared" si="4"/>
        <v>3.9356780693711595E-16</v>
      </c>
      <c r="AC29" s="2">
        <f t="shared" si="5"/>
        <v>-2.1770981734820048E-17</v>
      </c>
      <c r="AD29" s="2">
        <f t="shared" si="6"/>
        <v>2.9802322387695312E-8</v>
      </c>
      <c r="AF29" s="2">
        <v>25</v>
      </c>
      <c r="AG29" s="2">
        <f t="shared" si="13"/>
        <v>1965.8203125</v>
      </c>
      <c r="AH29" s="2">
        <v>9.5726940555694</v>
      </c>
      <c r="AI29" s="2">
        <f t="shared" si="14"/>
        <v>1965.8203125</v>
      </c>
      <c r="AJ29" s="2">
        <v>-4.2645447600993975</v>
      </c>
      <c r="AK29" s="2">
        <f t="shared" si="9"/>
        <v>1965.8203125</v>
      </c>
      <c r="AL29" s="2">
        <v>-4.2645447600993975</v>
      </c>
      <c r="AM29" s="2">
        <f t="shared" si="10"/>
        <v>-40.823182274713133</v>
      </c>
      <c r="AN29" s="2">
        <f t="shared" si="11"/>
        <v>18.186342010891227</v>
      </c>
      <c r="AO29" s="2">
        <f t="shared" si="12"/>
        <v>0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1.1086710521794885E-3</v>
      </c>
      <c r="L30" s="9" t="s">
        <v>7</v>
      </c>
      <c r="N30" s="6" t="s">
        <v>36</v>
      </c>
      <c r="O30" s="6">
        <f xml:space="preserve"> 1/$C$77 * LN( EXP($C$77 * O28) + EXP($C$77 * O29) )</f>
        <v>1.1880609404535718</v>
      </c>
      <c r="U30" s="2">
        <v>26</v>
      </c>
      <c r="V30" s="2">
        <f>IF(AB29&gt;0, Z29, V29)</f>
        <v>0.97302018105983734</v>
      </c>
      <c r="W30" s="2">
        <f t="shared" si="0"/>
        <v>1.3634456785815985E-8</v>
      </c>
      <c r="X30" s="2">
        <f t="shared" si="8"/>
        <v>0.97302019596099854</v>
      </c>
      <c r="Y30" s="2">
        <f t="shared" si="1"/>
        <v>-1.5967619448886694E-9</v>
      </c>
      <c r="Z30" s="2">
        <f t="shared" si="3"/>
        <v>0.97302018851041794</v>
      </c>
      <c r="AA30" s="2">
        <f t="shared" si="2"/>
        <v>6.0188474204636577E-9</v>
      </c>
      <c r="AB30" s="2">
        <f t="shared" si="4"/>
        <v>8.2063715054731754E-17</v>
      </c>
      <c r="AC30" s="2">
        <f t="shared" si="5"/>
        <v>-9.610666513087701E-18</v>
      </c>
      <c r="AD30" s="2">
        <f t="shared" si="6"/>
        <v>1.4901161193847656E-8</v>
      </c>
      <c r="AF30" s="2">
        <v>26</v>
      </c>
      <c r="AG30" s="2">
        <f t="shared" si="13"/>
        <v>1965.8203125</v>
      </c>
      <c r="AH30" s="2">
        <v>9.5726940555694</v>
      </c>
      <c r="AI30" s="2">
        <f t="shared" si="14"/>
        <v>1965.8203125</v>
      </c>
      <c r="AJ30" s="2">
        <v>-4.2645447600993975</v>
      </c>
      <c r="AK30" s="2">
        <f t="shared" si="9"/>
        <v>1965.8203125</v>
      </c>
      <c r="AL30" s="2">
        <v>-4.2645447600993975</v>
      </c>
      <c r="AM30" s="2">
        <f t="shared" si="10"/>
        <v>-40.823182274713133</v>
      </c>
      <c r="AN30" s="2">
        <f t="shared" si="11"/>
        <v>18.186342010891227</v>
      </c>
      <c r="AO30" s="2">
        <f t="shared" si="12"/>
        <v>0</v>
      </c>
    </row>
    <row r="31" spans="2:41" x14ac:dyDescent="0.2">
      <c r="B31" s="6" t="s">
        <v>150</v>
      </c>
      <c r="C31" s="16">
        <v>0.75</v>
      </c>
      <c r="F31" s="30" t="s">
        <v>175</v>
      </c>
      <c r="G31" s="31"/>
      <c r="H31" s="31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0.97302018851041794</v>
      </c>
      <c r="W31" s="2">
        <f t="shared" si="0"/>
        <v>6.0188474204636577E-9</v>
      </c>
      <c r="X31" s="2">
        <f t="shared" si="8"/>
        <v>0.97302019596099854</v>
      </c>
      <c r="Y31" s="2">
        <f t="shared" si="1"/>
        <v>-1.5967619448886694E-9</v>
      </c>
      <c r="Z31" s="2">
        <f t="shared" si="3"/>
        <v>0.97302019223570824</v>
      </c>
      <c r="AA31" s="2">
        <f t="shared" si="2"/>
        <v>2.2110427932986454E-9</v>
      </c>
      <c r="AB31" s="2">
        <f t="shared" si="4"/>
        <v>1.3307929212980312E-17</v>
      </c>
      <c r="AC31" s="2">
        <f t="shared" si="5"/>
        <v>-3.5305089908596213E-18</v>
      </c>
      <c r="AD31" s="2">
        <f t="shared" si="6"/>
        <v>7.4505805969238281E-9</v>
      </c>
      <c r="AF31" s="2">
        <v>27</v>
      </c>
      <c r="AG31" s="2">
        <f t="shared" si="13"/>
        <v>1965.8203125</v>
      </c>
      <c r="AH31" s="2">
        <v>9.5726940555694</v>
      </c>
      <c r="AI31" s="2">
        <f t="shared" si="14"/>
        <v>1965.8203125</v>
      </c>
      <c r="AJ31" s="2">
        <v>-4.2645447600993975</v>
      </c>
      <c r="AK31" s="2">
        <f t="shared" si="9"/>
        <v>1965.8203125</v>
      </c>
      <c r="AL31" s="2">
        <v>-4.2645447600993975</v>
      </c>
      <c r="AM31" s="2">
        <f t="shared" si="10"/>
        <v>-40.823182274713133</v>
      </c>
      <c r="AN31" s="2">
        <f t="shared" si="11"/>
        <v>18.186342010891227</v>
      </c>
      <c r="AO31" s="2">
        <f t="shared" si="12"/>
        <v>0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0.97302019223570824</v>
      </c>
      <c r="W32" s="2">
        <f t="shared" si="0"/>
        <v>2.2110427932986454E-9</v>
      </c>
      <c r="X32" s="2">
        <f t="shared" si="8"/>
        <v>0.97302019596099854</v>
      </c>
      <c r="Y32" s="2">
        <f t="shared" si="1"/>
        <v>-1.5967619448886694E-9</v>
      </c>
      <c r="Z32" s="2">
        <f t="shared" si="3"/>
        <v>0.97302019409835339</v>
      </c>
      <c r="AA32" s="2">
        <f t="shared" si="2"/>
        <v>3.0714042420498799E-10</v>
      </c>
      <c r="AB32" s="2">
        <f t="shared" si="4"/>
        <v>6.7910062146912753E-19</v>
      </c>
      <c r="AC32" s="2">
        <f t="shared" si="5"/>
        <v>-4.9043014110748758E-19</v>
      </c>
      <c r="AD32" s="2">
        <f t="shared" si="6"/>
        <v>3.7252902984619141E-9</v>
      </c>
      <c r="AF32" s="2">
        <v>28</v>
      </c>
      <c r="AG32" s="2">
        <f t="shared" si="13"/>
        <v>1965.8203125</v>
      </c>
      <c r="AH32" s="2">
        <v>9.5726940555694</v>
      </c>
      <c r="AI32" s="2">
        <f t="shared" si="14"/>
        <v>1965.8203125</v>
      </c>
      <c r="AJ32" s="2">
        <v>-4.2645447600993975</v>
      </c>
      <c r="AK32" s="2">
        <f t="shared" si="9"/>
        <v>1965.8203125</v>
      </c>
      <c r="AL32" s="2">
        <v>-4.2645447600993975</v>
      </c>
      <c r="AM32" s="2">
        <f t="shared" si="10"/>
        <v>-40.823182274713133</v>
      </c>
      <c r="AN32" s="2">
        <f t="shared" si="11"/>
        <v>18.186342010891227</v>
      </c>
      <c r="AO32" s="2">
        <f t="shared" si="12"/>
        <v>0</v>
      </c>
    </row>
    <row r="33" spans="2:41" x14ac:dyDescent="0.2">
      <c r="F33" s="23" t="s">
        <v>128</v>
      </c>
      <c r="G33" s="22">
        <f xml:space="preserve"> G20</f>
        <v>115.38797629184621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0.97302019409835339</v>
      </c>
      <c r="W33" s="2">
        <f t="shared" si="0"/>
        <v>3.0714042420498799E-10</v>
      </c>
      <c r="X33" s="2">
        <f t="shared" si="8"/>
        <v>0.97302019596099854</v>
      </c>
      <c r="Y33" s="2">
        <f t="shared" si="1"/>
        <v>-1.5967619448886694E-9</v>
      </c>
      <c r="Z33" s="2">
        <f t="shared" si="3"/>
        <v>0.97302019502967596</v>
      </c>
      <c r="AA33" s="2">
        <f t="shared" si="2"/>
        <v>-6.4481076034184071E-10</v>
      </c>
      <c r="AB33" s="2">
        <f t="shared" si="4"/>
        <v>-1.980474504633338E-19</v>
      </c>
      <c r="AC33" s="2">
        <f t="shared" si="5"/>
        <v>1.0296092837685793E-18</v>
      </c>
      <c r="AD33" s="2">
        <f t="shared" si="6"/>
        <v>1.862645149230957E-9</v>
      </c>
      <c r="AF33" s="2">
        <v>29</v>
      </c>
      <c r="AG33" s="2">
        <f t="shared" si="13"/>
        <v>1965.8203125</v>
      </c>
      <c r="AH33" s="2">
        <v>9.5726940555694</v>
      </c>
      <c r="AI33" s="2">
        <f t="shared" si="14"/>
        <v>1965.8203125</v>
      </c>
      <c r="AJ33" s="2">
        <v>-4.2645447600993975</v>
      </c>
      <c r="AK33" s="2">
        <f t="shared" si="9"/>
        <v>1965.8203125</v>
      </c>
      <c r="AL33" s="2">
        <v>-4.2645447600993975</v>
      </c>
      <c r="AM33" s="2">
        <f t="shared" si="10"/>
        <v>-40.823182274713133</v>
      </c>
      <c r="AN33" s="2">
        <f t="shared" si="11"/>
        <v>18.186342010891227</v>
      </c>
      <c r="AO33" s="2">
        <f t="shared" si="12"/>
        <v>0</v>
      </c>
    </row>
    <row r="34" spans="2:41" x14ac:dyDescent="0.2">
      <c r="B34" s="28" t="s">
        <v>100</v>
      </c>
      <c r="C34" s="28"/>
      <c r="D34" s="28"/>
      <c r="J34" s="6" t="s">
        <v>58</v>
      </c>
      <c r="K34" s="6">
        <f>ROUND($C$16/$C$5 * 100, 2)</f>
        <v>30.72</v>
      </c>
      <c r="L34" s="6" t="s">
        <v>59</v>
      </c>
      <c r="U34" s="2">
        <v>30</v>
      </c>
      <c r="V34" s="2">
        <f t="shared" si="7"/>
        <v>0.97302019409835339</v>
      </c>
      <c r="W34" s="2">
        <f t="shared" si="0"/>
        <v>3.0714042420498799E-10</v>
      </c>
      <c r="X34" s="2">
        <f t="shared" si="8"/>
        <v>0.97302019502967596</v>
      </c>
      <c r="Y34" s="2">
        <f t="shared" si="1"/>
        <v>-6.4481076034184071E-10</v>
      </c>
      <c r="Z34" s="2">
        <f t="shared" si="3"/>
        <v>0.97302019456401467</v>
      </c>
      <c r="AA34" s="2">
        <f t="shared" si="2"/>
        <v>-1.6883516806842636E-10</v>
      </c>
      <c r="AB34" s="2">
        <f t="shared" si="4"/>
        <v>-5.1856105141256914E-20</v>
      </c>
      <c r="AC34" s="2">
        <f t="shared" si="5"/>
        <v>1.0886673309464446E-19</v>
      </c>
      <c r="AD34" s="2">
        <f t="shared" si="6"/>
        <v>9.3132257461547852E-10</v>
      </c>
      <c r="AF34" s="2">
        <v>30</v>
      </c>
      <c r="AG34" s="2">
        <f t="shared" si="13"/>
        <v>1965.8203125</v>
      </c>
      <c r="AH34" s="2">
        <v>9.5726940555694</v>
      </c>
      <c r="AI34" s="2">
        <f t="shared" si="14"/>
        <v>1965.8203125</v>
      </c>
      <c r="AJ34" s="2">
        <v>-4.2645447600993975</v>
      </c>
      <c r="AK34" s="2">
        <f t="shared" si="9"/>
        <v>1965.8203125</v>
      </c>
      <c r="AL34" s="2">
        <v>-4.2645447600993975</v>
      </c>
      <c r="AM34" s="2">
        <f t="shared" si="10"/>
        <v>-40.823182274713133</v>
      </c>
      <c r="AN34" s="2">
        <f t="shared" si="11"/>
        <v>18.186342010891227</v>
      </c>
      <c r="AO34" s="2">
        <f t="shared" si="12"/>
        <v>0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34.18</v>
      </c>
      <c r="L35" s="6" t="s">
        <v>59</v>
      </c>
      <c r="AF35" s="2">
        <v>31</v>
      </c>
      <c r="AG35" s="2">
        <f t="shared" si="13"/>
        <v>1965.8203125</v>
      </c>
      <c r="AH35" s="2">
        <v>9.5726940555694</v>
      </c>
      <c r="AI35" s="2">
        <f t="shared" si="14"/>
        <v>1965.8203125</v>
      </c>
      <c r="AJ35" s="2">
        <v>-4.2645447600993975</v>
      </c>
      <c r="AK35" s="2">
        <f t="shared" si="9"/>
        <v>1965.8203125</v>
      </c>
      <c r="AL35" s="2">
        <v>-4.2645447600993975</v>
      </c>
      <c r="AM35" s="2">
        <f t="shared" si="10"/>
        <v>-40.823182274713133</v>
      </c>
      <c r="AN35" s="2">
        <f t="shared" si="11"/>
        <v>18.186342010891227</v>
      </c>
      <c r="AO35" s="2">
        <f t="shared" si="12"/>
        <v>0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12.87</v>
      </c>
      <c r="L36" s="6" t="s">
        <v>59</v>
      </c>
      <c r="AF36" s="2">
        <v>32</v>
      </c>
      <c r="AG36" s="2">
        <f t="shared" si="13"/>
        <v>1965.8203125</v>
      </c>
      <c r="AH36" s="2">
        <v>9.5726940555694</v>
      </c>
      <c r="AI36" s="2">
        <f t="shared" si="14"/>
        <v>1965.8203125</v>
      </c>
      <c r="AJ36" s="2">
        <v>-4.2645447600993975</v>
      </c>
      <c r="AK36" s="2">
        <f t="shared" si="9"/>
        <v>1965.8203125</v>
      </c>
      <c r="AL36" s="2">
        <v>-4.2645447600993975</v>
      </c>
      <c r="AM36" s="2">
        <f t="shared" si="10"/>
        <v>-40.823182274713133</v>
      </c>
      <c r="AN36" s="2">
        <f t="shared" si="11"/>
        <v>18.186342010891227</v>
      </c>
      <c r="AO36" s="2">
        <f t="shared" si="12"/>
        <v>0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18.489999999999998</v>
      </c>
      <c r="L37" s="6" t="s">
        <v>59</v>
      </c>
      <c r="AF37" s="2">
        <v>33</v>
      </c>
      <c r="AG37" s="2">
        <f t="shared" si="13"/>
        <v>1965.8203125</v>
      </c>
      <c r="AH37" s="2">
        <v>9.5726940555694</v>
      </c>
      <c r="AI37" s="2">
        <f t="shared" si="14"/>
        <v>1965.8203125</v>
      </c>
      <c r="AJ37" s="2">
        <v>-4.2645447600993975</v>
      </c>
      <c r="AK37" s="2">
        <f t="shared" si="9"/>
        <v>1965.8203125</v>
      </c>
      <c r="AL37" s="2">
        <v>-4.2645447600993975</v>
      </c>
      <c r="AM37" s="2">
        <f t="shared" si="10"/>
        <v>-40.823182274713133</v>
      </c>
      <c r="AN37" s="2">
        <f t="shared" si="11"/>
        <v>18.186342010891227</v>
      </c>
      <c r="AO37" s="2">
        <f t="shared" si="12"/>
        <v>0</v>
      </c>
    </row>
    <row r="38" spans="2:41" x14ac:dyDescent="0.2">
      <c r="J38" s="14" t="s">
        <v>71</v>
      </c>
      <c r="K38" s="6">
        <f>ROUND(SUM(K26:K29)/$C$5*100, 2)</f>
        <v>3.74</v>
      </c>
      <c r="L38" s="6" t="s">
        <v>59</v>
      </c>
      <c r="AF38" s="2">
        <v>34</v>
      </c>
      <c r="AG38" s="2">
        <f t="shared" si="13"/>
        <v>1965.8203125</v>
      </c>
      <c r="AH38" s="2">
        <v>9.5726940555694</v>
      </c>
      <c r="AI38" s="2">
        <f t="shared" si="14"/>
        <v>1965.8203125</v>
      </c>
      <c r="AJ38" s="2">
        <v>-4.2645447600993975</v>
      </c>
      <c r="AK38" s="2">
        <f t="shared" si="9"/>
        <v>1965.8203125</v>
      </c>
      <c r="AL38" s="2">
        <v>-4.2645447600993975</v>
      </c>
      <c r="AM38" s="2">
        <f t="shared" si="10"/>
        <v>-40.823182274713133</v>
      </c>
      <c r="AN38" s="2">
        <f t="shared" si="11"/>
        <v>18.186342010891227</v>
      </c>
      <c r="AO38" s="2">
        <f t="shared" si="12"/>
        <v>0</v>
      </c>
    </row>
    <row r="39" spans="2:41" x14ac:dyDescent="0.2">
      <c r="B39" s="28" t="s">
        <v>104</v>
      </c>
      <c r="C39" s="28"/>
      <c r="D39" s="28"/>
      <c r="J39" s="9" t="s">
        <v>60</v>
      </c>
      <c r="K39" s="9">
        <f>SUM(K34:K38)</f>
        <v>100</v>
      </c>
      <c r="L39" s="9" t="s">
        <v>59</v>
      </c>
      <c r="AF39" s="2">
        <v>35</v>
      </c>
      <c r="AG39" s="2">
        <f t="shared" si="13"/>
        <v>1965.8203125</v>
      </c>
      <c r="AH39" s="2">
        <v>9.5726940555694</v>
      </c>
      <c r="AI39" s="2">
        <f t="shared" si="14"/>
        <v>1965.8203125</v>
      </c>
      <c r="AJ39" s="2">
        <v>-4.2645447600993975</v>
      </c>
      <c r="AK39" s="2">
        <f t="shared" si="9"/>
        <v>1965.8203125</v>
      </c>
      <c r="AL39" s="2">
        <v>-4.2645447600993975</v>
      </c>
      <c r="AM39" s="2">
        <f t="shared" si="10"/>
        <v>-40.823182274713133</v>
      </c>
      <c r="AN39" s="2">
        <f t="shared" si="11"/>
        <v>18.186342010891227</v>
      </c>
      <c r="AO39" s="2">
        <f t="shared" si="12"/>
        <v>0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1965.8203125</v>
      </c>
      <c r="AH40" s="2">
        <v>9.5726940555694</v>
      </c>
      <c r="AI40" s="2">
        <f t="shared" si="14"/>
        <v>1965.8203125</v>
      </c>
      <c r="AJ40" s="2">
        <v>-4.2645447600993975</v>
      </c>
      <c r="AK40" s="2">
        <f t="shared" si="9"/>
        <v>1965.8203125</v>
      </c>
      <c r="AL40" s="2">
        <v>-4.2645447600993975</v>
      </c>
      <c r="AM40" s="2">
        <f t="shared" si="10"/>
        <v>-40.823182274713133</v>
      </c>
      <c r="AN40" s="2">
        <f t="shared" si="11"/>
        <v>18.186342010891227</v>
      </c>
      <c r="AO40" s="2">
        <f t="shared" si="12"/>
        <v>0</v>
      </c>
    </row>
    <row r="41" spans="2:41" x14ac:dyDescent="0.2">
      <c r="B41" s="6" t="s">
        <v>117</v>
      </c>
      <c r="C41" s="6">
        <f>IF(C40="wheeled",0.0325,0.014)</f>
        <v>3.2500000000000001E-2</v>
      </c>
      <c r="J41" s="28" t="s">
        <v>109</v>
      </c>
      <c r="K41" s="28"/>
      <c r="L41" s="28"/>
      <c r="AF41" s="2">
        <v>37</v>
      </c>
      <c r="AG41" s="2">
        <f t="shared" si="13"/>
        <v>1965.8203125</v>
      </c>
      <c r="AH41" s="2">
        <v>9.5726940555694</v>
      </c>
      <c r="AI41" s="2">
        <f t="shared" si="14"/>
        <v>1965.8203125</v>
      </c>
      <c r="AJ41" s="2">
        <v>-4.2645447600993975</v>
      </c>
      <c r="AK41" s="2">
        <f t="shared" si="9"/>
        <v>1965.8203125</v>
      </c>
      <c r="AL41" s="2">
        <v>-4.2645447600993975</v>
      </c>
      <c r="AM41" s="2">
        <f t="shared" si="10"/>
        <v>-40.823182274713133</v>
      </c>
      <c r="AN41" s="2">
        <f t="shared" si="11"/>
        <v>18.186342010891227</v>
      </c>
      <c r="AO41" s="2">
        <f t="shared" si="12"/>
        <v>0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1965.8203125</v>
      </c>
      <c r="AH42" s="2">
        <v>9.5726940555694</v>
      </c>
      <c r="AI42" s="2">
        <f t="shared" si="14"/>
        <v>1965.8203125</v>
      </c>
      <c r="AJ42" s="2">
        <v>-4.2645447600993975</v>
      </c>
      <c r="AK42" s="2">
        <f t="shared" si="9"/>
        <v>1965.8203125</v>
      </c>
      <c r="AL42" s="2">
        <v>-4.2645447600993975</v>
      </c>
      <c r="AM42" s="2">
        <f t="shared" si="10"/>
        <v>-40.823182274713133</v>
      </c>
      <c r="AN42" s="2">
        <f t="shared" si="11"/>
        <v>18.186342010891227</v>
      </c>
      <c r="AO42" s="2">
        <f t="shared" si="12"/>
        <v>0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667.53</v>
      </c>
      <c r="L43" s="6" t="s">
        <v>7</v>
      </c>
      <c r="AF43" s="2">
        <v>39</v>
      </c>
      <c r="AG43" s="2">
        <f t="shared" si="13"/>
        <v>1965.8203125</v>
      </c>
      <c r="AH43" s="2">
        <v>9.5726940555694</v>
      </c>
      <c r="AI43" s="2">
        <f t="shared" si="14"/>
        <v>1965.8203125</v>
      </c>
      <c r="AJ43" s="2">
        <v>-4.2645447600993975</v>
      </c>
      <c r="AK43" s="2">
        <f t="shared" si="9"/>
        <v>1965.8203125</v>
      </c>
      <c r="AL43" s="2">
        <v>-4.2645447600993975</v>
      </c>
      <c r="AM43" s="2">
        <f t="shared" si="10"/>
        <v>-40.823182274713133</v>
      </c>
      <c r="AN43" s="2">
        <f t="shared" si="11"/>
        <v>18.186342010891227</v>
      </c>
      <c r="AO43" s="2">
        <f t="shared" si="12"/>
        <v>0</v>
      </c>
    </row>
    <row r="44" spans="2:41" x14ac:dyDescent="0.2">
      <c r="J44" s="18" t="s">
        <v>74</v>
      </c>
      <c r="K44" s="6">
        <f>ROUND(SUM(K16:K19), 2)</f>
        <v>251.27</v>
      </c>
      <c r="L44" s="6" t="s">
        <v>7</v>
      </c>
      <c r="AF44" s="2">
        <v>40</v>
      </c>
      <c r="AG44" s="2">
        <f t="shared" si="13"/>
        <v>1965.8203125</v>
      </c>
      <c r="AH44" s="2">
        <v>9.5726940555694</v>
      </c>
      <c r="AI44" s="2">
        <f t="shared" si="14"/>
        <v>1965.8203125</v>
      </c>
      <c r="AJ44" s="2">
        <v>-4.2645447600993975</v>
      </c>
      <c r="AK44" s="5">
        <f t="shared" si="9"/>
        <v>1965.8203125</v>
      </c>
      <c r="AL44" s="2">
        <v>-4.2645447600993975</v>
      </c>
      <c r="AM44" s="2">
        <f t="shared" si="10"/>
        <v>-40.823182274713133</v>
      </c>
      <c r="AN44" s="2">
        <f t="shared" si="11"/>
        <v>18.186342010891227</v>
      </c>
      <c r="AO44" s="2">
        <f t="shared" si="12"/>
        <v>0</v>
      </c>
    </row>
    <row r="45" spans="2:41" x14ac:dyDescent="0.2">
      <c r="B45" s="28" t="s">
        <v>151</v>
      </c>
      <c r="C45" s="28"/>
      <c r="D45" s="28"/>
      <c r="J45" s="19" t="s">
        <v>70</v>
      </c>
      <c r="K45" s="6">
        <f>ROUND(SUM(K20:K25), 2)</f>
        <v>361.12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73.06</v>
      </c>
      <c r="L46" s="6" t="s">
        <v>7</v>
      </c>
    </row>
    <row r="47" spans="2:41" x14ac:dyDescent="0.2">
      <c r="J47" s="9" t="s">
        <v>60</v>
      </c>
      <c r="K47" s="9">
        <f>SUM(K42:K46)</f>
        <v>1952.98</v>
      </c>
      <c r="L47" s="6" t="s">
        <v>7</v>
      </c>
    </row>
    <row r="48" spans="2:41" x14ac:dyDescent="0.2">
      <c r="B48" s="28" t="s">
        <v>152</v>
      </c>
      <c r="C48" s="28"/>
      <c r="D48" s="28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8" t="s">
        <v>156</v>
      </c>
      <c r="C53" s="28"/>
      <c r="D53" s="28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0" t="s">
        <v>2</v>
      </c>
      <c r="C59" s="31"/>
      <c r="D59" s="31"/>
    </row>
    <row r="60" spans="2:4" x14ac:dyDescent="0.2">
      <c r="B60" s="6" t="s">
        <v>3</v>
      </c>
      <c r="C60" s="16">
        <v>250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8" t="s">
        <v>169</v>
      </c>
      <c r="C64" s="29"/>
      <c r="D64" s="29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8" t="s">
        <v>170</v>
      </c>
      <c r="C70" s="29"/>
      <c r="D70" s="29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8" t="s">
        <v>72</v>
      </c>
      <c r="C76" s="28"/>
      <c r="D76" s="28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J9:L9"/>
    <mergeCell ref="B1:D1"/>
    <mergeCell ref="B3:D3"/>
    <mergeCell ref="F3:H3"/>
    <mergeCell ref="J3:L3"/>
    <mergeCell ref="N3:P3"/>
    <mergeCell ref="B48:D48"/>
    <mergeCell ref="F12:H12"/>
    <mergeCell ref="B15:D15"/>
    <mergeCell ref="N18:P18"/>
    <mergeCell ref="B20:D20"/>
    <mergeCell ref="F22:H22"/>
    <mergeCell ref="B27:D27"/>
    <mergeCell ref="F31:H31"/>
    <mergeCell ref="B34:D34"/>
    <mergeCell ref="B39:D39"/>
    <mergeCell ref="J41:L41"/>
    <mergeCell ref="B45:D45"/>
    <mergeCell ref="B53:D53"/>
    <mergeCell ref="B59:D59"/>
    <mergeCell ref="B64:D64"/>
    <mergeCell ref="B70:D70"/>
    <mergeCell ref="B76:D76"/>
  </mergeCells>
  <conditionalFormatting sqref="K31">
    <cfRule type="containsText" dxfId="5" priority="1" operator="containsText" text="FALSE">
      <formula>NOT(ISERROR(SEARCH("FALSE",K31)))</formula>
    </cfRule>
    <cfRule type="containsText" dxfId="4" priority="2" operator="containsText" text="TRUE">
      <formula>NOT(ISERROR(SEARCH("TRUE",K31)))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NOT(ISERROR(SEARCH("YES",K31)))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liftcruise_opt_250_test_250</vt:lpstr>
      <vt:lpstr>liftcruise_opt_250_test_550</vt:lpstr>
      <vt:lpstr>liftcruise_opt_550_test_550</vt:lpstr>
      <vt:lpstr>liftcruise_opt_550_test_250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2025-05-18T14:22:10Z</dcterms:modified>
</cp:coreProperties>
</file>