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validation/mtow/"/>
    </mc:Choice>
  </mc:AlternateContent>
  <xr:revisionPtr revIDLastSave="0" documentId="13_ncr:1_{BC479F4F-2DA4-7042-A85E-593F46E9116F}" xr6:coauthVersionLast="47" xr6:coauthVersionMax="47" xr10:uidLastSave="{00000000-0000-0000-0000-000000000000}"/>
  <bookViews>
    <workbookView xWindow="0" yWindow="740" windowWidth="30240" windowHeight="18900" xr2:uid="{843CD013-835A-1741-B375-CD508AE79BD2}"/>
  </bookViews>
  <sheets>
    <sheet name="multirotor" sheetId="9" r:id="rId1"/>
    <sheet name="lift+cruis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9" l="1"/>
  <c r="C14" i="9"/>
  <c r="O35" i="9" l="1"/>
  <c r="O32" i="9"/>
  <c r="O33" i="9"/>
  <c r="O46" i="9"/>
  <c r="O43" i="9"/>
  <c r="O39" i="9"/>
  <c r="AU45" i="9"/>
  <c r="AU46" i="9"/>
  <c r="G52" i="9"/>
  <c r="G51" i="9"/>
  <c r="G27" i="9"/>
  <c r="G10" i="9"/>
  <c r="G9" i="9"/>
  <c r="G28" i="9"/>
  <c r="K21" i="9"/>
  <c r="K20" i="9"/>
  <c r="O44" i="9"/>
  <c r="O38" i="9"/>
  <c r="O37" i="9"/>
  <c r="O34" i="9"/>
  <c r="O36" i="9"/>
  <c r="S43" i="9"/>
  <c r="S4" i="9"/>
  <c r="G4" i="9"/>
  <c r="G21" i="9"/>
  <c r="C15" i="9"/>
  <c r="C33" i="9"/>
  <c r="AU79" i="10"/>
  <c r="AT79" i="10"/>
  <c r="AU78" i="10"/>
  <c r="AT78" i="10"/>
  <c r="AU77" i="10"/>
  <c r="AT77" i="10"/>
  <c r="AU76" i="10"/>
  <c r="AT76" i="10"/>
  <c r="AU75" i="10"/>
  <c r="AT75" i="10"/>
  <c r="AU74" i="10"/>
  <c r="AT74" i="10"/>
  <c r="AU73" i="10"/>
  <c r="AT73" i="10"/>
  <c r="AU72" i="10"/>
  <c r="AT72" i="10"/>
  <c r="AU71" i="10"/>
  <c r="AT71" i="10"/>
  <c r="AU70" i="10"/>
  <c r="AT70" i="10"/>
  <c r="AU69" i="10"/>
  <c r="AT69" i="10"/>
  <c r="AU68" i="10"/>
  <c r="AT68" i="10"/>
  <c r="AU67" i="10"/>
  <c r="AT67" i="10"/>
  <c r="AU66" i="10"/>
  <c r="AT66" i="10"/>
  <c r="AU65" i="10"/>
  <c r="AT65" i="10"/>
  <c r="AU64" i="10"/>
  <c r="AT64" i="10"/>
  <c r="AU63" i="10"/>
  <c r="AT63" i="10"/>
  <c r="AU62" i="10"/>
  <c r="AT62" i="10"/>
  <c r="AU61" i="10"/>
  <c r="AT61" i="10"/>
  <c r="AU60" i="10"/>
  <c r="AT60" i="10"/>
  <c r="AU59" i="10"/>
  <c r="AT59" i="10"/>
  <c r="AU58" i="10"/>
  <c r="AT58" i="10"/>
  <c r="AU57" i="10"/>
  <c r="AT57" i="10"/>
  <c r="AU56" i="10"/>
  <c r="AT56" i="10"/>
  <c r="AU55" i="10"/>
  <c r="AT55" i="10"/>
  <c r="AU54" i="10"/>
  <c r="AT54" i="10"/>
  <c r="AU53" i="10"/>
  <c r="AT53" i="10"/>
  <c r="AU52" i="10"/>
  <c r="AT52" i="10"/>
  <c r="AU51" i="10"/>
  <c r="AT51" i="10"/>
  <c r="AV50" i="10"/>
  <c r="AU50" i="10"/>
  <c r="AP51" i="10" s="1"/>
  <c r="AT50" i="10"/>
  <c r="AN51" i="10" s="1"/>
  <c r="AR50" i="10"/>
  <c r="AY9" i="10"/>
  <c r="AY10" i="10" s="1"/>
  <c r="AY46" i="10"/>
  <c r="C30" i="10"/>
  <c r="C23" i="10"/>
  <c r="C10" i="10"/>
  <c r="C8" i="10"/>
  <c r="CO136" i="10"/>
  <c r="CN136" i="10"/>
  <c r="CD136" i="10"/>
  <c r="CC136" i="10"/>
  <c r="CO135" i="10"/>
  <c r="CN135" i="10"/>
  <c r="CD135" i="10"/>
  <c r="CC135" i="10"/>
  <c r="CO134" i="10"/>
  <c r="CN134" i="10"/>
  <c r="CD134" i="10"/>
  <c r="CC134" i="10"/>
  <c r="CO133" i="10"/>
  <c r="CN133" i="10"/>
  <c r="CD133" i="10"/>
  <c r="CC133" i="10"/>
  <c r="CO132" i="10"/>
  <c r="CN132" i="10"/>
  <c r="CD132" i="10"/>
  <c r="CC132" i="10"/>
  <c r="CO131" i="10"/>
  <c r="CN131" i="10"/>
  <c r="CD131" i="10"/>
  <c r="CC131" i="10"/>
  <c r="CO130" i="10"/>
  <c r="CN130" i="10"/>
  <c r="CD130" i="10"/>
  <c r="CC130" i="10"/>
  <c r="CO129" i="10"/>
  <c r="CN129" i="10"/>
  <c r="CD129" i="10"/>
  <c r="CC129" i="10"/>
  <c r="CO128" i="10"/>
  <c r="CN128" i="10"/>
  <c r="CD128" i="10"/>
  <c r="CC128" i="10"/>
  <c r="CO127" i="10"/>
  <c r="CN127" i="10"/>
  <c r="CD127" i="10"/>
  <c r="CC127" i="10"/>
  <c r="CO126" i="10"/>
  <c r="CN126" i="10"/>
  <c r="CD126" i="10"/>
  <c r="CC126" i="10"/>
  <c r="CO125" i="10"/>
  <c r="CN125" i="10"/>
  <c r="CD125" i="10"/>
  <c r="CC125" i="10"/>
  <c r="CO124" i="10"/>
  <c r="CN124" i="10"/>
  <c r="CD124" i="10"/>
  <c r="CC124" i="10"/>
  <c r="CO123" i="10"/>
  <c r="CN123" i="10"/>
  <c r="CD123" i="10"/>
  <c r="CC123" i="10"/>
  <c r="CO122" i="10"/>
  <c r="CN122" i="10"/>
  <c r="CD122" i="10"/>
  <c r="CC122" i="10"/>
  <c r="CO121" i="10"/>
  <c r="CN121" i="10"/>
  <c r="CD121" i="10"/>
  <c r="CC121" i="10"/>
  <c r="CO120" i="10"/>
  <c r="CN120" i="10"/>
  <c r="CD120" i="10"/>
  <c r="CC120" i="10"/>
  <c r="CO119" i="10"/>
  <c r="CN119" i="10"/>
  <c r="CD119" i="10"/>
  <c r="CC119" i="10"/>
  <c r="CO118" i="10"/>
  <c r="CN118" i="10"/>
  <c r="CD118" i="10"/>
  <c r="CC118" i="10"/>
  <c r="CO117" i="10"/>
  <c r="CN117" i="10"/>
  <c r="CD117" i="10"/>
  <c r="CC117" i="10"/>
  <c r="CO116" i="10"/>
  <c r="CN116" i="10"/>
  <c r="CD116" i="10"/>
  <c r="CC116" i="10"/>
  <c r="CO115" i="10"/>
  <c r="CN115" i="10"/>
  <c r="CD115" i="10"/>
  <c r="CC115" i="10"/>
  <c r="CO114" i="10"/>
  <c r="CN114" i="10"/>
  <c r="CD114" i="10"/>
  <c r="CC114" i="10"/>
  <c r="CO113" i="10"/>
  <c r="CN113" i="10"/>
  <c r="CD113" i="10"/>
  <c r="CC113" i="10"/>
  <c r="CO112" i="10"/>
  <c r="CN112" i="10"/>
  <c r="CD112" i="10"/>
  <c r="CC112" i="10"/>
  <c r="CO111" i="10"/>
  <c r="CN111" i="10"/>
  <c r="CD111" i="10"/>
  <c r="CC111" i="10"/>
  <c r="CO110" i="10"/>
  <c r="CN110" i="10"/>
  <c r="CD110" i="10"/>
  <c r="CC110" i="10"/>
  <c r="CO109" i="10"/>
  <c r="CN109" i="10"/>
  <c r="CD109" i="10"/>
  <c r="CC109" i="10"/>
  <c r="CO108" i="10"/>
  <c r="CN108" i="10"/>
  <c r="CD108" i="10"/>
  <c r="CC108" i="10"/>
  <c r="CO107" i="10"/>
  <c r="CN107" i="10"/>
  <c r="CJ107" i="10"/>
  <c r="CH107" i="10"/>
  <c r="CD107" i="10"/>
  <c r="CC107" i="10"/>
  <c r="BW108" i="10" s="1"/>
  <c r="BY107" i="10"/>
  <c r="BW107" i="10"/>
  <c r="CO102" i="10"/>
  <c r="CN102" i="10"/>
  <c r="CD102" i="10"/>
  <c r="CC102" i="10"/>
  <c r="CO101" i="10"/>
  <c r="CN101" i="10"/>
  <c r="CD101" i="10"/>
  <c r="CC101" i="10"/>
  <c r="CO100" i="10"/>
  <c r="CN100" i="10"/>
  <c r="CD100" i="10"/>
  <c r="CC100" i="10"/>
  <c r="CO99" i="10"/>
  <c r="CN99" i="10"/>
  <c r="CD99" i="10"/>
  <c r="CC99" i="10"/>
  <c r="CO98" i="10"/>
  <c r="CN98" i="10"/>
  <c r="CD98" i="10"/>
  <c r="CC98" i="10"/>
  <c r="CO97" i="10"/>
  <c r="CN97" i="10"/>
  <c r="CD97" i="10"/>
  <c r="CC97" i="10"/>
  <c r="CO96" i="10"/>
  <c r="CN96" i="10"/>
  <c r="CD96" i="10"/>
  <c r="CC96" i="10"/>
  <c r="CO95" i="10"/>
  <c r="CN95" i="10"/>
  <c r="CD95" i="10"/>
  <c r="CC95" i="10"/>
  <c r="CO94" i="10"/>
  <c r="CN94" i="10"/>
  <c r="CD94" i="10"/>
  <c r="CC94" i="10"/>
  <c r="CO93" i="10"/>
  <c r="CN93" i="10"/>
  <c r="CD93" i="10"/>
  <c r="CC93" i="10"/>
  <c r="CO92" i="10"/>
  <c r="CN92" i="10"/>
  <c r="CD92" i="10"/>
  <c r="CC92" i="10"/>
  <c r="CO91" i="10"/>
  <c r="CN91" i="10"/>
  <c r="CD91" i="10"/>
  <c r="CC91" i="10"/>
  <c r="CO90" i="10"/>
  <c r="CN90" i="10"/>
  <c r="CD90" i="10"/>
  <c r="CC90" i="10"/>
  <c r="CO89" i="10"/>
  <c r="CN89" i="10"/>
  <c r="CD89" i="10"/>
  <c r="CC89" i="10"/>
  <c r="CO88" i="10"/>
  <c r="CN88" i="10"/>
  <c r="CD88" i="10"/>
  <c r="CC88" i="10"/>
  <c r="CO87" i="10"/>
  <c r="CN87" i="10"/>
  <c r="CD87" i="10"/>
  <c r="CC87" i="10"/>
  <c r="CO86" i="10"/>
  <c r="CN86" i="10"/>
  <c r="CD86" i="10"/>
  <c r="CC86" i="10"/>
  <c r="CO85" i="10"/>
  <c r="CN85" i="10"/>
  <c r="CD85" i="10"/>
  <c r="CC85" i="10"/>
  <c r="CO84" i="10"/>
  <c r="CN84" i="10"/>
  <c r="CD84" i="10"/>
  <c r="CC84" i="10"/>
  <c r="CO83" i="10"/>
  <c r="CN83" i="10"/>
  <c r="CD83" i="10"/>
  <c r="CC83" i="10"/>
  <c r="CO82" i="10"/>
  <c r="CN82" i="10"/>
  <c r="CD82" i="10"/>
  <c r="CC82" i="10"/>
  <c r="CO81" i="10"/>
  <c r="CN81" i="10"/>
  <c r="CD81" i="10"/>
  <c r="CC81" i="10"/>
  <c r="CO80" i="10"/>
  <c r="CN80" i="10"/>
  <c r="CD80" i="10"/>
  <c r="CC80" i="10"/>
  <c r="CO79" i="10"/>
  <c r="CN79" i="10"/>
  <c r="CD79" i="10"/>
  <c r="CC79" i="10"/>
  <c r="CO78" i="10"/>
  <c r="CN78" i="10"/>
  <c r="CD78" i="10"/>
  <c r="CC78" i="10"/>
  <c r="CO77" i="10"/>
  <c r="CN77" i="10"/>
  <c r="CD77" i="10"/>
  <c r="CC77" i="10"/>
  <c r="CO76" i="10"/>
  <c r="CN76" i="10"/>
  <c r="CD76" i="10"/>
  <c r="CC76" i="10"/>
  <c r="CO75" i="10"/>
  <c r="CN75" i="10"/>
  <c r="CD75" i="10"/>
  <c r="CC75" i="10"/>
  <c r="CO74" i="10"/>
  <c r="CN74" i="10"/>
  <c r="CD74" i="10"/>
  <c r="CC74" i="10"/>
  <c r="CO73" i="10"/>
  <c r="CN73" i="10"/>
  <c r="CJ73" i="10"/>
  <c r="CH73" i="10"/>
  <c r="CL73" i="10" s="1"/>
  <c r="CD73" i="10"/>
  <c r="CC73" i="10"/>
  <c r="BY73" i="10"/>
  <c r="BW73" i="10"/>
  <c r="CE73" i="10" s="1"/>
  <c r="CO68" i="10"/>
  <c r="CN68" i="10"/>
  <c r="CD68" i="10"/>
  <c r="CC68" i="10"/>
  <c r="CO67" i="10"/>
  <c r="CN67" i="10"/>
  <c r="CD67" i="10"/>
  <c r="CC67" i="10"/>
  <c r="CO66" i="10"/>
  <c r="CN66" i="10"/>
  <c r="CD66" i="10"/>
  <c r="CC66" i="10"/>
  <c r="CO65" i="10"/>
  <c r="CN65" i="10"/>
  <c r="CD65" i="10"/>
  <c r="CC65" i="10"/>
  <c r="CO64" i="10"/>
  <c r="CN64" i="10"/>
  <c r="CD64" i="10"/>
  <c r="CC64" i="10"/>
  <c r="CO63" i="10"/>
  <c r="CN63" i="10"/>
  <c r="CD63" i="10"/>
  <c r="CC63" i="10"/>
  <c r="CO62" i="10"/>
  <c r="CN62" i="10"/>
  <c r="CD62" i="10"/>
  <c r="CC62" i="10"/>
  <c r="BS62" i="10"/>
  <c r="BO62" i="10"/>
  <c r="CO61" i="10"/>
  <c r="CN61" i="10"/>
  <c r="CD61" i="10"/>
  <c r="CC61" i="10"/>
  <c r="CO60" i="10"/>
  <c r="CN60" i="10"/>
  <c r="CD60" i="10"/>
  <c r="CC60" i="10"/>
  <c r="CO59" i="10"/>
  <c r="CN59" i="10"/>
  <c r="CD59" i="10"/>
  <c r="CC59" i="10"/>
  <c r="CO58" i="10"/>
  <c r="CN58" i="10"/>
  <c r="CD58" i="10"/>
  <c r="CC58" i="10"/>
  <c r="CO57" i="10"/>
  <c r="CN57" i="10"/>
  <c r="CD57" i="10"/>
  <c r="CC57" i="10"/>
  <c r="CO56" i="10"/>
  <c r="CN56" i="10"/>
  <c r="CD56" i="10"/>
  <c r="CC56" i="10"/>
  <c r="CO55" i="10"/>
  <c r="CN55" i="10"/>
  <c r="CD55" i="10"/>
  <c r="CC55" i="10"/>
  <c r="CO54" i="10"/>
  <c r="CN54" i="10"/>
  <c r="CD54" i="10"/>
  <c r="CC54" i="10"/>
  <c r="CO53" i="10"/>
  <c r="CN53" i="10"/>
  <c r="CD53" i="10"/>
  <c r="CC53" i="10"/>
  <c r="CO52" i="10"/>
  <c r="CN52" i="10"/>
  <c r="CD52" i="10"/>
  <c r="CC52" i="10"/>
  <c r="CO51" i="10"/>
  <c r="CN51" i="10"/>
  <c r="CD51" i="10"/>
  <c r="CC51" i="10"/>
  <c r="CO50" i="10"/>
  <c r="CN50" i="10"/>
  <c r="CD50" i="10"/>
  <c r="CC50" i="10"/>
  <c r="CO49" i="10"/>
  <c r="CN49" i="10"/>
  <c r="CD49" i="10"/>
  <c r="CC49" i="10"/>
  <c r="CO48" i="10"/>
  <c r="CN48" i="10"/>
  <c r="CD48" i="10"/>
  <c r="CC48" i="10"/>
  <c r="CO47" i="10"/>
  <c r="CN47" i="10"/>
  <c r="CD47" i="10"/>
  <c r="CC47" i="10"/>
  <c r="CO46" i="10"/>
  <c r="CN46" i="10"/>
  <c r="CD46" i="10"/>
  <c r="CC46" i="10"/>
  <c r="CO45" i="10"/>
  <c r="CN45" i="10"/>
  <c r="CD45" i="10"/>
  <c r="CC45" i="10"/>
  <c r="AY45" i="10"/>
  <c r="CO44" i="10"/>
  <c r="CN44" i="10"/>
  <c r="CD44" i="10"/>
  <c r="CC44" i="10"/>
  <c r="CO43" i="10"/>
  <c r="CN43" i="10"/>
  <c r="CD43" i="10"/>
  <c r="CC43" i="10"/>
  <c r="BS43" i="10"/>
  <c r="BO43" i="10"/>
  <c r="CO42" i="10"/>
  <c r="CN42" i="10"/>
  <c r="CD42" i="10"/>
  <c r="CC42" i="10"/>
  <c r="CO41" i="10"/>
  <c r="CN41" i="10"/>
  <c r="CD41" i="10"/>
  <c r="CC41" i="10"/>
  <c r="CO40" i="10"/>
  <c r="CN40" i="10"/>
  <c r="CD40" i="10"/>
  <c r="CC40" i="10"/>
  <c r="CO39" i="10"/>
  <c r="CN39" i="10"/>
  <c r="CJ39" i="10"/>
  <c r="CH39" i="10"/>
  <c r="CD39" i="10"/>
  <c r="CC39" i="10"/>
  <c r="BY39" i="10"/>
  <c r="BW39" i="10"/>
  <c r="CE39" i="10" s="1"/>
  <c r="CO34" i="10"/>
  <c r="CN34" i="10"/>
  <c r="CD34" i="10"/>
  <c r="CC34" i="10"/>
  <c r="CO33" i="10"/>
  <c r="CN33" i="10"/>
  <c r="CD33" i="10"/>
  <c r="CC33" i="10"/>
  <c r="CO32" i="10"/>
  <c r="CN32" i="10"/>
  <c r="CD32" i="10"/>
  <c r="CC32" i="10"/>
  <c r="CO31" i="10"/>
  <c r="CN31" i="10"/>
  <c r="CD31" i="10"/>
  <c r="CC31" i="10"/>
  <c r="CO30" i="10"/>
  <c r="CN30" i="10"/>
  <c r="CD30" i="10"/>
  <c r="CC30" i="10"/>
  <c r="CO29" i="10"/>
  <c r="CN29" i="10"/>
  <c r="CD29" i="10"/>
  <c r="CC29" i="10"/>
  <c r="CO28" i="10"/>
  <c r="CN28" i="10"/>
  <c r="CD28" i="10"/>
  <c r="CC28" i="10"/>
  <c r="CO27" i="10"/>
  <c r="CN27" i="10"/>
  <c r="CD27" i="10"/>
  <c r="CC27" i="10"/>
  <c r="CO26" i="10"/>
  <c r="CN26" i="10"/>
  <c r="CD26" i="10"/>
  <c r="CC26" i="10"/>
  <c r="CO25" i="10"/>
  <c r="CN25" i="10"/>
  <c r="CD25" i="10"/>
  <c r="CC25" i="10"/>
  <c r="CO24" i="10"/>
  <c r="CN24" i="10"/>
  <c r="CD24" i="10"/>
  <c r="CC24" i="10"/>
  <c r="BS24" i="10"/>
  <c r="BO24" i="10"/>
  <c r="CO23" i="10"/>
  <c r="CN23" i="10"/>
  <c r="CD23" i="10"/>
  <c r="CC23" i="10"/>
  <c r="CO22" i="10"/>
  <c r="CN22" i="10"/>
  <c r="CD22" i="10"/>
  <c r="CC22" i="10"/>
  <c r="CO21" i="10"/>
  <c r="CN21" i="10"/>
  <c r="CD21" i="10"/>
  <c r="CC21" i="10"/>
  <c r="CO20" i="10"/>
  <c r="CN20" i="10"/>
  <c r="CD20" i="10"/>
  <c r="CC20" i="10"/>
  <c r="CO19" i="10"/>
  <c r="CN19" i="10"/>
  <c r="CD19" i="10"/>
  <c r="CC19" i="10"/>
  <c r="CO18" i="10"/>
  <c r="CN18" i="10"/>
  <c r="CD18" i="10"/>
  <c r="CC18" i="10"/>
  <c r="CO17" i="10"/>
  <c r="CN17" i="10"/>
  <c r="CD17" i="10"/>
  <c r="CC17" i="10"/>
  <c r="CO16" i="10"/>
  <c r="CN16" i="10"/>
  <c r="CD16" i="10"/>
  <c r="CC16" i="10"/>
  <c r="CO15" i="10"/>
  <c r="CN15" i="10"/>
  <c r="CD15" i="10"/>
  <c r="CC15" i="10"/>
  <c r="CO14" i="10"/>
  <c r="CN14" i="10"/>
  <c r="CD14" i="10"/>
  <c r="CC14" i="10"/>
  <c r="CO13" i="10"/>
  <c r="CN13" i="10"/>
  <c r="CD13" i="10"/>
  <c r="CC13" i="10"/>
  <c r="CO12" i="10"/>
  <c r="CN12" i="10"/>
  <c r="CD12" i="10"/>
  <c r="CC12" i="10"/>
  <c r="CO11" i="10"/>
  <c r="CN11" i="10"/>
  <c r="CD11" i="10"/>
  <c r="CC11" i="10"/>
  <c r="CO10" i="10"/>
  <c r="CN10" i="10"/>
  <c r="CD10" i="10"/>
  <c r="CC10" i="10"/>
  <c r="CO9" i="10"/>
  <c r="CN9" i="10"/>
  <c r="CD9" i="10"/>
  <c r="CC9" i="10"/>
  <c r="AY32" i="10"/>
  <c r="CO8" i="10"/>
  <c r="CN8" i="10"/>
  <c r="CD8" i="10"/>
  <c r="CC8" i="10"/>
  <c r="AY8" i="10"/>
  <c r="CO7" i="10"/>
  <c r="CN7" i="10"/>
  <c r="CD7" i="10"/>
  <c r="CC7" i="10"/>
  <c r="CO6" i="10"/>
  <c r="CN6" i="10"/>
  <c r="CD6" i="10"/>
  <c r="CC6" i="10"/>
  <c r="CO5" i="10"/>
  <c r="CN5" i="10"/>
  <c r="CJ5" i="10"/>
  <c r="CH5" i="10"/>
  <c r="CD5" i="10"/>
  <c r="CC5" i="10"/>
  <c r="BY5" i="10"/>
  <c r="BW5" i="10"/>
  <c r="CA5" i="10" s="1"/>
  <c r="BS5" i="10"/>
  <c r="BO5" i="10"/>
  <c r="AY3" i="10"/>
  <c r="O47" i="9" l="1"/>
  <c r="G11" i="9"/>
  <c r="CJ74" i="10"/>
  <c r="CH40" i="10"/>
  <c r="CH41" i="10" s="1"/>
  <c r="AV51" i="10"/>
  <c r="AR51" i="10"/>
  <c r="AP52" i="10" s="1"/>
  <c r="CA107" i="10"/>
  <c r="BY108" i="10" s="1"/>
  <c r="CA108" i="10" s="1"/>
  <c r="BY109" i="10" s="1"/>
  <c r="BW6" i="10"/>
  <c r="BY6" i="10"/>
  <c r="CA73" i="10"/>
  <c r="BW40" i="10"/>
  <c r="BW41" i="10" s="1"/>
  <c r="CA39" i="10"/>
  <c r="BY40" i="10" s="1"/>
  <c r="BW74" i="10"/>
  <c r="BW75" i="10" s="1"/>
  <c r="BW76" i="10" s="1"/>
  <c r="AY22" i="10"/>
  <c r="AY33" i="10"/>
  <c r="AY28" i="10"/>
  <c r="BY74" i="10"/>
  <c r="CE107" i="10"/>
  <c r="AY26" i="10"/>
  <c r="BK31" i="10" s="1"/>
  <c r="CH74" i="10"/>
  <c r="CH75" i="10" s="1"/>
  <c r="CH76" i="10" s="1"/>
  <c r="AY31" i="10"/>
  <c r="AY24" i="10"/>
  <c r="CE5" i="10"/>
  <c r="AY19" i="10"/>
  <c r="CP39" i="10"/>
  <c r="CP73" i="10"/>
  <c r="AY20" i="10"/>
  <c r="AY30" i="10"/>
  <c r="BC3" i="10"/>
  <c r="BC4" i="10" s="1"/>
  <c r="CL5" i="10"/>
  <c r="CJ6" i="10" s="1"/>
  <c r="AY21" i="10"/>
  <c r="AY23" i="10"/>
  <c r="AY25" i="10"/>
  <c r="CP5" i="10"/>
  <c r="CH6" i="10"/>
  <c r="CH7" i="10" s="1"/>
  <c r="CL107" i="10"/>
  <c r="CJ108" i="10" s="1"/>
  <c r="CH108" i="10"/>
  <c r="CP107" i="10"/>
  <c r="CL39" i="10"/>
  <c r="CJ40" i="10" s="1"/>
  <c r="BW109" i="10"/>
  <c r="AY34" i="10"/>
  <c r="AY27" i="10"/>
  <c r="AY29" i="10"/>
  <c r="CP40" i="10" l="1"/>
  <c r="AN52" i="10"/>
  <c r="AR52" i="10" s="1"/>
  <c r="AN53" i="10" s="1"/>
  <c r="CE108" i="10"/>
  <c r="CA109" i="10"/>
  <c r="BY110" i="10" s="1"/>
  <c r="CL74" i="10"/>
  <c r="CJ75" i="10" s="1"/>
  <c r="CL75" i="10" s="1"/>
  <c r="CJ76" i="10" s="1"/>
  <c r="CE40" i="10"/>
  <c r="CA6" i="10"/>
  <c r="BY7" i="10" s="1"/>
  <c r="CE6" i="10"/>
  <c r="BW7" i="10"/>
  <c r="BO65" i="10"/>
  <c r="CE74" i="10"/>
  <c r="BG22" i="10"/>
  <c r="BS27" i="10"/>
  <c r="CA74" i="10"/>
  <c r="BY75" i="10" s="1"/>
  <c r="CA75" i="10" s="1"/>
  <c r="BY76" i="10" s="1"/>
  <c r="CP6" i="10"/>
  <c r="BS65" i="10"/>
  <c r="BG31" i="10"/>
  <c r="BO46" i="10"/>
  <c r="CP108" i="10"/>
  <c r="CA40" i="10"/>
  <c r="BY41" i="10" s="1"/>
  <c r="CA41" i="10" s="1"/>
  <c r="BY42" i="10" s="1"/>
  <c r="BS46" i="10"/>
  <c r="CP74" i="10"/>
  <c r="BG4" i="10"/>
  <c r="BK4" i="10"/>
  <c r="BO27" i="10"/>
  <c r="BO8" i="10"/>
  <c r="BS8" i="10"/>
  <c r="BK13" i="10"/>
  <c r="BG13" i="10"/>
  <c r="BK22" i="10"/>
  <c r="CH42" i="10"/>
  <c r="CL6" i="10"/>
  <c r="CJ7" i="10" s="1"/>
  <c r="CP7" i="10" s="1"/>
  <c r="BW110" i="10"/>
  <c r="CL108" i="10"/>
  <c r="CJ109" i="10" s="1"/>
  <c r="CH109" i="10"/>
  <c r="CE109" i="10"/>
  <c r="BW42" i="10"/>
  <c r="CL40" i="10"/>
  <c r="CJ41" i="10" s="1"/>
  <c r="CP41" i="10" s="1"/>
  <c r="AV52" i="10" l="1"/>
  <c r="CA7" i="10"/>
  <c r="BW8" i="10" s="1"/>
  <c r="AP53" i="10"/>
  <c r="AV53" i="10" s="1"/>
  <c r="CA110" i="10"/>
  <c r="BY8" i="10"/>
  <c r="CE7" i="10"/>
  <c r="CP75" i="10"/>
  <c r="CE75" i="10"/>
  <c r="CE41" i="10"/>
  <c r="CE110" i="10"/>
  <c r="CA42" i="10"/>
  <c r="BW43" i="10" s="1"/>
  <c r="CL41" i="10"/>
  <c r="CJ42" i="10" s="1"/>
  <c r="CL42" i="10" s="1"/>
  <c r="CH43" i="10" s="1"/>
  <c r="CE76" i="10"/>
  <c r="CL7" i="10"/>
  <c r="CL109" i="10"/>
  <c r="CJ110" i="10" s="1"/>
  <c r="CH110" i="10"/>
  <c r="CP109" i="10"/>
  <c r="CP76" i="10"/>
  <c r="CJ77" i="10"/>
  <c r="CE42" i="10"/>
  <c r="CA76" i="10"/>
  <c r="BW77" i="10" s="1"/>
  <c r="CL76" i="10"/>
  <c r="CH77" i="10" s="1"/>
  <c r="CJ8" i="10" l="1"/>
  <c r="CH8" i="10"/>
  <c r="CA8" i="10"/>
  <c r="BY9" i="10" s="1"/>
  <c r="CE8" i="10"/>
  <c r="AR53" i="10"/>
  <c r="AN54" i="10" s="1"/>
  <c r="BW111" i="10"/>
  <c r="BY111" i="10"/>
  <c r="BY77" i="10"/>
  <c r="CA77" i="10" s="1"/>
  <c r="BY78" i="10" s="1"/>
  <c r="CJ43" i="10"/>
  <c r="CL43" i="10" s="1"/>
  <c r="BY43" i="10"/>
  <c r="CA43" i="10" s="1"/>
  <c r="BW9" i="10"/>
  <c r="CP42" i="10"/>
  <c r="CL110" i="10"/>
  <c r="CH111" i="10" s="1"/>
  <c r="CP77" i="10"/>
  <c r="CP110" i="10"/>
  <c r="CL77" i="10"/>
  <c r="CJ78" i="10" s="1"/>
  <c r="CH78" i="10"/>
  <c r="BW78" i="10"/>
  <c r="CP8" i="10" l="1"/>
  <c r="CL8" i="10"/>
  <c r="CH9" i="10" s="1"/>
  <c r="AP54" i="10"/>
  <c r="AR54" i="10" s="1"/>
  <c r="AP55" i="10" s="1"/>
  <c r="CP43" i="10"/>
  <c r="CE111" i="10"/>
  <c r="CE9" i="10"/>
  <c r="CA9" i="10"/>
  <c r="BY10" i="10" s="1"/>
  <c r="BY11" i="10" s="1"/>
  <c r="CE77" i="10"/>
  <c r="CE43" i="10"/>
  <c r="CJ111" i="10"/>
  <c r="CP111" i="10" s="1"/>
  <c r="CA111" i="10"/>
  <c r="BY112" i="10" s="1"/>
  <c r="CJ44" i="10"/>
  <c r="CH44" i="10"/>
  <c r="BW44" i="10"/>
  <c r="BY44" i="10"/>
  <c r="BW10" i="10"/>
  <c r="CJ9" i="10"/>
  <c r="CA78" i="10"/>
  <c r="BW79" i="10" s="1"/>
  <c r="CP78" i="10"/>
  <c r="CL78" i="10"/>
  <c r="CJ79" i="10" s="1"/>
  <c r="CH79" i="10"/>
  <c r="CE78" i="10"/>
  <c r="AV54" i="10" l="1"/>
  <c r="CL9" i="10"/>
  <c r="CH10" i="10" s="1"/>
  <c r="CA10" i="10"/>
  <c r="BW11" i="10" s="1"/>
  <c r="CA11" i="10" s="1"/>
  <c r="AN55" i="10"/>
  <c r="AR55" i="10" s="1"/>
  <c r="AN56" i="10" s="1"/>
  <c r="CP44" i="10"/>
  <c r="CL111" i="10"/>
  <c r="CJ112" i="10" s="1"/>
  <c r="CH112" i="10"/>
  <c r="BW112" i="10"/>
  <c r="CE112" i="10" s="1"/>
  <c r="BY79" i="10"/>
  <c r="CE79" i="10" s="1"/>
  <c r="CL44" i="10"/>
  <c r="CP9" i="10"/>
  <c r="CE44" i="10"/>
  <c r="CE10" i="10"/>
  <c r="CA44" i="10"/>
  <c r="BY45" i="10" s="1"/>
  <c r="CJ10" i="10"/>
  <c r="CP79" i="10"/>
  <c r="CL79" i="10"/>
  <c r="CH80" i="10" s="1"/>
  <c r="AP56" i="10" l="1"/>
  <c r="AR56" i="10" s="1"/>
  <c r="AP57" i="10" s="1"/>
  <c r="CE11" i="10"/>
  <c r="AV55" i="10"/>
  <c r="CA79" i="10"/>
  <c r="BY80" i="10" s="1"/>
  <c r="CL112" i="10"/>
  <c r="CJ113" i="10" s="1"/>
  <c r="CP112" i="10"/>
  <c r="CH113" i="10"/>
  <c r="CA112" i="10"/>
  <c r="CL10" i="10"/>
  <c r="CH11" i="10" s="1"/>
  <c r="CJ80" i="10"/>
  <c r="CL80" i="10" s="1"/>
  <c r="BW80" i="10"/>
  <c r="CH45" i="10"/>
  <c r="CJ45" i="10"/>
  <c r="CP10" i="10"/>
  <c r="BW45" i="10"/>
  <c r="CA45" i="10" s="1"/>
  <c r="BY12" i="10"/>
  <c r="BW12" i="10"/>
  <c r="AN57" i="10" l="1"/>
  <c r="AV57" i="10" s="1"/>
  <c r="AV56" i="10"/>
  <c r="CJ11" i="10"/>
  <c r="CP11" i="10" s="1"/>
  <c r="CP45" i="10"/>
  <c r="CE80" i="10"/>
  <c r="CP113" i="10"/>
  <c r="CP80" i="10"/>
  <c r="CA80" i="10"/>
  <c r="BW81" i="10" s="1"/>
  <c r="CL113" i="10"/>
  <c r="CE45" i="10"/>
  <c r="BY113" i="10"/>
  <c r="BW113" i="10"/>
  <c r="CA12" i="10"/>
  <c r="BY13" i="10" s="1"/>
  <c r="CH81" i="10"/>
  <c r="CJ81" i="10"/>
  <c r="CL45" i="10"/>
  <c r="BW46" i="10"/>
  <c r="BY46" i="10"/>
  <c r="CE12" i="10"/>
  <c r="AR57" i="10" l="1"/>
  <c r="AN58" i="10" s="1"/>
  <c r="CL11" i="10"/>
  <c r="CH12" i="10" s="1"/>
  <c r="CJ12" i="10"/>
  <c r="BW13" i="10"/>
  <c r="CE13" i="10" s="1"/>
  <c r="BY81" i="10"/>
  <c r="CE81" i="10" s="1"/>
  <c r="CA113" i="10"/>
  <c r="BW114" i="10" s="1"/>
  <c r="CH114" i="10"/>
  <c r="CJ114" i="10"/>
  <c r="CE46" i="10"/>
  <c r="CP81" i="10"/>
  <c r="BY114" i="10"/>
  <c r="CE113" i="10"/>
  <c r="CL81" i="10"/>
  <c r="CH82" i="10" s="1"/>
  <c r="CH46" i="10"/>
  <c r="CJ46" i="10"/>
  <c r="CA46" i="10"/>
  <c r="BY47" i="10" s="1"/>
  <c r="AP58" i="10"/>
  <c r="AR58" i="10" l="1"/>
  <c r="AP59" i="10" s="1"/>
  <c r="CP12" i="10"/>
  <c r="CA13" i="10"/>
  <c r="BY14" i="10" s="1"/>
  <c r="CA81" i="10"/>
  <c r="BY82" i="10" s="1"/>
  <c r="CL12" i="10"/>
  <c r="CJ13" i="10" s="1"/>
  <c r="BW82" i="10"/>
  <c r="CH13" i="10"/>
  <c r="CP114" i="10"/>
  <c r="CA114" i="10"/>
  <c r="BY115" i="10" s="1"/>
  <c r="CJ82" i="10"/>
  <c r="CP82" i="10" s="1"/>
  <c r="CL114" i="10"/>
  <c r="CJ115" i="10" s="1"/>
  <c r="CP46" i="10"/>
  <c r="BW115" i="10"/>
  <c r="CE114" i="10"/>
  <c r="CL46" i="10"/>
  <c r="BW47" i="10"/>
  <c r="CE47" i="10" s="1"/>
  <c r="AV58" i="10"/>
  <c r="BW14" i="10" l="1"/>
  <c r="CE14" i="10" s="1"/>
  <c r="AN59" i="10"/>
  <c r="AR59" i="10" s="1"/>
  <c r="AN60" i="10" s="1"/>
  <c r="CA82" i="10"/>
  <c r="BW83" i="10" s="1"/>
  <c r="CL13" i="10"/>
  <c r="CH14" i="10" s="1"/>
  <c r="CE82" i="10"/>
  <c r="CP13" i="10"/>
  <c r="CJ14" i="10"/>
  <c r="CL82" i="10"/>
  <c r="CJ83" i="10" s="1"/>
  <c r="BY83" i="10"/>
  <c r="CA115" i="10"/>
  <c r="BY116" i="10" s="1"/>
  <c r="CH115" i="10"/>
  <c r="CL115" i="10" s="1"/>
  <c r="CA47" i="10"/>
  <c r="BW48" i="10" s="1"/>
  <c r="BW116" i="10"/>
  <c r="CE115" i="10"/>
  <c r="CH47" i="10"/>
  <c r="CJ47" i="10"/>
  <c r="AP60" i="10"/>
  <c r="CP14" i="10" l="1"/>
  <c r="CA14" i="10"/>
  <c r="BY15" i="10" s="1"/>
  <c r="AV59" i="10"/>
  <c r="CA83" i="10"/>
  <c r="BY84" i="10" s="1"/>
  <c r="CL14" i="10"/>
  <c r="CJ15" i="10" s="1"/>
  <c r="BW15" i="10"/>
  <c r="BY48" i="10"/>
  <c r="CE48" i="10" s="1"/>
  <c r="CH83" i="10"/>
  <c r="CP83" i="10" s="1"/>
  <c r="CE83" i="10"/>
  <c r="CA116" i="10"/>
  <c r="BW117" i="10" s="1"/>
  <c r="CH116" i="10"/>
  <c r="CJ116" i="10"/>
  <c r="CP115" i="10"/>
  <c r="BW84" i="10"/>
  <c r="CE116" i="10"/>
  <c r="CL47" i="10"/>
  <c r="CP47" i="10"/>
  <c r="AV60" i="10"/>
  <c r="AR60" i="10"/>
  <c r="AN61" i="10" s="1"/>
  <c r="CA15" i="10" l="1"/>
  <c r="BY16" i="10" s="1"/>
  <c r="CE84" i="10"/>
  <c r="CE15" i="10"/>
  <c r="BW16" i="10"/>
  <c r="CH15" i="10"/>
  <c r="CP15" i="10" s="1"/>
  <c r="CA48" i="10"/>
  <c r="BY49" i="10" s="1"/>
  <c r="BY117" i="10"/>
  <c r="CE117" i="10" s="1"/>
  <c r="CL83" i="10"/>
  <c r="CP116" i="10"/>
  <c r="CA84" i="10"/>
  <c r="BY85" i="10" s="1"/>
  <c r="CL116" i="10"/>
  <c r="CH48" i="10"/>
  <c r="CJ48" i="10"/>
  <c r="AP61" i="10"/>
  <c r="AV61" i="10" s="1"/>
  <c r="CE16" i="10" l="1"/>
  <c r="CA16" i="10"/>
  <c r="BY17" i="10" s="1"/>
  <c r="CL15" i="10"/>
  <c r="BW49" i="10"/>
  <c r="CE49" i="10" s="1"/>
  <c r="CA117" i="10"/>
  <c r="CH84" i="10"/>
  <c r="CJ84" i="10"/>
  <c r="BW85" i="10"/>
  <c r="CA85" i="10" s="1"/>
  <c r="BW86" i="10" s="1"/>
  <c r="CH117" i="10"/>
  <c r="CJ117" i="10"/>
  <c r="CP48" i="10"/>
  <c r="CL48" i="10"/>
  <c r="CJ49" i="10" s="1"/>
  <c r="AR61" i="10"/>
  <c r="AP62" i="10" s="1"/>
  <c r="CA49" i="10" l="1"/>
  <c r="BY50" i="10" s="1"/>
  <c r="BW17" i="10"/>
  <c r="CA17" i="10" s="1"/>
  <c r="BW18" i="10" s="1"/>
  <c r="CH16" i="10"/>
  <c r="CJ16" i="10"/>
  <c r="BY86" i="10"/>
  <c r="CA86" i="10" s="1"/>
  <c r="BW87" i="10" s="1"/>
  <c r="CP84" i="10"/>
  <c r="BW118" i="10"/>
  <c r="BY118" i="10"/>
  <c r="BW50" i="10"/>
  <c r="CL84" i="10"/>
  <c r="CE85" i="10"/>
  <c r="CL117" i="10"/>
  <c r="CP117" i="10"/>
  <c r="AN62" i="10"/>
  <c r="AR62" i="10" s="1"/>
  <c r="AN63" i="10" s="1"/>
  <c r="CH49" i="10"/>
  <c r="CL49" i="10" s="1"/>
  <c r="BY18" i="10"/>
  <c r="CP16" i="10" l="1"/>
  <c r="CE17" i="10"/>
  <c r="CA50" i="10"/>
  <c r="BY51" i="10" s="1"/>
  <c r="CE118" i="10"/>
  <c r="CL16" i="10"/>
  <c r="CE86" i="10"/>
  <c r="CE50" i="10"/>
  <c r="CA118" i="10"/>
  <c r="CH85" i="10"/>
  <c r="CJ85" i="10"/>
  <c r="BY87" i="10"/>
  <c r="CE87" i="10" s="1"/>
  <c r="CE18" i="10"/>
  <c r="CH118" i="10"/>
  <c r="CJ118" i="10"/>
  <c r="AV62" i="10"/>
  <c r="AP63" i="10"/>
  <c r="AV63" i="10" s="1"/>
  <c r="CH50" i="10"/>
  <c r="CJ50" i="10"/>
  <c r="CP49" i="10"/>
  <c r="BW51" i="10"/>
  <c r="CA18" i="10"/>
  <c r="BY19" i="10" s="1"/>
  <c r="CH17" i="10" l="1"/>
  <c r="CJ17" i="10"/>
  <c r="CP85" i="10"/>
  <c r="BW119" i="10"/>
  <c r="BY119" i="10"/>
  <c r="CL85" i="10"/>
  <c r="CJ86" i="10" s="1"/>
  <c r="CA87" i="10"/>
  <c r="BY88" i="10" s="1"/>
  <c r="CP118" i="10"/>
  <c r="CP50" i="10"/>
  <c r="AR63" i="10"/>
  <c r="AP64" i="10" s="1"/>
  <c r="CL118" i="10"/>
  <c r="CJ119" i="10" s="1"/>
  <c r="CE51" i="10"/>
  <c r="CL50" i="10"/>
  <c r="CA51" i="10"/>
  <c r="BW19" i="10"/>
  <c r="CA19" i="10" s="1"/>
  <c r="CP17" i="10" l="1"/>
  <c r="CL17" i="10"/>
  <c r="CE119" i="10"/>
  <c r="CA119" i="10"/>
  <c r="CH86" i="10"/>
  <c r="CP86" i="10" s="1"/>
  <c r="BW88" i="10"/>
  <c r="CA88" i="10" s="1"/>
  <c r="BY89" i="10" s="1"/>
  <c r="AN64" i="10"/>
  <c r="AR64" i="10" s="1"/>
  <c r="AN65" i="10" s="1"/>
  <c r="CH119" i="10"/>
  <c r="CL119" i="10" s="1"/>
  <c r="CJ51" i="10"/>
  <c r="CH51" i="10"/>
  <c r="BW52" i="10"/>
  <c r="BY52" i="10"/>
  <c r="BY20" i="10"/>
  <c r="BW20" i="10"/>
  <c r="CE19" i="10"/>
  <c r="CE88" i="10" l="1"/>
  <c r="BW89" i="10"/>
  <c r="CE89" i="10" s="1"/>
  <c r="CJ18" i="10"/>
  <c r="CH18" i="10"/>
  <c r="BY120" i="10"/>
  <c r="BW120" i="10"/>
  <c r="AP65" i="10"/>
  <c r="AV65" i="10" s="1"/>
  <c r="CL86" i="10"/>
  <c r="AV64" i="10"/>
  <c r="CL51" i="10"/>
  <c r="CJ52" i="10" s="1"/>
  <c r="CH120" i="10"/>
  <c r="CJ120" i="10"/>
  <c r="CP119" i="10"/>
  <c r="CE52" i="10"/>
  <c r="CP51" i="10"/>
  <c r="CA20" i="10"/>
  <c r="BY21" i="10" s="1"/>
  <c r="CA52" i="10"/>
  <c r="BY53" i="10" s="1"/>
  <c r="CE20" i="10"/>
  <c r="CA89" i="10" l="1"/>
  <c r="BY90" i="10" s="1"/>
  <c r="AR65" i="10"/>
  <c r="AN66" i="10" s="1"/>
  <c r="CL18" i="10"/>
  <c r="CJ19" i="10" s="1"/>
  <c r="CH19" i="10"/>
  <c r="CP18" i="10"/>
  <c r="CA120" i="10"/>
  <c r="BW121" i="10" s="1"/>
  <c r="CE120" i="10"/>
  <c r="CJ87" i="10"/>
  <c r="CH87" i="10"/>
  <c r="BW90" i="10"/>
  <c r="CH52" i="10"/>
  <c r="CL52" i="10" s="1"/>
  <c r="CP120" i="10"/>
  <c r="BW53" i="10"/>
  <c r="CE53" i="10" s="1"/>
  <c r="CL120" i="10"/>
  <c r="BW21" i="10"/>
  <c r="CE21" i="10" s="1"/>
  <c r="CA90" i="10" l="1"/>
  <c r="BW91" i="10" s="1"/>
  <c r="AP66" i="10"/>
  <c r="AV66" i="10" s="1"/>
  <c r="CP19" i="10"/>
  <c r="CL19" i="10"/>
  <c r="BY121" i="10"/>
  <c r="CA121" i="10" s="1"/>
  <c r="BW122" i="10" s="1"/>
  <c r="CP52" i="10"/>
  <c r="CL87" i="10"/>
  <c r="CJ88" i="10" s="1"/>
  <c r="CP87" i="10"/>
  <c r="CE90" i="10"/>
  <c r="BY91" i="10"/>
  <c r="CA53" i="10"/>
  <c r="BY54" i="10" s="1"/>
  <c r="CH121" i="10"/>
  <c r="CJ121" i="10"/>
  <c r="CA21" i="10"/>
  <c r="BY22" i="10" s="1"/>
  <c r="CH53" i="10"/>
  <c r="CJ53" i="10"/>
  <c r="CE91" i="10" l="1"/>
  <c r="AR66" i="10"/>
  <c r="AP67" i="10" s="1"/>
  <c r="CJ20" i="10"/>
  <c r="CH20" i="10"/>
  <c r="CE121" i="10"/>
  <c r="BY122" i="10"/>
  <c r="CE122" i="10" s="1"/>
  <c r="CH88" i="10"/>
  <c r="CL88" i="10" s="1"/>
  <c r="CH89" i="10" s="1"/>
  <c r="CA91" i="10"/>
  <c r="BY92" i="10" s="1"/>
  <c r="BW54" i="10"/>
  <c r="CE54" i="10" s="1"/>
  <c r="CP53" i="10"/>
  <c r="BW22" i="10"/>
  <c r="CA22" i="10" s="1"/>
  <c r="BW23" i="10" s="1"/>
  <c r="CL121" i="10"/>
  <c r="CP121" i="10"/>
  <c r="CL53" i="10"/>
  <c r="AN67" i="10" l="1"/>
  <c r="AV67" i="10" s="1"/>
  <c r="CP88" i="10"/>
  <c r="CJ89" i="10"/>
  <c r="CL89" i="10" s="1"/>
  <c r="CH90" i="10" s="1"/>
  <c r="CP20" i="10"/>
  <c r="CL20" i="10"/>
  <c r="CA122" i="10"/>
  <c r="BW123" i="10" s="1"/>
  <c r="BW92" i="10"/>
  <c r="CE92" i="10" s="1"/>
  <c r="BY123" i="10"/>
  <c r="CA54" i="10"/>
  <c r="BW55" i="10" s="1"/>
  <c r="BY23" i="10"/>
  <c r="CA23" i="10" s="1"/>
  <c r="CE22" i="10"/>
  <c r="CH122" i="10"/>
  <c r="CJ122" i="10"/>
  <c r="CJ54" i="10"/>
  <c r="CH54" i="10"/>
  <c r="AR67" i="10" l="1"/>
  <c r="AN68" i="10" s="1"/>
  <c r="CA92" i="10"/>
  <c r="BY93" i="10" s="1"/>
  <c r="CP89" i="10"/>
  <c r="CJ21" i="10"/>
  <c r="CH21" i="10"/>
  <c r="CJ90" i="10"/>
  <c r="CP90" i="10" s="1"/>
  <c r="CA123" i="10"/>
  <c r="BY124" i="10" s="1"/>
  <c r="BY55" i="10"/>
  <c r="CA55" i="10" s="1"/>
  <c r="BW124" i="10"/>
  <c r="CE123" i="10"/>
  <c r="CE23" i="10"/>
  <c r="BW93" i="10"/>
  <c r="CP122" i="10"/>
  <c r="CL122" i="10"/>
  <c r="CL54" i="10"/>
  <c r="CH55" i="10" s="1"/>
  <c r="CP54" i="10"/>
  <c r="BY24" i="10"/>
  <c r="BW24" i="10"/>
  <c r="AP68" i="10" l="1"/>
  <c r="AV68" i="10" s="1"/>
  <c r="CL21" i="10"/>
  <c r="CH22" i="10" s="1"/>
  <c r="CE55" i="10"/>
  <c r="CJ22" i="10"/>
  <c r="CP21" i="10"/>
  <c r="CL90" i="10"/>
  <c r="CJ91" i="10" s="1"/>
  <c r="CA124" i="10"/>
  <c r="CE124" i="10"/>
  <c r="CA93" i="10"/>
  <c r="CE93" i="10"/>
  <c r="CJ55" i="10"/>
  <c r="CP55" i="10" s="1"/>
  <c r="BY56" i="10"/>
  <c r="BW56" i="10"/>
  <c r="CH123" i="10"/>
  <c r="CJ123" i="10"/>
  <c r="CA24" i="10"/>
  <c r="BW25" i="10" s="1"/>
  <c r="CE24" i="10"/>
  <c r="AR68" i="10" l="1"/>
  <c r="AN69" i="10" s="1"/>
  <c r="CP22" i="10"/>
  <c r="CH91" i="10"/>
  <c r="CP91" i="10" s="1"/>
  <c r="CL22" i="10"/>
  <c r="BW125" i="10"/>
  <c r="BY125" i="10"/>
  <c r="AP69" i="10"/>
  <c r="BW94" i="10"/>
  <c r="BY94" i="10"/>
  <c r="CL55" i="10"/>
  <c r="CJ56" i="10" s="1"/>
  <c r="CE56" i="10"/>
  <c r="CA56" i="10"/>
  <c r="CP123" i="10"/>
  <c r="CL123" i="10"/>
  <c r="BY25" i="10"/>
  <c r="CE25" i="10" s="1"/>
  <c r="AR69" i="10" l="1"/>
  <c r="AN70" i="10" s="1"/>
  <c r="CL91" i="10"/>
  <c r="CH92" i="10" s="1"/>
  <c r="CJ23" i="10"/>
  <c r="CH23" i="10"/>
  <c r="CE125" i="10"/>
  <c r="CH56" i="10"/>
  <c r="CP56" i="10" s="1"/>
  <c r="CA125" i="10"/>
  <c r="CJ92" i="10"/>
  <c r="AV69" i="10"/>
  <c r="CE94" i="10"/>
  <c r="CA94" i="10"/>
  <c r="BY95" i="10" s="1"/>
  <c r="BY57" i="10"/>
  <c r="BW57" i="10"/>
  <c r="CA25" i="10"/>
  <c r="BW26" i="10" s="1"/>
  <c r="CH124" i="10"/>
  <c r="CJ124" i="10"/>
  <c r="AP70" i="10" l="1"/>
  <c r="AR70" i="10" s="1"/>
  <c r="AP71" i="10" s="1"/>
  <c r="CP92" i="10"/>
  <c r="CL56" i="10"/>
  <c r="CH57" i="10" s="1"/>
  <c r="CL23" i="10"/>
  <c r="CJ24" i="10" s="1"/>
  <c r="CH24" i="10"/>
  <c r="CP23" i="10"/>
  <c r="BY126" i="10"/>
  <c r="BW126" i="10"/>
  <c r="CL92" i="10"/>
  <c r="CA57" i="10"/>
  <c r="BW58" i="10" s="1"/>
  <c r="BW95" i="10"/>
  <c r="CA95" i="10" s="1"/>
  <c r="BW96" i="10" s="1"/>
  <c r="CP124" i="10"/>
  <c r="BY26" i="10"/>
  <c r="CA26" i="10" s="1"/>
  <c r="CE57" i="10"/>
  <c r="CL124" i="10"/>
  <c r="AV70" i="10" l="1"/>
  <c r="AN71" i="10"/>
  <c r="AR71" i="10" s="1"/>
  <c r="AP72" i="10" s="1"/>
  <c r="CJ57" i="10"/>
  <c r="CP57" i="10" s="1"/>
  <c r="CP24" i="10"/>
  <c r="CL24" i="10"/>
  <c r="BY58" i="10"/>
  <c r="CA58" i="10" s="1"/>
  <c r="BW59" i="10" s="1"/>
  <c r="CA126" i="10"/>
  <c r="BW127" i="10" s="1"/>
  <c r="BY127" i="10"/>
  <c r="CE126" i="10"/>
  <c r="CJ93" i="10"/>
  <c r="CH93" i="10"/>
  <c r="CE95" i="10"/>
  <c r="CE26" i="10"/>
  <c r="BY96" i="10"/>
  <c r="CJ125" i="10"/>
  <c r="CH125" i="10"/>
  <c r="BW27" i="10"/>
  <c r="BY27" i="10"/>
  <c r="CL57" i="10" l="1"/>
  <c r="CH58" i="10" s="1"/>
  <c r="CJ58" i="10"/>
  <c r="AN72" i="10"/>
  <c r="AR72" i="10" s="1"/>
  <c r="AN73" i="10" s="1"/>
  <c r="AV71" i="10"/>
  <c r="CE58" i="10"/>
  <c r="CJ25" i="10"/>
  <c r="CH25" i="10"/>
  <c r="CL93" i="10"/>
  <c r="CJ94" i="10" s="1"/>
  <c r="BY59" i="10"/>
  <c r="CA59" i="10" s="1"/>
  <c r="BY60" i="10" s="1"/>
  <c r="CA127" i="10"/>
  <c r="CE127" i="10"/>
  <c r="CP93" i="10"/>
  <c r="CE27" i="10"/>
  <c r="CA96" i="10"/>
  <c r="CE96" i="10"/>
  <c r="CL125" i="10"/>
  <c r="CH126" i="10" s="1"/>
  <c r="CP125" i="10"/>
  <c r="CA27" i="10"/>
  <c r="AP73" i="10"/>
  <c r="CP58" i="10" l="1"/>
  <c r="CL58" i="10"/>
  <c r="CH59" i="10" s="1"/>
  <c r="AV72" i="10"/>
  <c r="CH94" i="10"/>
  <c r="CL94" i="10" s="1"/>
  <c r="CJ95" i="10" s="1"/>
  <c r="CL25" i="10"/>
  <c r="CH26" i="10" s="1"/>
  <c r="CJ26" i="10"/>
  <c r="CP25" i="10"/>
  <c r="CE59" i="10"/>
  <c r="BY128" i="10"/>
  <c r="BW128" i="10"/>
  <c r="CJ126" i="10"/>
  <c r="CP126" i="10" s="1"/>
  <c r="BW60" i="10"/>
  <c r="CA60" i="10" s="1"/>
  <c r="BY61" i="10" s="1"/>
  <c r="BY97" i="10"/>
  <c r="BW97" i="10"/>
  <c r="CJ59" i="10"/>
  <c r="BW28" i="10"/>
  <c r="BY28" i="10"/>
  <c r="AR73" i="10"/>
  <c r="AN74" i="10" s="1"/>
  <c r="AV73" i="10"/>
  <c r="CL59" i="10" l="1"/>
  <c r="CH60" i="10" s="1"/>
  <c r="CP94" i="10"/>
  <c r="CH95" i="10"/>
  <c r="CP95" i="10" s="1"/>
  <c r="AP74" i="10"/>
  <c r="AR74" i="10" s="1"/>
  <c r="AN75" i="10" s="1"/>
  <c r="CA128" i="10"/>
  <c r="BY129" i="10" s="1"/>
  <c r="CP26" i="10"/>
  <c r="CL26" i="10"/>
  <c r="BW129" i="10"/>
  <c r="CE128" i="10"/>
  <c r="CL126" i="10"/>
  <c r="CJ127" i="10" s="1"/>
  <c r="CE60" i="10"/>
  <c r="BW61" i="10"/>
  <c r="CA61" i="10" s="1"/>
  <c r="CA97" i="10"/>
  <c r="BY98" i="10" s="1"/>
  <c r="CE97" i="10"/>
  <c r="CP59" i="10"/>
  <c r="CJ60" i="10"/>
  <c r="CA28" i="10"/>
  <c r="CE28" i="10"/>
  <c r="CL95" i="10" l="1"/>
  <c r="CH96" i="10" s="1"/>
  <c r="AV74" i="10"/>
  <c r="CH127" i="10"/>
  <c r="CP127" i="10" s="1"/>
  <c r="CH27" i="10"/>
  <c r="CJ27" i="10"/>
  <c r="BW98" i="10"/>
  <c r="CA98" i="10" s="1"/>
  <c r="CE129" i="10"/>
  <c r="CA129" i="10"/>
  <c r="CE61" i="10"/>
  <c r="CJ96" i="10"/>
  <c r="BY62" i="10"/>
  <c r="BW62" i="10"/>
  <c r="CP60" i="10"/>
  <c r="AP75" i="10"/>
  <c r="AV75" i="10" s="1"/>
  <c r="CL60" i="10"/>
  <c r="BW29" i="10"/>
  <c r="BY29" i="10"/>
  <c r="CL127" i="10" l="1"/>
  <c r="CJ128" i="10" s="1"/>
  <c r="CE98" i="10"/>
  <c r="CL27" i="10"/>
  <c r="CP27" i="10"/>
  <c r="CL96" i="10"/>
  <c r="CJ97" i="10" s="1"/>
  <c r="BY130" i="10"/>
  <c r="BW130" i="10"/>
  <c r="CH128" i="10"/>
  <c r="CH97" i="10"/>
  <c r="CP96" i="10"/>
  <c r="BW99" i="10"/>
  <c r="BY99" i="10"/>
  <c r="CE62" i="10"/>
  <c r="CA62" i="10"/>
  <c r="CE29" i="10"/>
  <c r="AR75" i="10"/>
  <c r="AP76" i="10" s="1"/>
  <c r="CH61" i="10"/>
  <c r="CJ61" i="10"/>
  <c r="CA29" i="10"/>
  <c r="CL128" i="10" l="1"/>
  <c r="CH129" i="10" s="1"/>
  <c r="CJ28" i="10"/>
  <c r="CH28" i="10"/>
  <c r="CE99" i="10"/>
  <c r="CA130" i="10"/>
  <c r="BY131" i="10" s="1"/>
  <c r="CE130" i="10"/>
  <c r="CP128" i="10"/>
  <c r="CL97" i="10"/>
  <c r="CJ98" i="10" s="1"/>
  <c r="CH98" i="10"/>
  <c r="CP97" i="10"/>
  <c r="CA99" i="10"/>
  <c r="BY63" i="10"/>
  <c r="BW63" i="10"/>
  <c r="AN76" i="10"/>
  <c r="AV76" i="10" s="1"/>
  <c r="CP61" i="10"/>
  <c r="CL61" i="10"/>
  <c r="BW30" i="10"/>
  <c r="BY30" i="10"/>
  <c r="CJ129" i="10" l="1"/>
  <c r="CP129" i="10" s="1"/>
  <c r="CL28" i="10"/>
  <c r="CH29" i="10" s="1"/>
  <c r="CJ29" i="10"/>
  <c r="CP28" i="10"/>
  <c r="BW131" i="10"/>
  <c r="CA131" i="10" s="1"/>
  <c r="BY132" i="10" s="1"/>
  <c r="CL98" i="10"/>
  <c r="CJ99" i="10" s="1"/>
  <c r="CH99" i="10"/>
  <c r="CP98" i="10"/>
  <c r="BW100" i="10"/>
  <c r="BY100" i="10"/>
  <c r="CA63" i="10"/>
  <c r="BY64" i="10" s="1"/>
  <c r="CE63" i="10"/>
  <c r="AR76" i="10"/>
  <c r="CE30" i="10"/>
  <c r="CH62" i="10"/>
  <c r="CJ62" i="10"/>
  <c r="CA30" i="10"/>
  <c r="CL129" i="10" l="1"/>
  <c r="CJ130" i="10" s="1"/>
  <c r="CP29" i="10"/>
  <c r="CL29" i="10"/>
  <c r="CE131" i="10"/>
  <c r="BW132" i="10"/>
  <c r="CE132" i="10" s="1"/>
  <c r="CE100" i="10"/>
  <c r="CH130" i="10"/>
  <c r="CL99" i="10"/>
  <c r="CJ100" i="10" s="1"/>
  <c r="CP99" i="10"/>
  <c r="CA100" i="10"/>
  <c r="BW64" i="10"/>
  <c r="CA64" i="10" s="1"/>
  <c r="BY65" i="10" s="1"/>
  <c r="AN77" i="10"/>
  <c r="AP77" i="10"/>
  <c r="CL62" i="10"/>
  <c r="CP62" i="10"/>
  <c r="BY31" i="10"/>
  <c r="BW31" i="10"/>
  <c r="CL130" i="10" l="1"/>
  <c r="CH131" i="10" s="1"/>
  <c r="CH30" i="10"/>
  <c r="CJ30" i="10"/>
  <c r="CA132" i="10"/>
  <c r="BY133" i="10" s="1"/>
  <c r="CJ131" i="10"/>
  <c r="CH100" i="10"/>
  <c r="CL100" i="10" s="1"/>
  <c r="CJ101" i="10" s="1"/>
  <c r="CP130" i="10"/>
  <c r="BY101" i="10"/>
  <c r="BW101" i="10"/>
  <c r="CE64" i="10"/>
  <c r="BW65" i="10"/>
  <c r="CE65" i="10" s="1"/>
  <c r="AR77" i="10"/>
  <c r="AN78" i="10" s="1"/>
  <c r="AV77" i="10"/>
  <c r="CA31" i="10"/>
  <c r="BY32" i="10" s="1"/>
  <c r="CH63" i="10"/>
  <c r="CJ63" i="10"/>
  <c r="CE31" i="10"/>
  <c r="CP131" i="10" l="1"/>
  <c r="CL131" i="10"/>
  <c r="CH132" i="10" s="1"/>
  <c r="BW133" i="10"/>
  <c r="CA133" i="10" s="1"/>
  <c r="BW134" i="10" s="1"/>
  <c r="CP30" i="10"/>
  <c r="CL30" i="10"/>
  <c r="CP100" i="10"/>
  <c r="CH101" i="10"/>
  <c r="CL101" i="10" s="1"/>
  <c r="CA101" i="10"/>
  <c r="BW102" i="10" s="1"/>
  <c r="BY134" i="10"/>
  <c r="CA65" i="10"/>
  <c r="BY66" i="10" s="1"/>
  <c r="AP78" i="10"/>
  <c r="AR78" i="10" s="1"/>
  <c r="AN79" i="10" s="1"/>
  <c r="CE101" i="10"/>
  <c r="CP63" i="10"/>
  <c r="BW32" i="10"/>
  <c r="CE32" i="10" s="1"/>
  <c r="CL63" i="10"/>
  <c r="CJ132" i="10" l="1"/>
  <c r="CP132" i="10" s="1"/>
  <c r="CE133" i="10"/>
  <c r="CP101" i="10"/>
  <c r="CH31" i="10"/>
  <c r="CJ31" i="10"/>
  <c r="BY102" i="10"/>
  <c r="CE102" i="10" s="1"/>
  <c r="CH102" i="10"/>
  <c r="CJ102" i="10"/>
  <c r="CA134" i="10"/>
  <c r="CE134" i="10"/>
  <c r="BW66" i="10"/>
  <c r="CE66" i="10" s="1"/>
  <c r="AV78" i="10"/>
  <c r="AP79" i="10"/>
  <c r="AR79" i="10" s="1"/>
  <c r="C6" i="10" s="1"/>
  <c r="CA32" i="10"/>
  <c r="BY33" i="10" s="1"/>
  <c r="CJ64" i="10"/>
  <c r="CH64" i="10"/>
  <c r="AK74" i="10"/>
  <c r="AG74" i="10"/>
  <c r="C56" i="10"/>
  <c r="C51" i="10"/>
  <c r="G51" i="10"/>
  <c r="AU44" i="10"/>
  <c r="AT44" i="10"/>
  <c r="AU43" i="10"/>
  <c r="AT43" i="10"/>
  <c r="C41" i="10"/>
  <c r="AU42" i="10"/>
  <c r="AT42" i="10"/>
  <c r="AU41" i="10"/>
  <c r="AT41" i="10"/>
  <c r="G39" i="10"/>
  <c r="AU40" i="10"/>
  <c r="AT40" i="10"/>
  <c r="AU39" i="10"/>
  <c r="AT39" i="10"/>
  <c r="AK39" i="10"/>
  <c r="AG39" i="10"/>
  <c r="AU38" i="10"/>
  <c r="AT38" i="10"/>
  <c r="AU37" i="10"/>
  <c r="AT37" i="10"/>
  <c r="AU36" i="10"/>
  <c r="AT36" i="10"/>
  <c r="G42" i="10"/>
  <c r="G43" i="10" s="1"/>
  <c r="AU35" i="10"/>
  <c r="AT35" i="10"/>
  <c r="AU34" i="10"/>
  <c r="AT34" i="10"/>
  <c r="AU33" i="10"/>
  <c r="AT33" i="10"/>
  <c r="G36" i="10"/>
  <c r="AU32" i="10"/>
  <c r="AT32" i="10"/>
  <c r="AU31" i="10"/>
  <c r="AT31" i="10"/>
  <c r="AU30" i="10"/>
  <c r="AT30" i="10"/>
  <c r="AU29" i="10"/>
  <c r="AT29" i="10"/>
  <c r="AU28" i="10"/>
  <c r="AT28" i="10"/>
  <c r="AU27" i="10"/>
  <c r="AT27" i="10"/>
  <c r="AU26" i="10"/>
  <c r="AT26" i="10"/>
  <c r="AU25" i="10"/>
  <c r="AT25" i="10"/>
  <c r="AU24" i="10"/>
  <c r="AT24" i="10"/>
  <c r="AU23" i="10"/>
  <c r="AT23" i="10"/>
  <c r="AU22" i="10"/>
  <c r="AT22" i="10"/>
  <c r="AU21" i="10"/>
  <c r="AT21" i="10"/>
  <c r="W21" i="10"/>
  <c r="S21" i="10"/>
  <c r="O21" i="10"/>
  <c r="G19" i="10"/>
  <c r="AU20" i="10"/>
  <c r="AT20" i="10"/>
  <c r="AU19" i="10"/>
  <c r="AT19" i="10"/>
  <c r="W19" i="10"/>
  <c r="S19" i="10"/>
  <c r="O19" i="10"/>
  <c r="AU18" i="10"/>
  <c r="AT18" i="10"/>
  <c r="AU17" i="10"/>
  <c r="AT17" i="10"/>
  <c r="C17" i="10"/>
  <c r="K44" i="10" s="1"/>
  <c r="AU16" i="10"/>
  <c r="AT16" i="10"/>
  <c r="AU15" i="10"/>
  <c r="AT15" i="10"/>
  <c r="AU14" i="10"/>
  <c r="AT14" i="10"/>
  <c r="AU13" i="10"/>
  <c r="AT13" i="10"/>
  <c r="G16" i="10"/>
  <c r="AU12" i="10"/>
  <c r="AT12" i="10"/>
  <c r="AU11" i="10"/>
  <c r="AT11" i="10"/>
  <c r="W11" i="10"/>
  <c r="S11" i="10"/>
  <c r="O11" i="10"/>
  <c r="AU10" i="10"/>
  <c r="AT10" i="10"/>
  <c r="AU9" i="10"/>
  <c r="AT9" i="10"/>
  <c r="AU8" i="10"/>
  <c r="AT8" i="10"/>
  <c r="G6" i="10"/>
  <c r="AU7" i="10"/>
  <c r="AT7" i="10"/>
  <c r="AU6" i="10"/>
  <c r="AT6" i="10"/>
  <c r="AV5" i="10"/>
  <c r="AU5" i="10"/>
  <c r="AT5" i="10"/>
  <c r="AN6" i="10" s="1"/>
  <c r="AR5" i="10"/>
  <c r="W5" i="10"/>
  <c r="S5" i="10"/>
  <c r="O5" i="10"/>
  <c r="AK4" i="10"/>
  <c r="AG4" i="10"/>
  <c r="CL132" i="10" l="1"/>
  <c r="CH133" i="10" s="1"/>
  <c r="CA102" i="10"/>
  <c r="BO42" i="10" s="1"/>
  <c r="BO44" i="10" s="1"/>
  <c r="BO45" i="10" s="1"/>
  <c r="BO50" i="10" s="1"/>
  <c r="CL102" i="10"/>
  <c r="BS42" i="10" s="1"/>
  <c r="BS48" i="10" s="1"/>
  <c r="CL31" i="10"/>
  <c r="CP31" i="10"/>
  <c r="CP102" i="10"/>
  <c r="CA66" i="10"/>
  <c r="BY67" i="10" s="1"/>
  <c r="BY135" i="10"/>
  <c r="BW135" i="10"/>
  <c r="AY4" i="10"/>
  <c r="G7" i="10"/>
  <c r="G8" i="10" s="1"/>
  <c r="AV79" i="10"/>
  <c r="BW33" i="10"/>
  <c r="CE33" i="10" s="1"/>
  <c r="CL64" i="10"/>
  <c r="CH65" i="10" s="1"/>
  <c r="CP64" i="10"/>
  <c r="AP6" i="10"/>
  <c r="AV6" i="10" s="1"/>
  <c r="O22" i="10"/>
  <c r="G22" i="10"/>
  <c r="G30" i="10"/>
  <c r="G31" i="10" s="1"/>
  <c r="G40" i="10"/>
  <c r="G41" i="10" s="1"/>
  <c r="G20" i="10"/>
  <c r="G21" i="10" s="1"/>
  <c r="S22" i="10"/>
  <c r="S25" i="10" s="1"/>
  <c r="G44" i="10"/>
  <c r="W22" i="10"/>
  <c r="W25" i="10" s="1"/>
  <c r="BO47" i="10" l="1"/>
  <c r="CJ133" i="10"/>
  <c r="CP133" i="10" s="1"/>
  <c r="BO48" i="10"/>
  <c r="BO51" i="10"/>
  <c r="BO53" i="10" s="1"/>
  <c r="BS44" i="10"/>
  <c r="BS45" i="10" s="1"/>
  <c r="BS51" i="10" s="1"/>
  <c r="BS47" i="10"/>
  <c r="BS49" i="10" s="1"/>
  <c r="BW67" i="10"/>
  <c r="CE67" i="10" s="1"/>
  <c r="CJ32" i="10"/>
  <c r="CH32" i="10"/>
  <c r="CA135" i="10"/>
  <c r="BW136" i="10" s="1"/>
  <c r="BY136" i="10"/>
  <c r="CE135" i="10"/>
  <c r="BC6" i="10"/>
  <c r="BC7" i="10" s="1"/>
  <c r="BC5" i="10"/>
  <c r="CJ65" i="10"/>
  <c r="CL65" i="10" s="1"/>
  <c r="CA33" i="10"/>
  <c r="AR6" i="10"/>
  <c r="AN7" i="10" s="1"/>
  <c r="AP7" i="10"/>
  <c r="G23" i="10"/>
  <c r="G29" i="10" s="1"/>
  <c r="K12" i="10" s="1"/>
  <c r="G24" i="10"/>
  <c r="O25" i="10"/>
  <c r="BO49" i="10" l="1"/>
  <c r="BO55" i="10" s="1"/>
  <c r="BO57" i="10" s="1"/>
  <c r="BG24" i="10" s="1"/>
  <c r="CL133" i="10"/>
  <c r="CJ134" i="10" s="1"/>
  <c r="BO52" i="10"/>
  <c r="BS50" i="10"/>
  <c r="BS52" i="10" s="1"/>
  <c r="BS54" i="10" s="1"/>
  <c r="BS56" i="10" s="1"/>
  <c r="BK23" i="10" s="1"/>
  <c r="CA67" i="10"/>
  <c r="BY68" i="10" s="1"/>
  <c r="CL32" i="10"/>
  <c r="CH33" i="10" s="1"/>
  <c r="CP32" i="10"/>
  <c r="CE136" i="10"/>
  <c r="CH134" i="10"/>
  <c r="CA136" i="10"/>
  <c r="BO61" i="10" s="1"/>
  <c r="CP65" i="10"/>
  <c r="BW34" i="10"/>
  <c r="BY34" i="10"/>
  <c r="CH66" i="10"/>
  <c r="CJ66" i="10"/>
  <c r="AR7" i="10"/>
  <c r="AP8" i="10" s="1"/>
  <c r="AV7" i="10"/>
  <c r="CJ33" i="10" l="1"/>
  <c r="CL33" i="10" s="1"/>
  <c r="CH34" i="10" s="1"/>
  <c r="BO54" i="10"/>
  <c r="BO56" i="10" s="1"/>
  <c r="BG23" i="10" s="1"/>
  <c r="BG25" i="10" s="1"/>
  <c r="BG27" i="10" s="1"/>
  <c r="BS53" i="10"/>
  <c r="BS55" i="10" s="1"/>
  <c r="BS57" i="10" s="1"/>
  <c r="BK24" i="10" s="1"/>
  <c r="BK25" i="10" s="1"/>
  <c r="BK27" i="10" s="1"/>
  <c r="BW68" i="10"/>
  <c r="CE68" i="10" s="1"/>
  <c r="CP134" i="10"/>
  <c r="CL134" i="10"/>
  <c r="BO63" i="10"/>
  <c r="BO64" i="10" s="1"/>
  <c r="BO67" i="10"/>
  <c r="BO66" i="10"/>
  <c r="CE34" i="10"/>
  <c r="CA34" i="10"/>
  <c r="BO4" i="10" s="1"/>
  <c r="CP66" i="10"/>
  <c r="CL66" i="10"/>
  <c r="AN8" i="10"/>
  <c r="AR8" i="10" s="1"/>
  <c r="CP33" i="10" l="1"/>
  <c r="BO58" i="10"/>
  <c r="BZ72" i="10" s="1"/>
  <c r="BS58" i="10"/>
  <c r="CM72" i="10" s="1"/>
  <c r="CJ34" i="10"/>
  <c r="CL34" i="10" s="1"/>
  <c r="BS4" i="10" s="1"/>
  <c r="BG26" i="10"/>
  <c r="BG28" i="10"/>
  <c r="CA68" i="10"/>
  <c r="BO23" i="10" s="1"/>
  <c r="BO25" i="10" s="1"/>
  <c r="BO26" i="10" s="1"/>
  <c r="BK26" i="10"/>
  <c r="BK28" i="10"/>
  <c r="CJ135" i="10"/>
  <c r="CH135" i="10"/>
  <c r="BO68" i="10"/>
  <c r="BO70" i="10"/>
  <c r="BO69" i="10"/>
  <c r="BO9" i="10"/>
  <c r="BO6" i="10"/>
  <c r="BO7" i="10" s="1"/>
  <c r="BO10" i="10"/>
  <c r="CJ67" i="10"/>
  <c r="CH67" i="10"/>
  <c r="AV8" i="10"/>
  <c r="AN9" i="10"/>
  <c r="AP9" i="10"/>
  <c r="BC27" i="10" l="1"/>
  <c r="CB72" i="10"/>
  <c r="BX72" i="10"/>
  <c r="BC28" i="10"/>
  <c r="CI72" i="10"/>
  <c r="BO29" i="10"/>
  <c r="CP34" i="10"/>
  <c r="CK72" i="10"/>
  <c r="BO28" i="10"/>
  <c r="BS9" i="10"/>
  <c r="BS10" i="10"/>
  <c r="BS6" i="10"/>
  <c r="BS7" i="10" s="1"/>
  <c r="CL135" i="10"/>
  <c r="CH136" i="10" s="1"/>
  <c r="CJ136" i="10"/>
  <c r="CP135" i="10"/>
  <c r="BO71" i="10"/>
  <c r="BO73" i="10" s="1"/>
  <c r="BO75" i="10" s="1"/>
  <c r="BO72" i="10"/>
  <c r="BO74" i="10" s="1"/>
  <c r="BO76" i="10" s="1"/>
  <c r="BG33" i="10" s="1"/>
  <c r="BO31" i="10"/>
  <c r="BO32" i="10"/>
  <c r="BO13" i="10"/>
  <c r="BO12" i="10"/>
  <c r="BO11" i="10"/>
  <c r="CL67" i="10"/>
  <c r="CH68" i="10" s="1"/>
  <c r="CP67" i="10"/>
  <c r="AV9" i="10"/>
  <c r="AR9" i="10"/>
  <c r="AP10" i="10" s="1"/>
  <c r="BO30" i="10" l="1"/>
  <c r="BS11" i="10"/>
  <c r="BS13" i="10"/>
  <c r="BS12" i="10"/>
  <c r="CP136" i="10"/>
  <c r="CL136" i="10"/>
  <c r="BS61" i="10" s="1"/>
  <c r="AN10" i="10"/>
  <c r="AV10" i="10" s="1"/>
  <c r="BO77" i="10"/>
  <c r="BG32" i="10"/>
  <c r="BG34" i="10" s="1"/>
  <c r="CJ68" i="10"/>
  <c r="CL68" i="10" s="1"/>
  <c r="BS23" i="10" s="1"/>
  <c r="BS25" i="10" s="1"/>
  <c r="BS26" i="10" s="1"/>
  <c r="BO34" i="10"/>
  <c r="BO33" i="10"/>
  <c r="BO15" i="10"/>
  <c r="BO17" i="10" s="1"/>
  <c r="BO19" i="10" s="1"/>
  <c r="BG6" i="10" s="1"/>
  <c r="BO14" i="10"/>
  <c r="BO16" i="10" s="1"/>
  <c r="BO18" i="10" s="1"/>
  <c r="BO35" i="10" l="1"/>
  <c r="BO37" i="10" s="1"/>
  <c r="BG14" i="10" s="1"/>
  <c r="BO36" i="10"/>
  <c r="BO38" i="10" s="1"/>
  <c r="BG15" i="10" s="1"/>
  <c r="AR10" i="10"/>
  <c r="AP11" i="10" s="1"/>
  <c r="BS14" i="10"/>
  <c r="BS16" i="10" s="1"/>
  <c r="BS18" i="10" s="1"/>
  <c r="BS15" i="10"/>
  <c r="BS17" i="10" s="1"/>
  <c r="BS19" i="10" s="1"/>
  <c r="BK6" i="10" s="1"/>
  <c r="BS67" i="10"/>
  <c r="BS63" i="10"/>
  <c r="BS64" i="10" s="1"/>
  <c r="BS66" i="10"/>
  <c r="BG35" i="10"/>
  <c r="BG37" i="10"/>
  <c r="BG36" i="10"/>
  <c r="BZ106" i="10"/>
  <c r="BC29" i="10"/>
  <c r="BX106" i="10"/>
  <c r="CB106" i="10"/>
  <c r="CP68" i="10"/>
  <c r="BS29" i="10"/>
  <c r="BS28" i="10"/>
  <c r="BG5" i="10"/>
  <c r="BG7" i="10" s="1"/>
  <c r="BO20" i="10"/>
  <c r="BS31" i="10"/>
  <c r="BS32" i="10"/>
  <c r="AN11" i="10"/>
  <c r="BG16" i="10" l="1"/>
  <c r="BG19" i="10" s="1"/>
  <c r="BO39" i="10"/>
  <c r="BZ38" i="10" s="1"/>
  <c r="BS68" i="10"/>
  <c r="BK5" i="10"/>
  <c r="BK7" i="10" s="1"/>
  <c r="BS20" i="10"/>
  <c r="BS69" i="10"/>
  <c r="BS70" i="10"/>
  <c r="BS30" i="10"/>
  <c r="BC23" i="10"/>
  <c r="BX4" i="10"/>
  <c r="BZ4" i="10"/>
  <c r="CB4" i="10"/>
  <c r="BG8" i="10"/>
  <c r="BG10" i="10"/>
  <c r="BG9" i="10"/>
  <c r="BS33" i="10"/>
  <c r="BS34" i="10"/>
  <c r="AR11" i="10"/>
  <c r="AN12" i="10" s="1"/>
  <c r="AV11" i="10"/>
  <c r="BG18" i="10" l="1"/>
  <c r="BG17" i="10"/>
  <c r="CB38" i="10"/>
  <c r="BC25" i="10"/>
  <c r="BX38" i="10"/>
  <c r="CK4" i="10"/>
  <c r="CM4" i="10"/>
  <c r="CI4" i="10"/>
  <c r="BC24" i="10"/>
  <c r="BK9" i="10"/>
  <c r="BK8" i="10"/>
  <c r="BK10" i="10"/>
  <c r="BS71" i="10"/>
  <c r="BS73" i="10" s="1"/>
  <c r="BS75" i="10" s="1"/>
  <c r="BS72" i="10"/>
  <c r="BS74" i="10" s="1"/>
  <c r="BS76" i="10" s="1"/>
  <c r="BK33" i="10" s="1"/>
  <c r="BS36" i="10"/>
  <c r="BS38" i="10" s="1"/>
  <c r="BK15" i="10" s="1"/>
  <c r="BS35" i="10"/>
  <c r="BS37" i="10" s="1"/>
  <c r="BK14" i="10" s="1"/>
  <c r="AP12" i="10"/>
  <c r="AV12" i="10" s="1"/>
  <c r="BK32" i="10" l="1"/>
  <c r="BK34" i="10" s="1"/>
  <c r="BS77" i="10"/>
  <c r="BK16" i="10"/>
  <c r="BK17" i="10" s="1"/>
  <c r="BS39" i="10"/>
  <c r="CK38" i="10" s="1"/>
  <c r="AR12" i="10"/>
  <c r="AN13" i="10" s="1"/>
  <c r="AP13" i="10"/>
  <c r="BK19" i="10" l="1"/>
  <c r="BK18" i="10"/>
  <c r="CM106" i="10"/>
  <c r="CK106" i="10"/>
  <c r="CI106" i="10"/>
  <c r="BK37" i="10"/>
  <c r="BK35" i="10"/>
  <c r="BK36" i="10"/>
  <c r="CM38" i="10"/>
  <c r="BC26" i="10"/>
  <c r="BC30" i="10" s="1"/>
  <c r="CI38" i="10"/>
  <c r="AV13" i="10"/>
  <c r="AR13" i="10"/>
  <c r="BC11" i="10" l="1"/>
  <c r="BC12" i="10" s="1"/>
  <c r="G13" i="10" s="1"/>
  <c r="K27" i="10" s="1"/>
  <c r="BC10" i="10"/>
  <c r="BC15" i="10" s="1"/>
  <c r="AP14" i="10"/>
  <c r="AN14" i="10"/>
  <c r="BC18" i="10" l="1"/>
  <c r="BC19" i="10" s="1"/>
  <c r="G10" i="10"/>
  <c r="BC17" i="10"/>
  <c r="BC16" i="10"/>
  <c r="AR14" i="10"/>
  <c r="AN15" i="10" s="1"/>
  <c r="AV14" i="10"/>
  <c r="BC20" i="10" l="1"/>
  <c r="AP15" i="10"/>
  <c r="AV15" i="10" s="1"/>
  <c r="AR15" i="10" l="1"/>
  <c r="AP16" i="10" s="1"/>
  <c r="AN16" i="10" l="1"/>
  <c r="AR16" i="10" s="1"/>
  <c r="AN17" i="10" s="1"/>
  <c r="AV16" i="10" l="1"/>
  <c r="AP17" i="10"/>
  <c r="AV17" i="10" s="1"/>
  <c r="AR17" i="10" l="1"/>
  <c r="AP18" i="10" s="1"/>
  <c r="AN18" i="10" l="1"/>
  <c r="AR18" i="10" s="1"/>
  <c r="AN19" i="10" s="1"/>
  <c r="AV18" i="10" l="1"/>
  <c r="AP19" i="10"/>
  <c r="AR19" i="10" s="1"/>
  <c r="AN20" i="10" s="1"/>
  <c r="AV19" i="10" l="1"/>
  <c r="AP20" i="10"/>
  <c r="AV20" i="10" s="1"/>
  <c r="AR20" i="10" l="1"/>
  <c r="AN21" i="10" s="1"/>
  <c r="AP21" i="10" l="1"/>
  <c r="AV21" i="10" s="1"/>
  <c r="AR21" i="10" l="1"/>
  <c r="AP22" i="10" s="1"/>
  <c r="AN22" i="10" l="1"/>
  <c r="AR22" i="10" s="1"/>
  <c r="AV22" i="10" l="1"/>
  <c r="AN23" i="10"/>
  <c r="AP23" i="10"/>
  <c r="AR23" i="10" l="1"/>
  <c r="AP24" i="10" s="1"/>
  <c r="AV23" i="10"/>
  <c r="AN24" i="10" l="1"/>
  <c r="AV24" i="10" s="1"/>
  <c r="AR24" i="10" l="1"/>
  <c r="AP25" i="10" s="1"/>
  <c r="AN25" i="10" l="1"/>
  <c r="AR25" i="10" s="1"/>
  <c r="AP26" i="10" s="1"/>
  <c r="AV25" i="10" l="1"/>
  <c r="AN26" i="10"/>
  <c r="AV26" i="10" s="1"/>
  <c r="AR26" i="10" l="1"/>
  <c r="AP27" i="10" s="1"/>
  <c r="AN27" i="10" l="1"/>
  <c r="AR27" i="10" s="1"/>
  <c r="AP28" i="10" s="1"/>
  <c r="AV27" i="10" l="1"/>
  <c r="AN28" i="10"/>
  <c r="AV28" i="10" s="1"/>
  <c r="AR28" i="10" l="1"/>
  <c r="AN29" i="10" s="1"/>
  <c r="AP29" i="10" l="1"/>
  <c r="AV29" i="10" s="1"/>
  <c r="AR29" i="10" l="1"/>
  <c r="AP30" i="10" s="1"/>
  <c r="AN30" i="10" l="1"/>
  <c r="AV30" i="10" s="1"/>
  <c r="AR30" i="10" l="1"/>
  <c r="AN31" i="10" s="1"/>
  <c r="AP31" i="10" l="1"/>
  <c r="AR31" i="10" s="1"/>
  <c r="AN32" i="10" s="1"/>
  <c r="AV31" i="10" l="1"/>
  <c r="AP32" i="10"/>
  <c r="AV32" i="10" s="1"/>
  <c r="AR32" i="10" l="1"/>
  <c r="AN33" i="10" s="1"/>
  <c r="AP33" i="10" l="1"/>
  <c r="AV33" i="10" s="1"/>
  <c r="AR33" i="10" l="1"/>
  <c r="AP34" i="10" s="1"/>
  <c r="AN34" i="10" l="1"/>
  <c r="AV34" i="10" s="1"/>
  <c r="AR34" i="10" l="1"/>
  <c r="AN35" i="10" s="1"/>
  <c r="AP35" i="10" l="1"/>
  <c r="AV35" i="10" s="1"/>
  <c r="AR35" i="10" l="1"/>
  <c r="AP36" i="10" s="1"/>
  <c r="AN36" i="10" l="1"/>
  <c r="AV36" i="10" s="1"/>
  <c r="AR36" i="10" l="1"/>
  <c r="AP37" i="10" s="1"/>
  <c r="AN37" i="10" l="1"/>
  <c r="AR37" i="10" s="1"/>
  <c r="AP38" i="10" s="1"/>
  <c r="AV37" i="10" l="1"/>
  <c r="AN38" i="10"/>
  <c r="AR38" i="10" s="1"/>
  <c r="AN39" i="10" s="1"/>
  <c r="AV38" i="10" l="1"/>
  <c r="AP39" i="10"/>
  <c r="AR39" i="10" s="1"/>
  <c r="AV39" i="10" l="1"/>
  <c r="AP40" i="10"/>
  <c r="AN40" i="10"/>
  <c r="AR40" i="10" l="1"/>
  <c r="AP41" i="10" s="1"/>
  <c r="AV40" i="10"/>
  <c r="AN41" i="10" l="1"/>
  <c r="AR41" i="10" s="1"/>
  <c r="AP42" i="10" s="1"/>
  <c r="AV41" i="10" l="1"/>
  <c r="AN42" i="10"/>
  <c r="AR42" i="10" s="1"/>
  <c r="AV42" i="10" l="1"/>
  <c r="AP43" i="10"/>
  <c r="AN43" i="10"/>
  <c r="AR43" i="10" l="1"/>
  <c r="AP44" i="10" s="1"/>
  <c r="AV43" i="10"/>
  <c r="AN44" i="10" l="1"/>
  <c r="AV44" i="10" s="1"/>
  <c r="AR44" i="10" l="1"/>
  <c r="C5" i="10" s="1"/>
  <c r="K31" i="10" s="1"/>
  <c r="K24" i="10" l="1"/>
  <c r="K25" i="10"/>
  <c r="K30" i="10"/>
  <c r="K36" i="10"/>
  <c r="K16" i="10"/>
  <c r="S6" i="10"/>
  <c r="S7" i="10" s="1"/>
  <c r="S9" i="10" s="1"/>
  <c r="S10" i="10" s="1"/>
  <c r="G52" i="10"/>
  <c r="K29" i="10"/>
  <c r="S4" i="10"/>
  <c r="S12" i="10" s="1"/>
  <c r="K23" i="10"/>
  <c r="G53" i="10"/>
  <c r="K4" i="10" s="1"/>
  <c r="K5" i="10" s="1"/>
  <c r="K26" i="10"/>
  <c r="O4" i="10"/>
  <c r="O12" i="10" s="1"/>
  <c r="O6" i="10"/>
  <c r="O7" i="10" s="1"/>
  <c r="O9" i="10" s="1"/>
  <c r="O10" i="10" s="1"/>
  <c r="K28" i="10"/>
  <c r="G9" i="10"/>
  <c r="G11" i="10" s="1"/>
  <c r="AO49" i="10" s="1"/>
  <c r="K22" i="10"/>
  <c r="W6" i="10"/>
  <c r="W7" i="10" s="1"/>
  <c r="W9" i="10" s="1"/>
  <c r="W10" i="10" s="1"/>
  <c r="W4" i="10"/>
  <c r="W12" i="10" s="1"/>
  <c r="S13" i="10" l="1"/>
  <c r="S16" i="10" s="1"/>
  <c r="K40" i="10"/>
  <c r="K47" i="10"/>
  <c r="O13" i="10"/>
  <c r="O16" i="10" s="1"/>
  <c r="K48" i="10"/>
  <c r="K39" i="10"/>
  <c r="AQ49" i="10"/>
  <c r="AS49" i="10"/>
  <c r="G12" i="10"/>
  <c r="W13" i="10"/>
  <c r="W14" i="10" s="1"/>
  <c r="W20" i="10" s="1"/>
  <c r="S14" i="10" l="1"/>
  <c r="S20" i="10" s="1"/>
  <c r="S23" i="10" s="1"/>
  <c r="O14" i="10"/>
  <c r="O20" i="10" s="1"/>
  <c r="O23" i="10" s="1"/>
  <c r="W15" i="10"/>
  <c r="W16" i="10"/>
  <c r="W28" i="10"/>
  <c r="W30" i="10" s="1"/>
  <c r="W23" i="10"/>
  <c r="S28" i="10" l="1"/>
  <c r="S30" i="10" s="1"/>
  <c r="O28" i="10"/>
  <c r="O30" i="10" s="1"/>
  <c r="K18" i="10"/>
  <c r="S15" i="10"/>
  <c r="O15" i="10"/>
  <c r="AF4" i="10"/>
  <c r="AH4" i="10"/>
  <c r="AD4" i="10"/>
  <c r="AD74" i="10"/>
  <c r="AH74" i="10"/>
  <c r="AF74" i="10"/>
  <c r="AH39" i="10"/>
  <c r="AD39" i="10"/>
  <c r="AF39" i="10"/>
  <c r="AI39" i="10" l="1"/>
  <c r="AC40" i="10" s="1"/>
  <c r="AD40" i="10" s="1"/>
  <c r="AJ74" i="10"/>
  <c r="AE75" i="10" s="1"/>
  <c r="AF75" i="10" s="1"/>
  <c r="AI4" i="10"/>
  <c r="AC5" i="10" s="1"/>
  <c r="AD5" i="10" s="1"/>
  <c r="AJ4" i="10"/>
  <c r="AE5" i="10" s="1"/>
  <c r="AI74" i="10"/>
  <c r="AC75" i="10" s="1"/>
  <c r="AJ39" i="10"/>
  <c r="AE40" i="10" s="1"/>
  <c r="AG5" i="10" l="1"/>
  <c r="AH5" i="10" s="1"/>
  <c r="AI5" i="10" s="1"/>
  <c r="AC6" i="10" s="1"/>
  <c r="AK5" i="10"/>
  <c r="AF5" i="10"/>
  <c r="AK40" i="10"/>
  <c r="AF40" i="10"/>
  <c r="AG75" i="10"/>
  <c r="AH75" i="10" s="1"/>
  <c r="AJ75" i="10" s="1"/>
  <c r="AE76" i="10" s="1"/>
  <c r="AD75" i="10"/>
  <c r="AG40" i="10"/>
  <c r="AH40" i="10" s="1"/>
  <c r="AI40" i="10" s="1"/>
  <c r="AC41" i="10" s="1"/>
  <c r="AK75" i="10"/>
  <c r="AJ5" i="10" l="1"/>
  <c r="AE6" i="10" s="1"/>
  <c r="AK6" i="10" s="1"/>
  <c r="AI75" i="10"/>
  <c r="AC76" i="10" s="1"/>
  <c r="AG76" i="10" s="1"/>
  <c r="AH76" i="10" s="1"/>
  <c r="AD41" i="10"/>
  <c r="AJ40" i="10"/>
  <c r="AE41" i="10" s="1"/>
  <c r="AF76" i="10"/>
  <c r="AD6" i="10"/>
  <c r="AK76" i="10" l="1"/>
  <c r="AG6" i="10"/>
  <c r="AH6" i="10" s="1"/>
  <c r="AI6" i="10" s="1"/>
  <c r="AC7" i="10" s="1"/>
  <c r="AF6" i="10"/>
  <c r="AD76" i="10"/>
  <c r="AI76" i="10" s="1"/>
  <c r="AC77" i="10" s="1"/>
  <c r="AJ76" i="10"/>
  <c r="AE77" i="10" s="1"/>
  <c r="AK41" i="10"/>
  <c r="AF41" i="10"/>
  <c r="AG41" i="10"/>
  <c r="AH41" i="10" s="1"/>
  <c r="AJ6" i="10" l="1"/>
  <c r="AE7" i="10" s="1"/>
  <c r="AK7" i="10" s="1"/>
  <c r="AG77" i="10"/>
  <c r="AH77" i="10" s="1"/>
  <c r="AK77" i="10"/>
  <c r="AD77" i="10"/>
  <c r="AJ41" i="10"/>
  <c r="AE42" i="10" s="1"/>
  <c r="AF42" i="10" s="1"/>
  <c r="AF77" i="10"/>
  <c r="AI41" i="10"/>
  <c r="AC42" i="10" s="1"/>
  <c r="AD7" i="10"/>
  <c r="AG7" i="10" l="1"/>
  <c r="AH7" i="10" s="1"/>
  <c r="AI7" i="10" s="1"/>
  <c r="AC8" i="10" s="1"/>
  <c r="AF7" i="10"/>
  <c r="AJ77" i="10"/>
  <c r="AE78" i="10" s="1"/>
  <c r="AF78" i="10" s="1"/>
  <c r="AI77" i="10"/>
  <c r="AC78" i="10" s="1"/>
  <c r="AD78" i="10" s="1"/>
  <c r="AK42" i="10"/>
  <c r="AG42" i="10"/>
  <c r="AH42" i="10" s="1"/>
  <c r="AJ42" i="10" s="1"/>
  <c r="AE43" i="10" s="1"/>
  <c r="AD42" i="10"/>
  <c r="AJ7" i="10" l="1"/>
  <c r="AE8" i="10" s="1"/>
  <c r="AF8" i="10" s="1"/>
  <c r="AG78" i="10"/>
  <c r="AH78" i="10" s="1"/>
  <c r="AI78" i="10" s="1"/>
  <c r="AC79" i="10" s="1"/>
  <c r="AD79" i="10" s="1"/>
  <c r="AK78" i="10"/>
  <c r="AI42" i="10"/>
  <c r="AC43" i="10" s="1"/>
  <c r="AK43" i="10" s="1"/>
  <c r="AF43" i="10"/>
  <c r="AD8" i="10"/>
  <c r="AG8" i="10" l="1"/>
  <c r="AH8" i="10" s="1"/>
  <c r="AJ8" i="10" s="1"/>
  <c r="AE9" i="10" s="1"/>
  <c r="AF9" i="10" s="1"/>
  <c r="AK8" i="10"/>
  <c r="AD43" i="10"/>
  <c r="AG43" i="10"/>
  <c r="AH43" i="10" s="1"/>
  <c r="AJ43" i="10" s="1"/>
  <c r="AE44" i="10" s="1"/>
  <c r="AJ78" i="10"/>
  <c r="AE79" i="10" s="1"/>
  <c r="AK79" i="10" s="1"/>
  <c r="AI8" i="10" l="1"/>
  <c r="AC9" i="10" s="1"/>
  <c r="AG9" i="10" s="1"/>
  <c r="AH9" i="10" s="1"/>
  <c r="AI43" i="10"/>
  <c r="AC44" i="10" s="1"/>
  <c r="AG44" i="10" s="1"/>
  <c r="AH44" i="10" s="1"/>
  <c r="AG79" i="10"/>
  <c r="AH79" i="10" s="1"/>
  <c r="AI79" i="10" s="1"/>
  <c r="AC80" i="10" s="1"/>
  <c r="AD80" i="10" s="1"/>
  <c r="AF79" i="10"/>
  <c r="AF44" i="10"/>
  <c r="AK9" i="10" l="1"/>
  <c r="AD9" i="10"/>
  <c r="AI9" i="10" s="1"/>
  <c r="AC10" i="10" s="1"/>
  <c r="AJ44" i="10"/>
  <c r="AE45" i="10" s="1"/>
  <c r="AF45" i="10" s="1"/>
  <c r="AK44" i="10"/>
  <c r="AD44" i="10"/>
  <c r="AI44" i="10" s="1"/>
  <c r="AC45" i="10" s="1"/>
  <c r="AJ79" i="10"/>
  <c r="AE80" i="10" s="1"/>
  <c r="AF80" i="10" s="1"/>
  <c r="AJ9" i="10"/>
  <c r="AE10" i="10" s="1"/>
  <c r="AK80" i="10" l="1"/>
  <c r="AG80" i="10"/>
  <c r="AH80" i="10" s="1"/>
  <c r="AI80" i="10" s="1"/>
  <c r="AC81" i="10" s="1"/>
  <c r="AD81" i="10" s="1"/>
  <c r="AD45" i="10"/>
  <c r="AG45" i="10"/>
  <c r="AH45" i="10" s="1"/>
  <c r="AJ45" i="10" s="1"/>
  <c r="AE46" i="10" s="1"/>
  <c r="AK10" i="10"/>
  <c r="AF10" i="10"/>
  <c r="AG10" i="10"/>
  <c r="AH10" i="10" s="1"/>
  <c r="AD10" i="10"/>
  <c r="AK45" i="10"/>
  <c r="AJ80" i="10" l="1"/>
  <c r="AE81" i="10" s="1"/>
  <c r="AI10" i="10"/>
  <c r="AC11" i="10" s="1"/>
  <c r="AD11" i="10" s="1"/>
  <c r="AI45" i="10"/>
  <c r="AC46" i="10" s="1"/>
  <c r="AK46" i="10" s="1"/>
  <c r="AF46" i="10"/>
  <c r="AJ10" i="10"/>
  <c r="AE11" i="10" s="1"/>
  <c r="AK81" i="10" l="1"/>
  <c r="AF81" i="10"/>
  <c r="AG81" i="10"/>
  <c r="AH81" i="10" s="1"/>
  <c r="AI81" i="10" s="1"/>
  <c r="AC82" i="10" s="1"/>
  <c r="AD82" i="10" s="1"/>
  <c r="AD46" i="10"/>
  <c r="AG46" i="10"/>
  <c r="AH46" i="10" s="1"/>
  <c r="AK11" i="10"/>
  <c r="AF11" i="10"/>
  <c r="AG11" i="10"/>
  <c r="AH11" i="10" s="1"/>
  <c r="AI11" i="10" s="1"/>
  <c r="AC12" i="10" s="1"/>
  <c r="AI46" i="10" l="1"/>
  <c r="AC47" i="10" s="1"/>
  <c r="AD47" i="10" s="1"/>
  <c r="AJ46" i="10"/>
  <c r="AE47" i="10" s="1"/>
  <c r="AF47" i="10" s="1"/>
  <c r="AJ81" i="10"/>
  <c r="AE82" i="10" s="1"/>
  <c r="AD12" i="10"/>
  <c r="AJ11" i="10"/>
  <c r="AE12" i="10" s="1"/>
  <c r="AG47" i="10" l="1"/>
  <c r="AH47" i="10" s="1"/>
  <c r="AI47" i="10" s="1"/>
  <c r="AC48" i="10" s="1"/>
  <c r="AD48" i="10" s="1"/>
  <c r="AK47" i="10"/>
  <c r="AG82" i="10"/>
  <c r="AH82" i="10" s="1"/>
  <c r="AI82" i="10" s="1"/>
  <c r="AC83" i="10" s="1"/>
  <c r="AD83" i="10" s="1"/>
  <c r="AK82" i="10"/>
  <c r="AF82" i="10"/>
  <c r="AK12" i="10"/>
  <c r="AF12" i="10"/>
  <c r="AG12" i="10"/>
  <c r="AH12" i="10" s="1"/>
  <c r="AI12" i="10" s="1"/>
  <c r="AC13" i="10" s="1"/>
  <c r="AJ47" i="10" l="1"/>
  <c r="AE48" i="10" s="1"/>
  <c r="AG48" i="10" s="1"/>
  <c r="AH48" i="10" s="1"/>
  <c r="AI48" i="10" s="1"/>
  <c r="AC49" i="10" s="1"/>
  <c r="AJ82" i="10"/>
  <c r="AE83" i="10" s="1"/>
  <c r="AF83" i="10" s="1"/>
  <c r="AD13" i="10"/>
  <c r="AJ12" i="10"/>
  <c r="AE13" i="10" s="1"/>
  <c r="AK48" i="10" l="1"/>
  <c r="AF48" i="10"/>
  <c r="AJ48" i="10" s="1"/>
  <c r="AE49" i="10" s="1"/>
  <c r="AK49" i="10" s="1"/>
  <c r="AG83" i="10"/>
  <c r="AH83" i="10" s="1"/>
  <c r="AI83" i="10" s="1"/>
  <c r="AC84" i="10" s="1"/>
  <c r="AD84" i="10" s="1"/>
  <c r="AK83" i="10"/>
  <c r="AK13" i="10"/>
  <c r="AF13" i="10"/>
  <c r="AD49" i="10"/>
  <c r="AG13" i="10"/>
  <c r="AH13" i="10" s="1"/>
  <c r="AI13" i="10" s="1"/>
  <c r="AC14" i="10" s="1"/>
  <c r="AD14" i="10" s="1"/>
  <c r="AG49" i="10" l="1"/>
  <c r="AH49" i="10" s="1"/>
  <c r="AI49" i="10" s="1"/>
  <c r="AC50" i="10" s="1"/>
  <c r="AD50" i="10" s="1"/>
  <c r="AJ83" i="10"/>
  <c r="AE84" i="10" s="1"/>
  <c r="AF49" i="10"/>
  <c r="AJ13" i="10"/>
  <c r="AE14" i="10" s="1"/>
  <c r="AJ49" i="10" l="1"/>
  <c r="AE50" i="10" s="1"/>
  <c r="AF50" i="10" s="1"/>
  <c r="AK84" i="10"/>
  <c r="AG84" i="10"/>
  <c r="AH84" i="10" s="1"/>
  <c r="AI84" i="10" s="1"/>
  <c r="AC85" i="10" s="1"/>
  <c r="AD85" i="10" s="1"/>
  <c r="AF84" i="10"/>
  <c r="AG14" i="10"/>
  <c r="AH14" i="10" s="1"/>
  <c r="AI14" i="10" s="1"/>
  <c r="AC15" i="10" s="1"/>
  <c r="AK14" i="10"/>
  <c r="AF14" i="10"/>
  <c r="AG50" i="10" l="1"/>
  <c r="AH50" i="10" s="1"/>
  <c r="AI50" i="10" s="1"/>
  <c r="AC51" i="10" s="1"/>
  <c r="AD51" i="10" s="1"/>
  <c r="AK50" i="10"/>
  <c r="AJ84" i="10"/>
  <c r="AE85" i="10" s="1"/>
  <c r="AJ14" i="10"/>
  <c r="AE15" i="10" s="1"/>
  <c r="AG15" i="10" s="1"/>
  <c r="AH15" i="10" s="1"/>
  <c r="AD15" i="10"/>
  <c r="AJ50" i="10" l="1"/>
  <c r="AE51" i="10" s="1"/>
  <c r="AG51" i="10" s="1"/>
  <c r="AH51" i="10" s="1"/>
  <c r="AI51" i="10" s="1"/>
  <c r="AC52" i="10" s="1"/>
  <c r="AD52" i="10" s="1"/>
  <c r="AK85" i="10"/>
  <c r="AF85" i="10"/>
  <c r="AG85" i="10"/>
  <c r="AH85" i="10" s="1"/>
  <c r="AI85" i="10" s="1"/>
  <c r="AC86" i="10" s="1"/>
  <c r="AD86" i="10" s="1"/>
  <c r="AF15" i="10"/>
  <c r="AJ15" i="10" s="1"/>
  <c r="AE16" i="10" s="1"/>
  <c r="AK15" i="10"/>
  <c r="AI15" i="10"/>
  <c r="AC16" i="10" s="1"/>
  <c r="AD16" i="10" s="1"/>
  <c r="AF51" i="10" l="1"/>
  <c r="AJ51" i="10" s="1"/>
  <c r="AE52" i="10" s="1"/>
  <c r="AK51" i="10"/>
  <c r="AJ85" i="10"/>
  <c r="AE86" i="10" s="1"/>
  <c r="AG16" i="10"/>
  <c r="AH16" i="10" s="1"/>
  <c r="AI16" i="10" s="1"/>
  <c r="AC17" i="10" s="1"/>
  <c r="AF16" i="10"/>
  <c r="AK16" i="10"/>
  <c r="AK52" i="10" l="1"/>
  <c r="AG52" i="10"/>
  <c r="AH52" i="10" s="1"/>
  <c r="AI52" i="10" s="1"/>
  <c r="AC53" i="10" s="1"/>
  <c r="AD53" i="10" s="1"/>
  <c r="AF52" i="10"/>
  <c r="AJ16" i="10"/>
  <c r="AE17" i="10" s="1"/>
  <c r="AK17" i="10" s="1"/>
  <c r="AG86" i="10"/>
  <c r="AH86" i="10" s="1"/>
  <c r="AI86" i="10" s="1"/>
  <c r="AC87" i="10" s="1"/>
  <c r="AF86" i="10"/>
  <c r="AK86" i="10"/>
  <c r="AD17" i="10"/>
  <c r="AJ52" i="10" l="1"/>
  <c r="AE53" i="10" s="1"/>
  <c r="AF53" i="10" s="1"/>
  <c r="AG17" i="10"/>
  <c r="AH17" i="10" s="1"/>
  <c r="AI17" i="10" s="1"/>
  <c r="AC18" i="10" s="1"/>
  <c r="AD18" i="10" s="1"/>
  <c r="AF17" i="10"/>
  <c r="AJ86" i="10"/>
  <c r="AE87" i="10" s="1"/>
  <c r="AF87" i="10" s="1"/>
  <c r="AD87" i="10"/>
  <c r="AK53" i="10" l="1"/>
  <c r="AG53" i="10"/>
  <c r="AH53" i="10" s="1"/>
  <c r="AI53" i="10" s="1"/>
  <c r="AC54" i="10" s="1"/>
  <c r="AD54" i="10" s="1"/>
  <c r="AJ17" i="10"/>
  <c r="AE18" i="10" s="1"/>
  <c r="AK18" i="10" s="1"/>
  <c r="AG87" i="10"/>
  <c r="AH87" i="10" s="1"/>
  <c r="AI87" i="10" s="1"/>
  <c r="AC88" i="10" s="1"/>
  <c r="AK87" i="10"/>
  <c r="AJ53" i="10" l="1"/>
  <c r="AE54" i="10" s="1"/>
  <c r="AF54" i="10" s="1"/>
  <c r="AG18" i="10"/>
  <c r="AH18" i="10" s="1"/>
  <c r="AI18" i="10" s="1"/>
  <c r="AC19" i="10" s="1"/>
  <c r="AD19" i="10" s="1"/>
  <c r="AF18" i="10"/>
  <c r="AJ87" i="10"/>
  <c r="AE88" i="10" s="1"/>
  <c r="AF88" i="10" s="1"/>
  <c r="AD88" i="10"/>
  <c r="AG54" i="10" l="1"/>
  <c r="AH54" i="10" s="1"/>
  <c r="AI54" i="10" s="1"/>
  <c r="AC55" i="10" s="1"/>
  <c r="AD55" i="10" s="1"/>
  <c r="AK54" i="10"/>
  <c r="AJ18" i="10"/>
  <c r="AE19" i="10" s="1"/>
  <c r="AK19" i="10" s="1"/>
  <c r="AG88" i="10"/>
  <c r="AH88" i="10" s="1"/>
  <c r="AJ88" i="10" s="1"/>
  <c r="AE89" i="10" s="1"/>
  <c r="AF89" i="10" s="1"/>
  <c r="AK88" i="10"/>
  <c r="AJ54" i="10" l="1"/>
  <c r="AE55" i="10" s="1"/>
  <c r="AK55" i="10" s="1"/>
  <c r="AG19" i="10"/>
  <c r="AH19" i="10" s="1"/>
  <c r="AI19" i="10" s="1"/>
  <c r="AC20" i="10" s="1"/>
  <c r="AD20" i="10" s="1"/>
  <c r="AF19" i="10"/>
  <c r="AI88" i="10"/>
  <c r="AC89" i="10" s="1"/>
  <c r="AK89" i="10" s="1"/>
  <c r="AF55" i="10" l="1"/>
  <c r="AG55" i="10"/>
  <c r="AH55" i="10" s="1"/>
  <c r="AI55" i="10" s="1"/>
  <c r="AC56" i="10" s="1"/>
  <c r="AD56" i="10" s="1"/>
  <c r="AJ19" i="10"/>
  <c r="AE20" i="10" s="1"/>
  <c r="AK20" i="10" s="1"/>
  <c r="AG89" i="10"/>
  <c r="AH89" i="10" s="1"/>
  <c r="AJ89" i="10" s="1"/>
  <c r="AE90" i="10" s="1"/>
  <c r="AF90" i="10" s="1"/>
  <c r="AD89" i="10"/>
  <c r="AJ55" i="10" l="1"/>
  <c r="AE56" i="10" s="1"/>
  <c r="AG56" i="10" s="1"/>
  <c r="AH56" i="10" s="1"/>
  <c r="AI56" i="10" s="1"/>
  <c r="AC57" i="10" s="1"/>
  <c r="AD57" i="10" s="1"/>
  <c r="AF20" i="10"/>
  <c r="AG20" i="10"/>
  <c r="AH20" i="10" s="1"/>
  <c r="AI20" i="10" s="1"/>
  <c r="AC21" i="10" s="1"/>
  <c r="AD21" i="10" s="1"/>
  <c r="AI89" i="10"/>
  <c r="AC90" i="10" s="1"/>
  <c r="AD90" i="10" s="1"/>
  <c r="AF56" i="10" l="1"/>
  <c r="AJ56" i="10" s="1"/>
  <c r="AE57" i="10" s="1"/>
  <c r="AK56" i="10"/>
  <c r="AJ20" i="10"/>
  <c r="AE21" i="10" s="1"/>
  <c r="AG21" i="10" s="1"/>
  <c r="AH21" i="10" s="1"/>
  <c r="AI21" i="10" s="1"/>
  <c r="AC22" i="10" s="1"/>
  <c r="AD22" i="10" s="1"/>
  <c r="AK90" i="10"/>
  <c r="AG90" i="10"/>
  <c r="AH90" i="10" s="1"/>
  <c r="AI90" i="10" s="1"/>
  <c r="AC91" i="10" s="1"/>
  <c r="AD91" i="10" s="1"/>
  <c r="AF57" i="10" l="1"/>
  <c r="AG57" i="10"/>
  <c r="AH57" i="10" s="1"/>
  <c r="AI57" i="10" s="1"/>
  <c r="AC58" i="10" s="1"/>
  <c r="AD58" i="10" s="1"/>
  <c r="AK57" i="10"/>
  <c r="AK21" i="10"/>
  <c r="AF21" i="10"/>
  <c r="AJ21" i="10" s="1"/>
  <c r="AE22" i="10" s="1"/>
  <c r="AJ90" i="10"/>
  <c r="AE91" i="10" s="1"/>
  <c r="AF91" i="10" s="1"/>
  <c r="AJ57" i="10" l="1"/>
  <c r="AE58" i="10" s="1"/>
  <c r="AG58" i="10" s="1"/>
  <c r="AH58" i="10" s="1"/>
  <c r="AI58" i="10" s="1"/>
  <c r="AC59" i="10" s="1"/>
  <c r="AD59" i="10" s="1"/>
  <c r="AG22" i="10"/>
  <c r="AH22" i="10" s="1"/>
  <c r="AI22" i="10" s="1"/>
  <c r="AC23" i="10" s="1"/>
  <c r="AD23" i="10" s="1"/>
  <c r="AF22" i="10"/>
  <c r="AK22" i="10"/>
  <c r="AG91" i="10"/>
  <c r="AH91" i="10" s="1"/>
  <c r="AI91" i="10" s="1"/>
  <c r="AC92" i="10" s="1"/>
  <c r="AD92" i="10" s="1"/>
  <c r="AK91" i="10"/>
  <c r="AK58" i="10" l="1"/>
  <c r="AF58" i="10"/>
  <c r="AJ58" i="10" s="1"/>
  <c r="AE59" i="10" s="1"/>
  <c r="AG59" i="10" s="1"/>
  <c r="AH59" i="10" s="1"/>
  <c r="AI59" i="10" s="1"/>
  <c r="AC60" i="10" s="1"/>
  <c r="AD60" i="10" s="1"/>
  <c r="AJ22" i="10"/>
  <c r="AE23" i="10" s="1"/>
  <c r="AF23" i="10" s="1"/>
  <c r="AJ91" i="10"/>
  <c r="AE92" i="10" s="1"/>
  <c r="AF92" i="10" s="1"/>
  <c r="AG23" i="10" l="1"/>
  <c r="AH23" i="10" s="1"/>
  <c r="AI23" i="10" s="1"/>
  <c r="AC24" i="10" s="1"/>
  <c r="AD24" i="10" s="1"/>
  <c r="AK23" i="10"/>
  <c r="AK59" i="10"/>
  <c r="AF59" i="10"/>
  <c r="AJ59" i="10" s="1"/>
  <c r="AE60" i="10" s="1"/>
  <c r="AG92" i="10"/>
  <c r="AH92" i="10" s="1"/>
  <c r="AI92" i="10" s="1"/>
  <c r="AC93" i="10" s="1"/>
  <c r="AD93" i="10" s="1"/>
  <c r="AK92" i="10"/>
  <c r="AJ23" i="10" l="1"/>
  <c r="AE24" i="10" s="1"/>
  <c r="AK24" i="10" s="1"/>
  <c r="AF60" i="10"/>
  <c r="AG60" i="10"/>
  <c r="AH60" i="10" s="1"/>
  <c r="AI60" i="10" s="1"/>
  <c r="AC61" i="10" s="1"/>
  <c r="AD61" i="10" s="1"/>
  <c r="AK60" i="10"/>
  <c r="AJ92" i="10"/>
  <c r="AE93" i="10" s="1"/>
  <c r="AG93" i="10" s="1"/>
  <c r="AH93" i="10" s="1"/>
  <c r="AI93" i="10" s="1"/>
  <c r="AC94" i="10" s="1"/>
  <c r="AD94" i="10" s="1"/>
  <c r="AG24" i="10" l="1"/>
  <c r="AH24" i="10" s="1"/>
  <c r="AI24" i="10" s="1"/>
  <c r="AC25" i="10" s="1"/>
  <c r="AD25" i="10" s="1"/>
  <c r="AF24" i="10"/>
  <c r="AJ60" i="10"/>
  <c r="AE61" i="10" s="1"/>
  <c r="AK61" i="10" s="1"/>
  <c r="AK93" i="10"/>
  <c r="AF93" i="10"/>
  <c r="AJ93" i="10" s="1"/>
  <c r="AE94" i="10" s="1"/>
  <c r="AJ24" i="10" l="1"/>
  <c r="AE25" i="10" s="1"/>
  <c r="AF25" i="10" s="1"/>
  <c r="AF61" i="10"/>
  <c r="AG61" i="10"/>
  <c r="AH61" i="10" s="1"/>
  <c r="AI61" i="10" s="1"/>
  <c r="AC62" i="10" s="1"/>
  <c r="AD62" i="10" s="1"/>
  <c r="AF94" i="10"/>
  <c r="AG94" i="10"/>
  <c r="AH94" i="10" s="1"/>
  <c r="AI94" i="10" s="1"/>
  <c r="AC95" i="10" s="1"/>
  <c r="AD95" i="10" s="1"/>
  <c r="AK94" i="10"/>
  <c r="AK25" i="10" l="1"/>
  <c r="AG25" i="10"/>
  <c r="AH25" i="10" s="1"/>
  <c r="AI25" i="10" s="1"/>
  <c r="AC26" i="10" s="1"/>
  <c r="AD26" i="10" s="1"/>
  <c r="AJ61" i="10"/>
  <c r="AE62" i="10" s="1"/>
  <c r="AK62" i="10" s="1"/>
  <c r="AJ94" i="10"/>
  <c r="AE95" i="10" s="1"/>
  <c r="AG95" i="10" s="1"/>
  <c r="AH95" i="10" s="1"/>
  <c r="AI95" i="10" s="1"/>
  <c r="AC96" i="10" s="1"/>
  <c r="AD96" i="10" s="1"/>
  <c r="BK5" i="9"/>
  <c r="C8" i="9"/>
  <c r="C21" i="9" s="1"/>
  <c r="AJ25" i="10" l="1"/>
  <c r="AE26" i="10" s="1"/>
  <c r="AK26" i="10" s="1"/>
  <c r="AF62" i="10"/>
  <c r="AG62" i="10"/>
  <c r="AH62" i="10" s="1"/>
  <c r="AI62" i="10" s="1"/>
  <c r="AC63" i="10" s="1"/>
  <c r="AD63" i="10" s="1"/>
  <c r="AK95" i="10"/>
  <c r="AF95" i="10"/>
  <c r="AJ95" i="10" s="1"/>
  <c r="AE96" i="10" s="1"/>
  <c r="AK96" i="10" s="1"/>
  <c r="BO62" i="9"/>
  <c r="BO43" i="9"/>
  <c r="CK136" i="9"/>
  <c r="CJ136" i="9"/>
  <c r="CK135" i="9"/>
  <c r="CJ135" i="9"/>
  <c r="CK134" i="9"/>
  <c r="CJ134" i="9"/>
  <c r="CK133" i="9"/>
  <c r="CJ133" i="9"/>
  <c r="CK132" i="9"/>
  <c r="CJ132" i="9"/>
  <c r="CK131" i="9"/>
  <c r="CJ131" i="9"/>
  <c r="CK130" i="9"/>
  <c r="CJ130" i="9"/>
  <c r="CK129" i="9"/>
  <c r="CJ129" i="9"/>
  <c r="CK128" i="9"/>
  <c r="CJ128" i="9"/>
  <c r="CK127" i="9"/>
  <c r="CJ127" i="9"/>
  <c r="CK126" i="9"/>
  <c r="CJ126" i="9"/>
  <c r="CK125" i="9"/>
  <c r="CJ125" i="9"/>
  <c r="CK124" i="9"/>
  <c r="CJ124" i="9"/>
  <c r="CK123" i="9"/>
  <c r="CJ123" i="9"/>
  <c r="CK122" i="9"/>
  <c r="CJ122" i="9"/>
  <c r="CK121" i="9"/>
  <c r="CJ121" i="9"/>
  <c r="CK120" i="9"/>
  <c r="CJ120" i="9"/>
  <c r="CK119" i="9"/>
  <c r="CJ119" i="9"/>
  <c r="CK118" i="9"/>
  <c r="CJ118" i="9"/>
  <c r="CK117" i="9"/>
  <c r="CJ117" i="9"/>
  <c r="CK116" i="9"/>
  <c r="CJ116" i="9"/>
  <c r="CK115" i="9"/>
  <c r="CJ115" i="9"/>
  <c r="CK114" i="9"/>
  <c r="CJ114" i="9"/>
  <c r="CK113" i="9"/>
  <c r="CJ113" i="9"/>
  <c r="CK112" i="9"/>
  <c r="CJ112" i="9"/>
  <c r="CK111" i="9"/>
  <c r="CJ111" i="9"/>
  <c r="CK110" i="9"/>
  <c r="CJ110" i="9"/>
  <c r="CK109" i="9"/>
  <c r="CJ109" i="9"/>
  <c r="CK108" i="9"/>
  <c r="CJ108" i="9"/>
  <c r="CK107" i="9"/>
  <c r="CJ107" i="9"/>
  <c r="CF107" i="9"/>
  <c r="CD107" i="9"/>
  <c r="AF26" i="10" l="1"/>
  <c r="AG26" i="10"/>
  <c r="AH26" i="10" s="1"/>
  <c r="AI26" i="10" s="1"/>
  <c r="AC27" i="10" s="1"/>
  <c r="AD27" i="10" s="1"/>
  <c r="AJ62" i="10"/>
  <c r="AE63" i="10" s="1"/>
  <c r="AG63" i="10" s="1"/>
  <c r="AH63" i="10" s="1"/>
  <c r="AI63" i="10" s="1"/>
  <c r="AC64" i="10" s="1"/>
  <c r="AD64" i="10" s="1"/>
  <c r="AG96" i="10"/>
  <c r="AH96" i="10" s="1"/>
  <c r="AF96" i="10"/>
  <c r="CH107" i="9"/>
  <c r="CF108" i="9"/>
  <c r="CL107" i="9"/>
  <c r="CD108" i="9"/>
  <c r="C31" i="9"/>
  <c r="AQ79" i="9"/>
  <c r="AP79" i="9"/>
  <c r="AQ78" i="9"/>
  <c r="AP78" i="9"/>
  <c r="AQ77" i="9"/>
  <c r="AP77" i="9"/>
  <c r="AQ76" i="9"/>
  <c r="AP76" i="9"/>
  <c r="AQ75" i="9"/>
  <c r="AP75" i="9"/>
  <c r="AQ74" i="9"/>
  <c r="AP74" i="9"/>
  <c r="AQ73" i="9"/>
  <c r="AP73" i="9"/>
  <c r="AQ72" i="9"/>
  <c r="AP72" i="9"/>
  <c r="AQ71" i="9"/>
  <c r="AP71" i="9"/>
  <c r="AQ70" i="9"/>
  <c r="AP70" i="9"/>
  <c r="AQ69" i="9"/>
  <c r="AP69" i="9"/>
  <c r="AQ68" i="9"/>
  <c r="AP68" i="9"/>
  <c r="AQ67" i="9"/>
  <c r="AP67" i="9"/>
  <c r="AQ66" i="9"/>
  <c r="AP66" i="9"/>
  <c r="AQ65" i="9"/>
  <c r="AP65" i="9"/>
  <c r="AQ64" i="9"/>
  <c r="AP64" i="9"/>
  <c r="AQ63" i="9"/>
  <c r="AP63" i="9"/>
  <c r="AQ62" i="9"/>
  <c r="AP62" i="9"/>
  <c r="AQ61" i="9"/>
  <c r="AP61" i="9"/>
  <c r="AQ60" i="9"/>
  <c r="AP60" i="9"/>
  <c r="AQ59" i="9"/>
  <c r="AP59" i="9"/>
  <c r="AQ58" i="9"/>
  <c r="AP58" i="9"/>
  <c r="AQ57" i="9"/>
  <c r="AP57" i="9"/>
  <c r="AQ56" i="9"/>
  <c r="AP56" i="9"/>
  <c r="AQ55" i="9"/>
  <c r="AP55" i="9"/>
  <c r="AQ54" i="9"/>
  <c r="AP54" i="9"/>
  <c r="AQ53" i="9"/>
  <c r="AP53" i="9"/>
  <c r="AQ52" i="9"/>
  <c r="AP52" i="9"/>
  <c r="AQ51" i="9"/>
  <c r="AP51" i="9"/>
  <c r="AR50" i="9"/>
  <c r="AQ50" i="9"/>
  <c r="AP50" i="9"/>
  <c r="AN50" i="9"/>
  <c r="G29" i="9"/>
  <c r="AU9" i="9"/>
  <c r="AU8" i="9"/>
  <c r="AJ26" i="10" l="1"/>
  <c r="AE27" i="10" s="1"/>
  <c r="AF27" i="10" s="1"/>
  <c r="AF63" i="10"/>
  <c r="AJ63" i="10" s="1"/>
  <c r="AE64" i="10" s="1"/>
  <c r="AK64" i="10" s="1"/>
  <c r="AK63" i="10"/>
  <c r="AJ96" i="10"/>
  <c r="AE97" i="10" s="1"/>
  <c r="AF97" i="10" s="1"/>
  <c r="AI96" i="10"/>
  <c r="AC97" i="10" s="1"/>
  <c r="CH108" i="9"/>
  <c r="CF109" i="9" s="1"/>
  <c r="CL108" i="9"/>
  <c r="AU32" i="9"/>
  <c r="AU25" i="9"/>
  <c r="AU34" i="9"/>
  <c r="BO65" i="9" s="1"/>
  <c r="AU31" i="9"/>
  <c r="AU24" i="9"/>
  <c r="AU30" i="9"/>
  <c r="AU23" i="9"/>
  <c r="AU19" i="9"/>
  <c r="AU27" i="9"/>
  <c r="AU29" i="9"/>
  <c r="AU22" i="9"/>
  <c r="AU26" i="9"/>
  <c r="BG31" i="9" s="1"/>
  <c r="AU28" i="9"/>
  <c r="AU21" i="9"/>
  <c r="AU20" i="9"/>
  <c r="BC13" i="9" s="1"/>
  <c r="AU10" i="9"/>
  <c r="AU33" i="9"/>
  <c r="AK27" i="10"/>
  <c r="AL51" i="9"/>
  <c r="AJ51" i="9"/>
  <c r="AU3" i="9"/>
  <c r="AY3" i="9"/>
  <c r="AY4" i="9" s="1"/>
  <c r="BO5" i="9"/>
  <c r="BS5" i="9"/>
  <c r="BU5" i="9"/>
  <c r="BY5" i="9"/>
  <c r="BZ5" i="9"/>
  <c r="CD5" i="9"/>
  <c r="CF5" i="9"/>
  <c r="CJ5" i="9"/>
  <c r="CK5" i="9"/>
  <c r="BY6" i="9"/>
  <c r="BZ6" i="9"/>
  <c r="CJ6" i="9"/>
  <c r="CK6" i="9"/>
  <c r="BY7" i="9"/>
  <c r="BZ7" i="9"/>
  <c r="CJ7" i="9"/>
  <c r="CK7" i="9"/>
  <c r="BY8" i="9"/>
  <c r="BZ8" i="9"/>
  <c r="CJ8" i="9"/>
  <c r="CK8" i="9"/>
  <c r="BY9" i="9"/>
  <c r="BZ9" i="9"/>
  <c r="CJ9" i="9"/>
  <c r="CK9" i="9"/>
  <c r="BY10" i="9"/>
  <c r="BZ10" i="9"/>
  <c r="CJ10" i="9"/>
  <c r="CK10" i="9"/>
  <c r="BY11" i="9"/>
  <c r="BZ11" i="9"/>
  <c r="CJ11" i="9"/>
  <c r="CK11" i="9"/>
  <c r="BY12" i="9"/>
  <c r="BZ12" i="9"/>
  <c r="CJ12" i="9"/>
  <c r="CK12" i="9"/>
  <c r="BY13" i="9"/>
  <c r="BZ13" i="9"/>
  <c r="CJ13" i="9"/>
  <c r="CK13" i="9"/>
  <c r="BY14" i="9"/>
  <c r="BZ14" i="9"/>
  <c r="CJ14" i="9"/>
  <c r="CK14" i="9"/>
  <c r="BY15" i="9"/>
  <c r="BZ15" i="9"/>
  <c r="CJ15" i="9"/>
  <c r="CK15" i="9"/>
  <c r="BY16" i="9"/>
  <c r="BZ16" i="9"/>
  <c r="CJ16" i="9"/>
  <c r="CK16" i="9"/>
  <c r="BY17" i="9"/>
  <c r="BZ17" i="9"/>
  <c r="CJ17" i="9"/>
  <c r="CK17" i="9"/>
  <c r="BY18" i="9"/>
  <c r="BZ18" i="9"/>
  <c r="CJ18" i="9"/>
  <c r="CK18" i="9"/>
  <c r="BY19" i="9"/>
  <c r="BZ19" i="9"/>
  <c r="CJ19" i="9"/>
  <c r="CK19" i="9"/>
  <c r="BY20" i="9"/>
  <c r="BZ20" i="9"/>
  <c r="CJ20" i="9"/>
  <c r="CK20" i="9"/>
  <c r="BY21" i="9"/>
  <c r="BZ21" i="9"/>
  <c r="CJ21" i="9"/>
  <c r="CK21" i="9"/>
  <c r="BY22" i="9"/>
  <c r="BZ22" i="9"/>
  <c r="CJ22" i="9"/>
  <c r="CK22" i="9"/>
  <c r="BY23" i="9"/>
  <c r="BZ23" i="9"/>
  <c r="CJ23" i="9"/>
  <c r="CK23" i="9"/>
  <c r="BK24" i="9"/>
  <c r="BO24" i="9"/>
  <c r="BY24" i="9"/>
  <c r="BZ24" i="9"/>
  <c r="CJ24" i="9"/>
  <c r="CK24" i="9"/>
  <c r="BY25" i="9"/>
  <c r="BZ25" i="9"/>
  <c r="CJ25" i="9"/>
  <c r="CK25" i="9"/>
  <c r="BY26" i="9"/>
  <c r="BZ26" i="9"/>
  <c r="CJ26" i="9"/>
  <c r="CK26" i="9"/>
  <c r="BY27" i="9"/>
  <c r="BZ27" i="9"/>
  <c r="CJ27" i="9"/>
  <c r="CK27" i="9"/>
  <c r="BY28" i="9"/>
  <c r="BZ28" i="9"/>
  <c r="CJ28" i="9"/>
  <c r="CK28" i="9"/>
  <c r="BY29" i="9"/>
  <c r="BZ29" i="9"/>
  <c r="CJ29" i="9"/>
  <c r="CK29" i="9"/>
  <c r="BY30" i="9"/>
  <c r="BZ30" i="9"/>
  <c r="CJ30" i="9"/>
  <c r="CK30" i="9"/>
  <c r="BY31" i="9"/>
  <c r="BZ31" i="9"/>
  <c r="CJ31" i="9"/>
  <c r="CK31" i="9"/>
  <c r="BY32" i="9"/>
  <c r="BZ32" i="9"/>
  <c r="CJ32" i="9"/>
  <c r="CK32" i="9"/>
  <c r="BY33" i="9"/>
  <c r="BZ33" i="9"/>
  <c r="CJ33" i="9"/>
  <c r="CK33" i="9"/>
  <c r="BY34" i="9"/>
  <c r="BZ34" i="9"/>
  <c r="CJ34" i="9"/>
  <c r="CK34" i="9"/>
  <c r="BS39" i="9"/>
  <c r="BU39" i="9"/>
  <c r="BY39" i="9"/>
  <c r="BZ39" i="9"/>
  <c r="CD39" i="9"/>
  <c r="CF39" i="9"/>
  <c r="CJ39" i="9"/>
  <c r="CK39" i="9"/>
  <c r="BY40" i="9"/>
  <c r="BZ40" i="9"/>
  <c r="CJ40" i="9"/>
  <c r="CK40" i="9"/>
  <c r="BY41" i="9"/>
  <c r="BZ41" i="9"/>
  <c r="CJ41" i="9"/>
  <c r="CK41" i="9"/>
  <c r="BY42" i="9"/>
  <c r="BZ42" i="9"/>
  <c r="CJ42" i="9"/>
  <c r="CK42" i="9"/>
  <c r="BK43" i="9"/>
  <c r="BY43" i="9"/>
  <c r="BZ43" i="9"/>
  <c r="CJ43" i="9"/>
  <c r="CK43" i="9"/>
  <c r="BY44" i="9"/>
  <c r="BZ44" i="9"/>
  <c r="CJ44" i="9"/>
  <c r="CK44" i="9"/>
  <c r="BY45" i="9"/>
  <c r="BZ45" i="9"/>
  <c r="CJ45" i="9"/>
  <c r="CK45" i="9"/>
  <c r="BY46" i="9"/>
  <c r="BZ46" i="9"/>
  <c r="CJ46" i="9"/>
  <c r="CK46" i="9"/>
  <c r="BY47" i="9"/>
  <c r="BZ47" i="9"/>
  <c r="CJ47" i="9"/>
  <c r="CK47" i="9"/>
  <c r="BY48" i="9"/>
  <c r="BZ48" i="9"/>
  <c r="CJ48" i="9"/>
  <c r="CK48" i="9"/>
  <c r="BY49" i="9"/>
  <c r="BZ49" i="9"/>
  <c r="CJ49" i="9"/>
  <c r="CK49" i="9"/>
  <c r="BY50" i="9"/>
  <c r="BZ50" i="9"/>
  <c r="CJ50" i="9"/>
  <c r="CK50" i="9"/>
  <c r="BY51" i="9"/>
  <c r="BZ51" i="9"/>
  <c r="CJ51" i="9"/>
  <c r="CK51" i="9"/>
  <c r="BY52" i="9"/>
  <c r="BZ52" i="9"/>
  <c r="CJ52" i="9"/>
  <c r="CK52" i="9"/>
  <c r="BY53" i="9"/>
  <c r="BZ53" i="9"/>
  <c r="CJ53" i="9"/>
  <c r="CK53" i="9"/>
  <c r="BY54" i="9"/>
  <c r="BZ54" i="9"/>
  <c r="CJ54" i="9"/>
  <c r="CK54" i="9"/>
  <c r="BY55" i="9"/>
  <c r="BZ55" i="9"/>
  <c r="CJ55" i="9"/>
  <c r="CK55" i="9"/>
  <c r="BY56" i="9"/>
  <c r="BZ56" i="9"/>
  <c r="CJ56" i="9"/>
  <c r="CK56" i="9"/>
  <c r="BY57" i="9"/>
  <c r="BZ57" i="9"/>
  <c r="CJ57" i="9"/>
  <c r="CK57" i="9"/>
  <c r="BY58" i="9"/>
  <c r="BZ58" i="9"/>
  <c r="CJ58" i="9"/>
  <c r="CK58" i="9"/>
  <c r="BY59" i="9"/>
  <c r="BZ59" i="9"/>
  <c r="CJ59" i="9"/>
  <c r="CK59" i="9"/>
  <c r="BY60" i="9"/>
  <c r="BZ60" i="9"/>
  <c r="CJ60" i="9"/>
  <c r="CK60" i="9"/>
  <c r="BY61" i="9"/>
  <c r="BZ61" i="9"/>
  <c r="CJ61" i="9"/>
  <c r="CK61" i="9"/>
  <c r="BK62" i="9"/>
  <c r="BY62" i="9"/>
  <c r="BZ62" i="9"/>
  <c r="CJ62" i="9"/>
  <c r="CK62" i="9"/>
  <c r="BY63" i="9"/>
  <c r="BZ63" i="9"/>
  <c r="CJ63" i="9"/>
  <c r="CK63" i="9"/>
  <c r="BY64" i="9"/>
  <c r="BZ64" i="9"/>
  <c r="CJ64" i="9"/>
  <c r="CK64" i="9"/>
  <c r="BY65" i="9"/>
  <c r="BZ65" i="9"/>
  <c r="CJ65" i="9"/>
  <c r="CK65" i="9"/>
  <c r="BY66" i="9"/>
  <c r="BZ66" i="9"/>
  <c r="CJ66" i="9"/>
  <c r="CK66" i="9"/>
  <c r="BY67" i="9"/>
  <c r="BZ67" i="9"/>
  <c r="CJ67" i="9"/>
  <c r="CK67" i="9"/>
  <c r="BY68" i="9"/>
  <c r="BZ68" i="9"/>
  <c r="CJ68" i="9"/>
  <c r="CK68" i="9"/>
  <c r="BS73" i="9"/>
  <c r="BU73" i="9"/>
  <c r="BY73" i="9"/>
  <c r="BZ73" i="9"/>
  <c r="CD73" i="9"/>
  <c r="CF73" i="9"/>
  <c r="CJ73" i="9"/>
  <c r="CK73" i="9"/>
  <c r="BY74" i="9"/>
  <c r="BZ74" i="9"/>
  <c r="CJ74" i="9"/>
  <c r="CK74" i="9"/>
  <c r="BY75" i="9"/>
  <c r="BZ75" i="9"/>
  <c r="CJ75" i="9"/>
  <c r="CK75" i="9"/>
  <c r="BY76" i="9"/>
  <c r="BZ76" i="9"/>
  <c r="CJ76" i="9"/>
  <c r="CK76" i="9"/>
  <c r="BY77" i="9"/>
  <c r="BZ77" i="9"/>
  <c r="CJ77" i="9"/>
  <c r="CK77" i="9"/>
  <c r="BY78" i="9"/>
  <c r="BZ78" i="9"/>
  <c r="CJ78" i="9"/>
  <c r="CK78" i="9"/>
  <c r="BY79" i="9"/>
  <c r="BZ79" i="9"/>
  <c r="CJ79" i="9"/>
  <c r="CK79" i="9"/>
  <c r="BY80" i="9"/>
  <c r="BZ80" i="9"/>
  <c r="CJ80" i="9"/>
  <c r="CK80" i="9"/>
  <c r="BY81" i="9"/>
  <c r="BZ81" i="9"/>
  <c r="CJ81" i="9"/>
  <c r="CK81" i="9"/>
  <c r="BY82" i="9"/>
  <c r="BZ82" i="9"/>
  <c r="CJ82" i="9"/>
  <c r="CK82" i="9"/>
  <c r="BY83" i="9"/>
  <c r="BZ83" i="9"/>
  <c r="CJ83" i="9"/>
  <c r="CK83" i="9"/>
  <c r="BY84" i="9"/>
  <c r="BZ84" i="9"/>
  <c r="CJ84" i="9"/>
  <c r="CK84" i="9"/>
  <c r="BY85" i="9"/>
  <c r="BZ85" i="9"/>
  <c r="CJ85" i="9"/>
  <c r="CK85" i="9"/>
  <c r="BY86" i="9"/>
  <c r="BZ86" i="9"/>
  <c r="CJ86" i="9"/>
  <c r="CK86" i="9"/>
  <c r="BY87" i="9"/>
  <c r="BZ87" i="9"/>
  <c r="CJ87" i="9"/>
  <c r="CK87" i="9"/>
  <c r="BY88" i="9"/>
  <c r="BZ88" i="9"/>
  <c r="CJ88" i="9"/>
  <c r="CK88" i="9"/>
  <c r="BY89" i="9"/>
  <c r="BZ89" i="9"/>
  <c r="CJ89" i="9"/>
  <c r="CK89" i="9"/>
  <c r="BY90" i="9"/>
  <c r="BZ90" i="9"/>
  <c r="CJ90" i="9"/>
  <c r="CK90" i="9"/>
  <c r="BY91" i="9"/>
  <c r="BZ91" i="9"/>
  <c r="CJ91" i="9"/>
  <c r="CK91" i="9"/>
  <c r="BY92" i="9"/>
  <c r="BZ92" i="9"/>
  <c r="CJ92" i="9"/>
  <c r="CK92" i="9"/>
  <c r="BY93" i="9"/>
  <c r="BZ93" i="9"/>
  <c r="CJ93" i="9"/>
  <c r="CK93" i="9"/>
  <c r="BY94" i="9"/>
  <c r="BZ94" i="9"/>
  <c r="CJ94" i="9"/>
  <c r="CK94" i="9"/>
  <c r="BY95" i="9"/>
  <c r="BZ95" i="9"/>
  <c r="CJ95" i="9"/>
  <c r="CK95" i="9"/>
  <c r="BY96" i="9"/>
  <c r="BZ96" i="9"/>
  <c r="CJ96" i="9"/>
  <c r="CK96" i="9"/>
  <c r="BY97" i="9"/>
  <c r="BZ97" i="9"/>
  <c r="CJ97" i="9"/>
  <c r="CK97" i="9"/>
  <c r="BY98" i="9"/>
  <c r="BZ98" i="9"/>
  <c r="CJ98" i="9"/>
  <c r="CK98" i="9"/>
  <c r="BY99" i="9"/>
  <c r="BZ99" i="9"/>
  <c r="CJ99" i="9"/>
  <c r="CK99" i="9"/>
  <c r="BY100" i="9"/>
  <c r="BZ100" i="9"/>
  <c r="CJ100" i="9"/>
  <c r="CK100" i="9"/>
  <c r="BY101" i="9"/>
  <c r="BZ101" i="9"/>
  <c r="CJ101" i="9"/>
  <c r="CK101" i="9"/>
  <c r="BY102" i="9"/>
  <c r="BZ102" i="9"/>
  <c r="CJ102" i="9"/>
  <c r="CK102" i="9"/>
  <c r="BS107" i="9"/>
  <c r="BU107" i="9"/>
  <c r="BY107" i="9"/>
  <c r="BZ107" i="9"/>
  <c r="BY108" i="9"/>
  <c r="BZ108" i="9"/>
  <c r="BY109" i="9"/>
  <c r="BZ109" i="9"/>
  <c r="BY110" i="9"/>
  <c r="BZ110" i="9"/>
  <c r="BY111" i="9"/>
  <c r="BZ111" i="9"/>
  <c r="BY112" i="9"/>
  <c r="BZ112" i="9"/>
  <c r="BY113" i="9"/>
  <c r="BZ113" i="9"/>
  <c r="BY114" i="9"/>
  <c r="BZ114" i="9"/>
  <c r="BY115" i="9"/>
  <c r="BZ115" i="9"/>
  <c r="BY116" i="9"/>
  <c r="BZ116" i="9"/>
  <c r="BY117" i="9"/>
  <c r="BZ117" i="9"/>
  <c r="BY118" i="9"/>
  <c r="BZ118" i="9"/>
  <c r="BY119" i="9"/>
  <c r="BZ119" i="9"/>
  <c r="BY120" i="9"/>
  <c r="BZ120" i="9"/>
  <c r="BY121" i="9"/>
  <c r="BZ121" i="9"/>
  <c r="BY122" i="9"/>
  <c r="BZ122" i="9"/>
  <c r="BY123" i="9"/>
  <c r="BZ123" i="9"/>
  <c r="BY124" i="9"/>
  <c r="BZ124" i="9"/>
  <c r="BY125" i="9"/>
  <c r="BZ125" i="9"/>
  <c r="BY126" i="9"/>
  <c r="BZ126" i="9"/>
  <c r="BY127" i="9"/>
  <c r="BZ127" i="9"/>
  <c r="BY128" i="9"/>
  <c r="BZ128" i="9"/>
  <c r="BY129" i="9"/>
  <c r="BZ129" i="9"/>
  <c r="BY130" i="9"/>
  <c r="BZ130" i="9"/>
  <c r="BY131" i="9"/>
  <c r="BZ131" i="9"/>
  <c r="BY132" i="9"/>
  <c r="BZ132" i="9"/>
  <c r="BY133" i="9"/>
  <c r="BZ133" i="9"/>
  <c r="BY134" i="9"/>
  <c r="BZ134" i="9"/>
  <c r="BY135" i="9"/>
  <c r="BZ135" i="9"/>
  <c r="BY136" i="9"/>
  <c r="BZ136" i="9"/>
  <c r="G53" i="9"/>
  <c r="AQ44" i="9"/>
  <c r="AP44" i="9"/>
  <c r="AQ43" i="9"/>
  <c r="AP43" i="9"/>
  <c r="AQ42" i="9"/>
  <c r="AP42" i="9"/>
  <c r="AQ41" i="9"/>
  <c r="AP41" i="9"/>
  <c r="AQ40" i="9"/>
  <c r="AP40" i="9"/>
  <c r="AQ39" i="9"/>
  <c r="AP39" i="9"/>
  <c r="AG39" i="9"/>
  <c r="AC39" i="9"/>
  <c r="AQ38" i="9"/>
  <c r="AP38" i="9"/>
  <c r="AQ37" i="9"/>
  <c r="AP37" i="9"/>
  <c r="AQ36" i="9"/>
  <c r="AP36" i="9"/>
  <c r="AQ35" i="9"/>
  <c r="AP35" i="9"/>
  <c r="AQ34" i="9"/>
  <c r="AP34" i="9"/>
  <c r="AQ33" i="9"/>
  <c r="AP33" i="9"/>
  <c r="AQ32" i="9"/>
  <c r="AP32" i="9"/>
  <c r="AQ31" i="9"/>
  <c r="AP31" i="9"/>
  <c r="AQ30" i="9"/>
  <c r="AP30" i="9"/>
  <c r="AQ29" i="9"/>
  <c r="AP29" i="9"/>
  <c r="AQ28" i="9"/>
  <c r="AP28" i="9"/>
  <c r="AQ27" i="9"/>
  <c r="AP27" i="9"/>
  <c r="AQ26" i="9"/>
  <c r="AP26" i="9"/>
  <c r="AQ25" i="9"/>
  <c r="AP25" i="9"/>
  <c r="AQ24" i="9"/>
  <c r="AP24" i="9"/>
  <c r="AQ23" i="9"/>
  <c r="AP23" i="9"/>
  <c r="AQ22" i="9"/>
  <c r="AP22" i="9"/>
  <c r="AQ21" i="9"/>
  <c r="AP21" i="9"/>
  <c r="AQ20" i="9"/>
  <c r="AP20" i="9"/>
  <c r="AQ19" i="9"/>
  <c r="AP19" i="9"/>
  <c r="AQ18" i="9"/>
  <c r="AP18" i="9"/>
  <c r="AQ17" i="9"/>
  <c r="AP17" i="9"/>
  <c r="AQ16" i="9"/>
  <c r="AP16" i="9"/>
  <c r="AQ15" i="9"/>
  <c r="AP15" i="9"/>
  <c r="AQ14" i="9"/>
  <c r="AP14" i="9"/>
  <c r="AQ13" i="9"/>
  <c r="AP13" i="9"/>
  <c r="O4" i="9"/>
  <c r="K31" i="9"/>
  <c r="AQ12" i="9"/>
  <c r="AP12" i="9"/>
  <c r="AQ11" i="9"/>
  <c r="AP11" i="9"/>
  <c r="AQ10" i="9"/>
  <c r="AP10" i="9"/>
  <c r="AQ9" i="9"/>
  <c r="AP9" i="9"/>
  <c r="AQ8" i="9"/>
  <c r="AP8" i="9"/>
  <c r="AQ7" i="9"/>
  <c r="AP7" i="9"/>
  <c r="AQ6" i="9"/>
  <c r="AP6" i="9"/>
  <c r="AR5" i="9"/>
  <c r="AQ5" i="9"/>
  <c r="AP5" i="9"/>
  <c r="AN5" i="9"/>
  <c r="AG4" i="9"/>
  <c r="AC4" i="9"/>
  <c r="BO46" i="9" l="1"/>
  <c r="BO8" i="9"/>
  <c r="AG27" i="10"/>
  <c r="AH27" i="10" s="1"/>
  <c r="AI27" i="10" s="1"/>
  <c r="AC28" i="10" s="1"/>
  <c r="AD28" i="10" s="1"/>
  <c r="BK65" i="9"/>
  <c r="BO27" i="9"/>
  <c r="BC4" i="9"/>
  <c r="AF64" i="10"/>
  <c r="AG64" i="10"/>
  <c r="AH64" i="10" s="1"/>
  <c r="AI64" i="10" s="1"/>
  <c r="AC65" i="10" s="1"/>
  <c r="AD65" i="10" s="1"/>
  <c r="CD109" i="9"/>
  <c r="AK97" i="10"/>
  <c r="AG97" i="10"/>
  <c r="AH97" i="10" s="1"/>
  <c r="AJ97" i="10" s="1"/>
  <c r="AE98" i="10" s="1"/>
  <c r="AD97" i="10"/>
  <c r="BC31" i="9"/>
  <c r="G32" i="9"/>
  <c r="BK46" i="9"/>
  <c r="BK27" i="9"/>
  <c r="CA107" i="9"/>
  <c r="BG13" i="9"/>
  <c r="CD74" i="9"/>
  <c r="AJ6" i="9"/>
  <c r="BG22" i="9"/>
  <c r="BK8" i="9"/>
  <c r="BG4" i="9"/>
  <c r="BC22" i="9"/>
  <c r="AR51" i="9"/>
  <c r="AN51" i="9"/>
  <c r="AL52" i="9" s="1"/>
  <c r="CL5" i="9"/>
  <c r="CH73" i="9"/>
  <c r="CF74" i="9" s="1"/>
  <c r="BS6" i="9"/>
  <c r="BW5" i="9"/>
  <c r="BU6" i="9" s="1"/>
  <c r="BS40" i="9"/>
  <c r="CA5" i="9"/>
  <c r="CL39" i="9"/>
  <c r="BW107" i="9"/>
  <c r="BU108" i="9" s="1"/>
  <c r="CH39" i="9"/>
  <c r="CF40" i="9" s="1"/>
  <c r="BW39" i="9"/>
  <c r="BU40" i="9" s="1"/>
  <c r="BS108" i="9"/>
  <c r="CL73" i="9"/>
  <c r="CD40" i="9"/>
  <c r="BS74" i="9"/>
  <c r="BW73" i="9"/>
  <c r="BU74" i="9" s="1"/>
  <c r="CA73" i="9"/>
  <c r="CH5" i="9"/>
  <c r="CF6" i="9" s="1"/>
  <c r="CA39" i="9"/>
  <c r="CD6" i="9"/>
  <c r="AL6" i="9"/>
  <c r="AJ27" i="10" l="1"/>
  <c r="AE28" i="10" s="1"/>
  <c r="AK28" i="10" s="1"/>
  <c r="G33" i="9"/>
  <c r="G34" i="9"/>
  <c r="AJ64" i="10"/>
  <c r="AE65" i="10" s="1"/>
  <c r="CH109" i="9"/>
  <c r="CL109" i="9"/>
  <c r="AI97" i="10"/>
  <c r="AC98" i="10" s="1"/>
  <c r="AD98" i="10" s="1"/>
  <c r="AR6" i="9"/>
  <c r="CL74" i="9"/>
  <c r="AF98" i="10"/>
  <c r="AJ52" i="9"/>
  <c r="AR52" i="9" s="1"/>
  <c r="BW40" i="9"/>
  <c r="BU41" i="9" s="1"/>
  <c r="BW6" i="9"/>
  <c r="BU7" i="9" s="1"/>
  <c r="CA6" i="9"/>
  <c r="CA108" i="9"/>
  <c r="CH40" i="9"/>
  <c r="CF41" i="9" s="1"/>
  <c r="BW108" i="9"/>
  <c r="BU109" i="9" s="1"/>
  <c r="CL40" i="9"/>
  <c r="CH6" i="9"/>
  <c r="CF7" i="9" s="1"/>
  <c r="CA74" i="9"/>
  <c r="CD7" i="9"/>
  <c r="CA40" i="9"/>
  <c r="CH74" i="9"/>
  <c r="CL6" i="9"/>
  <c r="BW74" i="9"/>
  <c r="BU75" i="9" s="1"/>
  <c r="AN6" i="9"/>
  <c r="AJ7" i="9" s="1"/>
  <c r="AG28" i="10" l="1"/>
  <c r="AH28" i="10" s="1"/>
  <c r="AI28" i="10" s="1"/>
  <c r="AC29" i="10" s="1"/>
  <c r="AD29" i="10" s="1"/>
  <c r="AF28" i="10"/>
  <c r="G39" i="9"/>
  <c r="AK65" i="10"/>
  <c r="AG65" i="10"/>
  <c r="AH65" i="10" s="1"/>
  <c r="AI65" i="10" s="1"/>
  <c r="AC66" i="10" s="1"/>
  <c r="AD66" i="10" s="1"/>
  <c r="AF65" i="10"/>
  <c r="AG98" i="10"/>
  <c r="AH98" i="10" s="1"/>
  <c r="AI98" i="10" s="1"/>
  <c r="AC99" i="10" s="1"/>
  <c r="AD99" i="10" s="1"/>
  <c r="CD110" i="9"/>
  <c r="CF110" i="9"/>
  <c r="AK98" i="10"/>
  <c r="AL7" i="9"/>
  <c r="AR7" i="9" s="1"/>
  <c r="AN52" i="9"/>
  <c r="AJ53" i="9" s="1"/>
  <c r="BS41" i="9"/>
  <c r="CA41" i="9" s="1"/>
  <c r="BS7" i="9"/>
  <c r="BW7" i="9" s="1"/>
  <c r="BU8" i="9" s="1"/>
  <c r="BS109" i="9"/>
  <c r="BW109" i="9" s="1"/>
  <c r="CD41" i="9"/>
  <c r="CL41" i="9" s="1"/>
  <c r="CF75" i="9"/>
  <c r="CD75" i="9"/>
  <c r="BS75" i="9"/>
  <c r="BW75" i="9" s="1"/>
  <c r="BU76" i="9" s="1"/>
  <c r="CH7" i="9"/>
  <c r="CF8" i="9" s="1"/>
  <c r="CL7" i="9"/>
  <c r="AJ28" i="10" l="1"/>
  <c r="AE29" i="10" s="1"/>
  <c r="AK29" i="10" s="1"/>
  <c r="AJ65" i="10"/>
  <c r="AE66" i="10" s="1"/>
  <c r="AJ98" i="10"/>
  <c r="AE99" i="10" s="1"/>
  <c r="AG99" i="10" s="1"/>
  <c r="AH99" i="10" s="1"/>
  <c r="AI99" i="10" s="1"/>
  <c r="AC100" i="10" s="1"/>
  <c r="CL110" i="9"/>
  <c r="CH110" i="9"/>
  <c r="AN7" i="9"/>
  <c r="AJ8" i="9" s="1"/>
  <c r="AL53" i="9"/>
  <c r="AR53" i="9" s="1"/>
  <c r="CH75" i="9"/>
  <c r="CF76" i="9" s="1"/>
  <c r="BW41" i="9"/>
  <c r="BU42" i="9" s="1"/>
  <c r="BS42" i="9"/>
  <c r="CA109" i="9"/>
  <c r="CD8" i="9"/>
  <c r="CH8" i="9" s="1"/>
  <c r="CF9" i="9" s="1"/>
  <c r="BS8" i="9"/>
  <c r="CA8" i="9" s="1"/>
  <c r="CA7" i="9"/>
  <c r="BU110" i="9"/>
  <c r="BS110" i="9"/>
  <c r="CH41" i="9"/>
  <c r="CF42" i="9" s="1"/>
  <c r="CL75" i="9"/>
  <c r="BS76" i="9"/>
  <c r="BW76" i="9" s="1"/>
  <c r="BU77" i="9" s="1"/>
  <c r="CA75" i="9"/>
  <c r="AG29" i="10" l="1"/>
  <c r="AH29" i="10" s="1"/>
  <c r="AI29" i="10" s="1"/>
  <c r="AC30" i="10" s="1"/>
  <c r="AD30" i="10" s="1"/>
  <c r="AF29" i="10"/>
  <c r="AG66" i="10"/>
  <c r="AH66" i="10" s="1"/>
  <c r="AI66" i="10" s="1"/>
  <c r="AC67" i="10" s="1"/>
  <c r="AF66" i="10"/>
  <c r="AK66" i="10"/>
  <c r="AK99" i="10"/>
  <c r="AF99" i="10"/>
  <c r="AJ99" i="10" s="1"/>
  <c r="AE100" i="10" s="1"/>
  <c r="AK100" i="10" s="1"/>
  <c r="CF111" i="9"/>
  <c r="CD111" i="9"/>
  <c r="AD100" i="10"/>
  <c r="AL8" i="9"/>
  <c r="AN8" i="9" s="1"/>
  <c r="AL9" i="9" s="1"/>
  <c r="AN53" i="9"/>
  <c r="AL54" i="9" s="1"/>
  <c r="CD76" i="9"/>
  <c r="CL76" i="9" s="1"/>
  <c r="CA42" i="9"/>
  <c r="BW110" i="9"/>
  <c r="BU111" i="9" s="1"/>
  <c r="CL8" i="9"/>
  <c r="BW8" i="9"/>
  <c r="BW42" i="9"/>
  <c r="CA76" i="9"/>
  <c r="BS111" i="9"/>
  <c r="CA110" i="9"/>
  <c r="CD42" i="9"/>
  <c r="CH42" i="9" s="1"/>
  <c r="BS77" i="9"/>
  <c r="CA77" i="9" s="1"/>
  <c r="CD9" i="9"/>
  <c r="CL9" i="9" s="1"/>
  <c r="AJ29" i="10" l="1"/>
  <c r="AE30" i="10" s="1"/>
  <c r="AF30" i="10" s="1"/>
  <c r="AJ66" i="10"/>
  <c r="AE67" i="10" s="1"/>
  <c r="AF67" i="10" s="1"/>
  <c r="AD67" i="10"/>
  <c r="CH111" i="9"/>
  <c r="CD112" i="9" s="1"/>
  <c r="CL111" i="9"/>
  <c r="AG100" i="10"/>
  <c r="AH100" i="10" s="1"/>
  <c r="AI100" i="10" s="1"/>
  <c r="AC101" i="10" s="1"/>
  <c r="AF100" i="10"/>
  <c r="AR8" i="9"/>
  <c r="AJ9" i="9"/>
  <c r="AR9" i="9" s="1"/>
  <c r="AJ54" i="9"/>
  <c r="AN54" i="9" s="1"/>
  <c r="AJ55" i="9" s="1"/>
  <c r="CH76" i="9"/>
  <c r="CF77" i="9" s="1"/>
  <c r="CD77" i="9"/>
  <c r="BW111" i="9"/>
  <c r="BS112" i="9" s="1"/>
  <c r="CD43" i="9"/>
  <c r="CF43" i="9"/>
  <c r="BS9" i="9"/>
  <c r="BU9" i="9"/>
  <c r="BU43" i="9"/>
  <c r="BS43" i="9"/>
  <c r="CA111" i="9"/>
  <c r="CL42" i="9"/>
  <c r="BW77" i="9"/>
  <c r="CH9" i="9"/>
  <c r="CD10" i="9" s="1"/>
  <c r="AG30" i="10" l="1"/>
  <c r="AH30" i="10" s="1"/>
  <c r="AI30" i="10" s="1"/>
  <c r="AC31" i="10" s="1"/>
  <c r="AD31" i="10" s="1"/>
  <c r="AK30" i="10"/>
  <c r="AG67" i="10"/>
  <c r="AH67" i="10" s="1"/>
  <c r="AI67" i="10" s="1"/>
  <c r="AC68" i="10" s="1"/>
  <c r="AD68" i="10" s="1"/>
  <c r="AK67" i="10"/>
  <c r="CF112" i="9"/>
  <c r="CH112" i="9" s="1"/>
  <c r="AJ100" i="10"/>
  <c r="AE101" i="10" s="1"/>
  <c r="AF101" i="10" s="1"/>
  <c r="AD101" i="10"/>
  <c r="AN9" i="9"/>
  <c r="AL10" i="9" s="1"/>
  <c r="AR54" i="9"/>
  <c r="AL55" i="9"/>
  <c r="AR55" i="9" s="1"/>
  <c r="CL77" i="9"/>
  <c r="CH77" i="9"/>
  <c r="CD78" i="9" s="1"/>
  <c r="BU112" i="9"/>
  <c r="BW112" i="9" s="1"/>
  <c r="CL43" i="9"/>
  <c r="CA9" i="9"/>
  <c r="BW9" i="9"/>
  <c r="BU10" i="9" s="1"/>
  <c r="BS78" i="9"/>
  <c r="BU78" i="9"/>
  <c r="CH43" i="9"/>
  <c r="CA43" i="9"/>
  <c r="BW43" i="9"/>
  <c r="CF10" i="9"/>
  <c r="CL10" i="9" s="1"/>
  <c r="AJ30" i="10" l="1"/>
  <c r="AE31" i="10" s="1"/>
  <c r="AK31" i="10" s="1"/>
  <c r="AJ67" i="10"/>
  <c r="AE68" i="10" s="1"/>
  <c r="AF68" i="10" s="1"/>
  <c r="CL112" i="9"/>
  <c r="CF113" i="9"/>
  <c r="CD113" i="9"/>
  <c r="CF78" i="9"/>
  <c r="CL78" i="9" s="1"/>
  <c r="AG101" i="10"/>
  <c r="AH101" i="10" s="1"/>
  <c r="AI101" i="10" s="1"/>
  <c r="AC102" i="10" s="1"/>
  <c r="AD102" i="10" s="1"/>
  <c r="AK101" i="10"/>
  <c r="AJ10" i="9"/>
  <c r="AN10" i="9" s="1"/>
  <c r="AJ11" i="9" s="1"/>
  <c r="AN55" i="9"/>
  <c r="AL56" i="9" s="1"/>
  <c r="CA112" i="9"/>
  <c r="BS10" i="9"/>
  <c r="CA10" i="9" s="1"/>
  <c r="CF44" i="9"/>
  <c r="CD44" i="9"/>
  <c r="CA78" i="9"/>
  <c r="BW78" i="9"/>
  <c r="BU113" i="9"/>
  <c r="BS113" i="9"/>
  <c r="BS44" i="9"/>
  <c r="BU44" i="9"/>
  <c r="CH10" i="9"/>
  <c r="CD11" i="9" s="1"/>
  <c r="AG31" i="10" l="1"/>
  <c r="AH31" i="10" s="1"/>
  <c r="AI31" i="10" s="1"/>
  <c r="AC32" i="10" s="1"/>
  <c r="AF31" i="10"/>
  <c r="AG68" i="10"/>
  <c r="AH68" i="10" s="1"/>
  <c r="AI68" i="10" s="1"/>
  <c r="AC69" i="10" s="1"/>
  <c r="AD69" i="10" s="1"/>
  <c r="AK68" i="10"/>
  <c r="CH113" i="9"/>
  <c r="CD114" i="9" s="1"/>
  <c r="CH78" i="9"/>
  <c r="CD79" i="9" s="1"/>
  <c r="CL113" i="9"/>
  <c r="AJ101" i="10"/>
  <c r="AE102" i="10" s="1"/>
  <c r="AF102" i="10" s="1"/>
  <c r="AD32" i="10"/>
  <c r="AR10" i="9"/>
  <c r="AJ56" i="9"/>
  <c r="AN56" i="9" s="1"/>
  <c r="AL57" i="9" s="1"/>
  <c r="BW10" i="9"/>
  <c r="BU11" i="9" s="1"/>
  <c r="CL44" i="9"/>
  <c r="CH44" i="9"/>
  <c r="AL11" i="9"/>
  <c r="AR11" i="9" s="1"/>
  <c r="BW113" i="9"/>
  <c r="BS114" i="9" s="1"/>
  <c r="BU79" i="9"/>
  <c r="BS79" i="9"/>
  <c r="CA113" i="9"/>
  <c r="BW44" i="9"/>
  <c r="CA44" i="9"/>
  <c r="CF11" i="9"/>
  <c r="CL11" i="9" s="1"/>
  <c r="AJ31" i="10" l="1"/>
  <c r="AE32" i="10" s="1"/>
  <c r="AG32" i="10" s="1"/>
  <c r="AH32" i="10" s="1"/>
  <c r="CF114" i="9"/>
  <c r="CL114" i="9" s="1"/>
  <c r="AJ68" i="10"/>
  <c r="AE69" i="10" s="1"/>
  <c r="AF69" i="10" s="1"/>
  <c r="CF79" i="9"/>
  <c r="CL79" i="9" s="1"/>
  <c r="AK102" i="10"/>
  <c r="AG102" i="10"/>
  <c r="AH102" i="10" s="1"/>
  <c r="AI102" i="10" s="1"/>
  <c r="AC103" i="10" s="1"/>
  <c r="AD103" i="10" s="1"/>
  <c r="AI32" i="10"/>
  <c r="AC33" i="10" s="1"/>
  <c r="AD33" i="10" s="1"/>
  <c r="AF32" i="10"/>
  <c r="AJ32" i="10" s="1"/>
  <c r="AE33" i="10" s="1"/>
  <c r="AK32" i="10"/>
  <c r="AJ57" i="9"/>
  <c r="AR57" i="9" s="1"/>
  <c r="AR56" i="9"/>
  <c r="BS11" i="9"/>
  <c r="BW11" i="9" s="1"/>
  <c r="BU12" i="9" s="1"/>
  <c r="BU114" i="9"/>
  <c r="CA114" i="9" s="1"/>
  <c r="CD45" i="9"/>
  <c r="CF45" i="9"/>
  <c r="AN11" i="9"/>
  <c r="AL12" i="9" s="1"/>
  <c r="BW79" i="9"/>
  <c r="BS80" i="9" s="1"/>
  <c r="CA79" i="9"/>
  <c r="BS45" i="9"/>
  <c r="BU45" i="9"/>
  <c r="CH11" i="9"/>
  <c r="CD12" i="9" s="1"/>
  <c r="CH114" i="9" l="1"/>
  <c r="CF115" i="9" s="1"/>
  <c r="AG69" i="10"/>
  <c r="O26" i="10" s="1"/>
  <c r="O27" i="10" s="1"/>
  <c r="G25" i="10" s="1"/>
  <c r="G26" i="10" s="1"/>
  <c r="AK69" i="10"/>
  <c r="CH79" i="9"/>
  <c r="CF80" i="9" s="1"/>
  <c r="CD115" i="9"/>
  <c r="AJ102" i="10"/>
  <c r="AE103" i="10" s="1"/>
  <c r="AF103" i="10" s="1"/>
  <c r="CF12" i="9"/>
  <c r="CH12" i="9" s="1"/>
  <c r="CD13" i="9" s="1"/>
  <c r="AK33" i="10"/>
  <c r="AF33" i="10"/>
  <c r="AG33" i="10"/>
  <c r="AH33" i="10" s="1"/>
  <c r="AI33" i="10" s="1"/>
  <c r="AC34" i="10" s="1"/>
  <c r="AN57" i="9"/>
  <c r="AL58" i="9" s="1"/>
  <c r="BS12" i="9"/>
  <c r="BW12" i="9" s="1"/>
  <c r="BU13" i="9" s="1"/>
  <c r="CA11" i="9"/>
  <c r="AJ12" i="9"/>
  <c r="AR12" i="9" s="1"/>
  <c r="BU80" i="9"/>
  <c r="CA80" i="9" s="1"/>
  <c r="BW114" i="9"/>
  <c r="BU115" i="9" s="1"/>
  <c r="CL45" i="9"/>
  <c r="CH45" i="9"/>
  <c r="CA45" i="9"/>
  <c r="BW45" i="9"/>
  <c r="AH69" i="10" l="1"/>
  <c r="AI69" i="10" s="1"/>
  <c r="CD80" i="9"/>
  <c r="CL80" i="9" s="1"/>
  <c r="CL12" i="9"/>
  <c r="CH115" i="9"/>
  <c r="CF116" i="9" s="1"/>
  <c r="CL115" i="9"/>
  <c r="AG103" i="10"/>
  <c r="AH103" i="10" s="1"/>
  <c r="AI103" i="10" s="1"/>
  <c r="AC104" i="10" s="1"/>
  <c r="AD104" i="10" s="1"/>
  <c r="AK103" i="10"/>
  <c r="AJ33" i="10"/>
  <c r="AE34" i="10" s="1"/>
  <c r="AG34" i="10" s="1"/>
  <c r="AD34" i="10"/>
  <c r="AJ58" i="9"/>
  <c r="AR58" i="9" s="1"/>
  <c r="CA12" i="9"/>
  <c r="BS13" i="9"/>
  <c r="CA13" i="9" s="1"/>
  <c r="AN12" i="9"/>
  <c r="AL13" i="9" s="1"/>
  <c r="BW80" i="9"/>
  <c r="BS81" i="9" s="1"/>
  <c r="BS115" i="9"/>
  <c r="CA115" i="9" s="1"/>
  <c r="CD46" i="9"/>
  <c r="CF46" i="9"/>
  <c r="CF13" i="9"/>
  <c r="CL13" i="9" s="1"/>
  <c r="BS46" i="9"/>
  <c r="BU46" i="9"/>
  <c r="CD116" i="9" l="1"/>
  <c r="CL116" i="9" s="1"/>
  <c r="AJ69" i="10"/>
  <c r="CH80" i="9"/>
  <c r="CF81" i="9" s="1"/>
  <c r="AJ103" i="10"/>
  <c r="AE104" i="10" s="1"/>
  <c r="AK104" i="10" s="1"/>
  <c r="S26" i="10"/>
  <c r="S27" i="10" s="1"/>
  <c r="G32" i="10" s="1"/>
  <c r="G33" i="10" s="1"/>
  <c r="AH34" i="10"/>
  <c r="AI34" i="10" s="1"/>
  <c r="AK34" i="10"/>
  <c r="AF34" i="10"/>
  <c r="AN58" i="9"/>
  <c r="AL59" i="9" s="1"/>
  <c r="BW13" i="9"/>
  <c r="BS14" i="9" s="1"/>
  <c r="AJ13" i="9"/>
  <c r="AN13" i="9" s="1"/>
  <c r="AJ14" i="9" s="1"/>
  <c r="CD81" i="9"/>
  <c r="BU81" i="9"/>
  <c r="CA81" i="9" s="1"/>
  <c r="BW115" i="9"/>
  <c r="BU116" i="9" s="1"/>
  <c r="CL46" i="9"/>
  <c r="CH13" i="9"/>
  <c r="CF14" i="9" s="1"/>
  <c r="CH46" i="9"/>
  <c r="BW46" i="9"/>
  <c r="CA46" i="9"/>
  <c r="CH116" i="9" l="1"/>
  <c r="CF117" i="9" s="1"/>
  <c r="CD117" i="9"/>
  <c r="AG104" i="10"/>
  <c r="W26" i="10" s="1"/>
  <c r="W27" i="10" s="1"/>
  <c r="G45" i="10" s="1"/>
  <c r="G46" i="10" s="1"/>
  <c r="K6" i="10" s="1"/>
  <c r="AF104" i="10"/>
  <c r="AJ34" i="10"/>
  <c r="AJ59" i="9"/>
  <c r="AR59" i="9" s="1"/>
  <c r="BU14" i="9"/>
  <c r="BW14" i="9" s="1"/>
  <c r="BS15" i="9" s="1"/>
  <c r="AR13" i="9"/>
  <c r="AL14" i="9"/>
  <c r="AN14" i="9" s="1"/>
  <c r="AL15" i="9" s="1"/>
  <c r="CL81" i="9"/>
  <c r="CH81" i="9"/>
  <c r="BW81" i="9"/>
  <c r="BS82" i="9" s="1"/>
  <c r="CD14" i="9"/>
  <c r="CL14" i="9" s="1"/>
  <c r="BS116" i="9"/>
  <c r="BW116" i="9" s="1"/>
  <c r="BU117" i="9" s="1"/>
  <c r="CF47" i="9"/>
  <c r="CD47" i="9"/>
  <c r="BS47" i="9"/>
  <c r="BU47" i="9"/>
  <c r="CH117" i="9" l="1"/>
  <c r="CD118" i="9" s="1"/>
  <c r="CL117" i="9"/>
  <c r="AH104" i="10"/>
  <c r="AI104" i="10" s="1"/>
  <c r="K11" i="10"/>
  <c r="K17" i="10" s="1"/>
  <c r="K37" i="10" s="1"/>
  <c r="K21" i="10"/>
  <c r="K20" i="10"/>
  <c r="K7" i="10"/>
  <c r="AN59" i="9"/>
  <c r="AL60" i="9" s="1"/>
  <c r="CA14" i="9"/>
  <c r="BU15" i="9"/>
  <c r="CA15" i="9" s="1"/>
  <c r="AR14" i="9"/>
  <c r="AJ15" i="9"/>
  <c r="AR15" i="9" s="1"/>
  <c r="BU82" i="9"/>
  <c r="CA82" i="9" s="1"/>
  <c r="CH14" i="9"/>
  <c r="CF15" i="9" s="1"/>
  <c r="CF82" i="9"/>
  <c r="CD82" i="9"/>
  <c r="CA116" i="9"/>
  <c r="BS117" i="9"/>
  <c r="BW117" i="9" s="1"/>
  <c r="BS118" i="9" s="1"/>
  <c r="CH47" i="9"/>
  <c r="CF48" i="9" s="1"/>
  <c r="CL47" i="9"/>
  <c r="BW47" i="9"/>
  <c r="CA47" i="9"/>
  <c r="CF118" i="9" l="1"/>
  <c r="CH118" i="9" s="1"/>
  <c r="CF119" i="9" s="1"/>
  <c r="AJ104" i="10"/>
  <c r="K45" i="10"/>
  <c r="K38" i="10"/>
  <c r="K41" i="10" s="1"/>
  <c r="K32" i="10"/>
  <c r="AS4" i="10" s="1"/>
  <c r="K46" i="10"/>
  <c r="AJ60" i="9"/>
  <c r="AN60" i="9" s="1"/>
  <c r="AJ61" i="9" s="1"/>
  <c r="BW15" i="9"/>
  <c r="BU16" i="9" s="1"/>
  <c r="AN15" i="9"/>
  <c r="AL16" i="9" s="1"/>
  <c r="CD15" i="9"/>
  <c r="CL15" i="9" s="1"/>
  <c r="BW82" i="9"/>
  <c r="BU83" i="9" s="1"/>
  <c r="CH82" i="9"/>
  <c r="CF83" i="9" s="1"/>
  <c r="CL82" i="9"/>
  <c r="CD48" i="9"/>
  <c r="CL48" i="9" s="1"/>
  <c r="BU118" i="9"/>
  <c r="BW118" i="9" s="1"/>
  <c r="CA117" i="9"/>
  <c r="BS48" i="9"/>
  <c r="BU48" i="9"/>
  <c r="CL118" i="9" l="1"/>
  <c r="CD119" i="9"/>
  <c r="CH119" i="9" s="1"/>
  <c r="K49" i="10"/>
  <c r="AO4" i="10"/>
  <c r="K33" i="10"/>
  <c r="AQ4" i="10"/>
  <c r="AR60" i="9"/>
  <c r="CD83" i="9"/>
  <c r="CH83" i="9" s="1"/>
  <c r="CD84" i="9" s="1"/>
  <c r="BS83" i="9"/>
  <c r="CA83" i="9" s="1"/>
  <c r="BS16" i="9"/>
  <c r="CA16" i="9" s="1"/>
  <c r="AJ16" i="9"/>
  <c r="AR16" i="9" s="1"/>
  <c r="CH15" i="9"/>
  <c r="CF16" i="9" s="1"/>
  <c r="CH48" i="9"/>
  <c r="CF49" i="9" s="1"/>
  <c r="CA118" i="9"/>
  <c r="AL61" i="9"/>
  <c r="AR61" i="9" s="1"/>
  <c r="BU119" i="9"/>
  <c r="BS119" i="9"/>
  <c r="CA48" i="9"/>
  <c r="BW48" i="9"/>
  <c r="CL119" i="9" l="1"/>
  <c r="CD120" i="9"/>
  <c r="CF120" i="9"/>
  <c r="CL83" i="9"/>
  <c r="CF84" i="9"/>
  <c r="CL84" i="9" s="1"/>
  <c r="BW83" i="9"/>
  <c r="BU84" i="9" s="1"/>
  <c r="CD16" i="9"/>
  <c r="CH16" i="9" s="1"/>
  <c r="CD17" i="9" s="1"/>
  <c r="BW16" i="9"/>
  <c r="BU17" i="9" s="1"/>
  <c r="AN16" i="9"/>
  <c r="AJ17" i="9" s="1"/>
  <c r="CD49" i="9"/>
  <c r="CH49" i="9" s="1"/>
  <c r="AN61" i="9"/>
  <c r="AJ62" i="9" s="1"/>
  <c r="BW119" i="9"/>
  <c r="BS120" i="9" s="1"/>
  <c r="CA119" i="9"/>
  <c r="BU49" i="9"/>
  <c r="BS49" i="9"/>
  <c r="CL120" i="9" l="1"/>
  <c r="CH120" i="9"/>
  <c r="AL17" i="9"/>
  <c r="AR17" i="9" s="1"/>
  <c r="BS17" i="9"/>
  <c r="CA17" i="9" s="1"/>
  <c r="BS84" i="9"/>
  <c r="BW84" i="9" s="1"/>
  <c r="CH84" i="9"/>
  <c r="CF85" i="9" s="1"/>
  <c r="CL16" i="9"/>
  <c r="AL62" i="9"/>
  <c r="AR62" i="9" s="1"/>
  <c r="CL49" i="9"/>
  <c r="CF17" i="9"/>
  <c r="CH17" i="9" s="1"/>
  <c r="CD18" i="9" s="1"/>
  <c r="BU120" i="9"/>
  <c r="CA120" i="9" s="1"/>
  <c r="CD50" i="9"/>
  <c r="CF50" i="9"/>
  <c r="BW49" i="9"/>
  <c r="BS50" i="9" s="1"/>
  <c r="CA49" i="9"/>
  <c r="CD121" i="9" l="1"/>
  <c r="CF121" i="9"/>
  <c r="CD85" i="9"/>
  <c r="CH85" i="9" s="1"/>
  <c r="CD86" i="9" s="1"/>
  <c r="AN17" i="9"/>
  <c r="AJ18" i="9" s="1"/>
  <c r="BW17" i="9"/>
  <c r="BU18" i="9" s="1"/>
  <c r="CA84" i="9"/>
  <c r="AN62" i="9"/>
  <c r="AJ63" i="9" s="1"/>
  <c r="CL17" i="9"/>
  <c r="BW120" i="9"/>
  <c r="BU121" i="9" s="1"/>
  <c r="CL50" i="9"/>
  <c r="CH50" i="9"/>
  <c r="CF18" i="9"/>
  <c r="CL18" i="9" s="1"/>
  <c r="BU50" i="9"/>
  <c r="BW50" i="9" s="1"/>
  <c r="BU85" i="9"/>
  <c r="BS85" i="9"/>
  <c r="CH121" i="9" l="1"/>
  <c r="CL121" i="9"/>
  <c r="BS18" i="9"/>
  <c r="BW18" i="9" s="1"/>
  <c r="BS19" i="9" s="1"/>
  <c r="CL85" i="9"/>
  <c r="AL18" i="9"/>
  <c r="AN18" i="9" s="1"/>
  <c r="AL63" i="9"/>
  <c r="AR63" i="9" s="1"/>
  <c r="CF86" i="9"/>
  <c r="CL86" i="9" s="1"/>
  <c r="BS121" i="9"/>
  <c r="BW121" i="9" s="1"/>
  <c r="CA50" i="9"/>
  <c r="CF51" i="9"/>
  <c r="CD51" i="9"/>
  <c r="CH18" i="9"/>
  <c r="CF19" i="9" s="1"/>
  <c r="BW85" i="9"/>
  <c r="BU86" i="9" s="1"/>
  <c r="CA85" i="9"/>
  <c r="BS51" i="9"/>
  <c r="BU51" i="9"/>
  <c r="CD122" i="9" l="1"/>
  <c r="CF122" i="9"/>
  <c r="BU19" i="9"/>
  <c r="CA19" i="9" s="1"/>
  <c r="CA18" i="9"/>
  <c r="AR18" i="9"/>
  <c r="AJ19" i="9"/>
  <c r="AL19" i="9"/>
  <c r="BS86" i="9"/>
  <c r="BW86" i="9" s="1"/>
  <c r="AN63" i="9"/>
  <c r="AL64" i="9" s="1"/>
  <c r="CH86" i="9"/>
  <c r="CF87" i="9" s="1"/>
  <c r="CA121" i="9"/>
  <c r="CD19" i="9"/>
  <c r="CH19" i="9" s="1"/>
  <c r="CF20" i="9" s="1"/>
  <c r="CH51" i="9"/>
  <c r="CL51" i="9"/>
  <c r="BU122" i="9"/>
  <c r="BS122" i="9"/>
  <c r="CA51" i="9"/>
  <c r="BW51" i="9"/>
  <c r="CH122" i="9" l="1"/>
  <c r="CL122" i="9"/>
  <c r="BW19" i="9"/>
  <c r="BS20" i="9" s="1"/>
  <c r="AJ64" i="9"/>
  <c r="AN64" i="9" s="1"/>
  <c r="AJ65" i="9" s="1"/>
  <c r="AN19" i="9"/>
  <c r="AL20" i="9" s="1"/>
  <c r="AR19" i="9"/>
  <c r="CA86" i="9"/>
  <c r="CD87" i="9"/>
  <c r="CL87" i="9" s="1"/>
  <c r="CL19" i="9"/>
  <c r="CF52" i="9"/>
  <c r="CD52" i="9"/>
  <c r="CA122" i="9"/>
  <c r="BW122" i="9"/>
  <c r="BS87" i="9"/>
  <c r="BU87" i="9"/>
  <c r="BU52" i="9"/>
  <c r="BS52" i="9"/>
  <c r="CD20" i="9"/>
  <c r="CL20" i="9" s="1"/>
  <c r="BU20" i="9" l="1"/>
  <c r="CA20" i="9" s="1"/>
  <c r="CF123" i="9"/>
  <c r="CD123" i="9"/>
  <c r="AR64" i="9"/>
  <c r="AJ20" i="9"/>
  <c r="AR20" i="9" s="1"/>
  <c r="CH87" i="9"/>
  <c r="AL65" i="9"/>
  <c r="AN65" i="9" s="1"/>
  <c r="CH52" i="9"/>
  <c r="CF53" i="9" s="1"/>
  <c r="CL52" i="9"/>
  <c r="BU123" i="9"/>
  <c r="BS123" i="9"/>
  <c r="BW52" i="9"/>
  <c r="BU53" i="9" s="1"/>
  <c r="BW87" i="9"/>
  <c r="CA87" i="9"/>
  <c r="CA52" i="9"/>
  <c r="CH20" i="9"/>
  <c r="CD21" i="9" s="1"/>
  <c r="BW20" i="9" l="1"/>
  <c r="BS21" i="9" s="1"/>
  <c r="CH123" i="9"/>
  <c r="CD124" i="9" s="1"/>
  <c r="CL123" i="9"/>
  <c r="AN20" i="9"/>
  <c r="AL21" i="9" s="1"/>
  <c r="CD53" i="9"/>
  <c r="CL53" i="9" s="1"/>
  <c r="CD88" i="9"/>
  <c r="CF88" i="9"/>
  <c r="AR65" i="9"/>
  <c r="AJ66" i="9"/>
  <c r="AL66" i="9"/>
  <c r="BS53" i="9"/>
  <c r="BW53" i="9" s="1"/>
  <c r="BU54" i="9" s="1"/>
  <c r="CA123" i="9"/>
  <c r="BW123" i="9"/>
  <c r="BS88" i="9"/>
  <c r="BU88" i="9"/>
  <c r="CF21" i="9"/>
  <c r="CL21" i="9" s="1"/>
  <c r="BU21" i="9" l="1"/>
  <c r="BW21" i="9" s="1"/>
  <c r="BU22" i="9" s="1"/>
  <c r="CF124" i="9"/>
  <c r="CH124" i="9" s="1"/>
  <c r="AJ21" i="9"/>
  <c r="AR21" i="9" s="1"/>
  <c r="CH53" i="9"/>
  <c r="CD54" i="9" s="1"/>
  <c r="CL88" i="9"/>
  <c r="CH88" i="9"/>
  <c r="AR66" i="9"/>
  <c r="AN66" i="9"/>
  <c r="CA88" i="9"/>
  <c r="BS54" i="9"/>
  <c r="CA54" i="9" s="1"/>
  <c r="CA53" i="9"/>
  <c r="BS124" i="9"/>
  <c r="BU124" i="9"/>
  <c r="BW88" i="9"/>
  <c r="CH21" i="9"/>
  <c r="CD22" i="9" s="1"/>
  <c r="CA21" i="9" l="1"/>
  <c r="CL124" i="9"/>
  <c r="CD125" i="9"/>
  <c r="CF125" i="9"/>
  <c r="AN21" i="9"/>
  <c r="AL22" i="9" s="1"/>
  <c r="CF54" i="9"/>
  <c r="CH54" i="9" s="1"/>
  <c r="CD55" i="9" s="1"/>
  <c r="CD89" i="9"/>
  <c r="CF89" i="9"/>
  <c r="BS22" i="9"/>
  <c r="BW22" i="9" s="1"/>
  <c r="AL67" i="9"/>
  <c r="AJ67" i="9"/>
  <c r="BW54" i="9"/>
  <c r="BU55" i="9" s="1"/>
  <c r="CF22" i="9"/>
  <c r="CH22" i="9" s="1"/>
  <c r="CD23" i="9" s="1"/>
  <c r="CA124" i="9"/>
  <c r="BW124" i="9"/>
  <c r="BS89" i="9"/>
  <c r="BU89" i="9"/>
  <c r="CH125" i="9" l="1"/>
  <c r="CL125" i="9"/>
  <c r="AJ22" i="9"/>
  <c r="AR22" i="9" s="1"/>
  <c r="CL54" i="9"/>
  <c r="CL89" i="9"/>
  <c r="CH89" i="9"/>
  <c r="CA22" i="9"/>
  <c r="CF55" i="9"/>
  <c r="CL55" i="9" s="1"/>
  <c r="BS23" i="9"/>
  <c r="BU23" i="9"/>
  <c r="AN67" i="9"/>
  <c r="AL68" i="9" s="1"/>
  <c r="AR67" i="9"/>
  <c r="BS55" i="9"/>
  <c r="CA55" i="9" s="1"/>
  <c r="CL22" i="9"/>
  <c r="CF23" i="9"/>
  <c r="CH23" i="9" s="1"/>
  <c r="CD24" i="9" s="1"/>
  <c r="BU125" i="9"/>
  <c r="BS125" i="9"/>
  <c r="CA89" i="9"/>
  <c r="BW89" i="9"/>
  <c r="CF126" i="9" l="1"/>
  <c r="CD126" i="9"/>
  <c r="AN22" i="9"/>
  <c r="AJ23" i="9" s="1"/>
  <c r="CD90" i="9"/>
  <c r="CF90" i="9"/>
  <c r="AJ68" i="9"/>
  <c r="AN68" i="9" s="1"/>
  <c r="AL69" i="9" s="1"/>
  <c r="CH55" i="9"/>
  <c r="CD56" i="9" s="1"/>
  <c r="CA23" i="9"/>
  <c r="BW23" i="9"/>
  <c r="BS24" i="9" s="1"/>
  <c r="BW55" i="9"/>
  <c r="BS56" i="9" s="1"/>
  <c r="BW125" i="9"/>
  <c r="BU126" i="9" s="1"/>
  <c r="CL23" i="9"/>
  <c r="CA125" i="9"/>
  <c r="CF24" i="9"/>
  <c r="CL24" i="9" s="1"/>
  <c r="BS90" i="9"/>
  <c r="BU90" i="9"/>
  <c r="CL126" i="9" l="1"/>
  <c r="CH126" i="9"/>
  <c r="AL23" i="9"/>
  <c r="AR23" i="9" s="1"/>
  <c r="CL90" i="9"/>
  <c r="CH90" i="9"/>
  <c r="AR68" i="9"/>
  <c r="CF56" i="9"/>
  <c r="CH56" i="9" s="1"/>
  <c r="CF57" i="9" s="1"/>
  <c r="AJ69" i="9"/>
  <c r="AN69" i="9" s="1"/>
  <c r="AJ70" i="9" s="1"/>
  <c r="BU24" i="9"/>
  <c r="CA24" i="9" s="1"/>
  <c r="BU56" i="9"/>
  <c r="CA56" i="9" s="1"/>
  <c r="BS126" i="9"/>
  <c r="CA126" i="9" s="1"/>
  <c r="CH24" i="9"/>
  <c r="CD25" i="9" s="1"/>
  <c r="BW90" i="9"/>
  <c r="CA90" i="9"/>
  <c r="CD127" i="9" l="1"/>
  <c r="CF127" i="9"/>
  <c r="AN23" i="9"/>
  <c r="AL24" i="9" s="1"/>
  <c r="CF91" i="9"/>
  <c r="CD91" i="9"/>
  <c r="CL56" i="9"/>
  <c r="AR69" i="9"/>
  <c r="CD57" i="9"/>
  <c r="CH57" i="9" s="1"/>
  <c r="CD58" i="9" s="1"/>
  <c r="AL70" i="9"/>
  <c r="AN70" i="9" s="1"/>
  <c r="BW24" i="9"/>
  <c r="BU25" i="9" s="1"/>
  <c r="BW56" i="9"/>
  <c r="BS57" i="9" s="1"/>
  <c r="BW126" i="9"/>
  <c r="BU127" i="9" s="1"/>
  <c r="CF25" i="9"/>
  <c r="CL25" i="9" s="1"/>
  <c r="BS91" i="9"/>
  <c r="BU91" i="9"/>
  <c r="CL127" i="9" l="1"/>
  <c r="CH127" i="9"/>
  <c r="AJ24" i="9"/>
  <c r="AN24" i="9" s="1"/>
  <c r="CH91" i="9"/>
  <c r="CD92" i="9" s="1"/>
  <c r="CL91" i="9"/>
  <c r="CL57" i="9"/>
  <c r="BS25" i="9"/>
  <c r="CA25" i="9" s="1"/>
  <c r="AR70" i="9"/>
  <c r="CF58" i="9"/>
  <c r="CL58" i="9" s="1"/>
  <c r="BU57" i="9"/>
  <c r="BW57" i="9" s="1"/>
  <c r="BS58" i="9" s="1"/>
  <c r="BS127" i="9"/>
  <c r="CA127" i="9" s="1"/>
  <c r="AL71" i="9"/>
  <c r="AJ71" i="9"/>
  <c r="CH25" i="9"/>
  <c r="CD26" i="9" s="1"/>
  <c r="CA91" i="9"/>
  <c r="BW91" i="9"/>
  <c r="CF128" i="9" l="1"/>
  <c r="CD128" i="9"/>
  <c r="AR24" i="9"/>
  <c r="CF92" i="9"/>
  <c r="CL92" i="9" s="1"/>
  <c r="CH58" i="9"/>
  <c r="CF59" i="9" s="1"/>
  <c r="BW25" i="9"/>
  <c r="BS26" i="9" s="1"/>
  <c r="AJ25" i="9"/>
  <c r="AL25" i="9"/>
  <c r="CA57" i="9"/>
  <c r="BU58" i="9"/>
  <c r="BW58" i="9" s="1"/>
  <c r="BU59" i="9" s="1"/>
  <c r="BW127" i="9"/>
  <c r="BS128" i="9" s="1"/>
  <c r="AN71" i="9"/>
  <c r="AR71" i="9"/>
  <c r="CF26" i="9"/>
  <c r="CL26" i="9" s="1"/>
  <c r="BS92" i="9"/>
  <c r="BU92" i="9"/>
  <c r="CL128" i="9" l="1"/>
  <c r="CH128" i="9"/>
  <c r="CH92" i="9"/>
  <c r="CD59" i="9"/>
  <c r="CH59" i="9" s="1"/>
  <c r="CD60" i="9" s="1"/>
  <c r="BU26" i="9"/>
  <c r="CA26" i="9" s="1"/>
  <c r="AN25" i="9"/>
  <c r="AR25" i="9"/>
  <c r="BS59" i="9"/>
  <c r="CA59" i="9" s="1"/>
  <c r="CA58" i="9"/>
  <c r="BU128" i="9"/>
  <c r="BW128" i="9" s="1"/>
  <c r="AL72" i="9"/>
  <c r="AJ72" i="9"/>
  <c r="CH26" i="9"/>
  <c r="CA92" i="9"/>
  <c r="BW92" i="9"/>
  <c r="CD129" i="9" l="1"/>
  <c r="CF129" i="9"/>
  <c r="CD93" i="9"/>
  <c r="CF93" i="9"/>
  <c r="CL59" i="9"/>
  <c r="CF60" i="9"/>
  <c r="CL60" i="9" s="1"/>
  <c r="BW26" i="9"/>
  <c r="BW59" i="9"/>
  <c r="BS60" i="9" s="1"/>
  <c r="AL26" i="9"/>
  <c r="AJ26" i="9"/>
  <c r="CA128" i="9"/>
  <c r="AN72" i="9"/>
  <c r="AL73" i="9" s="1"/>
  <c r="AR72" i="9"/>
  <c r="CD27" i="9"/>
  <c r="CF27" i="9"/>
  <c r="BU129" i="9"/>
  <c r="BS129" i="9"/>
  <c r="BU93" i="9"/>
  <c r="BS93" i="9"/>
  <c r="CH129" i="9" l="1"/>
  <c r="CL129" i="9"/>
  <c r="BU60" i="9"/>
  <c r="CA60" i="9" s="1"/>
  <c r="CL93" i="9"/>
  <c r="CH93" i="9"/>
  <c r="CH60" i="9"/>
  <c r="CF61" i="9" s="1"/>
  <c r="AJ73" i="9"/>
  <c r="AN73" i="9" s="1"/>
  <c r="AL74" i="9" s="1"/>
  <c r="BU27" i="9"/>
  <c r="BS27" i="9"/>
  <c r="AN26" i="9"/>
  <c r="AJ27" i="9" s="1"/>
  <c r="AR26" i="9"/>
  <c r="BW129" i="9"/>
  <c r="BS130" i="9" s="1"/>
  <c r="CL27" i="9"/>
  <c r="CH27" i="9"/>
  <c r="CA129" i="9"/>
  <c r="BW93" i="9"/>
  <c r="BU94" i="9" s="1"/>
  <c r="CA93" i="9"/>
  <c r="CD130" i="9" l="1"/>
  <c r="CF130" i="9"/>
  <c r="BW60" i="9"/>
  <c r="BU61" i="9" s="1"/>
  <c r="AL27" i="9"/>
  <c r="AN27" i="9" s="1"/>
  <c r="AJ28" i="9" s="1"/>
  <c r="CD94" i="9"/>
  <c r="CF94" i="9"/>
  <c r="CD61" i="9"/>
  <c r="CL61" i="9" s="1"/>
  <c r="AR73" i="9"/>
  <c r="BW27" i="9"/>
  <c r="BU28" i="9" s="1"/>
  <c r="CA27" i="9"/>
  <c r="AJ74" i="9"/>
  <c r="AR74" i="9" s="1"/>
  <c r="BU130" i="9"/>
  <c r="CA130" i="9" s="1"/>
  <c r="CF28" i="9"/>
  <c r="CD28" i="9"/>
  <c r="BS94" i="9"/>
  <c r="BW94" i="9" s="1"/>
  <c r="CL130" i="9" l="1"/>
  <c r="CH130" i="9"/>
  <c r="BS61" i="9"/>
  <c r="CA61" i="9" s="1"/>
  <c r="AR27" i="9"/>
  <c r="CL94" i="9"/>
  <c r="CH94" i="9"/>
  <c r="AL28" i="9"/>
  <c r="AR28" i="9" s="1"/>
  <c r="CH61" i="9"/>
  <c r="CF62" i="9" s="1"/>
  <c r="BS28" i="9"/>
  <c r="CA28" i="9" s="1"/>
  <c r="AN74" i="9"/>
  <c r="AJ75" i="9" s="1"/>
  <c r="BW130" i="9"/>
  <c r="BU131" i="9" s="1"/>
  <c r="CH28" i="9"/>
  <c r="CL28" i="9"/>
  <c r="CA94" i="9"/>
  <c r="BU95" i="9"/>
  <c r="BS95" i="9"/>
  <c r="CD131" i="9" l="1"/>
  <c r="CF131" i="9"/>
  <c r="BW61" i="9"/>
  <c r="BS62" i="9" s="1"/>
  <c r="CF95" i="9"/>
  <c r="CD95" i="9"/>
  <c r="CD62" i="9"/>
  <c r="CL62" i="9" s="1"/>
  <c r="AN28" i="9"/>
  <c r="AJ29" i="9" s="1"/>
  <c r="BW28" i="9"/>
  <c r="BU29" i="9" s="1"/>
  <c r="AL75" i="9"/>
  <c r="AR75" i="9" s="1"/>
  <c r="BS131" i="9"/>
  <c r="BW131" i="9" s="1"/>
  <c r="CD29" i="9"/>
  <c r="CF29" i="9"/>
  <c r="CA95" i="9"/>
  <c r="BW95" i="9"/>
  <c r="BS96" i="9" s="1"/>
  <c r="CL131" i="9" l="1"/>
  <c r="CH131" i="9"/>
  <c r="BU62" i="9"/>
  <c r="BW62" i="9" s="1"/>
  <c r="BS63" i="9" s="1"/>
  <c r="AL29" i="9"/>
  <c r="AR29" i="9" s="1"/>
  <c r="CH62" i="9"/>
  <c r="CD63" i="9" s="1"/>
  <c r="CH95" i="9"/>
  <c r="CL95" i="9"/>
  <c r="BS29" i="9"/>
  <c r="CA29" i="9" s="1"/>
  <c r="AN75" i="9"/>
  <c r="CA131" i="9"/>
  <c r="BU96" i="9"/>
  <c r="CA96" i="9" s="1"/>
  <c r="CL29" i="9"/>
  <c r="CH29" i="9"/>
  <c r="BS132" i="9"/>
  <c r="BU132" i="9"/>
  <c r="CF132" i="9" l="1"/>
  <c r="CD132" i="9"/>
  <c r="CA62" i="9"/>
  <c r="AN29" i="9"/>
  <c r="AL30" i="9" s="1"/>
  <c r="CF63" i="9"/>
  <c r="CL63" i="9" s="1"/>
  <c r="CF96" i="9"/>
  <c r="CD96" i="9"/>
  <c r="BW29" i="9"/>
  <c r="BU30" i="9" s="1"/>
  <c r="AJ76" i="9"/>
  <c r="AL76" i="9"/>
  <c r="BW96" i="9"/>
  <c r="BU97" i="9" s="1"/>
  <c r="BU63" i="9"/>
  <c r="CA63" i="9" s="1"/>
  <c r="CF30" i="9"/>
  <c r="CD30" i="9"/>
  <c r="CA132" i="9"/>
  <c r="BW132" i="9"/>
  <c r="CH132" i="9" l="1"/>
  <c r="CF133" i="9" s="1"/>
  <c r="CL132" i="9"/>
  <c r="AJ30" i="9"/>
  <c r="AN30" i="9" s="1"/>
  <c r="AL31" i="9" s="1"/>
  <c r="CH63" i="9"/>
  <c r="CD64" i="9" s="1"/>
  <c r="CH96" i="9"/>
  <c r="CF97" i="9" s="1"/>
  <c r="CL96" i="9"/>
  <c r="BS30" i="9"/>
  <c r="CA30" i="9" s="1"/>
  <c r="AR76" i="9"/>
  <c r="BS97" i="9"/>
  <c r="CA97" i="9" s="1"/>
  <c r="AN76" i="9"/>
  <c r="BW63" i="9"/>
  <c r="BS64" i="9" s="1"/>
  <c r="CH30" i="9"/>
  <c r="CF31" i="9" s="1"/>
  <c r="CL30" i="9"/>
  <c r="BS133" i="9"/>
  <c r="BU133" i="9"/>
  <c r="CD133" i="9" l="1"/>
  <c r="CH133" i="9" s="1"/>
  <c r="CF134" i="9" s="1"/>
  <c r="AR30" i="9"/>
  <c r="CF64" i="9"/>
  <c r="CL64" i="9" s="1"/>
  <c r="CD97" i="9"/>
  <c r="CL97" i="9" s="1"/>
  <c r="BW30" i="9"/>
  <c r="BU31" i="9" s="1"/>
  <c r="BW97" i="9"/>
  <c r="BU98" i="9" s="1"/>
  <c r="AL77" i="9"/>
  <c r="AJ77" i="9"/>
  <c r="AJ31" i="9"/>
  <c r="AR31" i="9" s="1"/>
  <c r="BU64" i="9"/>
  <c r="BW64" i="9" s="1"/>
  <c r="BS65" i="9" s="1"/>
  <c r="CD31" i="9"/>
  <c r="CL31" i="9" s="1"/>
  <c r="CA133" i="9"/>
  <c r="BW133" i="9"/>
  <c r="CL133" i="9" l="1"/>
  <c r="CD134" i="9"/>
  <c r="CL134" i="9" s="1"/>
  <c r="CH64" i="9"/>
  <c r="CF65" i="9" s="1"/>
  <c r="CH97" i="9"/>
  <c r="CF98" i="9" s="1"/>
  <c r="BS31" i="9"/>
  <c r="BW31" i="9" s="1"/>
  <c r="BU32" i="9" s="1"/>
  <c r="BS98" i="9"/>
  <c r="BW98" i="9" s="1"/>
  <c r="BS99" i="9" s="1"/>
  <c r="AN77" i="9"/>
  <c r="AJ78" i="9" s="1"/>
  <c r="AR77" i="9"/>
  <c r="CA64" i="9"/>
  <c r="AN31" i="9"/>
  <c r="AL32" i="9" s="1"/>
  <c r="CH31" i="9"/>
  <c r="CF32" i="9" s="1"/>
  <c r="BU65" i="9"/>
  <c r="CA65" i="9" s="1"/>
  <c r="BS134" i="9"/>
  <c r="BU134" i="9"/>
  <c r="CH134" i="9" l="1"/>
  <c r="CD135" i="9" s="1"/>
  <c r="CD65" i="9"/>
  <c r="CL65" i="9" s="1"/>
  <c r="CD98" i="9"/>
  <c r="CH98" i="9" s="1"/>
  <c r="CF99" i="9" s="1"/>
  <c r="AL78" i="9"/>
  <c r="AR78" i="9" s="1"/>
  <c r="CA98" i="9"/>
  <c r="CA31" i="9"/>
  <c r="BS32" i="9"/>
  <c r="CA32" i="9" s="1"/>
  <c r="AJ32" i="9"/>
  <c r="AN32" i="9" s="1"/>
  <c r="CD32" i="9"/>
  <c r="CH32" i="9" s="1"/>
  <c r="BU99" i="9"/>
  <c r="BW99" i="9" s="1"/>
  <c r="BS100" i="9" s="1"/>
  <c r="BW65" i="9"/>
  <c r="BU66" i="9" s="1"/>
  <c r="CA134" i="9"/>
  <c r="BW134" i="9"/>
  <c r="CF135" i="9" l="1"/>
  <c r="CL135" i="9" s="1"/>
  <c r="CH65" i="9"/>
  <c r="CF66" i="9" s="1"/>
  <c r="CD99" i="9"/>
  <c r="CL99" i="9" s="1"/>
  <c r="CL98" i="9"/>
  <c r="AN78" i="9"/>
  <c r="AJ79" i="9" s="1"/>
  <c r="AR32" i="9"/>
  <c r="BW32" i="9"/>
  <c r="BU33" i="9" s="1"/>
  <c r="CL32" i="9"/>
  <c r="CA99" i="9"/>
  <c r="AJ33" i="9"/>
  <c r="AL33" i="9"/>
  <c r="BU100" i="9"/>
  <c r="CA100" i="9" s="1"/>
  <c r="BS66" i="9"/>
  <c r="BW66" i="9" s="1"/>
  <c r="BS67" i="9" s="1"/>
  <c r="CD33" i="9"/>
  <c r="CF33" i="9"/>
  <c r="BS135" i="9"/>
  <c r="BU135" i="9"/>
  <c r="CH135" i="9" l="1"/>
  <c r="CF136" i="9" s="1"/>
  <c r="CD66" i="9"/>
  <c r="CH66" i="9" s="1"/>
  <c r="CH99" i="9"/>
  <c r="CD100" i="9" s="1"/>
  <c r="AL79" i="9"/>
  <c r="AR79" i="9" s="1"/>
  <c r="BS33" i="9"/>
  <c r="BW33" i="9" s="1"/>
  <c r="BU34" i="9" s="1"/>
  <c r="AR33" i="9"/>
  <c r="AN33" i="9"/>
  <c r="BW100" i="9"/>
  <c r="BU101" i="9" s="1"/>
  <c r="BU67" i="9"/>
  <c r="CA67" i="9" s="1"/>
  <c r="CA66" i="9"/>
  <c r="CL33" i="9"/>
  <c r="CH33" i="9"/>
  <c r="CA135" i="9"/>
  <c r="BW135" i="9"/>
  <c r="CD136" i="9" l="1"/>
  <c r="CH136" i="9" s="1"/>
  <c r="BO61" i="9" s="1"/>
  <c r="BO63" i="9" s="1"/>
  <c r="BO64" i="9" s="1"/>
  <c r="CL66" i="9"/>
  <c r="CD67" i="9"/>
  <c r="CF67" i="9"/>
  <c r="BS101" i="9"/>
  <c r="CA101" i="9" s="1"/>
  <c r="CF100" i="9"/>
  <c r="CL100" i="9" s="1"/>
  <c r="AN79" i="9"/>
  <c r="C6" i="9" s="1"/>
  <c r="BS34" i="9"/>
  <c r="BW34" i="9" s="1"/>
  <c r="BK4" i="9" s="1"/>
  <c r="CA33" i="9"/>
  <c r="AL34" i="9"/>
  <c r="AJ34" i="9"/>
  <c r="BW67" i="9"/>
  <c r="BU68" i="9" s="1"/>
  <c r="CF34" i="9"/>
  <c r="CD34" i="9"/>
  <c r="BS136" i="9"/>
  <c r="BU136" i="9"/>
  <c r="G12" i="9" l="1"/>
  <c r="CL136" i="9"/>
  <c r="BO66" i="9"/>
  <c r="BO67" i="9"/>
  <c r="BO70" i="9"/>
  <c r="BO69" i="9"/>
  <c r="CL67" i="9"/>
  <c r="CH67" i="9"/>
  <c r="CD68" i="9" s="1"/>
  <c r="BW101" i="9"/>
  <c r="BS102" i="9" s="1"/>
  <c r="CH100" i="9"/>
  <c r="CD101" i="9" s="1"/>
  <c r="CA34" i="9"/>
  <c r="BK10" i="9"/>
  <c r="BK9" i="9"/>
  <c r="BK6" i="9"/>
  <c r="BK7" i="9" s="1"/>
  <c r="BK13" i="9" s="1"/>
  <c r="BS68" i="9"/>
  <c r="BW68" i="9" s="1"/>
  <c r="BK23" i="9" s="1"/>
  <c r="BK29" i="9" s="1"/>
  <c r="AN34" i="9"/>
  <c r="AJ35" i="9" s="1"/>
  <c r="AR34" i="9"/>
  <c r="CL34" i="9"/>
  <c r="CH34" i="9"/>
  <c r="BO4" i="9" s="1"/>
  <c r="CA136" i="9"/>
  <c r="BW136" i="9"/>
  <c r="BK61" i="9" s="1"/>
  <c r="Q40" i="9" l="1"/>
  <c r="S40" i="9" s="1"/>
  <c r="G13" i="9"/>
  <c r="BO68" i="9"/>
  <c r="BO71" i="9"/>
  <c r="BO72" i="9"/>
  <c r="CF68" i="9"/>
  <c r="CL68" i="9" s="1"/>
  <c r="BU102" i="9"/>
  <c r="BW102" i="9" s="1"/>
  <c r="BK42" i="9" s="1"/>
  <c r="BK48" i="9" s="1"/>
  <c r="CF101" i="9"/>
  <c r="CL101" i="9" s="1"/>
  <c r="BK12" i="9"/>
  <c r="BK15" i="9" s="1"/>
  <c r="BK11" i="9"/>
  <c r="CA68" i="9"/>
  <c r="AL35" i="9"/>
  <c r="AN35" i="9" s="1"/>
  <c r="AJ36" i="9" s="1"/>
  <c r="BK28" i="9"/>
  <c r="BK30" i="9" s="1"/>
  <c r="BK25" i="9"/>
  <c r="BK26" i="9" s="1"/>
  <c r="BK32" i="9" s="1"/>
  <c r="BO6" i="9"/>
  <c r="BO7" i="9" s="1"/>
  <c r="BO13" i="9" s="1"/>
  <c r="BO9" i="9"/>
  <c r="BO10" i="9"/>
  <c r="BK67" i="9"/>
  <c r="BK66" i="9"/>
  <c r="BK63" i="9"/>
  <c r="BK64" i="9" s="1"/>
  <c r="BK70" i="9" s="1"/>
  <c r="CH68" i="9" l="1"/>
  <c r="BO23" i="9" s="1"/>
  <c r="BO28" i="9" s="1"/>
  <c r="CA102" i="9"/>
  <c r="CH101" i="9"/>
  <c r="CD102" i="9" s="1"/>
  <c r="BK44" i="9"/>
  <c r="BK45" i="9" s="1"/>
  <c r="BK51" i="9" s="1"/>
  <c r="BK47" i="9"/>
  <c r="BK49" i="9" s="1"/>
  <c r="BK17" i="9"/>
  <c r="BK19" i="9" s="1"/>
  <c r="BK14" i="9"/>
  <c r="BK16" i="9" s="1"/>
  <c r="BK18" i="9" s="1"/>
  <c r="BC5" i="9" s="1"/>
  <c r="AR35" i="9"/>
  <c r="AL36" i="9"/>
  <c r="AN36" i="9" s="1"/>
  <c r="AJ37" i="9" s="1"/>
  <c r="BK31" i="9"/>
  <c r="BK33" i="9" s="1"/>
  <c r="BK35" i="9" s="1"/>
  <c r="BK37" i="9" s="1"/>
  <c r="BC14" i="9" s="1"/>
  <c r="BK69" i="9"/>
  <c r="BO12" i="9"/>
  <c r="BO11" i="9"/>
  <c r="BK68" i="9"/>
  <c r="BO29" i="9" l="1"/>
  <c r="BO30" i="9" s="1"/>
  <c r="BO25" i="9"/>
  <c r="BO26" i="9" s="1"/>
  <c r="BO32" i="9" s="1"/>
  <c r="CF102" i="9"/>
  <c r="CL102" i="9" s="1"/>
  <c r="BK50" i="9"/>
  <c r="BK53" i="9" s="1"/>
  <c r="BK55" i="9" s="1"/>
  <c r="BK57" i="9" s="1"/>
  <c r="AL37" i="9"/>
  <c r="AR37" i="9" s="1"/>
  <c r="AR36" i="9"/>
  <c r="BK34" i="9"/>
  <c r="BK36" i="9" s="1"/>
  <c r="BK38" i="9" s="1"/>
  <c r="BO74" i="9"/>
  <c r="BO76" i="9" s="1"/>
  <c r="BO73" i="9"/>
  <c r="BO75" i="9" s="1"/>
  <c r="BO15" i="9"/>
  <c r="BO17" i="9" s="1"/>
  <c r="BO19" i="9" s="1"/>
  <c r="BO14" i="9"/>
  <c r="BO16" i="9" s="1"/>
  <c r="BO18" i="9" s="1"/>
  <c r="BG5" i="9" s="1"/>
  <c r="BK72" i="9"/>
  <c r="BK74" i="9" s="1"/>
  <c r="BK76" i="9" s="1"/>
  <c r="BK71" i="9"/>
  <c r="BK73" i="9" s="1"/>
  <c r="BK75" i="9" s="1"/>
  <c r="BO31" i="9" l="1"/>
  <c r="BO33" i="9" s="1"/>
  <c r="BO35" i="9" s="1"/>
  <c r="BO37" i="9" s="1"/>
  <c r="BG14" i="9" s="1"/>
  <c r="CH102" i="9"/>
  <c r="BO42" i="9" s="1"/>
  <c r="BO47" i="9" s="1"/>
  <c r="BK52" i="9"/>
  <c r="BK54" i="9" s="1"/>
  <c r="BK56" i="9" s="1"/>
  <c r="BC23" i="9" s="1"/>
  <c r="AN37" i="9"/>
  <c r="AL38" i="9" s="1"/>
  <c r="BG32" i="9"/>
  <c r="BC32" i="9"/>
  <c r="BO34" i="9" l="1"/>
  <c r="BO36" i="9" s="1"/>
  <c r="BO38" i="9" s="1"/>
  <c r="BO44" i="9"/>
  <c r="BO45" i="9" s="1"/>
  <c r="BO50" i="9" s="1"/>
  <c r="BO48" i="9"/>
  <c r="BO49" i="9" s="1"/>
  <c r="AJ38" i="9"/>
  <c r="AN38" i="9" s="1"/>
  <c r="AL39" i="9" s="1"/>
  <c r="BO51" i="9" l="1"/>
  <c r="BO52" i="9" s="1"/>
  <c r="BO54" i="9" s="1"/>
  <c r="BO56" i="9" s="1"/>
  <c r="BG23" i="9" s="1"/>
  <c r="AR38" i="9"/>
  <c r="AJ39" i="9"/>
  <c r="AN39" i="9" s="1"/>
  <c r="AL40" i="9" s="1"/>
  <c r="BO53" i="9" l="1"/>
  <c r="BO55" i="9" s="1"/>
  <c r="BO57" i="9" s="1"/>
  <c r="AR39" i="9"/>
  <c r="AJ40" i="9"/>
  <c r="AN40" i="9" s="1"/>
  <c r="AR40" i="9" l="1"/>
  <c r="AL41" i="9"/>
  <c r="AJ41" i="9"/>
  <c r="AN41" i="9" l="1"/>
  <c r="AJ42" i="9" s="1"/>
  <c r="AR41" i="9"/>
  <c r="AL42" i="9" l="1"/>
  <c r="AR42" i="9" s="1"/>
  <c r="AN42" i="9" l="1"/>
  <c r="AJ43" i="9" s="1"/>
  <c r="AU4" i="9"/>
  <c r="AY6" i="9" s="1"/>
  <c r="AY7" i="9" s="1"/>
  <c r="AL43" i="9" l="1"/>
  <c r="AY5" i="9"/>
  <c r="BO77" i="9" l="1"/>
  <c r="CI106" i="9" s="1"/>
  <c r="BK20" i="9"/>
  <c r="AN43" i="9"/>
  <c r="AR43" i="9"/>
  <c r="BG33" i="9"/>
  <c r="BG34" i="9" s="1"/>
  <c r="BG37" i="9" s="1"/>
  <c r="BC15" i="9"/>
  <c r="BC16" i="9" s="1"/>
  <c r="BK39" i="9"/>
  <c r="BC24" i="9"/>
  <c r="BC25" i="9" s="1"/>
  <c r="BK58" i="9"/>
  <c r="BG24" i="9"/>
  <c r="BG25" i="9" s="1"/>
  <c r="BC6" i="9"/>
  <c r="BC7" i="9" s="1"/>
  <c r="BO58" i="9"/>
  <c r="CE72" i="9" s="1"/>
  <c r="BC33" i="9"/>
  <c r="BC34" i="9" s="1"/>
  <c r="BK77" i="9"/>
  <c r="BG6" i="9"/>
  <c r="BG7" i="9" s="1"/>
  <c r="BO20" i="9"/>
  <c r="BG15" i="9"/>
  <c r="BG16" i="9" s="1"/>
  <c r="BO39" i="9"/>
  <c r="BC36" i="9" l="1"/>
  <c r="BC37" i="9"/>
  <c r="BG27" i="9"/>
  <c r="BG28" i="9"/>
  <c r="BC27" i="9"/>
  <c r="BC28" i="9"/>
  <c r="BG18" i="9"/>
  <c r="BG19" i="9"/>
  <c r="BC18" i="9"/>
  <c r="BC19" i="9"/>
  <c r="BG9" i="9"/>
  <c r="BG10" i="9"/>
  <c r="BC9" i="9"/>
  <c r="BC10" i="9"/>
  <c r="AJ44" i="9"/>
  <c r="AL44" i="9"/>
  <c r="BG36" i="9"/>
  <c r="BG35" i="9"/>
  <c r="CE106" i="9"/>
  <c r="CG106" i="9"/>
  <c r="AY29" i="9"/>
  <c r="BT106" i="9"/>
  <c r="BX106" i="9"/>
  <c r="BV106" i="9"/>
  <c r="BG8" i="9"/>
  <c r="AY28" i="9"/>
  <c r="CG72" i="9"/>
  <c r="CI72" i="9"/>
  <c r="BC26" i="9"/>
  <c r="BC35" i="9"/>
  <c r="BC8" i="9"/>
  <c r="BX38" i="9"/>
  <c r="BT38" i="9"/>
  <c r="BV38" i="9"/>
  <c r="AY25" i="9"/>
  <c r="AY24" i="9"/>
  <c r="CI4" i="9"/>
  <c r="CE4" i="9"/>
  <c r="CG4" i="9"/>
  <c r="BX4" i="9"/>
  <c r="BT4" i="9"/>
  <c r="BV4" i="9"/>
  <c r="AY23" i="9"/>
  <c r="BG26" i="9"/>
  <c r="BT72" i="9"/>
  <c r="BV72" i="9"/>
  <c r="AY27" i="9"/>
  <c r="BX72" i="9"/>
  <c r="CI38" i="9"/>
  <c r="CG38" i="9"/>
  <c r="CE38" i="9"/>
  <c r="AY26" i="9"/>
  <c r="BG17" i="9"/>
  <c r="BC17" i="9"/>
  <c r="AY10" i="9" l="1"/>
  <c r="AY15" i="9" s="1"/>
  <c r="AY11" i="9"/>
  <c r="AY12" i="9" s="1"/>
  <c r="AR44" i="9"/>
  <c r="AN44" i="9"/>
  <c r="C5" i="9" s="1"/>
  <c r="AY30" i="9"/>
  <c r="S5" i="9" l="1"/>
  <c r="K18" i="9"/>
  <c r="K19" i="9"/>
  <c r="O5" i="9"/>
  <c r="O6" i="9" s="1"/>
  <c r="AY16" i="9"/>
  <c r="Q41" i="9" s="1"/>
  <c r="S41" i="9" s="1"/>
  <c r="G18" i="9"/>
  <c r="AY18" i="9"/>
  <c r="AY19" i="9" s="1"/>
  <c r="G15" i="9"/>
  <c r="AY17" i="9"/>
  <c r="Q44" i="9" l="1"/>
  <c r="S44" i="9" s="1"/>
  <c r="K24" i="9"/>
  <c r="K23" i="9"/>
  <c r="K26" i="9"/>
  <c r="K25" i="9"/>
  <c r="G55" i="9"/>
  <c r="K22" i="9"/>
  <c r="G14" i="9"/>
  <c r="K12" i="9"/>
  <c r="Q42" i="9" s="1"/>
  <c r="S6" i="9"/>
  <c r="S8" i="9" s="1"/>
  <c r="Q46" i="9" s="1"/>
  <c r="G54" i="9"/>
  <c r="K39" i="9"/>
  <c r="AY20" i="9"/>
  <c r="S9" i="9" l="1"/>
  <c r="S10" i="9" s="1"/>
  <c r="O8" i="9"/>
  <c r="O11" i="9" s="1"/>
  <c r="S11" i="9"/>
  <c r="Q33" i="9"/>
  <c r="Q32" i="9"/>
  <c r="S42" i="9"/>
  <c r="Q38" i="9"/>
  <c r="S38" i="9" s="1"/>
  <c r="K34" i="9"/>
  <c r="G16" i="9"/>
  <c r="AO49" i="9" s="1"/>
  <c r="K35" i="9"/>
  <c r="K42" i="9"/>
  <c r="K43" i="9"/>
  <c r="S33" i="9" l="1"/>
  <c r="S14" i="9"/>
  <c r="S19" i="9" s="1"/>
  <c r="Q47" i="9"/>
  <c r="S47" i="9" s="1"/>
  <c r="Q45" i="9"/>
  <c r="S45" i="9" s="1"/>
  <c r="O9" i="9"/>
  <c r="O10" i="9" s="1"/>
  <c r="O14" i="9" s="1"/>
  <c r="O19" i="9" s="1"/>
  <c r="S46" i="9"/>
  <c r="S32" i="9"/>
  <c r="AM49" i="9"/>
  <c r="AK49" i="9"/>
  <c r="G17" i="9"/>
  <c r="K14" i="9" l="1"/>
  <c r="S15" i="9"/>
  <c r="S18" i="9" s="1"/>
  <c r="S20" i="9" s="1"/>
  <c r="S23" i="9" s="1"/>
  <c r="O15" i="9"/>
  <c r="O18" i="9" s="1"/>
  <c r="O20" i="9" s="1"/>
  <c r="K15" i="9" l="1"/>
  <c r="S26" i="9"/>
  <c r="S28" i="9" s="1"/>
  <c r="G40" i="9"/>
  <c r="G41" i="9" s="1"/>
  <c r="S21" i="9"/>
  <c r="Z4" i="9" s="1"/>
  <c r="O23" i="9"/>
  <c r="AB4" i="9" l="1"/>
  <c r="AD4" i="9"/>
  <c r="G30" i="9"/>
  <c r="G31" i="9" s="1"/>
  <c r="O21" i="9"/>
  <c r="AB39" i="9" s="1"/>
  <c r="AF4" i="9" l="1"/>
  <c r="AA5" i="9" s="1"/>
  <c r="AB5" i="9" s="1"/>
  <c r="AE4" i="9"/>
  <c r="Y5" i="9" s="1"/>
  <c r="Z5" i="9" s="1"/>
  <c r="AD39" i="9"/>
  <c r="AF39" i="9" s="1"/>
  <c r="AA40" i="9" s="1"/>
  <c r="Z39" i="9"/>
  <c r="O26" i="9"/>
  <c r="O28" i="9" s="1"/>
  <c r="AC5" i="9" l="1"/>
  <c r="AD5" i="9" s="1"/>
  <c r="AE5" i="9" s="1"/>
  <c r="Y6" i="9" s="1"/>
  <c r="Z6" i="9" s="1"/>
  <c r="AG5" i="9"/>
  <c r="AE39" i="9"/>
  <c r="Y40" i="9" s="1"/>
  <c r="Z40" i="9" s="1"/>
  <c r="AB40" i="9"/>
  <c r="AF5" i="9" l="1"/>
  <c r="AA6" i="9" s="1"/>
  <c r="AB6" i="9" s="1"/>
  <c r="AG40" i="9"/>
  <c r="AC40" i="9"/>
  <c r="AD40" i="9" s="1"/>
  <c r="AE40" i="9" s="1"/>
  <c r="Y41" i="9" s="1"/>
  <c r="Z41" i="9" s="1"/>
  <c r="AC6" i="9" l="1"/>
  <c r="AD6" i="9" s="1"/>
  <c r="AE6" i="9" s="1"/>
  <c r="Y7" i="9" s="1"/>
  <c r="Z7" i="9" s="1"/>
  <c r="AG6" i="9"/>
  <c r="AF40" i="9"/>
  <c r="AA41" i="9" s="1"/>
  <c r="AB41" i="9" s="1"/>
  <c r="AF6" i="9" l="1"/>
  <c r="AA7" i="9" s="1"/>
  <c r="AB7" i="9" s="1"/>
  <c r="AC41" i="9"/>
  <c r="AD41" i="9" s="1"/>
  <c r="AE41" i="9" s="1"/>
  <c r="Y42" i="9" s="1"/>
  <c r="Z42" i="9" s="1"/>
  <c r="AG41" i="9"/>
  <c r="AC7" i="9" l="1"/>
  <c r="AD7" i="9" s="1"/>
  <c r="AE7" i="9" s="1"/>
  <c r="Y8" i="9" s="1"/>
  <c r="Z8" i="9" s="1"/>
  <c r="AG7" i="9"/>
  <c r="AF41" i="9"/>
  <c r="AA42" i="9" s="1"/>
  <c r="AC42" i="9" s="1"/>
  <c r="AD42" i="9" s="1"/>
  <c r="AE42" i="9" s="1"/>
  <c r="Y43" i="9" s="1"/>
  <c r="Z43" i="9" s="1"/>
  <c r="AF7" i="9" l="1"/>
  <c r="AA8" i="9" s="1"/>
  <c r="AB8" i="9" s="1"/>
  <c r="AG42" i="9"/>
  <c r="AB42" i="9"/>
  <c r="AF42" i="9" s="1"/>
  <c r="AA43" i="9" s="1"/>
  <c r="AG43" i="9" s="1"/>
  <c r="AG8" i="9" l="1"/>
  <c r="AC8" i="9"/>
  <c r="AD8" i="9" s="1"/>
  <c r="AE8" i="9" s="1"/>
  <c r="Y9" i="9" s="1"/>
  <c r="Z9" i="9" s="1"/>
  <c r="AB43" i="9"/>
  <c r="AC43" i="9"/>
  <c r="AD43" i="9" s="1"/>
  <c r="AE43" i="9" s="1"/>
  <c r="Y44" i="9" s="1"/>
  <c r="Z44" i="9" s="1"/>
  <c r="AF8" i="9" l="1"/>
  <c r="AA9" i="9" s="1"/>
  <c r="AB9" i="9" s="1"/>
  <c r="AF43" i="9"/>
  <c r="AA44" i="9" s="1"/>
  <c r="AB44" i="9" s="1"/>
  <c r="AC9" i="9" l="1"/>
  <c r="AD9" i="9" s="1"/>
  <c r="AE9" i="9" s="1"/>
  <c r="Y10" i="9" s="1"/>
  <c r="Z10" i="9" s="1"/>
  <c r="AG9" i="9"/>
  <c r="AC44" i="9"/>
  <c r="AD44" i="9" s="1"/>
  <c r="AE44" i="9" s="1"/>
  <c r="Y45" i="9" s="1"/>
  <c r="Z45" i="9" s="1"/>
  <c r="AG44" i="9"/>
  <c r="AF9" i="9" l="1"/>
  <c r="AA10" i="9" s="1"/>
  <c r="AB10" i="9" s="1"/>
  <c r="AF44" i="9"/>
  <c r="AA45" i="9" s="1"/>
  <c r="AG45" i="9" s="1"/>
  <c r="AC10" i="9" l="1"/>
  <c r="AD10" i="9" s="1"/>
  <c r="AE10" i="9" s="1"/>
  <c r="Y11" i="9" s="1"/>
  <c r="Z11" i="9" s="1"/>
  <c r="AG10" i="9"/>
  <c r="AC45" i="9"/>
  <c r="AD45" i="9" s="1"/>
  <c r="AE45" i="9" s="1"/>
  <c r="Y46" i="9" s="1"/>
  <c r="Z46" i="9" s="1"/>
  <c r="AB45" i="9"/>
  <c r="AF10" i="9" l="1"/>
  <c r="AA11" i="9" s="1"/>
  <c r="AB11" i="9" s="1"/>
  <c r="AF45" i="9"/>
  <c r="AA46" i="9" s="1"/>
  <c r="AC46" i="9" s="1"/>
  <c r="AD46" i="9" s="1"/>
  <c r="AE46" i="9" s="1"/>
  <c r="Y47" i="9" s="1"/>
  <c r="Z47" i="9" s="1"/>
  <c r="AC11" i="9" l="1"/>
  <c r="AD11" i="9" s="1"/>
  <c r="AE11" i="9" s="1"/>
  <c r="Y12" i="9" s="1"/>
  <c r="Z12" i="9" s="1"/>
  <c r="AG11" i="9"/>
  <c r="AB46" i="9"/>
  <c r="AF46" i="9" s="1"/>
  <c r="AA47" i="9" s="1"/>
  <c r="AG47" i="9" s="1"/>
  <c r="AG46" i="9"/>
  <c r="AF11" i="9" l="1"/>
  <c r="AA12" i="9" s="1"/>
  <c r="AB12" i="9" s="1"/>
  <c r="AB47" i="9"/>
  <c r="AC47" i="9"/>
  <c r="AD47" i="9" s="1"/>
  <c r="AE47" i="9" s="1"/>
  <c r="Y48" i="9" s="1"/>
  <c r="Z48" i="9" s="1"/>
  <c r="AC12" i="9" l="1"/>
  <c r="AD12" i="9" s="1"/>
  <c r="AE12" i="9" s="1"/>
  <c r="Y13" i="9" s="1"/>
  <c r="Z13" i="9" s="1"/>
  <c r="AG12" i="9"/>
  <c r="AF47" i="9"/>
  <c r="AA48" i="9" s="1"/>
  <c r="AG48" i="9" s="1"/>
  <c r="AF12" i="9" l="1"/>
  <c r="AA13" i="9" s="1"/>
  <c r="AB13" i="9" s="1"/>
  <c r="AB48" i="9"/>
  <c r="AC48" i="9"/>
  <c r="AD48" i="9" s="1"/>
  <c r="AE48" i="9" s="1"/>
  <c r="Y49" i="9" s="1"/>
  <c r="Z49" i="9" s="1"/>
  <c r="AC13" i="9" l="1"/>
  <c r="AD13" i="9" s="1"/>
  <c r="AE13" i="9" s="1"/>
  <c r="Y14" i="9" s="1"/>
  <c r="Z14" i="9" s="1"/>
  <c r="AG13" i="9"/>
  <c r="AF48" i="9"/>
  <c r="AA49" i="9" s="1"/>
  <c r="AC49" i="9" s="1"/>
  <c r="AD49" i="9" s="1"/>
  <c r="AE49" i="9" s="1"/>
  <c r="Y50" i="9" s="1"/>
  <c r="Z50" i="9" s="1"/>
  <c r="AF13" i="9" l="1"/>
  <c r="AA14" i="9" s="1"/>
  <c r="AB14" i="9" s="1"/>
  <c r="AB49" i="9"/>
  <c r="AF49" i="9" s="1"/>
  <c r="AA50" i="9" s="1"/>
  <c r="AC50" i="9" s="1"/>
  <c r="AD50" i="9" s="1"/>
  <c r="AE50" i="9" s="1"/>
  <c r="Y51" i="9" s="1"/>
  <c r="Z51" i="9" s="1"/>
  <c r="AG49" i="9"/>
  <c r="AC14" i="9" l="1"/>
  <c r="AD14" i="9" s="1"/>
  <c r="AE14" i="9" s="1"/>
  <c r="Y15" i="9" s="1"/>
  <c r="Z15" i="9" s="1"/>
  <c r="AG14" i="9"/>
  <c r="AG50" i="9"/>
  <c r="AB50" i="9"/>
  <c r="AF50" i="9" s="1"/>
  <c r="AA51" i="9" s="1"/>
  <c r="AB51" i="9" s="1"/>
  <c r="AF14" i="9" l="1"/>
  <c r="AA15" i="9" s="1"/>
  <c r="AB15" i="9" s="1"/>
  <c r="AG51" i="9"/>
  <c r="AC51" i="9"/>
  <c r="AD51" i="9" s="1"/>
  <c r="AE51" i="9" s="1"/>
  <c r="Y52" i="9" s="1"/>
  <c r="Z52" i="9" s="1"/>
  <c r="AC15" i="9" l="1"/>
  <c r="AD15" i="9" s="1"/>
  <c r="AE15" i="9" s="1"/>
  <c r="Y16" i="9" s="1"/>
  <c r="Z16" i="9" s="1"/>
  <c r="AG15" i="9"/>
  <c r="AF51" i="9"/>
  <c r="AA52" i="9" s="1"/>
  <c r="AB52" i="9" s="1"/>
  <c r="AF15" i="9" l="1"/>
  <c r="AA16" i="9" s="1"/>
  <c r="AB16" i="9" s="1"/>
  <c r="AG52" i="9"/>
  <c r="AC52" i="9"/>
  <c r="AD52" i="9" s="1"/>
  <c r="AE52" i="9" s="1"/>
  <c r="Y53" i="9" s="1"/>
  <c r="Z53" i="9" s="1"/>
  <c r="AC16" i="9" l="1"/>
  <c r="AD16" i="9" s="1"/>
  <c r="AE16" i="9" s="1"/>
  <c r="Y17" i="9" s="1"/>
  <c r="Z17" i="9" s="1"/>
  <c r="AG16" i="9"/>
  <c r="AF52" i="9"/>
  <c r="AA53" i="9" s="1"/>
  <c r="AB53" i="9" s="1"/>
  <c r="AF16" i="9" l="1"/>
  <c r="AA17" i="9" s="1"/>
  <c r="AC17" i="9" s="1"/>
  <c r="AD17" i="9" s="1"/>
  <c r="AE17" i="9" s="1"/>
  <c r="Y18" i="9" s="1"/>
  <c r="Z18" i="9" s="1"/>
  <c r="AG53" i="9"/>
  <c r="AC53" i="9"/>
  <c r="AD53" i="9" s="1"/>
  <c r="AE53" i="9" s="1"/>
  <c r="Y54" i="9" s="1"/>
  <c r="Z54" i="9" s="1"/>
  <c r="AG17" i="9" l="1"/>
  <c r="AB17" i="9"/>
  <c r="AF17" i="9" s="1"/>
  <c r="AA18" i="9" s="1"/>
  <c r="AB18" i="9" s="1"/>
  <c r="AF53" i="9"/>
  <c r="AA54" i="9" s="1"/>
  <c r="AG54" i="9" s="1"/>
  <c r="AC18" i="9" l="1"/>
  <c r="AD18" i="9" s="1"/>
  <c r="AE18" i="9" s="1"/>
  <c r="Y19" i="9" s="1"/>
  <c r="Z19" i="9" s="1"/>
  <c r="AG18" i="9"/>
  <c r="AC54" i="9"/>
  <c r="AD54" i="9" s="1"/>
  <c r="AE54" i="9" s="1"/>
  <c r="Y55" i="9" s="1"/>
  <c r="Z55" i="9" s="1"/>
  <c r="AB54" i="9"/>
  <c r="AF18" i="9" l="1"/>
  <c r="AA19" i="9" s="1"/>
  <c r="AB19" i="9" s="1"/>
  <c r="AF54" i="9"/>
  <c r="AA55" i="9" s="1"/>
  <c r="AC55" i="9" s="1"/>
  <c r="AD55" i="9" s="1"/>
  <c r="AE55" i="9" s="1"/>
  <c r="Y56" i="9" s="1"/>
  <c r="Z56" i="9" s="1"/>
  <c r="AG19" i="9" l="1"/>
  <c r="AC19" i="9"/>
  <c r="AD19" i="9" s="1"/>
  <c r="AE19" i="9" s="1"/>
  <c r="Y20" i="9" s="1"/>
  <c r="Z20" i="9" s="1"/>
  <c r="AG55" i="9"/>
  <c r="AB55" i="9"/>
  <c r="AF55" i="9" s="1"/>
  <c r="AA56" i="9" s="1"/>
  <c r="AB56" i="9" s="1"/>
  <c r="AF19" i="9" l="1"/>
  <c r="AA20" i="9" s="1"/>
  <c r="AC20" i="9" s="1"/>
  <c r="AC56" i="9"/>
  <c r="AD56" i="9" s="1"/>
  <c r="AE56" i="9" s="1"/>
  <c r="Y57" i="9" s="1"/>
  <c r="Z57" i="9" s="1"/>
  <c r="AG56" i="9"/>
  <c r="AG20" i="9" l="1"/>
  <c r="AB20" i="9"/>
  <c r="AD20" i="9"/>
  <c r="AF56" i="9"/>
  <c r="AA57" i="9" s="1"/>
  <c r="AB57" i="9" s="1"/>
  <c r="AF20" i="9" l="1"/>
  <c r="AA21" i="9" s="1"/>
  <c r="AB21" i="9" s="1"/>
  <c r="AE20" i="9"/>
  <c r="Y21" i="9" s="1"/>
  <c r="AG57" i="9"/>
  <c r="AC57" i="9"/>
  <c r="AD57" i="9" s="1"/>
  <c r="AE57" i="9" s="1"/>
  <c r="Y58" i="9" s="1"/>
  <c r="Z58" i="9" s="1"/>
  <c r="Z21" i="9" l="1"/>
  <c r="AC21" i="9"/>
  <c r="AG21" i="9"/>
  <c r="AF57" i="9"/>
  <c r="AA58" i="9" s="1"/>
  <c r="AC58" i="9" s="1"/>
  <c r="AD58" i="9" s="1"/>
  <c r="AE58" i="9" s="1"/>
  <c r="Y59" i="9" s="1"/>
  <c r="Z59" i="9" s="1"/>
  <c r="AD21" i="9" l="1"/>
  <c r="AF21" i="9" s="1"/>
  <c r="AA22" i="9" s="1"/>
  <c r="AB58" i="9"/>
  <c r="AF58" i="9" s="1"/>
  <c r="AA59" i="9" s="1"/>
  <c r="AC59" i="9" s="1"/>
  <c r="AD59" i="9" s="1"/>
  <c r="AE59" i="9" s="1"/>
  <c r="Y60" i="9" s="1"/>
  <c r="Z60" i="9" s="1"/>
  <c r="AG58" i="9"/>
  <c r="AB22" i="9" l="1"/>
  <c r="AE21" i="9"/>
  <c r="Y22" i="9" s="1"/>
  <c r="AG22" i="9" s="1"/>
  <c r="AB59" i="9"/>
  <c r="AF59" i="9" s="1"/>
  <c r="AA60" i="9" s="1"/>
  <c r="AB60" i="9" s="1"/>
  <c r="AG59" i="9"/>
  <c r="Z22" i="9" l="1"/>
  <c r="AC22" i="9"/>
  <c r="AC60" i="9"/>
  <c r="AD60" i="9" s="1"/>
  <c r="AE60" i="9" s="1"/>
  <c r="Y61" i="9" s="1"/>
  <c r="Z61" i="9" s="1"/>
  <c r="AG60" i="9"/>
  <c r="AD22" i="9" l="1"/>
  <c r="AF22" i="9" s="1"/>
  <c r="AA23" i="9" s="1"/>
  <c r="AF60" i="9"/>
  <c r="AA61" i="9" s="1"/>
  <c r="AC61" i="9" s="1"/>
  <c r="AD61" i="9" s="1"/>
  <c r="AE61" i="9" s="1"/>
  <c r="Y62" i="9" s="1"/>
  <c r="Z62" i="9" s="1"/>
  <c r="AB23" i="9" l="1"/>
  <c r="AE22" i="9"/>
  <c r="Y23" i="9" s="1"/>
  <c r="AG23" i="9" s="1"/>
  <c r="AB61" i="9"/>
  <c r="AF61" i="9" s="1"/>
  <c r="AA62" i="9" s="1"/>
  <c r="AG61" i="9"/>
  <c r="Z23" i="9" l="1"/>
  <c r="AC23" i="9"/>
  <c r="AB62" i="9"/>
  <c r="AC62" i="9"/>
  <c r="AD62" i="9" s="1"/>
  <c r="AE62" i="9" s="1"/>
  <c r="Y63" i="9" s="1"/>
  <c r="Z63" i="9" s="1"/>
  <c r="AG62" i="9"/>
  <c r="AD23" i="9" l="1"/>
  <c r="AF23" i="9" s="1"/>
  <c r="AA24" i="9" s="1"/>
  <c r="AF62" i="9"/>
  <c r="AA63" i="9" s="1"/>
  <c r="AB24" i="9" l="1"/>
  <c r="AE23" i="9"/>
  <c r="Y24" i="9" s="1"/>
  <c r="AB63" i="9"/>
  <c r="AG63" i="9"/>
  <c r="AC63" i="9"/>
  <c r="AD63" i="9" s="1"/>
  <c r="AE63" i="9" s="1"/>
  <c r="Y64" i="9" s="1"/>
  <c r="Z64" i="9" s="1"/>
  <c r="Z24" i="9" l="1"/>
  <c r="AC24" i="9"/>
  <c r="AG24" i="9"/>
  <c r="AF63" i="9"/>
  <c r="AA64" i="9" s="1"/>
  <c r="AD24" i="9" l="1"/>
  <c r="AF24" i="9" s="1"/>
  <c r="AA25" i="9" s="1"/>
  <c r="AB64" i="9"/>
  <c r="AC64" i="9"/>
  <c r="AD64" i="9" s="1"/>
  <c r="AE64" i="9" s="1"/>
  <c r="Y65" i="9" s="1"/>
  <c r="Z65" i="9" s="1"/>
  <c r="AG64" i="9"/>
  <c r="AB25" i="9" l="1"/>
  <c r="AE24" i="9"/>
  <c r="Y25" i="9" s="1"/>
  <c r="AG25" i="9" s="1"/>
  <c r="AF64" i="9"/>
  <c r="AA65" i="9" s="1"/>
  <c r="Z25" i="9" l="1"/>
  <c r="AC25" i="9"/>
  <c r="AG65" i="9"/>
  <c r="AB65" i="9"/>
  <c r="AC65" i="9"/>
  <c r="AD65" i="9" s="1"/>
  <c r="AE65" i="9" s="1"/>
  <c r="Y66" i="9" s="1"/>
  <c r="Z66" i="9" s="1"/>
  <c r="AD25" i="9" l="1"/>
  <c r="AF25" i="9" s="1"/>
  <c r="AA26" i="9" s="1"/>
  <c r="AF65" i="9"/>
  <c r="AA66" i="9" s="1"/>
  <c r="AB26" i="9" l="1"/>
  <c r="AE25" i="9"/>
  <c r="Y26" i="9" s="1"/>
  <c r="AG26" i="9" s="1"/>
  <c r="AB66" i="9"/>
  <c r="AG66" i="9"/>
  <c r="AC66" i="9"/>
  <c r="AD66" i="9" s="1"/>
  <c r="AE66" i="9" s="1"/>
  <c r="Y67" i="9" s="1"/>
  <c r="Z67" i="9" s="1"/>
  <c r="Z26" i="9" l="1"/>
  <c r="AC26" i="9"/>
  <c r="AF66" i="9"/>
  <c r="AA67" i="9" s="1"/>
  <c r="AD26" i="9" l="1"/>
  <c r="AF26" i="9" s="1"/>
  <c r="AA27" i="9" s="1"/>
  <c r="AB67" i="9"/>
  <c r="AG67" i="9"/>
  <c r="AC67" i="9"/>
  <c r="AD67" i="9" s="1"/>
  <c r="AB27" i="9" l="1"/>
  <c r="AE26" i="9"/>
  <c r="Y27" i="9" s="1"/>
  <c r="AF67" i="9"/>
  <c r="AA68" i="9" s="1"/>
  <c r="AE67" i="9"/>
  <c r="Y68" i="9" s="1"/>
  <c r="Z27" i="9" l="1"/>
  <c r="AC27" i="9"/>
  <c r="AG27" i="9"/>
  <c r="Z68" i="9"/>
  <c r="AC68" i="9"/>
  <c r="AD68" i="9" s="1"/>
  <c r="AB68" i="9"/>
  <c r="AG68" i="9"/>
  <c r="AD27" i="9" l="1"/>
  <c r="AF27" i="9" s="1"/>
  <c r="AA28" i="9" s="1"/>
  <c r="AE68" i="9"/>
  <c r="Y69" i="9" s="1"/>
  <c r="Z69" i="9" s="1"/>
  <c r="AF68" i="9"/>
  <c r="AA69" i="9" s="1"/>
  <c r="AB28" i="9" l="1"/>
  <c r="AE27" i="9"/>
  <c r="Y28" i="9" s="1"/>
  <c r="AG28" i="9" s="1"/>
  <c r="AC69" i="9"/>
  <c r="O24" i="9" s="1"/>
  <c r="O25" i="9" s="1"/>
  <c r="AG69" i="9"/>
  <c r="AB69" i="9"/>
  <c r="G35" i="9" l="1"/>
  <c r="Z28" i="9"/>
  <c r="AC28" i="9"/>
  <c r="AD69" i="9"/>
  <c r="AE69" i="9" s="1"/>
  <c r="AD28" i="9" l="1"/>
  <c r="AF28" i="9" s="1"/>
  <c r="AA29" i="9" s="1"/>
  <c r="G36" i="9"/>
  <c r="AF69" i="9"/>
  <c r="AB29" i="9" l="1"/>
  <c r="AE28" i="9"/>
  <c r="Y29" i="9" s="1"/>
  <c r="Z29" i="9" l="1"/>
  <c r="AC29" i="9"/>
  <c r="AG29" i="9"/>
  <c r="AD29" i="9" l="1"/>
  <c r="AF29" i="9" s="1"/>
  <c r="AA30" i="9" s="1"/>
  <c r="AB30" i="9" l="1"/>
  <c r="AE29" i="9"/>
  <c r="Y30" i="9" s="1"/>
  <c r="Z30" i="9" l="1"/>
  <c r="AC30" i="9"/>
  <c r="AG30" i="9"/>
  <c r="AD30" i="9" l="1"/>
  <c r="AF30" i="9" s="1"/>
  <c r="AA31" i="9" s="1"/>
  <c r="AB31" i="9" l="1"/>
  <c r="AE30" i="9"/>
  <c r="Y31" i="9" s="1"/>
  <c r="Z31" i="9" l="1"/>
  <c r="AC31" i="9"/>
  <c r="AG31" i="9"/>
  <c r="AD31" i="9" l="1"/>
  <c r="AF31" i="9" s="1"/>
  <c r="AA32" i="9" s="1"/>
  <c r="AB32" i="9" l="1"/>
  <c r="AE31" i="9"/>
  <c r="Y32" i="9" s="1"/>
  <c r="AG32" i="9" s="1"/>
  <c r="Z32" i="9" l="1"/>
  <c r="AC32" i="9"/>
  <c r="AD32" i="9" l="1"/>
  <c r="AF32" i="9" s="1"/>
  <c r="AA33" i="9" s="1"/>
  <c r="AB33" i="9" l="1"/>
  <c r="AE32" i="9"/>
  <c r="Y33" i="9" s="1"/>
  <c r="AG33" i="9" s="1"/>
  <c r="Z33" i="9" l="1"/>
  <c r="AC33" i="9"/>
  <c r="AD33" i="9" l="1"/>
  <c r="AF33" i="9" s="1"/>
  <c r="AA34" i="9" s="1"/>
  <c r="AB34" i="9" l="1"/>
  <c r="AE33" i="9"/>
  <c r="Y34" i="9" s="1"/>
  <c r="AG34" i="9" s="1"/>
  <c r="Z34" i="9" l="1"/>
  <c r="AC34" i="9"/>
  <c r="AD34" i="9" l="1"/>
  <c r="AF34" i="9" s="1"/>
  <c r="S24" i="9"/>
  <c r="S25" i="9" s="1"/>
  <c r="G42" i="9" s="1"/>
  <c r="G43" i="9" l="1"/>
  <c r="K4" i="9" s="1"/>
  <c r="G6" i="9" s="1"/>
  <c r="AE34" i="9"/>
  <c r="G48" i="9" l="1"/>
  <c r="Q37" i="9"/>
  <c r="S37" i="9" s="1"/>
  <c r="G59" i="9"/>
  <c r="Q39" i="9"/>
  <c r="S39" i="9" s="1"/>
  <c r="G23" i="9"/>
  <c r="K5" i="9"/>
  <c r="K17" i="9"/>
  <c r="K16" i="9"/>
  <c r="K8" i="9" l="1"/>
  <c r="K13" i="9" s="1"/>
  <c r="K40" i="9" s="1"/>
  <c r="K41" i="9"/>
  <c r="K33" i="9"/>
  <c r="K27" i="9" l="1"/>
  <c r="AK4" i="9" s="1"/>
  <c r="Q34" i="9"/>
  <c r="K32" i="9"/>
  <c r="K36" i="9" s="1"/>
  <c r="Q36" i="9"/>
  <c r="S36" i="9" s="1"/>
  <c r="K44" i="9"/>
  <c r="S34" i="9" l="1"/>
  <c r="Q35" i="9"/>
  <c r="S35" i="9" s="1"/>
  <c r="AM4" i="9"/>
  <c r="AO4" i="9"/>
  <c r="K28" i="9"/>
</calcChain>
</file>

<file path=xl/sharedStrings.xml><?xml version="1.0" encoding="utf-8"?>
<sst xmlns="http://schemas.openxmlformats.org/spreadsheetml/2006/main" count="1726" uniqueCount="329">
  <si>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</si>
  <si>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</si>
  <si>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</si>
  <si>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</si>
  <si>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</si>
  <si>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</si>
  <si>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</si>
  <si>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</si>
  <si>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</si>
  <si>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</si>
  <si>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</si>
  <si>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</si>
  <si>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</si>
  <si>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</si>
  <si>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</si>
  <si>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</si>
  <si>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</si>
  <si>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</si>
  <si>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</si>
  <si>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</si>
  <si>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</si>
  <si>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</si>
  <si>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</si>
  <si>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</si>
  <si>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</si>
  <si>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</si>
  <si>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</si>
  <si>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</si>
  <si>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</si>
  <si>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</si>
  <si>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</si>
  <si>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</si>
  <si>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</si>
  <si>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</si>
  <si>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</si>
  <si>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</si>
  <si>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</si>
  <si>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</si>
  <si>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</si>
  <si>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</si>
  <si>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</si>
  <si>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</si>
  <si>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</si>
  <si>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</si>
  <si>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</si>
  <si>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</si>
  <si>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</si>
  <si>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</si>
  <si>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</si>
  <si>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</si>
  <si>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</si>
  <si>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</si>
  <si>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</si>
  <si>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</si>
  <si>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</si>
  <si>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</si>
  <si>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</si>
  <si>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</si>
  <si>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</si>
  <si>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</si>
  <si>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</si>
  <si>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</si>
  <si>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</si>
  <si>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</si>
  <si>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</si>
  <si>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</si>
  <si>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</si>
  <si>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</si>
  <si>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</si>
  <si>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</si>
  <si>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</si>
  <si>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</si>
  <si>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</si>
  <si>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</si>
  <si>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</si>
  <si>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</si>
  <si>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</si>
  <si>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</si>
  <si>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</si>
  <si>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</si>
  <si>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</si>
  <si>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technology_factor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</si>
  <si>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</si>
  <si>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</si>
  <si>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</si>
  <si>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</si>
  <si>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</si>
  <si>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</si>
  <si>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</si>
  <si>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</si>
  <si>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</si>
  <si>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</si>
  <si>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</si>
  <si>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</si>
  <si>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</si>
  <si>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</si>
  <si>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</si>
  <si>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</si>
  <si>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</si>
  <si>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</si>
  <si>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</si>
  <si>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</si>
  <si>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</si>
  <si>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</si>
  <si>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</si>
  <si>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</si>
  <si>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</si>
  <si>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</si>
  <si>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Aerodynamics in climb</t>
  </si>
  <si>
    <t>Bisection method for solving RotorInflow lambda in cruise</t>
  </si>
  <si>
    <t>Bisection method for solving RotorInflow lambda in climb</t>
  </si>
  <si>
    <t>N_lift_rotor</t>
  </si>
  <si>
    <t>r_lift_rotor</t>
  </si>
  <si>
    <t>Aerodynamics in descent</t>
  </si>
  <si>
    <t>Bisection method for solving RotorInflow lambda in descent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</si>
  <si>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</si>
  <si>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</si>
  <si>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</si>
  <si>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</si>
  <si>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</si>
  <si>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</si>
  <si>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</si>
  <si>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</si>
  <si>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</si>
  <si>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</si>
  <si>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</si>
  <si>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</si>
  <si>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</si>
  <si>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</si>
  <si>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</si>
  <si>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</si>
  <si>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</si>
  <si>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</si>
  <si>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</si>
  <si>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</si>
  <si>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k_prop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</si>
  <si>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</si>
  <si>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</si>
  <si>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</si>
  <si>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</si>
  <si>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</si>
  <si>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</si>
  <si>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</si>
  <si>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</si>
  <si>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</si>
  <si>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</si>
  <si>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</si>
  <si>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</si>
  <si>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</si>
  <si>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</si>
  <si>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</si>
  <si>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</si>
  <si>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</si>
  <si>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</si>
  <si>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</si>
  <si>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RPM_hover_lift_rotor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</si>
  <si>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</si>
  <si>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</si>
  <si>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</si>
  <si>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</si>
  <si>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</si>
  <si>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</si>
  <si>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</si>
  <si>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</si>
  <si>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</si>
  <si>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</si>
  <si>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</si>
  <si>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</si>
  <si>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</si>
  <si>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</si>
  <si>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</si>
  <si>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</si>
  <si>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</si>
  <si>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</si>
  <si>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</si>
  <si>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</si>
  <si>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</si>
  <si>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</si>
  <si>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</si>
  <si>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</si>
  <si>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</si>
  <si>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</si>
  <si>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</si>
  <si>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</si>
  <si>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</si>
  <si>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</si>
  <si>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</si>
  <si>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</si>
  <si>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</si>
  <si>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</si>
  <si>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</si>
  <si>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</si>
  <si>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</si>
  <si>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</si>
  <si>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</si>
  <si>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</si>
  <si>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</si>
  <si>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</si>
  <si>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</si>
  <si>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</si>
  <si>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</si>
  <si>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</si>
  <si>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</si>
  <si>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</si>
  <si>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</si>
  <si>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</si>
  <si>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</si>
  <si>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</si>
  <si>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</si>
  <si>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</si>
  <si>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</si>
  <si>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</si>
  <si>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</si>
  <si>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</si>
  <si>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</si>
  <si>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</si>
  <si>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</si>
  <si>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</si>
  <si>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</si>
  <si>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</si>
  <si>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</si>
  <si>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</si>
  <si>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</si>
  <si>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</si>
  <si>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</si>
  <si>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</si>
  <si>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</si>
  <si>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</si>
  <si>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</si>
  <si>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</si>
  <si>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</si>
  <si>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</si>
  <si>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</si>
  <si>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</si>
  <si>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</si>
  <si>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</si>
  <si>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</si>
  <si>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</si>
  <si>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</si>
  <si>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</si>
  <si>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</si>
  <si>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</si>
  <si>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</si>
  <si>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</si>
  <si>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</si>
  <si>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</si>
  <si>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</si>
  <si>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</si>
  <si>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</si>
  <si>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</si>
  <si>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</si>
  <si>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</si>
  <si>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</si>
  <si>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</si>
  <si>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</si>
  <si>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</si>
  <si>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</si>
  <si>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</si>
  <si>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Propeller|J</t>
  </si>
  <si>
    <t>Total drag</t>
  </si>
  <si>
    <t>L/D</t>
  </si>
  <si>
    <t>Propeller performance in climb</t>
  </si>
  <si>
    <t>Propeller performance in cruise</t>
  </si>
  <si>
    <t>Propeller performance in descent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</si>
  <si>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</si>
  <si>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</si>
  <si>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</si>
  <si>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</si>
  <si>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</si>
  <si>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</si>
  <si>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</si>
  <si>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</si>
  <si>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</si>
  <si>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</si>
  <si>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</si>
  <si>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</si>
  <si>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</si>
  <si>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</si>
  <si>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</si>
  <si>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</si>
  <si>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</si>
  <si>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</si>
  <si>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</si>
  <si>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</si>
  <si>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</si>
  <si>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</si>
  <si>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</si>
  <si>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</si>
  <si>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</si>
  <si>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Taxi segment</t>
  </si>
  <si>
    <t>taxi duration</t>
  </si>
  <si>
    <t>percent_max_power</t>
  </si>
  <si>
    <t>power_taxi</t>
  </si>
  <si>
    <t>Transition segment</t>
  </si>
  <si>
    <t>transition duration</t>
  </si>
  <si>
    <t>Hover segment</t>
  </si>
  <si>
    <t>hover duration</t>
  </si>
  <si>
    <t>Reserve cruise segment</t>
  </si>
  <si>
    <t>reserve cruise duration</t>
  </si>
  <si>
    <t>Environment at 6025 ft</t>
  </si>
  <si>
    <t>rho_softmax</t>
  </si>
  <si>
    <t>Environment at 10000 ft</t>
  </si>
  <si>
    <t>Environment at 8025 ft</t>
  </si>
  <si>
    <t>mission_time</t>
  </si>
  <si>
    <t>power_transition</t>
  </si>
  <si>
    <t>power_hover</t>
  </si>
  <si>
    <t>Published</t>
  </si>
  <si>
    <t>MTOW (kg)</t>
  </si>
  <si>
    <t>Calculated</t>
  </si>
  <si>
    <t>W_battery (kg)</t>
  </si>
  <si>
    <t>Hover tip speed</t>
  </si>
  <si>
    <t>Disk loading (Pa)</t>
  </si>
  <si>
    <t>Hover FM</t>
  </si>
  <si>
    <t>Diff (%)</t>
  </si>
  <si>
    <t>f_fuselage (m2)</t>
  </si>
  <si>
    <t>Total cruise drag</t>
  </si>
  <si>
    <t>W_empty (kg)</t>
  </si>
  <si>
    <t>req_energy (kWh)</t>
  </si>
  <si>
    <t>Total power (W)</t>
  </si>
  <si>
    <t>W/lift P (kg/W)</t>
  </si>
  <si>
    <t>W/cruise P (kg/W)</t>
  </si>
  <si>
    <t>f_rotor_hubs (m2)</t>
  </si>
  <si>
    <t>Rotor|mu_climb</t>
  </si>
  <si>
    <t>Rotor|mu_cruise</t>
  </si>
  <si>
    <t>tf_propulsion</t>
  </si>
  <si>
    <t>tf_structure</t>
  </si>
  <si>
    <t>tf_equipments</t>
  </si>
  <si>
    <t>Total EFPA</t>
  </si>
  <si>
    <t>OEW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</si>
</sst>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7">
    <xf numFmtId="0" fontId="0" fillId="0" borderId="0" xfId="0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0" fillId="12" borderId="0" xfId="0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multirotor!$K$39:$K$43</c:f>
              <c:numCache>
                <c:formatCode>General</c:formatCode>
                <c:ptCount val="5"/>
                <c:pt idx="0">
                  <c:v>21.78</c:v>
                </c:pt>
                <c:pt idx="1">
                  <c:v>31.65</c:v>
                </c:pt>
                <c:pt idx="2">
                  <c:v>31.5</c:v>
                </c:pt>
                <c:pt idx="3">
                  <c:v>9</c:v>
                </c:pt>
                <c:pt idx="4">
                  <c:v>6.06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544.30999999999995</c:v>
                </c:pt>
                <c:pt idx="1">
                  <c:v>791</c:v>
                </c:pt>
                <c:pt idx="2">
                  <c:v>787.25</c:v>
                </c:pt>
                <c:pt idx="3">
                  <c:v>224.91</c:v>
                </c:pt>
                <c:pt idx="4">
                  <c:v>151.49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'lift+cruise'!$J$44:$J$48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'lift+cruise'!$K$44:$K$48</c:f>
              <c:numCache>
                <c:formatCode>General</c:formatCode>
                <c:ptCount val="5"/>
                <c:pt idx="0">
                  <c:v>400</c:v>
                </c:pt>
                <c:pt idx="1">
                  <c:v>105.93</c:v>
                </c:pt>
                <c:pt idx="2">
                  <c:v>198.24</c:v>
                </c:pt>
                <c:pt idx="3">
                  <c:v>334.15</c:v>
                </c:pt>
                <c:pt idx="4">
                  <c:v>50.99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'lift+cruise'!$J$36:$J$40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'lift+cruise'!$K$36:$K$40</c:f>
              <c:numCache>
                <c:formatCode>General</c:formatCode>
                <c:ptCount val="5"/>
                <c:pt idx="0">
                  <c:v>36.72</c:v>
                </c:pt>
                <c:pt idx="1">
                  <c:v>9.7200000000000006</c:v>
                </c:pt>
                <c:pt idx="2">
                  <c:v>18.2</c:v>
                </c:pt>
                <c:pt idx="3">
                  <c:v>30.68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175210</xdr:colOff>
      <xdr:row>57</xdr:row>
      <xdr:rowOff>159439</xdr:rowOff>
    </xdr:from>
    <xdr:to>
      <xdr:col>12</xdr:col>
      <xdr:colOff>195317</xdr:colOff>
      <xdr:row>69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204589</xdr:colOff>
      <xdr:row>45</xdr:row>
      <xdr:rowOff>92200</xdr:rowOff>
    </xdr:from>
    <xdr:to>
      <xdr:col>12</xdr:col>
      <xdr:colOff>156356</xdr:colOff>
      <xdr:row>56</xdr:row>
      <xdr:rowOff>185333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104421</xdr:colOff>
      <xdr:row>33</xdr:row>
      <xdr:rowOff>118534</xdr:rowOff>
    </xdr:from>
    <xdr:to>
      <xdr:col>17</xdr:col>
      <xdr:colOff>427566</xdr:colOff>
      <xdr:row>45</xdr:row>
      <xdr:rowOff>98778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807155</xdr:colOff>
      <xdr:row>33</xdr:row>
      <xdr:rowOff>122768</xdr:rowOff>
    </xdr:from>
    <xdr:to>
      <xdr:col>21</xdr:col>
      <xdr:colOff>977900</xdr:colOff>
      <xdr:row>45</xdr:row>
      <xdr:rowOff>103012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L136"/>
  <sheetViews>
    <sheetView tabSelected="1" zoomScale="93" workbookViewId="0">
      <selection activeCell="B16" sqref="B16:D16"/>
    </sheetView>
  </sheetViews>
  <sheetFormatPr baseColWidth="10" defaultRowHeight="16" x14ac:dyDescent="0.2"/>
  <cols>
    <col min="1" max="1" width="4.1640625" style="7" customWidth="1"/>
    <col min="2" max="2" width="20.5" style="7" customWidth="1"/>
    <col min="3" max="3" width="10.83203125" style="7"/>
    <col min="4" max="4" width="7.1640625" style="7" customWidth="1"/>
    <col min="5" max="5" width="5.6640625" style="7" customWidth="1"/>
    <col min="6" max="6" width="20.6640625" style="7" customWidth="1"/>
    <col min="7" max="7" width="13.1640625" style="7" customWidth="1"/>
    <col min="8" max="8" width="4.1640625" style="7" customWidth="1"/>
    <col min="9" max="9" width="6" style="7" customWidth="1"/>
    <col min="10" max="10" width="18.1640625" style="7" customWidth="1"/>
    <col min="11" max="11" width="13.1640625" style="7" customWidth="1"/>
    <col min="12" max="12" width="4.83203125" style="7" customWidth="1"/>
    <col min="13" max="13" width="6" style="7" customWidth="1"/>
    <col min="14" max="14" width="14.83203125" style="7" customWidth="1"/>
    <col min="15" max="15" width="11.1640625" style="7" customWidth="1"/>
    <col min="16" max="16" width="6.33203125" style="7" customWidth="1"/>
    <col min="17" max="17" width="6" style="7" customWidth="1"/>
    <col min="18" max="18" width="14.33203125" style="7" customWidth="1"/>
    <col min="19" max="19" width="11" style="7" bestFit="1" customWidth="1"/>
    <col min="20" max="20" width="6.33203125" style="7" customWidth="1"/>
    <col min="21" max="23" width="3.83203125" style="7" customWidth="1"/>
    <col min="24" max="24" width="5.5" style="7" customWidth="1"/>
    <col min="25" max="26" width="6.1640625" style="7" customWidth="1"/>
    <col min="27" max="27" width="6.6640625" style="7" customWidth="1"/>
    <col min="28" max="28" width="7" style="7" customWidth="1"/>
    <col min="29" max="29" width="14.6640625" style="7" customWidth="1"/>
    <col min="30" max="30" width="7.83203125" style="7" customWidth="1"/>
    <col min="31" max="31" width="10" style="7" customWidth="1"/>
    <col min="32" max="32" width="9.5" style="7" customWidth="1"/>
    <col min="33" max="33" width="13.6640625" style="7" customWidth="1"/>
    <col min="34" max="34" width="10.83203125" style="7"/>
    <col min="35" max="35" width="5.1640625" style="7" customWidth="1"/>
    <col min="36" max="36" width="11.83203125" style="7" bestFit="1" customWidth="1"/>
    <col min="37" max="37" width="16.5" style="7" bestFit="1" customWidth="1"/>
    <col min="38" max="38" width="11.83203125" style="7" bestFit="1" customWidth="1"/>
    <col min="39" max="39" width="14.1640625" style="7" bestFit="1" customWidth="1"/>
    <col min="40" max="40" width="18.33203125" style="7" customWidth="1"/>
    <col min="41" max="44" width="11.83203125" style="7" bestFit="1" customWidth="1"/>
    <col min="45" max="46" width="10.83203125" style="7"/>
    <col min="47" max="47" width="11.33203125" style="7" bestFit="1" customWidth="1"/>
    <col min="48" max="48" width="10.83203125" style="7"/>
    <col min="49" max="49" width="3.5" style="7" customWidth="1"/>
    <col min="50" max="50" width="12.33203125" style="7" customWidth="1"/>
    <col min="51" max="53" width="11.33203125" style="7" bestFit="1" customWidth="1"/>
    <col min="54" max="54" width="11.83203125" style="7" bestFit="1" customWidth="1"/>
    <col min="55" max="59" width="11.33203125" style="7" bestFit="1" customWidth="1"/>
    <col min="60" max="60" width="10.83203125" style="7"/>
    <col min="61" max="61" width="3.33203125" style="7" customWidth="1"/>
    <col min="62" max="62" width="10.83203125" style="7"/>
    <col min="63" max="63" width="14.5" style="7" bestFit="1" customWidth="1"/>
    <col min="64" max="64" width="10.83203125" style="7"/>
    <col min="65" max="65" width="3.33203125" style="7" customWidth="1"/>
    <col min="66" max="66" width="10.83203125" style="7"/>
    <col min="67" max="67" width="13.5" style="7" bestFit="1" customWidth="1"/>
    <col min="68" max="68" width="10.83203125" style="7"/>
    <col min="69" max="69" width="3" style="7" customWidth="1"/>
    <col min="70" max="71" width="11" style="7" bestFit="1" customWidth="1"/>
    <col min="72" max="72" width="14.5" style="7" bestFit="1" customWidth="1"/>
    <col min="73" max="73" width="11" style="7" bestFit="1" customWidth="1"/>
    <col min="74" max="74" width="14.5" style="7" bestFit="1" customWidth="1"/>
    <col min="75" max="75" width="11" style="7" bestFit="1" customWidth="1"/>
    <col min="76" max="76" width="14.5" style="7" bestFit="1" customWidth="1"/>
    <col min="77" max="79" width="11" style="7" bestFit="1" customWidth="1"/>
    <col min="80" max="80" width="2.83203125" style="7" customWidth="1"/>
    <col min="81" max="82" width="11" style="7" bestFit="1" customWidth="1"/>
    <col min="83" max="83" width="14.5" style="7" bestFit="1" customWidth="1"/>
    <col min="84" max="84" width="11" style="7" bestFit="1" customWidth="1"/>
    <col min="85" max="16384" width="10.83203125" style="7"/>
  </cols>
  <sheetData>
    <row r="1" spans="2:90" x14ac:dyDescent="0.2">
      <c r="B1" s="52" t="s">
        <v>0</v>
      </c>
      <c r="C1" s="52"/>
      <c r="D1" s="52"/>
    </row>
    <row r="2" spans="2:90" x14ac:dyDescent="0.2">
      <c r="X2" s="17" t="s">
        <v>109</v>
      </c>
      <c r="AI2" s="17" t="s">
        <v>80</v>
      </c>
      <c r="AT2" s="61" t="s">
        <v>158</v>
      </c>
      <c r="AU2" s="61"/>
      <c r="AV2" s="61"/>
      <c r="AW2"/>
      <c r="AX2" s="61" t="s">
        <v>159</v>
      </c>
      <c r="AY2" s="61"/>
      <c r="AZ2" s="61"/>
      <c r="BA2"/>
      <c r="BB2" s="61" t="s">
        <v>160</v>
      </c>
      <c r="BC2" s="61"/>
      <c r="BD2" s="61"/>
      <c r="BE2" s="61"/>
      <c r="BF2" s="61"/>
      <c r="BG2" s="61"/>
      <c r="BH2" s="61"/>
      <c r="BI2"/>
      <c r="BJ2" s="61" t="s">
        <v>161</v>
      </c>
      <c r="BK2" s="61"/>
      <c r="BL2" s="61"/>
      <c r="BM2" s="61"/>
      <c r="BN2" s="61"/>
      <c r="BO2" s="61"/>
      <c r="BP2" s="61"/>
      <c r="BQ2"/>
      <c r="BR2" s="61" t="s">
        <v>162</v>
      </c>
      <c r="BS2" s="61"/>
      <c r="BT2" s="61"/>
      <c r="BU2" s="61"/>
      <c r="BV2" s="61"/>
      <c r="BW2" s="61"/>
      <c r="BX2" s="61"/>
      <c r="BY2" s="61"/>
      <c r="BZ2" s="61"/>
      <c r="CA2" s="61"/>
      <c r="CB2"/>
      <c r="CC2" s="61" t="s">
        <v>163</v>
      </c>
      <c r="CD2" s="61"/>
      <c r="CE2" s="61"/>
      <c r="CF2" s="61"/>
      <c r="CG2" s="61"/>
      <c r="CH2" s="61"/>
      <c r="CI2" s="61"/>
      <c r="CJ2" s="61"/>
      <c r="CK2" s="61"/>
      <c r="CL2" s="61"/>
    </row>
    <row r="3" spans="2:90" x14ac:dyDescent="0.2">
      <c r="B3" s="53" t="s">
        <v>147</v>
      </c>
      <c r="C3" s="54"/>
      <c r="D3" s="54"/>
      <c r="F3" s="53" t="s">
        <v>289</v>
      </c>
      <c r="G3" s="54"/>
      <c r="H3" s="54"/>
      <c r="J3" s="55" t="s">
        <v>120</v>
      </c>
      <c r="K3" s="55"/>
      <c r="L3" s="55"/>
      <c r="N3" s="55" t="s">
        <v>108</v>
      </c>
      <c r="O3" s="55"/>
      <c r="P3" s="55"/>
      <c r="R3" s="55" t="s">
        <v>107</v>
      </c>
      <c r="S3" s="55"/>
      <c r="T3" s="55"/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I3" s="8" t="s">
        <v>45</v>
      </c>
      <c r="AJ3" s="8" t="s">
        <v>46</v>
      </c>
      <c r="AK3" s="8" t="s">
        <v>47</v>
      </c>
      <c r="AL3" s="8" t="s">
        <v>48</v>
      </c>
      <c r="AM3" s="8" t="s">
        <v>49</v>
      </c>
      <c r="AN3" s="8" t="s">
        <v>50</v>
      </c>
      <c r="AO3" s="8" t="s">
        <v>51</v>
      </c>
      <c r="AP3" s="8" t="s">
        <v>52</v>
      </c>
      <c r="AQ3" s="8" t="s">
        <v>53</v>
      </c>
      <c r="AR3" s="8" t="s">
        <v>54</v>
      </c>
      <c r="AT3" s="3" t="s">
        <v>165</v>
      </c>
      <c r="AU3" s="3">
        <f>$G$9</f>
        <v>0.50800000000000001</v>
      </c>
      <c r="AV3" s="27" t="s">
        <v>10</v>
      </c>
      <c r="AW3"/>
      <c r="AX3" s="3" t="s">
        <v>166</v>
      </c>
      <c r="AY3" s="3">
        <f>0.5*AU9</f>
        <v>3.99288</v>
      </c>
      <c r="AZ3" s="27" t="s">
        <v>8</v>
      </c>
      <c r="BA3"/>
      <c r="BB3" s="62" t="s">
        <v>167</v>
      </c>
      <c r="BC3" s="62"/>
      <c r="BD3" s="62"/>
      <c r="BE3"/>
      <c r="BF3" s="62" t="s">
        <v>168</v>
      </c>
      <c r="BG3" s="62"/>
      <c r="BH3" s="62"/>
      <c r="BI3"/>
      <c r="BJ3" s="62" t="s">
        <v>167</v>
      </c>
      <c r="BK3" s="62"/>
      <c r="BL3" s="62"/>
      <c r="BM3" s="3"/>
      <c r="BN3" s="62" t="s">
        <v>168</v>
      </c>
      <c r="BO3" s="62"/>
      <c r="BP3" s="62"/>
      <c r="BQ3"/>
      <c r="BR3" s="8" t="s">
        <v>45</v>
      </c>
      <c r="BS3" s="8" t="s">
        <v>46</v>
      </c>
      <c r="BT3" s="8" t="s">
        <v>47</v>
      </c>
      <c r="BU3" s="8" t="s">
        <v>48</v>
      </c>
      <c r="BV3" s="8" t="s">
        <v>49</v>
      </c>
      <c r="BW3" s="8" t="s">
        <v>50</v>
      </c>
      <c r="BX3" s="8" t="s">
        <v>51</v>
      </c>
      <c r="BY3" s="8" t="s">
        <v>52</v>
      </c>
      <c r="BZ3" s="8" t="s">
        <v>53</v>
      </c>
      <c r="CA3" s="8" t="s">
        <v>54</v>
      </c>
      <c r="CB3"/>
      <c r="CC3" s="8" t="s">
        <v>45</v>
      </c>
      <c r="CD3" s="8" t="s">
        <v>46</v>
      </c>
      <c r="CE3" s="8" t="s">
        <v>47</v>
      </c>
      <c r="CF3" s="8" t="s">
        <v>48</v>
      </c>
      <c r="CG3" s="8" t="s">
        <v>49</v>
      </c>
      <c r="CH3" s="8" t="s">
        <v>50</v>
      </c>
      <c r="CI3" s="8" t="s">
        <v>51</v>
      </c>
      <c r="CJ3" s="8" t="s">
        <v>52</v>
      </c>
      <c r="CK3" s="8" t="s">
        <v>53</v>
      </c>
      <c r="CL3" s="8" t="s">
        <v>54</v>
      </c>
    </row>
    <row r="4" spans="2:90" x14ac:dyDescent="0.2">
      <c r="B4" s="7" t="s">
        <v>40</v>
      </c>
      <c r="C4" s="23" t="s">
        <v>76</v>
      </c>
      <c r="F4" s="7" t="s">
        <v>290</v>
      </c>
      <c r="G4" s="18">
        <f>15+15</f>
        <v>30</v>
      </c>
      <c r="H4" s="7" t="s">
        <v>14</v>
      </c>
      <c r="J4" t="s">
        <v>121</v>
      </c>
      <c r="K4" s="7">
        <f>MAX(G18,G36,G43,G55)</f>
        <v>278.5679459577251</v>
      </c>
      <c r="L4" s="7" t="s">
        <v>123</v>
      </c>
      <c r="N4" s="7" t="s">
        <v>26</v>
      </c>
      <c r="O4" s="7">
        <f xml:space="preserve"> 0.5 * $C$47 * $G$26^2</f>
        <v>399.35047765000365</v>
      </c>
      <c r="P4" s="7" t="s">
        <v>27</v>
      </c>
      <c r="R4" s="7" t="s">
        <v>26</v>
      </c>
      <c r="S4" s="7">
        <f xml:space="preserve"> 0.5 * $C$53 * $C$9^2</f>
        <v>1150.0842356393539</v>
      </c>
      <c r="T4" s="7" t="s">
        <v>27</v>
      </c>
      <c r="X4" s="3">
        <v>0</v>
      </c>
      <c r="Y4" s="4">
        <v>0</v>
      </c>
      <c r="Z4" s="3">
        <f xml:space="preserve"> $C$11 * TAN($S$18/180*PI()) + $S$21 / (2 * SQRT($C$11^2 + Y4^2)) - Y4</f>
        <v>1.6356184527586439E-2</v>
      </c>
      <c r="AA4" s="4">
        <v>1</v>
      </c>
      <c r="AB4" s="3">
        <f xml:space="preserve"> $C$11 * TAN($S$18/180*PI()) + $S$21 / (2 * SQRT($C$11^2 + AA4^2)) - AA4</f>
        <v>-0.98824787090083765</v>
      </c>
      <c r="AC4" s="3">
        <f xml:space="preserve"> (Y4 + AA4)/2</f>
        <v>0.5</v>
      </c>
      <c r="AD4" s="3">
        <f xml:space="preserve"> $C$11 * TAN($S$18/180*PI()) + $S$21 / (2 * SQRT($C$11^2 + AC4^2)) - AC4</f>
        <v>-0.48714615998258892</v>
      </c>
      <c r="AE4" s="3">
        <f>Z4*AD4</f>
        <v>-7.9678524845803698E-3</v>
      </c>
      <c r="AF4" s="3">
        <f>AB4*AD4</f>
        <v>0.48142115542031233</v>
      </c>
      <c r="AG4" s="3">
        <f>AA4-Y4</f>
        <v>1</v>
      </c>
      <c r="AI4" s="3">
        <v>0</v>
      </c>
      <c r="AJ4" s="3"/>
      <c r="AK4" s="3">
        <f>K27</f>
        <v>1.4454144547926262E-9</v>
      </c>
      <c r="AL4" s="3"/>
      <c r="AM4" s="3">
        <f>K27</f>
        <v>1.4454144547926262E-9</v>
      </c>
      <c r="AN4" s="3"/>
      <c r="AO4" s="3">
        <f>K27</f>
        <v>1.4454144547926262E-9</v>
      </c>
      <c r="AP4" s="3"/>
      <c r="AQ4" s="3"/>
      <c r="AR4" s="3"/>
      <c r="AT4" s="3" t="s">
        <v>172</v>
      </c>
      <c r="AU4" s="3">
        <f>$C$6</f>
        <v>480.95478019677103</v>
      </c>
      <c r="AV4" s="27" t="s">
        <v>154</v>
      </c>
      <c r="AW4"/>
      <c r="AX4" s="3" t="s">
        <v>173</v>
      </c>
      <c r="AY4" s="3">
        <f>PI()*AY3^2</f>
        <v>50.086696601042831</v>
      </c>
      <c r="AZ4" s="27" t="s">
        <v>11</v>
      </c>
      <c r="BA4"/>
      <c r="BB4" s="3" t="s">
        <v>174</v>
      </c>
      <c r="BC4" s="3">
        <f>2*($AU$19 - $AU$10)</f>
        <v>0.43921679999999996</v>
      </c>
      <c r="BD4" s="27" t="s">
        <v>8</v>
      </c>
      <c r="BE4"/>
      <c r="BF4" s="3" t="s">
        <v>174</v>
      </c>
      <c r="BG4" s="3">
        <f>$AU$20-$AU$19</f>
        <v>0.43921679999999996</v>
      </c>
      <c r="BH4" s="27" t="s">
        <v>8</v>
      </c>
      <c r="BI4"/>
      <c r="BJ4" s="29" t="s">
        <v>175</v>
      </c>
      <c r="BK4" s="30">
        <f>BW34</f>
        <v>0.15794341789663963</v>
      </c>
      <c r="BL4" s="6" t="s">
        <v>176</v>
      </c>
      <c r="BM4" s="3"/>
      <c r="BN4" s="29" t="s">
        <v>175</v>
      </c>
      <c r="BO4" s="30">
        <f>CH34</f>
        <v>0.12626790146298056</v>
      </c>
      <c r="BP4" s="6" t="s">
        <v>176</v>
      </c>
      <c r="BQ4"/>
      <c r="BR4" s="31">
        <v>0</v>
      </c>
      <c r="BS4" s="31"/>
      <c r="BT4" s="31">
        <f>$BK$20</f>
        <v>-9.5622999622679838E-10</v>
      </c>
      <c r="BU4" s="31"/>
      <c r="BV4" s="31">
        <f>$BK$20</f>
        <v>-9.5622999622679838E-10</v>
      </c>
      <c r="BW4" s="31"/>
      <c r="BX4" s="31">
        <f>$BK$20</f>
        <v>-9.5622999622679838E-10</v>
      </c>
      <c r="BY4" s="31"/>
      <c r="BZ4" s="31"/>
      <c r="CA4" s="31"/>
      <c r="CB4"/>
      <c r="CC4" s="31">
        <v>0</v>
      </c>
      <c r="CD4" s="31"/>
      <c r="CE4" s="31">
        <f>$BO$20</f>
        <v>7.2546920259347614E-9</v>
      </c>
      <c r="CF4" s="31"/>
      <c r="CG4" s="31">
        <f>$BO$20</f>
        <v>7.2546920259347614E-9</v>
      </c>
      <c r="CH4" s="31"/>
      <c r="CI4" s="31">
        <f>$BO$20</f>
        <v>7.2546920259347614E-9</v>
      </c>
      <c r="CJ4" s="31"/>
      <c r="CK4" s="31"/>
      <c r="CL4" s="31"/>
    </row>
    <row r="5" spans="2:90" x14ac:dyDescent="0.2">
      <c r="B5" s="11" t="s">
        <v>41</v>
      </c>
      <c r="C5" s="11">
        <f>AN44</f>
        <v>2498.9554820881494</v>
      </c>
      <c r="D5" s="11" t="s">
        <v>7</v>
      </c>
      <c r="F5" s="7" t="s">
        <v>291</v>
      </c>
      <c r="G5" s="18">
        <v>10</v>
      </c>
      <c r="H5" s="7" t="s">
        <v>62</v>
      </c>
      <c r="J5" t="s">
        <v>122</v>
      </c>
      <c r="K5" s="7">
        <f>K4/$C$19</f>
        <v>69.641986489431275</v>
      </c>
      <c r="L5" s="7" t="s">
        <v>123</v>
      </c>
      <c r="N5" s="7" t="s">
        <v>139</v>
      </c>
      <c r="O5" s="7">
        <f xml:space="preserve"> $C$19 * 0.85 * ($C$5/$C$19 *2.20462/1000)^(2/3) * 0.3048^2</f>
        <v>0.39101824582803263</v>
      </c>
      <c r="P5" s="7" t="s">
        <v>140</v>
      </c>
      <c r="R5" s="7" t="s">
        <v>139</v>
      </c>
      <c r="S5" s="7">
        <f xml:space="preserve"> $C$19 * 0.85 * ($C$5/$C$19 *2.20462/1000)^(2/3) * 0.3048^2</f>
        <v>0.39101824582803263</v>
      </c>
      <c r="T5" s="7" t="s">
        <v>140</v>
      </c>
      <c r="X5" s="3">
        <v>1</v>
      </c>
      <c r="Y5" s="3">
        <f>IF(AE4&gt;0, AC4, Y4)</f>
        <v>0</v>
      </c>
      <c r="Z5" s="3">
        <f t="shared" ref="Z5:Z34" si="0" xml:space="preserve"> $C$11 * TAN($S$18/180*PI()) + $S$21 / (2 * SQRT($C$11^2 + Y5^2)) - Y5</f>
        <v>1.6356184527586439E-2</v>
      </c>
      <c r="AA5" s="3">
        <f>IF(AF4&gt;0, AC4, AA4)</f>
        <v>0.5</v>
      </c>
      <c r="AB5" s="3">
        <f t="shared" ref="AB5:AB34" si="1" xml:space="preserve"> $C$11 * TAN($S$18/180*PI()) + $S$21 / (2 * SQRT($C$11^2 + AA5^2)) - AA5</f>
        <v>-0.48714615998258892</v>
      </c>
      <c r="AC5" s="3">
        <f t="shared" ref="AC5:AC34" si="2" xml:space="preserve"> (Y5 + AA5)/2</f>
        <v>0.25</v>
      </c>
      <c r="AD5" s="3">
        <f t="shared" ref="AD5:AD34" si="3" xml:space="preserve"> $C$11 * TAN($S$18/180*PI()) + $S$21 / (2 * SQRT($C$11^2 + AC5^2)) - AC5</f>
        <v>-0.23563389562429024</v>
      </c>
      <c r="AE5" s="3">
        <f t="shared" ref="AE5:AE34" si="4">Z5*AD5</f>
        <v>-3.8540714777849342E-3</v>
      </c>
      <c r="AF5" s="3">
        <f t="shared" ref="AF5:AF34" si="5">AB5*AD5</f>
        <v>0.11478814741511115</v>
      </c>
      <c r="AG5" s="3">
        <f t="shared" ref="AG5:AG33" si="6">AA5-Y5</f>
        <v>0.5</v>
      </c>
      <c r="AI5" s="3">
        <v>1</v>
      </c>
      <c r="AJ5" s="4">
        <v>500</v>
      </c>
      <c r="AK5" s="3">
        <f t="dataTable" ref="AK5:AK44" dt2D="0" dtr="0" r1="C5" ca="1"/>
        <v>-1140.6406953628889</v>
      </c>
      <c r="AL5" s="4">
        <v>5000</v>
      </c>
      <c r="AM5" s="3">
        <f t="dataTable" ref="AM5:AM44" dt2D="0" dtr="0" r1="C5" ca="1"/>
        <v>1218.2615806919021</v>
      </c>
      <c r="AN5" s="3">
        <f>(AJ5+AL5)/2</f>
        <v>2750</v>
      </c>
      <c r="AO5" s="3">
        <f t="dataTable" ref="AO5:AO44" dt2D="0" dtr="0" r1="C5" ca="1"/>
        <v>141.50707861198043</v>
      </c>
      <c r="AP5" s="3">
        <f>AK5*AO5</f>
        <v>-161408.73254674036</v>
      </c>
      <c r="AQ5" s="3">
        <f>AM5*AO5</f>
        <v>172392.63726892453</v>
      </c>
      <c r="AR5" s="3">
        <f>AL5-AJ5</f>
        <v>4500</v>
      </c>
      <c r="AT5" s="3" t="s">
        <v>178</v>
      </c>
      <c r="AU5" s="4">
        <v>4.5</v>
      </c>
      <c r="AV5" s="27" t="s">
        <v>44</v>
      </c>
      <c r="AW5"/>
      <c r="AX5" s="3" t="s">
        <v>30</v>
      </c>
      <c r="AY5" s="3">
        <f>AU4*2*PI()/60</f>
        <v>50.365466805835652</v>
      </c>
      <c r="AZ5" s="27" t="s">
        <v>31</v>
      </c>
      <c r="BA5"/>
      <c r="BB5" s="3" t="s">
        <v>179</v>
      </c>
      <c r="BC5" s="3">
        <f>(1+$BK$18)*$AU$3</f>
        <v>5.4737742837285088</v>
      </c>
      <c r="BD5" s="27" t="s">
        <v>10</v>
      </c>
      <c r="BE5"/>
      <c r="BF5" s="3" t="s">
        <v>179</v>
      </c>
      <c r="BG5" s="3">
        <f>(1+$BO$18)*$AU$3</f>
        <v>7.1636142066494388</v>
      </c>
      <c r="BH5" s="27" t="s">
        <v>10</v>
      </c>
      <c r="BI5"/>
      <c r="BJ5" s="3" t="s">
        <v>180</v>
      </c>
      <c r="BK5" s="3">
        <f>($AU$35+$AU$5)/180*PI()</f>
        <v>0.19896753472735357</v>
      </c>
      <c r="BL5" s="3" t="s">
        <v>176</v>
      </c>
      <c r="BM5" s="3"/>
      <c r="BN5" s="3" t="s">
        <v>180</v>
      </c>
      <c r="BO5" s="3">
        <f>($AU$36+$AU$5)/180*PI()</f>
        <v>0.17592918860102841</v>
      </c>
      <c r="BP5" s="3" t="s">
        <v>176</v>
      </c>
      <c r="BQ5"/>
      <c r="BR5" s="3">
        <v>1</v>
      </c>
      <c r="BS5" s="4">
        <f>0.01*PI()</f>
        <v>3.1415926535897934E-2</v>
      </c>
      <c r="BT5" s="3">
        <f t="dataTable" ref="BT5:BT34" dt2D="0" dtr="0" r1="BK4" ca="1"/>
        <v>-1.8798633392142958</v>
      </c>
      <c r="BU5" s="4">
        <f>0.9*PI()</f>
        <v>2.8274333882308138</v>
      </c>
      <c r="BV5" s="3">
        <f t="dataTable" ref="BV5:BV34" dt2D="0" dtr="0" r1="BK4"/>
        <v>0.31311852488290026</v>
      </c>
      <c r="BW5" s="3">
        <f t="shared" ref="BW5:BW34" si="7">(BS5+BU5)/2</f>
        <v>1.4294246573833558</v>
      </c>
      <c r="BX5" s="3">
        <f t="dataTable" ref="BX5:BX34" dt2D="0" dtr="0" r1="BK4" ca="1"/>
        <v>1.0826826835356269</v>
      </c>
      <c r="BY5" s="3">
        <f t="shared" ref="BY5:BY34" si="8">BT5*BX5</f>
        <v>-2.0352954847807783</v>
      </c>
      <c r="BZ5" s="3">
        <f t="shared" ref="BZ5:BZ34" si="9">BV5*BX5</f>
        <v>0.33900800478493542</v>
      </c>
      <c r="CA5" s="3">
        <f t="shared" ref="CA5:CA34" si="10">BU5-BS5</f>
        <v>2.7960174616949161</v>
      </c>
      <c r="CB5"/>
      <c r="CC5" s="3">
        <v>1</v>
      </c>
      <c r="CD5" s="4">
        <f>0.01*PI()</f>
        <v>3.1415926535897934E-2</v>
      </c>
      <c r="CE5" s="3">
        <f t="dataTable" ref="CE5:CE34" dt2D="0" dtr="0" r1="BO4" ca="1"/>
        <v>-1.0017549024312897</v>
      </c>
      <c r="CF5" s="4">
        <f>0.9*PI()</f>
        <v>2.8274333882308138</v>
      </c>
      <c r="CG5" s="3">
        <f t="dataTable" ref="CG5:CG34" dt2D="0" dtr="0" r1="BO4" ca="1"/>
        <v>0.31051274151446795</v>
      </c>
      <c r="CH5" s="3">
        <f t="shared" ref="CH5:CH34" si="11">(CD5+CF5)/2</f>
        <v>1.4294246573833558</v>
      </c>
      <c r="CI5" s="3">
        <f t="dataTable" ref="CI5:CI34" dt2D="0" dtr="0" r1="BO4"/>
        <v>1.0342931904265249</v>
      </c>
      <c r="CJ5" s="3">
        <f t="shared" ref="CJ5:CJ34" si="12">CE5*CI5</f>
        <v>-1.0361082740610708</v>
      </c>
      <c r="CK5" s="3">
        <f t="shared" ref="CK5:CK34" si="13">CG5*CI5</f>
        <v>0.32116121408908588</v>
      </c>
      <c r="CL5" s="3">
        <f t="shared" ref="CL5:CL34" si="14">CF5-CD5</f>
        <v>2.7960174616949161</v>
      </c>
    </row>
    <row r="6" spans="2:90" x14ac:dyDescent="0.2">
      <c r="B6" s="11" t="s">
        <v>155</v>
      </c>
      <c r="C6" s="11">
        <f>AN79</f>
        <v>480.95478019677103</v>
      </c>
      <c r="D6" s="11" t="s">
        <v>154</v>
      </c>
      <c r="F6" s="44" t="s">
        <v>292</v>
      </c>
      <c r="G6" s="44">
        <f>$G$5/100*K4</f>
        <v>27.856794595772513</v>
      </c>
      <c r="H6" s="44" t="s">
        <v>123</v>
      </c>
      <c r="N6" t="s">
        <v>141</v>
      </c>
      <c r="O6">
        <f xml:space="preserve"> O5 / (PI() * $C$7^2)</f>
        <v>7.8068284068047609E-3</v>
      </c>
      <c r="R6" t="s">
        <v>141</v>
      </c>
      <c r="S6">
        <f xml:space="preserve"> S5 / (PI() * $C$7^2)</f>
        <v>7.8068284068047609E-3</v>
      </c>
      <c r="X6" s="3">
        <v>2</v>
      </c>
      <c r="Y6" s="3">
        <f t="shared" ref="Y6:Y34" si="15">IF(AE5&gt;0, AC5, Y5)</f>
        <v>0</v>
      </c>
      <c r="Z6" s="3">
        <f t="shared" si="0"/>
        <v>1.6356184527586439E-2</v>
      </c>
      <c r="AA6" s="3">
        <f t="shared" ref="AA6:AA34" si="16">IF(AF5&gt;0, AC5, AA5)</f>
        <v>0.25</v>
      </c>
      <c r="AB6" s="3">
        <f t="shared" si="1"/>
        <v>-0.23563389562429024</v>
      </c>
      <c r="AC6" s="3">
        <f t="shared" si="2"/>
        <v>0.125</v>
      </c>
      <c r="AD6" s="3">
        <f t="shared" si="3"/>
        <v>-0.10940932303823914</v>
      </c>
      <c r="AE6" s="3">
        <f t="shared" si="4"/>
        <v>-1.7895190766517536E-3</v>
      </c>
      <c r="AF6" s="3">
        <f t="shared" si="5"/>
        <v>2.5780545005116694E-2</v>
      </c>
      <c r="AG6" s="3">
        <f t="shared" si="6"/>
        <v>0.25</v>
      </c>
      <c r="AI6" s="3">
        <v>2</v>
      </c>
      <c r="AJ6" s="3">
        <f>IF(AP5&gt;0, AN5, AJ5)</f>
        <v>500</v>
      </c>
      <c r="AK6" s="3">
        <v>-1140.6406953628889</v>
      </c>
      <c r="AL6" s="3">
        <f>IF(AQ5&gt;0, AN5, AL5)</f>
        <v>2750</v>
      </c>
      <c r="AM6" s="3">
        <v>141.50707861198043</v>
      </c>
      <c r="AN6" s="3">
        <f t="shared" ref="AN6:AN43" si="17">(AJ6+AL6)/2</f>
        <v>1625</v>
      </c>
      <c r="AO6" s="3">
        <v>-509.23959046842015</v>
      </c>
      <c r="AP6" s="3">
        <f t="shared" ref="AP6:AP44" si="18">AK6*AO6</f>
        <v>580859.40057821153</v>
      </c>
      <c r="AQ6" s="3">
        <f t="shared" ref="AQ6:AQ44" si="19">AM6*AO6</f>
        <v>-72061.006760747448</v>
      </c>
      <c r="AR6" s="3">
        <f t="shared" ref="AR6:AR44" si="20">AL6-AJ6</f>
        <v>2250</v>
      </c>
      <c r="AT6" s="3"/>
      <c r="AU6" s="3"/>
      <c r="AV6" s="27"/>
      <c r="AW6"/>
      <c r="AX6" s="3" t="s">
        <v>182</v>
      </c>
      <c r="AY6" s="34">
        <f>$AU$4/60</f>
        <v>8.0159130032795165</v>
      </c>
      <c r="AZ6" s="27" t="s">
        <v>183</v>
      </c>
      <c r="BA6"/>
      <c r="BB6" s="3" t="s">
        <v>184</v>
      </c>
      <c r="BC6" s="3">
        <f>(1-$BK$19)*$AY$5*$AU$19</f>
        <v>34.367887184940052</v>
      </c>
      <c r="BD6" s="27" t="s">
        <v>10</v>
      </c>
      <c r="BE6"/>
      <c r="BF6" s="3" t="s">
        <v>184</v>
      </c>
      <c r="BG6" s="3">
        <f>(1-$BO$19)*$AY$5*$AU$20</f>
        <v>56.431667582706055</v>
      </c>
      <c r="BH6" s="27" t="s">
        <v>10</v>
      </c>
      <c r="BI6"/>
      <c r="BJ6" s="3" t="s">
        <v>29</v>
      </c>
      <c r="BK6" s="3">
        <f>BK5-BK4</f>
        <v>4.1024116830713941E-2</v>
      </c>
      <c r="BL6" s="3" t="s">
        <v>176</v>
      </c>
      <c r="BM6" s="3"/>
      <c r="BN6" s="3" t="s">
        <v>29</v>
      </c>
      <c r="BO6" s="3">
        <f>BO5-BO4</f>
        <v>4.9661287138047849E-2</v>
      </c>
      <c r="BP6" s="3" t="s">
        <v>176</v>
      </c>
      <c r="BQ6"/>
      <c r="BR6" s="3">
        <v>2</v>
      </c>
      <c r="BS6" s="3">
        <f t="shared" ref="BS6:BS34" si="21">IF(BY5&gt;0,BW5,BS5)</f>
        <v>3.1415926535897934E-2</v>
      </c>
      <c r="BT6" s="3">
        <v>-1.8798633392142958</v>
      </c>
      <c r="BU6" s="3">
        <f t="shared" ref="BU6:BU34" si="22">IF(BZ5&gt;0,BW5,BU5)</f>
        <v>1.4294246573833558</v>
      </c>
      <c r="BV6" s="3">
        <v>1.0826826835356269</v>
      </c>
      <c r="BW6" s="3">
        <f t="shared" si="7"/>
        <v>0.73042029195962688</v>
      </c>
      <c r="BX6" s="3">
        <v>0.72511056294708309</v>
      </c>
      <c r="BY6" s="3">
        <f t="shared" si="8"/>
        <v>-1.3631087641612614</v>
      </c>
      <c r="BZ6" s="3">
        <f t="shared" si="9"/>
        <v>0.785064650151577</v>
      </c>
      <c r="CA6" s="3">
        <f t="shared" si="10"/>
        <v>1.3980087308474578</v>
      </c>
      <c r="CB6"/>
      <c r="CC6" s="3">
        <v>2</v>
      </c>
      <c r="CD6" s="3">
        <f t="shared" ref="CD6:CD34" si="23">IF(CJ5&gt;0,CH5,CD5)</f>
        <v>3.1415926535897934E-2</v>
      </c>
      <c r="CE6" s="3">
        <v>-1.0017549024312897</v>
      </c>
      <c r="CF6" s="3">
        <f t="shared" ref="CF6:CF34" si="24">IF(CK5&gt;0,CH5,CF5)</f>
        <v>1.4294246573833558</v>
      </c>
      <c r="CG6" s="3">
        <v>1.0342931904265249</v>
      </c>
      <c r="CH6" s="3">
        <f t="shared" si="11"/>
        <v>0.73042029195962688</v>
      </c>
      <c r="CI6" s="3">
        <v>0.69461396412407428</v>
      </c>
      <c r="CJ6" s="3">
        <f t="shared" si="12"/>
        <v>-0.69583294385852346</v>
      </c>
      <c r="CK6" s="3">
        <f t="shared" si="13"/>
        <v>0.71843449306870444</v>
      </c>
      <c r="CL6" s="3">
        <f t="shared" si="14"/>
        <v>1.3980087308474578</v>
      </c>
    </row>
    <row r="7" spans="2:90" x14ac:dyDescent="0.2">
      <c r="B7" s="7" t="s">
        <v>112</v>
      </c>
      <c r="C7" s="18">
        <v>3.99288</v>
      </c>
      <c r="D7" s="7" t="s">
        <v>8</v>
      </c>
      <c r="J7" s="55" t="s">
        <v>24</v>
      </c>
      <c r="K7" s="55"/>
      <c r="L7" s="55"/>
      <c r="N7" t="s">
        <v>143</v>
      </c>
      <c r="O7" s="18">
        <v>1.3444360000000001E-2</v>
      </c>
      <c r="R7" t="s">
        <v>143</v>
      </c>
      <c r="S7" s="18">
        <v>1.24632153260224E-2</v>
      </c>
      <c r="X7" s="3">
        <v>3</v>
      </c>
      <c r="Y7" s="3">
        <f t="shared" si="15"/>
        <v>0</v>
      </c>
      <c r="Z7" s="3">
        <f t="shared" si="0"/>
        <v>1.6356184527586439E-2</v>
      </c>
      <c r="AA7" s="3">
        <f t="shared" si="16"/>
        <v>0.125</v>
      </c>
      <c r="AB7" s="3">
        <f t="shared" si="1"/>
        <v>-0.10940932303823914</v>
      </c>
      <c r="AC7" s="3">
        <f t="shared" si="2"/>
        <v>6.25E-2</v>
      </c>
      <c r="AD7" s="3">
        <f t="shared" si="3"/>
        <v>-4.6367026774762912E-2</v>
      </c>
      <c r="AE7" s="3">
        <f t="shared" si="4"/>
        <v>-7.5838764592356335E-4</v>
      </c>
      <c r="AF7" s="3">
        <f t="shared" si="5"/>
        <v>5.0729850107227191E-3</v>
      </c>
      <c r="AG7" s="3">
        <f t="shared" si="6"/>
        <v>0.125</v>
      </c>
      <c r="AI7" s="3">
        <v>3</v>
      </c>
      <c r="AJ7" s="3">
        <f t="shared" ref="AJ7:AJ44" si="25">IF(AP6&gt;0, AN6, AJ6)</f>
        <v>1625</v>
      </c>
      <c r="AK7" s="3">
        <v>-509.23959046842015</v>
      </c>
      <c r="AL7" s="3">
        <f t="shared" ref="AL7:AL44" si="26">IF(AQ6&gt;0, AN6, AL6)</f>
        <v>2750</v>
      </c>
      <c r="AM7" s="3">
        <v>141.50707861198043</v>
      </c>
      <c r="AN7" s="3">
        <f t="shared" si="17"/>
        <v>2187.5</v>
      </c>
      <c r="AO7" s="3">
        <v>-179.03956157476296</v>
      </c>
      <c r="AP7" s="3">
        <f t="shared" si="18"/>
        <v>91174.03301397778</v>
      </c>
      <c r="AQ7" s="3">
        <f t="shared" si="19"/>
        <v>-25335.365314414492</v>
      </c>
      <c r="AR7" s="3">
        <f t="shared" si="20"/>
        <v>1125</v>
      </c>
      <c r="AT7" s="61" t="s">
        <v>186</v>
      </c>
      <c r="AU7" s="61"/>
      <c r="AV7" s="61"/>
      <c r="AW7"/>
      <c r="AX7" s="3" t="s">
        <v>187</v>
      </c>
      <c r="AY7" s="34">
        <f>$AU$3/(AY6*AU9)</f>
        <v>7.9358685063244862E-3</v>
      </c>
      <c r="AZ7"/>
      <c r="BA7"/>
      <c r="BB7" s="3" t="s">
        <v>188</v>
      </c>
      <c r="BC7" s="3">
        <f>SQRT(BC5^2 + BC6^2)</f>
        <v>34.801061398554701</v>
      </c>
      <c r="BD7" s="27" t="s">
        <v>10</v>
      </c>
      <c r="BE7"/>
      <c r="BF7" s="3" t="s">
        <v>188</v>
      </c>
      <c r="BG7" s="3">
        <f>SQRT(BG5^2 + BG6^2)</f>
        <v>56.88453634043919</v>
      </c>
      <c r="BH7" s="27" t="s">
        <v>10</v>
      </c>
      <c r="BI7"/>
      <c r="BJ7" s="3" t="s">
        <v>189</v>
      </c>
      <c r="BK7" s="3">
        <f>BK6/PI()*180</f>
        <v>2.3505087526515154</v>
      </c>
      <c r="BL7" s="3" t="s">
        <v>44</v>
      </c>
      <c r="BM7" s="3"/>
      <c r="BN7" s="3" t="s">
        <v>189</v>
      </c>
      <c r="BO7" s="3">
        <f>BO6/PI()*180</f>
        <v>2.8453821581974608</v>
      </c>
      <c r="BP7" s="3" t="s">
        <v>44</v>
      </c>
      <c r="BQ7"/>
      <c r="BR7" s="3">
        <v>3</v>
      </c>
      <c r="BS7" s="3">
        <f t="shared" si="21"/>
        <v>3.1415926535897934E-2</v>
      </c>
      <c r="BT7" s="3">
        <v>-1.8798633392142958</v>
      </c>
      <c r="BU7" s="3">
        <f t="shared" si="22"/>
        <v>0.73042029195962688</v>
      </c>
      <c r="BV7" s="3">
        <v>0.72511056294708309</v>
      </c>
      <c r="BW7" s="3">
        <f t="shared" si="7"/>
        <v>0.38091810924776243</v>
      </c>
      <c r="BX7" s="3">
        <v>0.439459644556422</v>
      </c>
      <c r="BY7" s="3">
        <f t="shared" si="8"/>
        <v>-0.826124074865763</v>
      </c>
      <c r="BZ7" s="3">
        <f t="shared" si="9"/>
        <v>0.31865683025683222</v>
      </c>
      <c r="CA7" s="3">
        <f t="shared" si="10"/>
        <v>0.6990043654237289</v>
      </c>
      <c r="CB7"/>
      <c r="CC7" s="3">
        <v>3</v>
      </c>
      <c r="CD7" s="3">
        <f t="shared" si="23"/>
        <v>3.1415926535897934E-2</v>
      </c>
      <c r="CE7" s="3">
        <v>-1.0017549024312897</v>
      </c>
      <c r="CF7" s="3">
        <f t="shared" si="24"/>
        <v>0.73042029195962688</v>
      </c>
      <c r="CG7" s="3">
        <v>0.69461396412407428</v>
      </c>
      <c r="CH7" s="3">
        <f t="shared" si="11"/>
        <v>0.38091810924776243</v>
      </c>
      <c r="CI7" s="3">
        <v>0.40583555908909069</v>
      </c>
      <c r="CJ7" s="3">
        <f t="shared" si="12"/>
        <v>-0.40654776089843997</v>
      </c>
      <c r="CK7" s="3">
        <f t="shared" si="13"/>
        <v>0.28189904648138325</v>
      </c>
      <c r="CL7" s="3">
        <f t="shared" si="14"/>
        <v>0.6990043654237289</v>
      </c>
    </row>
    <row r="8" spans="2:90" x14ac:dyDescent="0.2">
      <c r="B8" s="7" t="s">
        <v>245</v>
      </c>
      <c r="C8" s="18">
        <f>(0.071475+0.069425+0.067375+0.065325+0.063275+0.061225+0.059175+0.057125)/8</f>
        <v>6.4299999999999982E-2</v>
      </c>
      <c r="F8" s="53" t="s">
        <v>85</v>
      </c>
      <c r="G8" s="54"/>
      <c r="H8" s="54"/>
      <c r="J8" s="7" t="s">
        <v>116</v>
      </c>
      <c r="K8" s="7">
        <f xml:space="preserve"> $C$16 * (G6*G4 + G18*G11 + G23*G21 + G36*G29 + G43*G39 + G48*G46 + G55*G53)/3600 + G59*G58/3600</f>
        <v>332.21802630913095</v>
      </c>
      <c r="L8" s="7" t="s">
        <v>124</v>
      </c>
      <c r="N8" s="7" t="s">
        <v>142</v>
      </c>
      <c r="O8" s="7">
        <f xml:space="preserve"> $O$7 + O6</f>
        <v>2.1251188406804761E-2</v>
      </c>
      <c r="R8" s="7" t="s">
        <v>142</v>
      </c>
      <c r="S8" s="7">
        <f xml:space="preserve"> $S$7 + S6</f>
        <v>2.0270043732827162E-2</v>
      </c>
      <c r="X8" s="3">
        <v>4</v>
      </c>
      <c r="Y8" s="3">
        <f t="shared" si="15"/>
        <v>0</v>
      </c>
      <c r="Z8" s="3">
        <f t="shared" si="0"/>
        <v>1.6356184527586439E-2</v>
      </c>
      <c r="AA8" s="3">
        <f t="shared" si="16"/>
        <v>6.25E-2</v>
      </c>
      <c r="AB8" s="3">
        <f t="shared" si="1"/>
        <v>-4.6367026774762912E-2</v>
      </c>
      <c r="AC8" s="3">
        <f t="shared" si="2"/>
        <v>3.125E-2</v>
      </c>
      <c r="AD8" s="3">
        <f t="shared" si="3"/>
        <v>-1.4952093799769188E-2</v>
      </c>
      <c r="AE8" s="3">
        <f t="shared" si="4"/>
        <v>-2.4455920526280593E-4</v>
      </c>
      <c r="AF8" s="3">
        <f t="shared" si="5"/>
        <v>6.9328413355266444E-4</v>
      </c>
      <c r="AG8" s="3">
        <f t="shared" si="6"/>
        <v>6.25E-2</v>
      </c>
      <c r="AI8" s="3">
        <v>4</v>
      </c>
      <c r="AJ8" s="3">
        <f t="shared" si="25"/>
        <v>2187.5</v>
      </c>
      <c r="AK8" s="3">
        <v>-179.03956157476296</v>
      </c>
      <c r="AL8" s="3">
        <f t="shared" si="26"/>
        <v>2750</v>
      </c>
      <c r="AM8" s="3">
        <v>141.50707861198043</v>
      </c>
      <c r="AN8" s="3">
        <f t="shared" si="17"/>
        <v>2468.75</v>
      </c>
      <c r="AO8" s="3">
        <v>-17.279174237053212</v>
      </c>
      <c r="AP8" s="3">
        <f t="shared" si="18"/>
        <v>3093.6557797759465</v>
      </c>
      <c r="AQ8" s="3">
        <f t="shared" si="19"/>
        <v>-2445.1254671127958</v>
      </c>
      <c r="AR8" s="3">
        <f t="shared" si="20"/>
        <v>562.5</v>
      </c>
      <c r="AT8" s="3" t="s">
        <v>190</v>
      </c>
      <c r="AU8" s="3">
        <f>$C$20</f>
        <v>3</v>
      </c>
      <c r="AV8" s="27"/>
      <c r="AW8"/>
      <c r="AX8"/>
      <c r="AY8"/>
      <c r="AZ8"/>
      <c r="BA8"/>
      <c r="BB8" s="3" t="s">
        <v>191</v>
      </c>
      <c r="BC8" s="38">
        <f>$AU$45*BC7*$AU$27/$AU$46</f>
        <v>587055.52446155366</v>
      </c>
      <c r="BD8" s="27"/>
      <c r="BE8"/>
      <c r="BF8" s="3" t="s">
        <v>191</v>
      </c>
      <c r="BG8" s="38">
        <f>$AU$45*BG7*$AU$28/$AU$46</f>
        <v>932057.35214177775</v>
      </c>
      <c r="BH8" s="27"/>
      <c r="BI8"/>
      <c r="BJ8" s="3" t="s">
        <v>192</v>
      </c>
      <c r="BK8" s="3">
        <f xml:space="preserve"> $AU$8*$AU$27 / (2*PI()*$AU$19)</f>
        <v>0.1950102781284552</v>
      </c>
      <c r="BL8" s="3"/>
      <c r="BM8" s="3"/>
      <c r="BN8" s="3" t="s">
        <v>192</v>
      </c>
      <c r="BO8" s="3">
        <f xml:space="preserve"> $AU$8*$AU$28 / (2*PI()*$AU$20)</f>
        <v>0.11630875709636668</v>
      </c>
      <c r="BP8" s="3"/>
      <c r="BQ8"/>
      <c r="BR8" s="3">
        <v>4</v>
      </c>
      <c r="BS8" s="3">
        <f t="shared" si="21"/>
        <v>3.1415926535897934E-2</v>
      </c>
      <c r="BT8" s="3">
        <v>-1.8798633392142958</v>
      </c>
      <c r="BU8" s="3">
        <f t="shared" si="22"/>
        <v>0.38091810924776243</v>
      </c>
      <c r="BV8" s="3">
        <v>0.439459644556422</v>
      </c>
      <c r="BW8" s="3">
        <f t="shared" si="7"/>
        <v>0.20616701789183017</v>
      </c>
      <c r="BX8" s="3">
        <v>0.15947836544733077</v>
      </c>
      <c r="BY8" s="3">
        <f t="shared" si="8"/>
        <v>-0.299797532602257</v>
      </c>
      <c r="BZ8" s="3">
        <f t="shared" si="9"/>
        <v>7.0084305793923149E-2</v>
      </c>
      <c r="CA8" s="3">
        <f t="shared" si="10"/>
        <v>0.34950218271186451</v>
      </c>
      <c r="CB8"/>
      <c r="CC8" s="3">
        <v>4</v>
      </c>
      <c r="CD8" s="3">
        <f t="shared" si="23"/>
        <v>3.1415926535897934E-2</v>
      </c>
      <c r="CE8" s="3">
        <v>-1.0017549024312897</v>
      </c>
      <c r="CF8" s="3">
        <f t="shared" si="24"/>
        <v>0.38091810924776243</v>
      </c>
      <c r="CG8" s="3">
        <v>0.40583555908909069</v>
      </c>
      <c r="CH8" s="3">
        <f t="shared" si="11"/>
        <v>0.20616701789183017</v>
      </c>
      <c r="CI8" s="3">
        <v>0.19942005852776482</v>
      </c>
      <c r="CJ8" s="3">
        <f t="shared" si="12"/>
        <v>-0.19977002127332313</v>
      </c>
      <c r="CK8" s="3">
        <f t="shared" si="13"/>
        <v>8.0931750946194619E-2</v>
      </c>
      <c r="CL8" s="3">
        <f t="shared" si="14"/>
        <v>0.34950218271186451</v>
      </c>
    </row>
    <row r="9" spans="2:90" x14ac:dyDescent="0.2">
      <c r="B9" s="7" t="s">
        <v>9</v>
      </c>
      <c r="C9" s="18">
        <v>50.415599999999998</v>
      </c>
      <c r="D9" s="7" t="s">
        <v>10</v>
      </c>
      <c r="F9" t="s">
        <v>89</v>
      </c>
      <c r="G9" s="1">
        <f>100*0.3048/60</f>
        <v>0.50800000000000001</v>
      </c>
      <c r="H9" t="s">
        <v>10</v>
      </c>
      <c r="J9" s="7" t="s">
        <v>303</v>
      </c>
      <c r="K9" s="7">
        <f xml:space="preserve"> $C$16 * (G4 + G11 + G21 + G29 + G39 + G46 + G53)/60 + G58/60</f>
        <v>74.410468430847828</v>
      </c>
      <c r="L9" s="7" t="s">
        <v>125</v>
      </c>
      <c r="N9" s="7" t="s">
        <v>42</v>
      </c>
      <c r="O9" s="7">
        <f xml:space="preserve"> O4 *O8 * PI() * $C$7^2</f>
        <v>425.06937768183462</v>
      </c>
      <c r="P9" s="7" t="s">
        <v>23</v>
      </c>
      <c r="R9" s="7" t="s">
        <v>42</v>
      </c>
      <c r="S9" s="7">
        <f xml:space="preserve"> S4 *S8 * PI() * $C$7 * $C$7</f>
        <v>1167.6339811520461</v>
      </c>
      <c r="T9" s="7" t="s">
        <v>23</v>
      </c>
      <c r="X9" s="3">
        <v>5</v>
      </c>
      <c r="Y9" s="3">
        <f t="shared" si="15"/>
        <v>0</v>
      </c>
      <c r="Z9" s="3">
        <f t="shared" si="0"/>
        <v>1.6356184527586439E-2</v>
      </c>
      <c r="AA9" s="3">
        <f t="shared" si="16"/>
        <v>3.125E-2</v>
      </c>
      <c r="AB9" s="3">
        <f t="shared" si="1"/>
        <v>-1.4952093799769188E-2</v>
      </c>
      <c r="AC9" s="3">
        <f t="shared" si="2"/>
        <v>1.5625E-2</v>
      </c>
      <c r="AD9" s="3">
        <f t="shared" si="3"/>
        <v>7.164505536657248E-4</v>
      </c>
      <c r="AE9" s="3">
        <f t="shared" si="4"/>
        <v>1.1718397460648065E-5</v>
      </c>
      <c r="AF9" s="3">
        <f t="shared" si="5"/>
        <v>-1.0712435881306485E-5</v>
      </c>
      <c r="AG9" s="3">
        <f t="shared" si="6"/>
        <v>3.125E-2</v>
      </c>
      <c r="AI9" s="3">
        <v>5</v>
      </c>
      <c r="AJ9" s="3">
        <f t="shared" si="25"/>
        <v>2468.75</v>
      </c>
      <c r="AK9" s="3">
        <v>-17.279174237053212</v>
      </c>
      <c r="AL9" s="3">
        <f t="shared" si="26"/>
        <v>2750</v>
      </c>
      <c r="AM9" s="3">
        <v>141.50707861198043</v>
      </c>
      <c r="AN9" s="3">
        <f t="shared" si="17"/>
        <v>2609.375</v>
      </c>
      <c r="AO9" s="3">
        <v>62.995219575250303</v>
      </c>
      <c r="AP9" s="3">
        <f t="shared" si="18"/>
        <v>-1088.5053751421751</v>
      </c>
      <c r="AQ9" s="3">
        <f t="shared" si="19"/>
        <v>8914.2694886139125</v>
      </c>
      <c r="AR9" s="3">
        <f t="shared" si="20"/>
        <v>281.25</v>
      </c>
      <c r="AT9" s="3" t="s">
        <v>193</v>
      </c>
      <c r="AU9" s="3">
        <f>2*$C$7</f>
        <v>7.98576</v>
      </c>
      <c r="AV9" s="27" t="s">
        <v>8</v>
      </c>
      <c r="AW9"/>
      <c r="AX9" s="61" t="s">
        <v>194</v>
      </c>
      <c r="AY9" s="61"/>
      <c r="AZ9" s="61"/>
      <c r="BA9"/>
      <c r="BB9" s="3" t="s">
        <v>195</v>
      </c>
      <c r="BC9" s="34">
        <f xml:space="preserve"> $BK$8 * PI() * $AU$45 * BC7^2 *$BK$14 * $AU$19 * BC4</f>
        <v>103.85981012050885</v>
      </c>
      <c r="BD9" s="27" t="s">
        <v>23</v>
      </c>
      <c r="BE9"/>
      <c r="BF9" s="3" t="s">
        <v>195</v>
      </c>
      <c r="BG9" s="34">
        <f xml:space="preserve"> $BO$8 * PI() * $AU$45 * BG7^2 * $BO$14 * $AU$20 * BG4</f>
        <v>306.23507385202566</v>
      </c>
      <c r="BH9" s="27" t="s">
        <v>23</v>
      </c>
      <c r="BI9"/>
      <c r="BJ9" s="3" t="s">
        <v>196</v>
      </c>
      <c r="BK9" s="3">
        <f>IF(-$AU$8*($AY$3-$AU$19)/(2*$AU$19*SIN(BK4))&gt;500, 1, 2*ACOS(MIN(1, EXP(-$AU$8*($AY$3-$AU$19)/(2*$AU$19*SIN(BK4)))))/PI() )</f>
        <v>1</v>
      </c>
      <c r="BL9" s="3"/>
      <c r="BM9" s="3"/>
      <c r="BN9" s="3" t="s">
        <v>196</v>
      </c>
      <c r="BO9" s="3">
        <f>IF(-$AU$8*($AY$3-$AU$20)/(2*$AU$20*SIN(BO4))&gt;500, 1, 2*ACOS(MIN(1, EXP(-$AU$8*($AY$3-$AU$20)/(2*$AU$20*SIN(BO4)))))/PI() )</f>
        <v>0.99999999999993294</v>
      </c>
      <c r="BP9" s="3"/>
      <c r="BQ9"/>
      <c r="BR9" s="3">
        <v>5</v>
      </c>
      <c r="BS9" s="3">
        <f t="shared" si="21"/>
        <v>3.1415926535897934E-2</v>
      </c>
      <c r="BT9" s="3">
        <v>-1.8798633392142958</v>
      </c>
      <c r="BU9" s="3">
        <f t="shared" si="22"/>
        <v>0.20616701789183017</v>
      </c>
      <c r="BV9" s="3">
        <v>0.15947836544733077</v>
      </c>
      <c r="BW9" s="3">
        <f t="shared" si="7"/>
        <v>0.11879147221386405</v>
      </c>
      <c r="BX9" s="3">
        <v>-0.19232530678266946</v>
      </c>
      <c r="BY9" s="3">
        <f t="shared" si="8"/>
        <v>0.36154529342388286</v>
      </c>
      <c r="BZ9" s="3">
        <f t="shared" si="9"/>
        <v>-3.0671725559856561E-2</v>
      </c>
      <c r="CA9" s="3">
        <f t="shared" si="10"/>
        <v>0.17475109135593225</v>
      </c>
      <c r="CB9"/>
      <c r="CC9" s="3">
        <v>5</v>
      </c>
      <c r="CD9" s="3">
        <f t="shared" si="23"/>
        <v>3.1415926535897934E-2</v>
      </c>
      <c r="CE9" s="3">
        <v>-1.0017549024312897</v>
      </c>
      <c r="CF9" s="3">
        <f t="shared" si="24"/>
        <v>0.20616701789183017</v>
      </c>
      <c r="CG9" s="3">
        <v>0.19942005852776482</v>
      </c>
      <c r="CH9" s="3">
        <f t="shared" si="11"/>
        <v>0.11879147221386405</v>
      </c>
      <c r="CI9" s="3">
        <v>-2.7267366511086782E-2</v>
      </c>
      <c r="CJ9" s="3">
        <f t="shared" si="12"/>
        <v>2.7315218078871956E-2</v>
      </c>
      <c r="CK9" s="3">
        <f t="shared" si="13"/>
        <v>-5.4376598255389402E-3</v>
      </c>
      <c r="CL9" s="3">
        <f t="shared" si="14"/>
        <v>0.17475109135593225</v>
      </c>
    </row>
    <row r="10" spans="2:90" x14ac:dyDescent="0.2">
      <c r="B10" s="7" t="s">
        <v>322</v>
      </c>
      <c r="C10" s="18">
        <v>0.22</v>
      </c>
      <c r="F10" t="s">
        <v>92</v>
      </c>
      <c r="G10" s="1">
        <f>50*0.3048</f>
        <v>15.24</v>
      </c>
      <c r="H10" t="s">
        <v>8</v>
      </c>
      <c r="N10" s="7" t="s">
        <v>43</v>
      </c>
      <c r="O10" s="7">
        <f xml:space="preserve"> O9</f>
        <v>425.06937768183462</v>
      </c>
      <c r="P10" s="7" t="s">
        <v>23</v>
      </c>
      <c r="R10" s="7" t="s">
        <v>43</v>
      </c>
      <c r="S10" s="7">
        <f xml:space="preserve"> S9</f>
        <v>1167.6339811520461</v>
      </c>
      <c r="T10" s="7" t="s">
        <v>23</v>
      </c>
      <c r="X10" s="3">
        <v>6</v>
      </c>
      <c r="Y10" s="3">
        <f t="shared" si="15"/>
        <v>1.5625E-2</v>
      </c>
      <c r="Z10" s="3">
        <f t="shared" si="0"/>
        <v>7.164505536657248E-4</v>
      </c>
      <c r="AA10" s="3">
        <f t="shared" si="16"/>
        <v>3.125E-2</v>
      </c>
      <c r="AB10" s="3">
        <f t="shared" si="1"/>
        <v>-1.4952093799769188E-2</v>
      </c>
      <c r="AC10" s="3">
        <f t="shared" si="2"/>
        <v>2.34375E-2</v>
      </c>
      <c r="AD10" s="3">
        <f t="shared" si="3"/>
        <v>-7.1143116747516832E-3</v>
      </c>
      <c r="AE10" s="3">
        <f t="shared" si="4"/>
        <v>-5.0970525383263731E-6</v>
      </c>
      <c r="AF10" s="3">
        <f t="shared" si="5"/>
        <v>1.0637385548168018E-4</v>
      </c>
      <c r="AG10" s="3">
        <f t="shared" si="6"/>
        <v>1.5625E-2</v>
      </c>
      <c r="AI10" s="3">
        <v>6</v>
      </c>
      <c r="AJ10" s="3">
        <f t="shared" si="25"/>
        <v>2468.75</v>
      </c>
      <c r="AK10" s="3">
        <v>-17.279174237053212</v>
      </c>
      <c r="AL10" s="3">
        <f t="shared" si="26"/>
        <v>2609.375</v>
      </c>
      <c r="AM10" s="3">
        <v>62.995219575250303</v>
      </c>
      <c r="AN10" s="3">
        <f t="shared" si="17"/>
        <v>2539.0625</v>
      </c>
      <c r="AO10" s="3">
        <v>22.912787714816659</v>
      </c>
      <c r="AP10" s="3">
        <f t="shared" si="18"/>
        <v>-395.91405118092933</v>
      </c>
      <c r="AQ10" s="3">
        <f t="shared" si="19"/>
        <v>1443.396093175973</v>
      </c>
      <c r="AR10" s="3">
        <f t="shared" si="20"/>
        <v>140.625</v>
      </c>
      <c r="AT10" s="3" t="s">
        <v>197</v>
      </c>
      <c r="AU10" s="4">
        <f>0.12*($AU$9/2)</f>
        <v>0.4791456</v>
      </c>
      <c r="AV10" s="27" t="s">
        <v>8</v>
      </c>
      <c r="AW10"/>
      <c r="AX10" s="5" t="s">
        <v>198</v>
      </c>
      <c r="AY10" s="39">
        <f>BC9+BG9+BC18+BG18+BC27+BG27+BC36+BG36</f>
        <v>6123.0650339902213</v>
      </c>
      <c r="AZ10" s="27" t="s">
        <v>23</v>
      </c>
      <c r="BA10"/>
      <c r="BB10" s="3" t="s">
        <v>199</v>
      </c>
      <c r="BC10" s="34">
        <f xml:space="preserve"> $BK$8 * PI() * $AU$45 * BC7^2 * $BK$15 * $AU$19^2 * BC4</f>
        <v>12.059680232211443</v>
      </c>
      <c r="BD10" s="27" t="s">
        <v>200</v>
      </c>
      <c r="BE10"/>
      <c r="BF10" s="3" t="s">
        <v>199</v>
      </c>
      <c r="BG10" s="34">
        <f xml:space="preserve"> $BO$8 * PI() * $AU$45 * BG7^2 * $BO$15 * $AU$20^2 * BG4</f>
        <v>46.221247517058067</v>
      </c>
      <c r="BH10" s="27" t="s">
        <v>200</v>
      </c>
      <c r="BI10"/>
      <c r="BJ10" s="3" t="s">
        <v>201</v>
      </c>
      <c r="BK10" s="3">
        <f>IF(-$AU$8*($AU$19-$AU$10)/(2*$AU$19*SIN(BK4))&gt;500, 1, 2*ACOS(MIN(1, EXP(-$AU$8*($AU$19-$AU$10)/(2*$AU$19*SIN(BK4)))))/PI() )</f>
        <v>0.96820375250742863</v>
      </c>
      <c r="BL10" s="3"/>
      <c r="BM10" s="3"/>
      <c r="BN10" s="3" t="s">
        <v>201</v>
      </c>
      <c r="BO10" s="3">
        <f>IF(-$AU$8*($AU$20-$AU$10)/(2*$AU$20*SIN(BO4))&gt;500, 1, 2*ACOS(MIN(1, EXP(-$AU$8*($AU$20-$AU$10)/(2*$AU$20*SIN(BO4)))))/PI() )</f>
        <v>0.99935579888911741</v>
      </c>
      <c r="BP10" s="3"/>
      <c r="BQ10"/>
      <c r="BR10" s="3">
        <v>6</v>
      </c>
      <c r="BS10" s="3">
        <f t="shared" si="21"/>
        <v>0.11879147221386405</v>
      </c>
      <c r="BT10" s="3">
        <v>-0.19232530678266946</v>
      </c>
      <c r="BU10" s="3">
        <f t="shared" si="22"/>
        <v>0.20616701789183017</v>
      </c>
      <c r="BV10" s="3">
        <v>0.15947836544733077</v>
      </c>
      <c r="BW10" s="3">
        <f t="shared" si="7"/>
        <v>0.16247924505284711</v>
      </c>
      <c r="BX10" s="3">
        <v>1.7736157986674272E-2</v>
      </c>
      <c r="BY10" s="3">
        <f t="shared" si="8"/>
        <v>-3.4111120259330227E-3</v>
      </c>
      <c r="BZ10" s="3">
        <f t="shared" si="9"/>
        <v>2.828533485030434E-3</v>
      </c>
      <c r="CA10" s="3">
        <f t="shared" si="10"/>
        <v>8.7375545677966127E-2</v>
      </c>
      <c r="CB10"/>
      <c r="CC10" s="3">
        <v>6</v>
      </c>
      <c r="CD10" s="3">
        <f t="shared" si="23"/>
        <v>0.11879147221386405</v>
      </c>
      <c r="CE10" s="3">
        <v>-2.7267366511086782E-2</v>
      </c>
      <c r="CF10" s="3">
        <f t="shared" si="24"/>
        <v>0.20616701789183017</v>
      </c>
      <c r="CG10" s="3">
        <v>0.19942005852776482</v>
      </c>
      <c r="CH10" s="3">
        <f t="shared" si="11"/>
        <v>0.16247924505284711</v>
      </c>
      <c r="CI10" s="3">
        <v>0.10614366430523894</v>
      </c>
      <c r="CJ10" s="3">
        <f t="shared" si="12"/>
        <v>-2.8942581974407099E-3</v>
      </c>
      <c r="CK10" s="3">
        <f t="shared" si="13"/>
        <v>2.116717574810217E-2</v>
      </c>
      <c r="CL10" s="3">
        <f t="shared" si="14"/>
        <v>8.7375545677966127E-2</v>
      </c>
    </row>
    <row r="11" spans="2:90" x14ac:dyDescent="0.2">
      <c r="B11" s="7" t="s">
        <v>323</v>
      </c>
      <c r="C11" s="18">
        <v>0.22</v>
      </c>
      <c r="F11" t="s">
        <v>93</v>
      </c>
      <c r="G11" s="9">
        <f>$G$10/$G$9</f>
        <v>30</v>
      </c>
      <c r="H11" s="7" t="s">
        <v>14</v>
      </c>
      <c r="J11" s="53" t="s">
        <v>55</v>
      </c>
      <c r="K11" s="53"/>
      <c r="L11" s="53"/>
      <c r="N11" s="7" t="s">
        <v>138</v>
      </c>
      <c r="O11" s="7">
        <f>(O8*PI()*$C$7^2)/(0.3048^2)/($C$5*2.20462/1000)^(2/3) + 0.85</f>
        <v>4.5229429050422505</v>
      </c>
      <c r="R11" s="7" t="s">
        <v>138</v>
      </c>
      <c r="S11" s="7">
        <f>($S$8*PI()*$C$7^2)/(0.3048^2)/($C$5*2.20462/1000)^(2/3) + 0.85</f>
        <v>4.3533670535594187</v>
      </c>
      <c r="X11" s="3">
        <v>7</v>
      </c>
      <c r="Y11" s="3">
        <f t="shared" si="15"/>
        <v>1.5625E-2</v>
      </c>
      <c r="Z11" s="3">
        <f t="shared" si="0"/>
        <v>7.164505536657248E-4</v>
      </c>
      <c r="AA11" s="3">
        <f t="shared" si="16"/>
        <v>2.34375E-2</v>
      </c>
      <c r="AB11" s="3">
        <f t="shared" si="1"/>
        <v>-7.1143116747516832E-3</v>
      </c>
      <c r="AC11" s="3">
        <f t="shared" si="2"/>
        <v>1.953125E-2</v>
      </c>
      <c r="AD11" s="3">
        <f t="shared" si="3"/>
        <v>-3.1980386553402546E-3</v>
      </c>
      <c r="AE11" s="3">
        <f t="shared" si="4"/>
        <v>-2.2912365652629154E-6</v>
      </c>
      <c r="AF11" s="3">
        <f t="shared" si="5"/>
        <v>2.2751843741994349E-5</v>
      </c>
      <c r="AG11" s="3">
        <f t="shared" si="6"/>
        <v>7.8125E-3</v>
      </c>
      <c r="AI11" s="3">
        <v>7</v>
      </c>
      <c r="AJ11" s="3">
        <f t="shared" si="25"/>
        <v>2468.75</v>
      </c>
      <c r="AK11" s="3">
        <v>-17.279174237053212</v>
      </c>
      <c r="AL11" s="3">
        <f t="shared" si="26"/>
        <v>2539.0625</v>
      </c>
      <c r="AM11" s="3">
        <v>22.912787714816659</v>
      </c>
      <c r="AN11" s="3">
        <f t="shared" si="17"/>
        <v>2503.90625</v>
      </c>
      <c r="AO11" s="3">
        <v>2.8302236317031202</v>
      </c>
      <c r="AP11" s="3">
        <f t="shared" si="18"/>
        <v>-48.903927262023736</v>
      </c>
      <c r="AQ11" s="3">
        <f t="shared" si="19"/>
        <v>64.848313258671041</v>
      </c>
      <c r="AR11" s="3">
        <f t="shared" si="20"/>
        <v>70.3125</v>
      </c>
      <c r="AT11" s="51" t="s">
        <v>202</v>
      </c>
      <c r="AU11" s="4" t="s">
        <v>240</v>
      </c>
      <c r="AV11" s="27"/>
      <c r="AW11"/>
      <c r="AX11" s="5" t="s">
        <v>203</v>
      </c>
      <c r="AY11" s="39">
        <f>BC10+BG10+BC19+BG19+BC28+BG28+BC37+BG37</f>
        <v>1289.2399739495647</v>
      </c>
      <c r="AZ11" s="27" t="s">
        <v>200</v>
      </c>
      <c r="BA11"/>
      <c r="BB11"/>
      <c r="BC11" s="34"/>
      <c r="BD11"/>
      <c r="BE11"/>
      <c r="BF11"/>
      <c r="BG11"/>
      <c r="BH11"/>
      <c r="BI11"/>
      <c r="BJ11" s="3" t="s">
        <v>204</v>
      </c>
      <c r="BK11" s="3">
        <f>IF(BK4=0,1,BK9*BK10)</f>
        <v>0.96820375250742863</v>
      </c>
      <c r="BL11" s="3"/>
      <c r="BM11" s="3"/>
      <c r="BN11" s="3" t="s">
        <v>204</v>
      </c>
      <c r="BO11" s="3">
        <f>IF(BO4=0,1,BO9*BO10)</f>
        <v>0.99935579888905035</v>
      </c>
      <c r="BP11" s="3"/>
      <c r="BQ11"/>
      <c r="BR11" s="3">
        <v>7</v>
      </c>
      <c r="BS11" s="3">
        <f t="shared" si="21"/>
        <v>0.11879147221386405</v>
      </c>
      <c r="BT11" s="3">
        <v>-0.19232530678266946</v>
      </c>
      <c r="BU11" s="3">
        <f t="shared" si="22"/>
        <v>0.16247924505284711</v>
      </c>
      <c r="BV11" s="3">
        <v>1.7736157986674272E-2</v>
      </c>
      <c r="BW11" s="3">
        <f t="shared" si="7"/>
        <v>0.14063535863335558</v>
      </c>
      <c r="BX11" s="3">
        <v>-7.506701312035037E-2</v>
      </c>
      <c r="BY11" s="3">
        <f t="shared" si="8"/>
        <v>1.4437286327630059E-2</v>
      </c>
      <c r="BZ11" s="3">
        <f t="shared" si="9"/>
        <v>-1.3314004042902846E-3</v>
      </c>
      <c r="CA11" s="3">
        <f t="shared" si="10"/>
        <v>4.3687772838983063E-2</v>
      </c>
      <c r="CB11"/>
      <c r="CC11" s="3">
        <v>7</v>
      </c>
      <c r="CD11" s="3">
        <f t="shared" si="23"/>
        <v>0.11879147221386405</v>
      </c>
      <c r="CE11" s="3">
        <v>-2.7267366511086782E-2</v>
      </c>
      <c r="CF11" s="3">
        <f t="shared" si="24"/>
        <v>0.16247924505284711</v>
      </c>
      <c r="CG11" s="3">
        <v>0.10614366430523894</v>
      </c>
      <c r="CH11" s="3">
        <f t="shared" si="11"/>
        <v>0.14063535863335558</v>
      </c>
      <c r="CI11" s="3">
        <v>4.6520074197543872E-2</v>
      </c>
      <c r="CJ11" s="3">
        <f t="shared" si="12"/>
        <v>-1.26847991326738E-3</v>
      </c>
      <c r="CK11" s="3">
        <f t="shared" si="13"/>
        <v>4.9378111390789049E-3</v>
      </c>
      <c r="CL11" s="3">
        <f t="shared" si="14"/>
        <v>4.3687772838983063E-2</v>
      </c>
    </row>
    <row r="12" spans="2:90" x14ac:dyDescent="0.2">
      <c r="F12" t="s">
        <v>150</v>
      </c>
      <c r="G12" s="9">
        <f>$C$6*2*PI()*$C$7/60</f>
        <v>201.10326509968505</v>
      </c>
      <c r="H12" s="7" t="s">
        <v>10</v>
      </c>
      <c r="J12" s="11" t="s">
        <v>84</v>
      </c>
      <c r="K12" s="7">
        <f>C5</f>
        <v>2498.9554820881494</v>
      </c>
      <c r="L12" s="7" t="s">
        <v>7</v>
      </c>
      <c r="X12" s="3">
        <v>8</v>
      </c>
      <c r="Y12" s="3">
        <f t="shared" si="15"/>
        <v>1.5625E-2</v>
      </c>
      <c r="Z12" s="3">
        <f t="shared" si="0"/>
        <v>7.164505536657248E-4</v>
      </c>
      <c r="AA12" s="3">
        <f t="shared" si="16"/>
        <v>1.953125E-2</v>
      </c>
      <c r="AB12" s="3">
        <f t="shared" si="1"/>
        <v>-3.1980386553402546E-3</v>
      </c>
      <c r="AC12" s="3">
        <f t="shared" si="2"/>
        <v>1.7578125E-2</v>
      </c>
      <c r="AD12" s="3">
        <f t="shared" si="3"/>
        <v>-1.2405695259439901E-3</v>
      </c>
      <c r="AE12" s="3">
        <f t="shared" si="4"/>
        <v>-8.8880672372339748E-7</v>
      </c>
      <c r="AF12" s="3">
        <f t="shared" si="5"/>
        <v>3.9673892986060151E-6</v>
      </c>
      <c r="AG12" s="3">
        <f t="shared" si="6"/>
        <v>3.90625E-3</v>
      </c>
      <c r="AI12" s="3">
        <v>8</v>
      </c>
      <c r="AJ12" s="3">
        <f t="shared" si="25"/>
        <v>2468.75</v>
      </c>
      <c r="AK12" s="3">
        <v>-17.279174237053212</v>
      </c>
      <c r="AL12" s="3">
        <f t="shared" si="26"/>
        <v>2503.90625</v>
      </c>
      <c r="AM12" s="3">
        <v>2.8302236317031202</v>
      </c>
      <c r="AN12" s="3">
        <f t="shared" si="17"/>
        <v>2486.328125</v>
      </c>
      <c r="AO12" s="3">
        <v>-7.2211545066902545</v>
      </c>
      <c r="AP12" s="3">
        <f t="shared" si="18"/>
        <v>124.77558691378294</v>
      </c>
      <c r="AQ12" s="3">
        <f t="shared" si="19"/>
        <v>-20.437482133014246</v>
      </c>
      <c r="AR12" s="3">
        <f t="shared" si="20"/>
        <v>35.15625</v>
      </c>
      <c r="AT12" s="51"/>
      <c r="AU12" s="4" t="s">
        <v>240</v>
      </c>
      <c r="AV12" s="27"/>
      <c r="AW12"/>
      <c r="AX12" s="5" t="s">
        <v>205</v>
      </c>
      <c r="AY12" s="39">
        <f>AY11*AY5/1000</f>
        <v>64.93317311271322</v>
      </c>
      <c r="AZ12" s="27" t="s">
        <v>123</v>
      </c>
      <c r="BA12"/>
      <c r="BB12" s="62" t="s">
        <v>206</v>
      </c>
      <c r="BC12" s="62"/>
      <c r="BD12" s="62"/>
      <c r="BE12"/>
      <c r="BF12" s="62" t="s">
        <v>207</v>
      </c>
      <c r="BG12" s="62"/>
      <c r="BH12" s="62"/>
      <c r="BI12"/>
      <c r="BJ12" s="3" t="s">
        <v>208</v>
      </c>
      <c r="BK12" s="3">
        <f>IF(BK7&lt;$BD$43, $AY$44*BK7^2 + $AZ$44*BK7 + $BA$44, IF(BK7&gt;$BE$43, $BF$44*BK7^2 + $BG$44*BK7 + $BH$44, $BB$44*BK7^3 + $BC$44*BK7^2 + $BD$44*BK7 + $BE$44))</f>
        <v>0.4518176989235238</v>
      </c>
      <c r="BL12" s="3"/>
      <c r="BM12" s="3"/>
      <c r="BN12" s="3" t="s">
        <v>208</v>
      </c>
      <c r="BO12" s="3">
        <f>IF(BO7&lt;$BD$43, $AY$44*BO7^2 + $AZ$44*BO7 + $BA$44, IF(BO7&gt;$BE$43, $BF$44*BO7^2 + $BG$44*BO7 + $BH$44, $BB$44*BO7^3 + $BC$44*BO7^2 + $BD$44*BO7 + $BE$44))</f>
        <v>0.51083459105275542</v>
      </c>
      <c r="BP12" s="3"/>
      <c r="BQ12"/>
      <c r="BR12" s="3">
        <v>8</v>
      </c>
      <c r="BS12" s="3">
        <f t="shared" si="21"/>
        <v>0.14063535863335558</v>
      </c>
      <c r="BT12" s="3">
        <v>-7.506701312035037E-2</v>
      </c>
      <c r="BU12" s="3">
        <f t="shared" si="22"/>
        <v>0.16247924505284711</v>
      </c>
      <c r="BV12" s="3">
        <v>1.7736157986674272E-2</v>
      </c>
      <c r="BW12" s="3">
        <f t="shared" si="7"/>
        <v>0.15155730184310134</v>
      </c>
      <c r="BX12" s="3">
        <v>-2.6242215540989544E-2</v>
      </c>
      <c r="BY12" s="3">
        <f t="shared" si="8"/>
        <v>1.9699247383225247E-3</v>
      </c>
      <c r="BZ12" s="3">
        <f t="shared" si="9"/>
        <v>-4.6543608075534941E-4</v>
      </c>
      <c r="CA12" s="3">
        <f t="shared" si="10"/>
        <v>2.1843886419491532E-2</v>
      </c>
      <c r="CB12"/>
      <c r="CC12" s="3">
        <v>8</v>
      </c>
      <c r="CD12" s="3">
        <f t="shared" si="23"/>
        <v>0.11879147221386405</v>
      </c>
      <c r="CE12" s="3">
        <v>-2.7267366511086782E-2</v>
      </c>
      <c r="CF12" s="3">
        <f t="shared" si="24"/>
        <v>0.14063535863335558</v>
      </c>
      <c r="CG12" s="3">
        <v>4.6520074197543872E-2</v>
      </c>
      <c r="CH12" s="3">
        <f t="shared" si="11"/>
        <v>0.12971341542360981</v>
      </c>
      <c r="CI12" s="3">
        <v>1.180591884539223E-2</v>
      </c>
      <c r="CJ12" s="3">
        <f t="shared" si="12"/>
        <v>-3.2191631615745644E-4</v>
      </c>
      <c r="CK12" s="3">
        <f t="shared" si="13"/>
        <v>5.4921222065782804E-4</v>
      </c>
      <c r="CL12" s="3">
        <f t="shared" si="14"/>
        <v>2.1843886419491532E-2</v>
      </c>
    </row>
    <row r="13" spans="2:90" x14ac:dyDescent="0.2">
      <c r="B13" s="55" t="s">
        <v>12</v>
      </c>
      <c r="C13" s="55"/>
      <c r="D13" s="55"/>
      <c r="F13" s="7" t="s">
        <v>153</v>
      </c>
      <c r="G13" s="7">
        <f>G12/$C$43</f>
        <v>0.60338823040027045</v>
      </c>
      <c r="H13" s="7" t="s">
        <v>151</v>
      </c>
      <c r="J13" s="12" t="s">
        <v>56</v>
      </c>
      <c r="K13" s="7">
        <f xml:space="preserve"> K8 * 1000 / ($C$36 * $C$37 * $C$38)</f>
        <v>790.99530073602602</v>
      </c>
      <c r="L13" s="7" t="s">
        <v>7</v>
      </c>
      <c r="N13" s="53" t="s">
        <v>77</v>
      </c>
      <c r="O13" s="59"/>
      <c r="P13" s="59"/>
      <c r="R13" s="53" t="s">
        <v>77</v>
      </c>
      <c r="S13" s="59"/>
      <c r="T13" s="59"/>
      <c r="X13" s="3">
        <v>9</v>
      </c>
      <c r="Y13" s="3">
        <f t="shared" si="15"/>
        <v>1.5625E-2</v>
      </c>
      <c r="Z13" s="3">
        <f t="shared" si="0"/>
        <v>7.164505536657248E-4</v>
      </c>
      <c r="AA13" s="3">
        <f t="shared" si="16"/>
        <v>1.7578125E-2</v>
      </c>
      <c r="AB13" s="3">
        <f t="shared" si="1"/>
        <v>-1.2405695259439901E-3</v>
      </c>
      <c r="AC13" s="3">
        <f t="shared" si="2"/>
        <v>1.66015625E-2</v>
      </c>
      <c r="AD13" s="3">
        <f t="shared" si="3"/>
        <v>-2.6200317771707393E-4</v>
      </c>
      <c r="AE13" s="3">
        <f t="shared" si="4"/>
        <v>-1.8771232173757692E-7</v>
      </c>
      <c r="AF13" s="3">
        <f t="shared" si="5"/>
        <v>3.2503315797628939E-7</v>
      </c>
      <c r="AG13" s="3">
        <f t="shared" si="6"/>
        <v>1.953125E-3</v>
      </c>
      <c r="AI13" s="3">
        <v>9</v>
      </c>
      <c r="AJ13" s="3">
        <f t="shared" si="25"/>
        <v>2486.328125</v>
      </c>
      <c r="AK13" s="3">
        <v>-7.2211545066902545</v>
      </c>
      <c r="AL13" s="3">
        <f t="shared" si="26"/>
        <v>2503.90625</v>
      </c>
      <c r="AM13" s="3">
        <v>2.8302236317031202</v>
      </c>
      <c r="AN13" s="3">
        <f t="shared" si="17"/>
        <v>2495.1171875</v>
      </c>
      <c r="AO13" s="3">
        <v>-2.1946323506438148</v>
      </c>
      <c r="AP13" s="3">
        <f t="shared" si="18"/>
        <v>15.84777928937981</v>
      </c>
      <c r="AQ13" s="3">
        <f t="shared" si="19"/>
        <v>-6.2113003416922927</v>
      </c>
      <c r="AR13" s="3">
        <f t="shared" si="20"/>
        <v>17.578125</v>
      </c>
      <c r="AT13" s="51"/>
      <c r="AU13" s="4" t="s">
        <v>240</v>
      </c>
      <c r="AV13" s="27"/>
      <c r="AW13"/>
      <c r="AX13"/>
      <c r="AY13"/>
      <c r="AZ13"/>
      <c r="BA13"/>
      <c r="BB13" s="3" t="s">
        <v>174</v>
      </c>
      <c r="BC13" s="3">
        <f>$AU$21-$AU$20</f>
        <v>0.43921680000000007</v>
      </c>
      <c r="BD13" s="27" t="s">
        <v>8</v>
      </c>
      <c r="BE13"/>
      <c r="BF13" s="3" t="s">
        <v>174</v>
      </c>
      <c r="BG13" s="3">
        <f>$AU$22-$AU$21</f>
        <v>0.43921679999999985</v>
      </c>
      <c r="BH13" s="27" t="s">
        <v>8</v>
      </c>
      <c r="BI13"/>
      <c r="BJ13" s="3" t="s">
        <v>209</v>
      </c>
      <c r="BK13" s="3">
        <f>IF(BK7&lt;$BD$43, $AY$45*BK7^2 + $AZ$45*BK7 + $BA$45, IF(BK7&gt;$BE$43, $BF$45*BK7^2 + $BG$45*BK7 + $BH$45, $BB$45*BK7^3 + $BC$45*BK7^2 + $BD$45*BK7 + $BE$45))</f>
        <v>3.0390621517066979E-3</v>
      </c>
      <c r="BL13" s="3"/>
      <c r="BM13" s="3"/>
      <c r="BN13" s="3" t="s">
        <v>209</v>
      </c>
      <c r="BO13" s="3">
        <f>IF(BO7&lt;$BD$43, $AY$45*BO7^2 + $AZ$45*BO7 + $BA$45, IF(BO7&gt;$BE$43, $BF$45*BO7^2 + $BG$45*BO7 + $BH$45, $BB$45*BO7^3 + $BC$45*BO7^2 + $BD$45*BO7 + $BE$45))</f>
        <v>2.8590047030321759E-3</v>
      </c>
      <c r="BP13" s="3"/>
      <c r="BQ13"/>
      <c r="BR13" s="3">
        <v>9</v>
      </c>
      <c r="BS13" s="3">
        <f t="shared" si="21"/>
        <v>0.15155730184310134</v>
      </c>
      <c r="BT13" s="3">
        <v>-2.6242215540989544E-2</v>
      </c>
      <c r="BU13" s="3">
        <f t="shared" si="22"/>
        <v>0.16247924505284711</v>
      </c>
      <c r="BV13" s="3">
        <v>1.7736157986674272E-2</v>
      </c>
      <c r="BW13" s="3">
        <f t="shared" si="7"/>
        <v>0.15701827344797423</v>
      </c>
      <c r="BX13" s="3">
        <v>-3.706625724117606E-3</v>
      </c>
      <c r="BY13" s="3">
        <f t="shared" si="8"/>
        <v>9.7270071182070663E-5</v>
      </c>
      <c r="BZ13" s="3">
        <f t="shared" si="9"/>
        <v>-6.5741299440420789E-5</v>
      </c>
      <c r="CA13" s="3">
        <f t="shared" si="10"/>
        <v>1.0921943209745766E-2</v>
      </c>
      <c r="CB13"/>
      <c r="CC13" s="3">
        <v>9</v>
      </c>
      <c r="CD13" s="3">
        <f t="shared" si="23"/>
        <v>0.11879147221386405</v>
      </c>
      <c r="CE13" s="3">
        <v>-2.7267366511086782E-2</v>
      </c>
      <c r="CF13" s="3">
        <f t="shared" si="24"/>
        <v>0.12971341542360981</v>
      </c>
      <c r="CG13" s="3">
        <v>1.180591884539223E-2</v>
      </c>
      <c r="CH13" s="3">
        <f t="shared" si="11"/>
        <v>0.12425244381873693</v>
      </c>
      <c r="CI13" s="3">
        <v>-7.1190961731780831E-3</v>
      </c>
      <c r="CJ13" s="3">
        <f t="shared" si="12"/>
        <v>1.9411900458172213E-4</v>
      </c>
      <c r="CK13" s="3">
        <f t="shared" si="13"/>
        <v>-8.4047471673082838E-5</v>
      </c>
      <c r="CL13" s="3">
        <f t="shared" si="14"/>
        <v>1.0921943209745766E-2</v>
      </c>
    </row>
    <row r="14" spans="2:90" x14ac:dyDescent="0.2">
      <c r="B14" s="7" t="s">
        <v>72</v>
      </c>
      <c r="C14" s="7">
        <f>C25*90.7185</f>
        <v>544.31100000000004</v>
      </c>
      <c r="D14" s="7" t="s">
        <v>7</v>
      </c>
      <c r="F14" t="s">
        <v>22</v>
      </c>
      <c r="G14" s="7">
        <f xml:space="preserve"> $C$5 * $C$44 / $C$19</f>
        <v>6123.0650287587223</v>
      </c>
      <c r="H14" s="7" t="s">
        <v>23</v>
      </c>
      <c r="J14" s="13" t="s">
        <v>156</v>
      </c>
      <c r="K14" s="7">
        <f xml:space="preserve"> $C$19 * (0.0095 * MAX(G14,O19,S19,G54) - 1.9275)</f>
        <v>225.59689265699561</v>
      </c>
      <c r="L14" s="7" t="s">
        <v>7</v>
      </c>
      <c r="N14" s="7" t="s">
        <v>78</v>
      </c>
      <c r="O14" s="7">
        <f>SQRT((O10*COS(G34/180*PI()))^2 + (O10*SIN(G34/180*PI())+$C$5*$C$50)^2)</f>
        <v>24558.62027968375</v>
      </c>
      <c r="P14" s="7" t="s">
        <v>23</v>
      </c>
      <c r="R14" s="7" t="s">
        <v>78</v>
      </c>
      <c r="S14" s="7">
        <f xml:space="preserve"> SQRT( ($C$5*$C$56)^2 + S10^2)</f>
        <v>24510.777436687713</v>
      </c>
      <c r="T14" s="7" t="s">
        <v>23</v>
      </c>
      <c r="X14" s="3">
        <v>10</v>
      </c>
      <c r="Y14" s="3">
        <f t="shared" si="15"/>
        <v>1.5625E-2</v>
      </c>
      <c r="Z14" s="3">
        <f t="shared" si="0"/>
        <v>7.164505536657248E-4</v>
      </c>
      <c r="AA14" s="3">
        <f t="shared" si="16"/>
        <v>1.66015625E-2</v>
      </c>
      <c r="AB14" s="3">
        <f t="shared" si="1"/>
        <v>-2.6200317771707393E-4</v>
      </c>
      <c r="AC14" s="3">
        <f t="shared" si="2"/>
        <v>1.611328125E-2</v>
      </c>
      <c r="AD14" s="3">
        <f t="shared" si="3"/>
        <v>2.2723778619167939E-4</v>
      </c>
      <c r="AE14" s="3">
        <f t="shared" si="4"/>
        <v>1.6280463773080231E-7</v>
      </c>
      <c r="AF14" s="3">
        <f t="shared" si="5"/>
        <v>-5.9537022079613023E-8</v>
      </c>
      <c r="AG14" s="3">
        <f t="shared" si="6"/>
        <v>9.765625E-4</v>
      </c>
      <c r="AI14" s="3">
        <v>10</v>
      </c>
      <c r="AJ14" s="3">
        <f t="shared" si="25"/>
        <v>2495.1171875</v>
      </c>
      <c r="AK14" s="3">
        <v>-2.1946323506438148</v>
      </c>
      <c r="AL14" s="3">
        <f t="shared" si="26"/>
        <v>2503.90625</v>
      </c>
      <c r="AM14" s="3">
        <v>2.8302236317031202</v>
      </c>
      <c r="AN14" s="3">
        <f t="shared" si="17"/>
        <v>2499.51171875</v>
      </c>
      <c r="AO14" s="3">
        <v>0.31801499271523426</v>
      </c>
      <c r="AP14" s="3">
        <f t="shared" si="18"/>
        <v>-0.69792599100261021</v>
      </c>
      <c r="AQ14" s="3">
        <f t="shared" si="19"/>
        <v>0.90005354761855161</v>
      </c>
      <c r="AR14" s="3">
        <f t="shared" si="20"/>
        <v>8.7890625</v>
      </c>
      <c r="AT14" s="51"/>
      <c r="AU14" s="4" t="s">
        <v>240</v>
      </c>
      <c r="AV14" s="27"/>
      <c r="AW14"/>
      <c r="AX14" s="61" t="s">
        <v>210</v>
      </c>
      <c r="AY14" s="61"/>
      <c r="AZ14" s="61"/>
      <c r="BA14"/>
      <c r="BB14" s="3" t="s">
        <v>179</v>
      </c>
      <c r="BC14" s="3">
        <f>(1+$BK$37)*$AU$3</f>
        <v>8.2308227595964052</v>
      </c>
      <c r="BD14" s="27" t="s">
        <v>10</v>
      </c>
      <c r="BE14"/>
      <c r="BF14" s="3" t="s">
        <v>179</v>
      </c>
      <c r="BG14" s="3">
        <f>(1+$BO$37)*$AU$3</f>
        <v>8.7991702374191867</v>
      </c>
      <c r="BH14" s="27" t="s">
        <v>10</v>
      </c>
      <c r="BI14"/>
      <c r="BJ14" s="3" t="s">
        <v>211</v>
      </c>
      <c r="BK14" s="3">
        <f xml:space="preserve"> BK12*COS(BK4) - BK13*SIN(BK4)</f>
        <v>0.44571584794773289</v>
      </c>
      <c r="BL14" s="3"/>
      <c r="BM14" s="3"/>
      <c r="BN14" s="3" t="s">
        <v>211</v>
      </c>
      <c r="BO14" s="3">
        <f xml:space="preserve"> BO12*COS(BO4) - BO13*SIN(BO4)</f>
        <v>0.50640768987138074</v>
      </c>
      <c r="BP14" s="3"/>
      <c r="BQ14"/>
      <c r="BR14" s="3">
        <v>10</v>
      </c>
      <c r="BS14" s="3">
        <f t="shared" si="21"/>
        <v>0.15701827344797423</v>
      </c>
      <c r="BT14" s="3">
        <v>-3.706625724117606E-3</v>
      </c>
      <c r="BU14" s="3">
        <f t="shared" si="22"/>
        <v>0.16247924505284711</v>
      </c>
      <c r="BV14" s="3">
        <v>1.7736157986674272E-2</v>
      </c>
      <c r="BW14" s="3">
        <f t="shared" si="7"/>
        <v>0.15974875925041065</v>
      </c>
      <c r="BX14" s="3">
        <v>7.1448659325662797E-3</v>
      </c>
      <c r="BY14" s="3">
        <f t="shared" si="8"/>
        <v>-2.6483343861021702E-5</v>
      </c>
      <c r="BZ14" s="3">
        <f t="shared" si="9"/>
        <v>1.2672247097360233E-4</v>
      </c>
      <c r="CA14" s="3">
        <f t="shared" si="10"/>
        <v>5.4609716048728829E-3</v>
      </c>
      <c r="CB14"/>
      <c r="CC14" s="3">
        <v>10</v>
      </c>
      <c r="CD14" s="3">
        <f t="shared" si="23"/>
        <v>0.12425244381873693</v>
      </c>
      <c r="CE14" s="3">
        <v>-7.1190961731780831E-3</v>
      </c>
      <c r="CF14" s="3">
        <f t="shared" si="24"/>
        <v>0.12971341542360981</v>
      </c>
      <c r="CG14" s="3">
        <v>1.180591884539223E-2</v>
      </c>
      <c r="CH14" s="3">
        <f t="shared" si="11"/>
        <v>0.12698292962117336</v>
      </c>
      <c r="CI14" s="3">
        <v>2.4870856798161669E-3</v>
      </c>
      <c r="CJ14" s="3">
        <f t="shared" si="12"/>
        <v>-1.7705802145545286E-5</v>
      </c>
      <c r="CK14" s="3">
        <f t="shared" si="13"/>
        <v>2.936233169744683E-5</v>
      </c>
      <c r="CL14" s="3">
        <f t="shared" si="14"/>
        <v>5.4609716048728829E-3</v>
      </c>
    </row>
    <row r="15" spans="2:90" x14ac:dyDescent="0.2">
      <c r="B15" s="7" t="s">
        <v>13</v>
      </c>
      <c r="C15" s="18">
        <f>69.45*1000</f>
        <v>69450</v>
      </c>
      <c r="D15" s="7" t="s">
        <v>8</v>
      </c>
      <c r="F15" s="7" t="s">
        <v>236</v>
      </c>
      <c r="G15" s="7">
        <f>AY10</f>
        <v>6123.0650339902213</v>
      </c>
      <c r="H15" s="7" t="s">
        <v>23</v>
      </c>
      <c r="J15" s="13" t="s">
        <v>157</v>
      </c>
      <c r="K15" s="7">
        <f xml:space="preserve"> C60 * C19 * 0.0037 * C20^0.28 * (C7*3.28084)^1.5 * (G12*3.28084)^0.43 * (0.01742 * C20^0.66 * (C8*C7)*3.28084 * (C7*3.28084)^1.3 * (G12*3.28084)^0.67 + 9.80665*3.28084 * 0.5*(K14/C19)*2.20462)^0.55 * 0.453592</f>
        <v>470.08932514352654</v>
      </c>
      <c r="L15" s="7" t="s">
        <v>7</v>
      </c>
      <c r="N15" s="7" t="s">
        <v>119</v>
      </c>
      <c r="O15" s="7">
        <f>ACOS(O10*COS(G34/180*PI())/O14) /PI() *180</f>
        <v>89.020824568431323</v>
      </c>
      <c r="P15" s="7" t="s">
        <v>44</v>
      </c>
      <c r="R15" s="7" t="s">
        <v>79</v>
      </c>
      <c r="S15" s="7">
        <f>$C$5*$C$56/S14</f>
        <v>0.998864686289065</v>
      </c>
      <c r="X15" s="3">
        <v>11</v>
      </c>
      <c r="Y15" s="3">
        <f t="shared" si="15"/>
        <v>1.611328125E-2</v>
      </c>
      <c r="Z15" s="3">
        <f t="shared" si="0"/>
        <v>2.2723778619167939E-4</v>
      </c>
      <c r="AA15" s="3">
        <f t="shared" si="16"/>
        <v>1.66015625E-2</v>
      </c>
      <c r="AB15" s="3">
        <f t="shared" si="1"/>
        <v>-2.6200317771707393E-4</v>
      </c>
      <c r="AC15" s="3">
        <f t="shared" si="2"/>
        <v>1.6357421875E-2</v>
      </c>
      <c r="AD15" s="3">
        <f t="shared" si="3"/>
        <v>-1.7379173800735614E-5</v>
      </c>
      <c r="AE15" s="3">
        <f t="shared" si="4"/>
        <v>-3.9492049803195959E-9</v>
      </c>
      <c r="AF15" s="3">
        <f t="shared" si="5"/>
        <v>4.553398761890048E-9</v>
      </c>
      <c r="AG15" s="3">
        <f t="shared" si="6"/>
        <v>4.8828125E-4</v>
      </c>
      <c r="AI15" s="3">
        <v>11</v>
      </c>
      <c r="AJ15" s="3">
        <f t="shared" si="25"/>
        <v>2495.1171875</v>
      </c>
      <c r="AK15" s="3">
        <v>-2.1946323506438148</v>
      </c>
      <c r="AL15" s="3">
        <f t="shared" si="26"/>
        <v>2499.51171875</v>
      </c>
      <c r="AM15" s="3">
        <v>0.31801499271523426</v>
      </c>
      <c r="AN15" s="3">
        <f t="shared" si="17"/>
        <v>2497.314453125</v>
      </c>
      <c r="AO15" s="3">
        <v>-0.93825781829355037</v>
      </c>
      <c r="AP15" s="3">
        <f t="shared" si="18"/>
        <v>2.0591309612715119</v>
      </c>
      <c r="AQ15" s="3">
        <f t="shared" si="19"/>
        <v>-0.29838005324963501</v>
      </c>
      <c r="AR15" s="3">
        <f t="shared" si="20"/>
        <v>4.39453125</v>
      </c>
      <c r="AT15" s="51"/>
      <c r="AU15" s="4" t="s">
        <v>240</v>
      </c>
      <c r="AV15" s="27"/>
      <c r="AW15"/>
      <c r="AX15" s="3" t="s">
        <v>212</v>
      </c>
      <c r="AY15" s="3">
        <f>AY10*(AU3/2 + SQRT( (AU3/2)^2 + AY10/(2*AU45*PI()*AY3^2) ) )/1000</f>
        <v>48.904671338730971</v>
      </c>
      <c r="AZ15" s="27" t="s">
        <v>123</v>
      </c>
      <c r="BA15"/>
      <c r="BB15" s="3" t="s">
        <v>184</v>
      </c>
      <c r="BC15" s="3">
        <f>(1-$BK$38)*$AY$5*$AU$21</f>
        <v>78.5822786643472</v>
      </c>
      <c r="BD15" s="27" t="s">
        <v>10</v>
      </c>
      <c r="BE15"/>
      <c r="BF15" s="3" t="s">
        <v>184</v>
      </c>
      <c r="BG15" s="3">
        <f>(1-$BO$38)*$AY$5*$AU$22</f>
        <v>100.77935077573051</v>
      </c>
      <c r="BH15" s="27" t="s">
        <v>10</v>
      </c>
      <c r="BI15"/>
      <c r="BJ15" s="3" t="s">
        <v>213</v>
      </c>
      <c r="BK15" s="3">
        <f xml:space="preserve"> BK12*SIN(BK4) + BK13*COS(BK4)</f>
        <v>7.4066536624466189E-2</v>
      </c>
      <c r="BL15" s="3"/>
      <c r="BM15" s="3"/>
      <c r="BN15" s="3" t="s">
        <v>213</v>
      </c>
      <c r="BO15" s="3">
        <f xml:space="preserve"> BO12*SIN(BO4) + BO13*COS(BO4)</f>
        <v>6.7166993107174985E-2</v>
      </c>
      <c r="BP15" s="3"/>
      <c r="BQ15"/>
      <c r="BR15" s="3">
        <v>11</v>
      </c>
      <c r="BS15" s="3">
        <f t="shared" si="21"/>
        <v>0.15701827344797423</v>
      </c>
      <c r="BT15" s="3">
        <v>-3.706625724117606E-3</v>
      </c>
      <c r="BU15" s="3">
        <f t="shared" si="22"/>
        <v>0.15974875925041065</v>
      </c>
      <c r="BV15" s="3">
        <v>7.1448659325662797E-3</v>
      </c>
      <c r="BW15" s="3">
        <f t="shared" si="7"/>
        <v>0.15838351634919245</v>
      </c>
      <c r="BX15" s="3">
        <v>1.7524210157354378E-3</v>
      </c>
      <c r="BY15" s="3">
        <f t="shared" si="8"/>
        <v>-6.4955688164092775E-6</v>
      </c>
      <c r="BZ15" s="3">
        <f t="shared" si="9"/>
        <v>1.2520813214841326E-5</v>
      </c>
      <c r="CA15" s="3">
        <f t="shared" si="10"/>
        <v>2.7304858024364276E-3</v>
      </c>
      <c r="CB15"/>
      <c r="CC15" s="3">
        <v>11</v>
      </c>
      <c r="CD15" s="3">
        <f t="shared" si="23"/>
        <v>0.12425244381873693</v>
      </c>
      <c r="CE15" s="3">
        <v>-7.1190961731780831E-3</v>
      </c>
      <c r="CF15" s="3">
        <f t="shared" si="24"/>
        <v>0.12698292962117336</v>
      </c>
      <c r="CG15" s="3">
        <v>2.4870856798161669E-3</v>
      </c>
      <c r="CH15" s="3">
        <f t="shared" si="11"/>
        <v>0.12561768671995516</v>
      </c>
      <c r="CI15" s="3">
        <v>-2.278994892442922E-3</v>
      </c>
      <c r="CJ15" s="3">
        <f t="shared" si="12"/>
        <v>1.6224383817482804E-5</v>
      </c>
      <c r="CK15" s="3">
        <f t="shared" si="13"/>
        <v>-5.6680555613689769E-6</v>
      </c>
      <c r="CL15" s="3">
        <f t="shared" si="14"/>
        <v>2.7304858024364276E-3</v>
      </c>
    </row>
    <row r="16" spans="2:90" x14ac:dyDescent="0.2">
      <c r="B16" s="7" t="s">
        <v>288</v>
      </c>
      <c r="C16" s="18">
        <v>2</v>
      </c>
      <c r="F16" s="7" t="s">
        <v>237</v>
      </c>
      <c r="G16" s="7">
        <f>G14-G15</f>
        <v>-5.2314990170998499E-6</v>
      </c>
      <c r="H16" s="7" t="s">
        <v>23</v>
      </c>
      <c r="J16" s="14" t="s">
        <v>57</v>
      </c>
      <c r="K16" s="7">
        <f xml:space="preserve"> 0.2138 * K4</f>
        <v>59.557826845761625</v>
      </c>
      <c r="L16" s="7" t="s">
        <v>7</v>
      </c>
      <c r="X16" s="3">
        <v>12</v>
      </c>
      <c r="Y16" s="3">
        <f t="shared" si="15"/>
        <v>1.611328125E-2</v>
      </c>
      <c r="Z16" s="3">
        <f t="shared" si="0"/>
        <v>2.2723778619167939E-4</v>
      </c>
      <c r="AA16" s="3">
        <f t="shared" si="16"/>
        <v>1.6357421875E-2</v>
      </c>
      <c r="AB16" s="3">
        <f t="shared" si="1"/>
        <v>-1.7379173800735614E-5</v>
      </c>
      <c r="AC16" s="3">
        <f t="shared" si="2"/>
        <v>1.62353515625E-2</v>
      </c>
      <c r="AD16" s="3">
        <f t="shared" si="3"/>
        <v>1.0493018701292905E-4</v>
      </c>
      <c r="AE16" s="3">
        <f t="shared" si="4"/>
        <v>2.3844103401496907E-8</v>
      </c>
      <c r="AF16" s="3">
        <f t="shared" si="5"/>
        <v>-1.8235999570413851E-9</v>
      </c>
      <c r="AG16" s="3">
        <f t="shared" si="6"/>
        <v>2.44140625E-4</v>
      </c>
      <c r="AI16" s="3">
        <v>12</v>
      </c>
      <c r="AJ16" s="3">
        <f t="shared" si="25"/>
        <v>2497.314453125</v>
      </c>
      <c r="AK16" s="3">
        <v>-0.93825781829355037</v>
      </c>
      <c r="AL16" s="3">
        <f t="shared" si="26"/>
        <v>2499.51171875</v>
      </c>
      <c r="AM16" s="3">
        <v>0.31801499271523426</v>
      </c>
      <c r="AN16" s="3">
        <f t="shared" si="17"/>
        <v>2498.4130859375</v>
      </c>
      <c r="AO16" s="3">
        <v>-0.3101094101552917</v>
      </c>
      <c r="AP16" s="3">
        <f t="shared" si="18"/>
        <v>0.29096257860460378</v>
      </c>
      <c r="AQ16" s="3">
        <f t="shared" si="19"/>
        <v>-9.8619441811460679E-2</v>
      </c>
      <c r="AR16" s="3">
        <f t="shared" si="20"/>
        <v>2.197265625</v>
      </c>
      <c r="AT16" s="51"/>
      <c r="AU16" s="4" t="s">
        <v>240</v>
      </c>
      <c r="AV16" s="27"/>
      <c r="AW16"/>
      <c r="AX16" s="3" t="s">
        <v>214</v>
      </c>
      <c r="AY16" s="3">
        <f>AY15/AY12</f>
        <v>0.75315388104999226</v>
      </c>
      <c r="AZ16" s="27"/>
      <c r="BA16"/>
      <c r="BB16" s="3" t="s">
        <v>188</v>
      </c>
      <c r="BC16" s="3">
        <f>SQRT(BC14^2 + BC15^2)</f>
        <v>79.012157060676472</v>
      </c>
      <c r="BD16" s="27" t="s">
        <v>10</v>
      </c>
      <c r="BE16"/>
      <c r="BF16" s="3" t="s">
        <v>188</v>
      </c>
      <c r="BG16" s="3">
        <f>SQRT(BG14^2 + BG15^2)</f>
        <v>101.16275470569599</v>
      </c>
      <c r="BH16" s="27" t="s">
        <v>10</v>
      </c>
      <c r="BI16"/>
      <c r="BJ16" s="3" t="s">
        <v>39</v>
      </c>
      <c r="BK16" s="3">
        <f xml:space="preserve"> 4*BK11*SIN(BK4)*SIN(BK4) / (BK8*BK14)</f>
        <v>1.1023002599342016</v>
      </c>
      <c r="BL16" s="3"/>
      <c r="BM16" s="3"/>
      <c r="BN16" s="3" t="s">
        <v>39</v>
      </c>
      <c r="BO16" s="3">
        <f xml:space="preserve"> 4*BO11*SIN(BO4)*SIN(BO4) / (BO8*BO14)</f>
        <v>1.076326539403752</v>
      </c>
      <c r="BP16" s="3"/>
      <c r="BQ16"/>
      <c r="BR16" s="3">
        <v>12</v>
      </c>
      <c r="BS16" s="3">
        <f t="shared" si="21"/>
        <v>0.15701827344797423</v>
      </c>
      <c r="BT16" s="3">
        <v>-3.706625724117606E-3</v>
      </c>
      <c r="BU16" s="3">
        <f t="shared" si="22"/>
        <v>0.15838351634919245</v>
      </c>
      <c r="BV16" s="3">
        <v>1.7524210157354378E-3</v>
      </c>
      <c r="BW16" s="3">
        <f t="shared" si="7"/>
        <v>0.15770089489858335</v>
      </c>
      <c r="BX16" s="3">
        <v>-9.6867704789556537E-4</v>
      </c>
      <c r="BY16" s="3">
        <f t="shared" si="8"/>
        <v>3.590523264092005E-6</v>
      </c>
      <c r="BZ16" s="3">
        <f t="shared" si="9"/>
        <v>-1.697530016192752E-6</v>
      </c>
      <c r="CA16" s="3">
        <f t="shared" si="10"/>
        <v>1.3652429012182277E-3</v>
      </c>
      <c r="CB16"/>
      <c r="CC16" s="3">
        <v>12</v>
      </c>
      <c r="CD16" s="3">
        <f t="shared" si="23"/>
        <v>0.12561768671995516</v>
      </c>
      <c r="CE16" s="3">
        <v>-2.278994892442922E-3</v>
      </c>
      <c r="CF16" s="3">
        <f t="shared" si="24"/>
        <v>0.12698292962117336</v>
      </c>
      <c r="CG16" s="3">
        <v>2.4870856798161669E-3</v>
      </c>
      <c r="CH16" s="3">
        <f t="shared" si="11"/>
        <v>0.12630030817056426</v>
      </c>
      <c r="CI16" s="3">
        <v>1.131578486428305E-4</v>
      </c>
      <c r="CJ16" s="3">
        <f t="shared" si="12"/>
        <v>-2.5788615909683993E-7</v>
      </c>
      <c r="CK16" s="3">
        <f t="shared" si="13"/>
        <v>2.81433264918389E-7</v>
      </c>
      <c r="CL16" s="3">
        <f t="shared" si="14"/>
        <v>1.3652429012181999E-3</v>
      </c>
    </row>
    <row r="17" spans="2:90" x14ac:dyDescent="0.2">
      <c r="F17" s="7" t="s">
        <v>238</v>
      </c>
      <c r="G17" s="5" t="str">
        <f>IF(ABS(G16)&lt;0.001, "TRUE", "FALSE")</f>
        <v>TRUE</v>
      </c>
      <c r="J17" s="14" t="s">
        <v>82</v>
      </c>
      <c r="K17" s="7">
        <f xml:space="preserve"> 0.1149 * K4</f>
        <v>32.007456990542615</v>
      </c>
      <c r="L17" s="7" t="s">
        <v>7</v>
      </c>
      <c r="N17" s="53" t="s">
        <v>28</v>
      </c>
      <c r="O17" s="59"/>
      <c r="P17" s="59"/>
      <c r="R17" s="53" t="s">
        <v>28</v>
      </c>
      <c r="S17" s="59"/>
      <c r="T17" s="59"/>
      <c r="X17" s="3">
        <v>13</v>
      </c>
      <c r="Y17" s="3">
        <f t="shared" si="15"/>
        <v>1.62353515625E-2</v>
      </c>
      <c r="Z17" s="3">
        <f t="shared" si="0"/>
        <v>1.0493018701292905E-4</v>
      </c>
      <c r="AA17" s="3">
        <f t="shared" si="16"/>
        <v>1.6357421875E-2</v>
      </c>
      <c r="AB17" s="3">
        <f t="shared" si="1"/>
        <v>-1.7379173800735614E-5</v>
      </c>
      <c r="AC17" s="3">
        <f t="shared" si="2"/>
        <v>1.629638671875E-2</v>
      </c>
      <c r="AD17" s="3">
        <f t="shared" si="3"/>
        <v>4.3775726769772205E-5</v>
      </c>
      <c r="AE17" s="3">
        <f t="shared" si="4"/>
        <v>4.5933951965790825E-9</v>
      </c>
      <c r="AF17" s="3">
        <f t="shared" si="5"/>
        <v>-7.6078596378538581E-10</v>
      </c>
      <c r="AG17" s="3">
        <f t="shared" si="6"/>
        <v>1.220703125E-4</v>
      </c>
      <c r="AI17" s="3">
        <v>13</v>
      </c>
      <c r="AJ17" s="3">
        <f t="shared" si="25"/>
        <v>2498.4130859375</v>
      </c>
      <c r="AK17" s="3">
        <v>-0.3101094101552917</v>
      </c>
      <c r="AL17" s="3">
        <f t="shared" si="26"/>
        <v>2499.51171875</v>
      </c>
      <c r="AM17" s="3">
        <v>0.31801499271523426</v>
      </c>
      <c r="AN17" s="3">
        <f t="shared" si="17"/>
        <v>2498.96240234375</v>
      </c>
      <c r="AO17" s="3">
        <v>3.9579138822318782E-3</v>
      </c>
      <c r="AP17" s="3">
        <f t="shared" si="18"/>
        <v>-1.2273863394643683E-3</v>
      </c>
      <c r="AQ17" s="3">
        <f t="shared" si="19"/>
        <v>1.2586759544254953E-3</v>
      </c>
      <c r="AR17" s="3">
        <f t="shared" si="20"/>
        <v>1.0986328125</v>
      </c>
      <c r="AT17" s="51"/>
      <c r="AU17" s="4" t="s">
        <v>240</v>
      </c>
      <c r="AV17" s="27"/>
      <c r="AW17"/>
      <c r="AX17" s="3" t="s">
        <v>211</v>
      </c>
      <c r="AY17" s="3">
        <f>AY10/($AU$45*AY6^2*AU9^4)</f>
        <v>2.2898341190189176E-2</v>
      </c>
      <c r="AZ17" s="3"/>
      <c r="BA17"/>
      <c r="BB17" s="3" t="s">
        <v>191</v>
      </c>
      <c r="BC17" s="38">
        <f>$AU$45*BC16*$AU$29/$AU$46</f>
        <v>1256392.1728194926</v>
      </c>
      <c r="BD17" s="27"/>
      <c r="BE17"/>
      <c r="BF17" s="3" t="s">
        <v>191</v>
      </c>
      <c r="BG17" s="38">
        <f>$AU$45*BG16*$AU$30/$AU$46</f>
        <v>1559669.5409970682</v>
      </c>
      <c r="BH17" s="27"/>
      <c r="BI17"/>
      <c r="BJ17" s="3" t="s">
        <v>215</v>
      </c>
      <c r="BK17" s="3">
        <f xml:space="preserve"> 4*BK11*SIN(BK4)*COS(BK4) / (BK8*BK15)</f>
        <v>41.648745664753484</v>
      </c>
      <c r="BL17" s="3"/>
      <c r="BM17" s="3"/>
      <c r="BN17" s="3" t="s">
        <v>215</v>
      </c>
      <c r="BO17" s="3">
        <f xml:space="preserve"> 4*BO11*SIN(BO4)*COS(BO4) / (BO8*BO15)</f>
        <v>63.926183421230199</v>
      </c>
      <c r="BP17" s="3"/>
      <c r="BQ17"/>
      <c r="BR17" s="3">
        <v>13</v>
      </c>
      <c r="BS17" s="3">
        <f t="shared" si="21"/>
        <v>0.15770089489858335</v>
      </c>
      <c r="BT17" s="3">
        <v>-9.6867704789556537E-4</v>
      </c>
      <c r="BU17" s="3">
        <f t="shared" si="22"/>
        <v>0.15838351634919245</v>
      </c>
      <c r="BV17" s="3">
        <v>1.7524210157354378E-3</v>
      </c>
      <c r="BW17" s="3">
        <f t="shared" si="7"/>
        <v>0.1580422056238879</v>
      </c>
      <c r="BX17" s="3">
        <v>3.9396565919557966E-4</v>
      </c>
      <c r="BY17" s="3">
        <f t="shared" si="8"/>
        <v>-3.8162549172180448E-7</v>
      </c>
      <c r="BZ17" s="3">
        <f t="shared" si="9"/>
        <v>6.9039370065239907E-7</v>
      </c>
      <c r="CA17" s="3">
        <f t="shared" si="10"/>
        <v>6.8262145060909996E-4</v>
      </c>
      <c r="CB17"/>
      <c r="CC17" s="3">
        <v>13</v>
      </c>
      <c r="CD17" s="3">
        <f t="shared" si="23"/>
        <v>0.12561768671995516</v>
      </c>
      <c r="CE17" s="3">
        <v>-2.278994892442922E-3</v>
      </c>
      <c r="CF17" s="3">
        <f t="shared" si="24"/>
        <v>0.12630030817056426</v>
      </c>
      <c r="CG17" s="3">
        <v>1.131578486428305E-4</v>
      </c>
      <c r="CH17" s="3">
        <f t="shared" si="11"/>
        <v>0.12595899744525971</v>
      </c>
      <c r="CI17" s="3">
        <v>-1.0806231271877579E-3</v>
      </c>
      <c r="CJ17" s="3">
        <f t="shared" si="12"/>
        <v>2.4627345875165981E-6</v>
      </c>
      <c r="CK17" s="3">
        <f t="shared" si="13"/>
        <v>-1.2228098826625447E-7</v>
      </c>
      <c r="CL17" s="3">
        <f t="shared" si="14"/>
        <v>6.8262145060909996E-4</v>
      </c>
    </row>
    <row r="18" spans="2:90" x14ac:dyDescent="0.2">
      <c r="B18" s="58" t="s">
        <v>134</v>
      </c>
      <c r="C18" s="58"/>
      <c r="D18" s="58"/>
      <c r="F18" s="43" t="s">
        <v>87</v>
      </c>
      <c r="G18" s="44">
        <f>$C$19 * AY12</f>
        <v>259.73269245085288</v>
      </c>
      <c r="H18" s="44" t="s">
        <v>123</v>
      </c>
      <c r="J18" s="15" t="s">
        <v>64</v>
      </c>
      <c r="K18" s="7">
        <f xml:space="preserve"> $C$61 * (14.86 * ($C$5*2.20462)^0.144 * ($C$26/(PI()*$C$27))^0.778 * ($C$26*3.28084)^0.383 * $C$25^0.455 * 0.453592)</f>
        <v>167.80361009090117</v>
      </c>
      <c r="L18" s="7" t="s">
        <v>7</v>
      </c>
      <c r="N18" s="7" t="s">
        <v>29</v>
      </c>
      <c r="O18" s="7">
        <f xml:space="preserve"> 90 + G34 - O15</f>
        <v>10.110678598780666</v>
      </c>
      <c r="P18" s="7" t="s">
        <v>44</v>
      </c>
      <c r="R18" s="7" t="s">
        <v>29</v>
      </c>
      <c r="S18" s="7">
        <f xml:space="preserve"> ACOS(S15)/PI()*180</f>
        <v>2.7304653431164092</v>
      </c>
      <c r="T18" s="7" t="s">
        <v>44</v>
      </c>
      <c r="X18" s="3">
        <v>14</v>
      </c>
      <c r="Y18" s="3">
        <f t="shared" si="15"/>
        <v>1.629638671875E-2</v>
      </c>
      <c r="Z18" s="3">
        <f t="shared" si="0"/>
        <v>4.3775726769772205E-5</v>
      </c>
      <c r="AA18" s="3">
        <f t="shared" si="16"/>
        <v>1.6357421875E-2</v>
      </c>
      <c r="AB18" s="3">
        <f t="shared" si="1"/>
        <v>-1.7379173800735614E-5</v>
      </c>
      <c r="AC18" s="3">
        <f t="shared" si="2"/>
        <v>1.6326904296875E-2</v>
      </c>
      <c r="AD18" s="3">
        <f t="shared" si="3"/>
        <v>1.3198331520334478E-5</v>
      </c>
      <c r="AE18" s="3">
        <f t="shared" si="4"/>
        <v>5.7776655445103427E-10</v>
      </c>
      <c r="AF18" s="3">
        <f t="shared" si="5"/>
        <v>-2.2937609737161999E-10</v>
      </c>
      <c r="AG18" s="3">
        <f t="shared" si="6"/>
        <v>6.103515625E-5</v>
      </c>
      <c r="AI18" s="3">
        <v>14</v>
      </c>
      <c r="AJ18" s="3">
        <f t="shared" si="25"/>
        <v>2498.4130859375</v>
      </c>
      <c r="AK18" s="3">
        <v>-0.3101094101552917</v>
      </c>
      <c r="AL18" s="3">
        <f t="shared" si="26"/>
        <v>2498.96240234375</v>
      </c>
      <c r="AM18" s="3">
        <v>3.9579138822318782E-3</v>
      </c>
      <c r="AN18" s="3">
        <f t="shared" si="17"/>
        <v>2498.687744140625</v>
      </c>
      <c r="AO18" s="3">
        <v>-0.1530850509168431</v>
      </c>
      <c r="AP18" s="3">
        <f t="shared" si="18"/>
        <v>4.7473114843415008E-2</v>
      </c>
      <c r="AQ18" s="3">
        <f t="shared" si="19"/>
        <v>-6.0589744818594722E-4</v>
      </c>
      <c r="AR18" s="3">
        <f t="shared" si="20"/>
        <v>0.54931640625</v>
      </c>
      <c r="AT18" s="51"/>
      <c r="AU18" s="4" t="s">
        <v>240</v>
      </c>
      <c r="AW18"/>
      <c r="AX18" s="3" t="s">
        <v>213</v>
      </c>
      <c r="AY18" s="3">
        <f>AY11/($AU$45*AY6^2*AU9^5)</f>
        <v>6.0374376499012605E-4</v>
      </c>
      <c r="AZ18" s="27"/>
      <c r="BA18"/>
      <c r="BB18" s="3" t="s">
        <v>195</v>
      </c>
      <c r="BC18" s="34">
        <f xml:space="preserve"> $BK$27 * PI() * $AU$45 * BC16^2 *$BK$33 * $AU$21 * BC13</f>
        <v>566.20462398160419</v>
      </c>
      <c r="BD18" s="27" t="s">
        <v>23</v>
      </c>
      <c r="BE18"/>
      <c r="BF18" s="3" t="s">
        <v>195</v>
      </c>
      <c r="BG18" s="34">
        <f xml:space="preserve"> $BO$27 * PI() * $AU$45 * BG16^2 * $BO$33 * $AU$22 * BG13</f>
        <v>830.84031669826777</v>
      </c>
      <c r="BH18" s="27" t="s">
        <v>23</v>
      </c>
      <c r="BI18"/>
      <c r="BJ18" s="3" t="s">
        <v>46</v>
      </c>
      <c r="BK18" s="3">
        <f>1/(BK16-1)</f>
        <v>9.7751462278120247</v>
      </c>
      <c r="BL18" s="3"/>
      <c r="BM18" s="3"/>
      <c r="BN18" s="3" t="s">
        <v>46</v>
      </c>
      <c r="BO18" s="3">
        <f>1/(BO16-1)</f>
        <v>13.101602768994958</v>
      </c>
      <c r="BP18" s="3"/>
      <c r="BQ18"/>
      <c r="BR18" s="3">
        <v>14</v>
      </c>
      <c r="BS18" s="3">
        <f t="shared" si="21"/>
        <v>0.15770089489858335</v>
      </c>
      <c r="BT18" s="3">
        <v>-9.6867704789556537E-4</v>
      </c>
      <c r="BU18" s="3">
        <f t="shared" si="22"/>
        <v>0.1580422056238879</v>
      </c>
      <c r="BV18" s="3">
        <v>3.9396565919557966E-4</v>
      </c>
      <c r="BW18" s="3">
        <f t="shared" si="7"/>
        <v>0.15787155026123562</v>
      </c>
      <c r="BX18" s="3">
        <v>-2.8683070306703348E-4</v>
      </c>
      <c r="BY18" s="3">
        <f t="shared" si="8"/>
        <v>2.7784631869278348E-7</v>
      </c>
      <c r="BZ18" s="3">
        <f t="shared" si="9"/>
        <v>-1.1300144701133542E-7</v>
      </c>
      <c r="CA18" s="3">
        <f t="shared" si="10"/>
        <v>3.4131072530454998E-4</v>
      </c>
      <c r="CB18"/>
      <c r="CC18" s="3">
        <v>14</v>
      </c>
      <c r="CD18" s="3">
        <f t="shared" si="23"/>
        <v>0.12595899744525971</v>
      </c>
      <c r="CE18" s="3">
        <v>-1.0806231271877579E-3</v>
      </c>
      <c r="CF18" s="3">
        <f t="shared" si="24"/>
        <v>0.12630030817056426</v>
      </c>
      <c r="CG18" s="3">
        <v>1.131578486428305E-4</v>
      </c>
      <c r="CH18" s="3">
        <f t="shared" si="11"/>
        <v>0.126129652807912</v>
      </c>
      <c r="CI18" s="3">
        <v>-4.8316096522979697E-4</v>
      </c>
      <c r="CJ18" s="3">
        <f t="shared" si="12"/>
        <v>5.2211491318167876E-7</v>
      </c>
      <c r="CK18" s="3">
        <f t="shared" si="13"/>
        <v>-5.4673455373597254E-8</v>
      </c>
      <c r="CL18" s="3">
        <f t="shared" si="14"/>
        <v>3.4131072530454998E-4</v>
      </c>
    </row>
    <row r="19" spans="2:90" x14ac:dyDescent="0.2">
      <c r="B19" s="7" t="s">
        <v>111</v>
      </c>
      <c r="C19" s="18">
        <v>4</v>
      </c>
      <c r="J19" s="15" t="s">
        <v>65</v>
      </c>
      <c r="K19" s="7">
        <f xml:space="preserve"> $C$61 * C31 * $C$5</f>
        <v>34.985376749234092</v>
      </c>
      <c r="L19" s="7" t="s">
        <v>7</v>
      </c>
      <c r="N19" s="7" t="s">
        <v>22</v>
      </c>
      <c r="O19" s="7">
        <f xml:space="preserve"> O14 / $C$19</f>
        <v>6139.6550699209374</v>
      </c>
      <c r="P19" s="7" t="s">
        <v>23</v>
      </c>
      <c r="R19" s="7" t="s">
        <v>22</v>
      </c>
      <c r="S19" s="7">
        <f xml:space="preserve"> S14 / $C$19</f>
        <v>6127.6943591719282</v>
      </c>
      <c r="T19" s="7" t="s">
        <v>23</v>
      </c>
      <c r="X19" s="3">
        <v>15</v>
      </c>
      <c r="Y19" s="3">
        <f t="shared" si="15"/>
        <v>1.6326904296875E-2</v>
      </c>
      <c r="Z19" s="3">
        <f t="shared" si="0"/>
        <v>1.3198331520334478E-5</v>
      </c>
      <c r="AA19" s="3">
        <f t="shared" si="16"/>
        <v>1.6357421875E-2</v>
      </c>
      <c r="AB19" s="3">
        <f t="shared" si="1"/>
        <v>-1.7379173800735614E-5</v>
      </c>
      <c r="AC19" s="3">
        <f t="shared" si="2"/>
        <v>1.63421630859375E-2</v>
      </c>
      <c r="AD19" s="3">
        <f t="shared" si="3"/>
        <v>-2.0904073818849012E-6</v>
      </c>
      <c r="AE19" s="3">
        <f t="shared" si="4"/>
        <v>-2.7589889638671362E-11</v>
      </c>
      <c r="AF19" s="3">
        <f t="shared" si="5"/>
        <v>3.6329553204118402E-11</v>
      </c>
      <c r="AG19" s="3">
        <f t="shared" si="6"/>
        <v>3.0517578125E-5</v>
      </c>
      <c r="AI19" s="3">
        <v>15</v>
      </c>
      <c r="AJ19" s="3">
        <f t="shared" si="25"/>
        <v>2498.687744140625</v>
      </c>
      <c r="AK19" s="3">
        <v>-0.1530850509168431</v>
      </c>
      <c r="AL19" s="3">
        <f t="shared" si="26"/>
        <v>2498.96240234375</v>
      </c>
      <c r="AM19" s="3">
        <v>3.9579138822318782E-3</v>
      </c>
      <c r="AN19" s="3">
        <f t="shared" si="17"/>
        <v>2498.8250732421875</v>
      </c>
      <c r="AO19" s="3">
        <v>-7.4563777907314943E-2</v>
      </c>
      <c r="AP19" s="3">
        <f t="shared" si="18"/>
        <v>1.1414599737493489E-2</v>
      </c>
      <c r="AQ19" s="3">
        <f t="shared" si="19"/>
        <v>-2.9511701169101644E-4</v>
      </c>
      <c r="AR19" s="3">
        <f t="shared" si="20"/>
        <v>0.274658203125</v>
      </c>
      <c r="AT19" s="51" t="s">
        <v>216</v>
      </c>
      <c r="AU19" s="4">
        <f>0.175*($AU$9/2)</f>
        <v>0.69875399999999999</v>
      </c>
      <c r="AV19" s="27" t="s">
        <v>8</v>
      </c>
      <c r="AW19"/>
      <c r="AX19" s="3" t="s">
        <v>217</v>
      </c>
      <c r="AY19" s="3">
        <f>2*PI()*AY18</f>
        <v>3.793433953487245E-3</v>
      </c>
      <c r="AZ19" s="27"/>
      <c r="BA19"/>
      <c r="BB19" s="3" t="s">
        <v>199</v>
      </c>
      <c r="BC19" s="34">
        <f xml:space="preserve"> $BK$27 * PI() * $AU$45 * BC16^2 * $BK$34 * $AU$21^2 * BC13</f>
        <v>98.693756039442206</v>
      </c>
      <c r="BD19" s="27" t="s">
        <v>200</v>
      </c>
      <c r="BE19"/>
      <c r="BF19" s="3" t="s">
        <v>199</v>
      </c>
      <c r="BG19" s="34">
        <f xml:space="preserve"> $BO$27 * PI() * $AU$45 * BG16^2 * $BO$34 * $AU$22^2 * BG13</f>
        <v>157.16147863643758</v>
      </c>
      <c r="BH19" s="27" t="s">
        <v>200</v>
      </c>
      <c r="BI19"/>
      <c r="BJ19" s="3" t="s">
        <v>218</v>
      </c>
      <c r="BK19" s="3">
        <f>1/(BK17+1)</f>
        <v>2.3447348436942128E-2</v>
      </c>
      <c r="BL19" s="3"/>
      <c r="BM19" s="3"/>
      <c r="BN19" s="3" t="s">
        <v>218</v>
      </c>
      <c r="BO19" s="3">
        <f>1/(BO17+1)</f>
        <v>1.5402106627955742E-2</v>
      </c>
      <c r="BP19" s="3"/>
      <c r="BQ19"/>
      <c r="BR19" s="3">
        <v>15</v>
      </c>
      <c r="BS19" s="3">
        <f t="shared" si="21"/>
        <v>0.15787155026123562</v>
      </c>
      <c r="BT19" s="3">
        <v>-2.8683070306703348E-4</v>
      </c>
      <c r="BU19" s="3">
        <f t="shared" si="22"/>
        <v>0.1580422056238879</v>
      </c>
      <c r="BV19" s="3">
        <v>3.9396565919557966E-4</v>
      </c>
      <c r="BW19" s="3">
        <f t="shared" si="7"/>
        <v>0.15795687794256175</v>
      </c>
      <c r="BX19" s="3">
        <v>5.3698528770936352E-5</v>
      </c>
      <c r="BY19" s="3">
        <f t="shared" si="8"/>
        <v>-1.5402386761032999E-8</v>
      </c>
      <c r="BZ19" s="3">
        <f t="shared" si="9"/>
        <v>2.1155376285074739E-8</v>
      </c>
      <c r="CA19" s="3">
        <f t="shared" si="10"/>
        <v>1.7065536265228887E-4</v>
      </c>
      <c r="CB19"/>
      <c r="CC19" s="3">
        <v>15</v>
      </c>
      <c r="CD19" s="3">
        <f t="shared" si="23"/>
        <v>0.126129652807912</v>
      </c>
      <c r="CE19" s="3">
        <v>-4.8316096522979697E-4</v>
      </c>
      <c r="CF19" s="3">
        <f t="shared" si="24"/>
        <v>0.12630030817056426</v>
      </c>
      <c r="CG19" s="3">
        <v>1.131578486428305E-4</v>
      </c>
      <c r="CH19" s="3">
        <f t="shared" si="11"/>
        <v>0.12621498048923813</v>
      </c>
      <c r="CI19" s="3">
        <v>-1.8485891033458157E-4</v>
      </c>
      <c r="CJ19" s="3">
        <f t="shared" si="12"/>
        <v>8.9316609548584928E-8</v>
      </c>
      <c r="CK19" s="3">
        <f t="shared" si="13"/>
        <v>-2.0918236595919156E-8</v>
      </c>
      <c r="CL19" s="3">
        <f t="shared" si="14"/>
        <v>1.7065536265226111E-4</v>
      </c>
    </row>
    <row r="20" spans="2:90" x14ac:dyDescent="0.2">
      <c r="B20" t="s">
        <v>133</v>
      </c>
      <c r="C20" s="1">
        <v>3</v>
      </c>
      <c r="D20"/>
      <c r="F20" s="53" t="s">
        <v>293</v>
      </c>
      <c r="G20" s="54"/>
      <c r="H20" s="54"/>
      <c r="J20" s="15" t="s">
        <v>66</v>
      </c>
      <c r="K20" s="7">
        <f xml:space="preserve"> $C$61 * 0</f>
        <v>0</v>
      </c>
      <c r="L20" s="7" t="s">
        <v>7</v>
      </c>
      <c r="N20" s="7" t="s">
        <v>30</v>
      </c>
      <c r="O20" s="7">
        <f xml:space="preserve"> $G$26 * COS(O18/180*PI()) / ($C$10 * $C$7)</f>
        <v>32.286460320975301</v>
      </c>
      <c r="P20" s="7" t="s">
        <v>31</v>
      </c>
      <c r="R20" s="7" t="s">
        <v>30</v>
      </c>
      <c r="S20" s="7">
        <f xml:space="preserve"> $C$9 * COS(S18/180*PI()) / ($C$11 * $C$7)</f>
        <v>57.327454776405389</v>
      </c>
      <c r="T20" s="7" t="s">
        <v>31</v>
      </c>
      <c r="X20" s="3">
        <v>16</v>
      </c>
      <c r="Y20" s="3">
        <f t="shared" si="15"/>
        <v>1.6326904296875E-2</v>
      </c>
      <c r="Z20" s="3">
        <f t="shared" si="0"/>
        <v>1.3198331520334478E-5</v>
      </c>
      <c r="AA20" s="3">
        <f t="shared" si="16"/>
        <v>1.63421630859375E-2</v>
      </c>
      <c r="AB20" s="3">
        <f t="shared" si="1"/>
        <v>-2.0904073818849012E-6</v>
      </c>
      <c r="AC20" s="3">
        <f t="shared" si="2"/>
        <v>1.633453369140625E-2</v>
      </c>
      <c r="AD20" s="3">
        <f t="shared" si="3"/>
        <v>5.5539655088830686E-6</v>
      </c>
      <c r="AE20" s="3">
        <f t="shared" si="4"/>
        <v>7.3303078038741923E-11</v>
      </c>
      <c r="AF20" s="3">
        <f t="shared" si="5"/>
        <v>-1.1610050498503298E-11</v>
      </c>
      <c r="AG20" s="3">
        <f t="shared" si="6"/>
        <v>1.52587890625E-5</v>
      </c>
      <c r="AI20" s="3">
        <v>16</v>
      </c>
      <c r="AJ20" s="3">
        <f t="shared" si="25"/>
        <v>2498.8250732421875</v>
      </c>
      <c r="AK20" s="3">
        <v>-7.4563777907314943E-2</v>
      </c>
      <c r="AL20" s="3">
        <f t="shared" si="26"/>
        <v>2498.96240234375</v>
      </c>
      <c r="AM20" s="3">
        <v>3.9579138822318782E-3</v>
      </c>
      <c r="AN20" s="3">
        <f t="shared" si="17"/>
        <v>2498.8937377929688</v>
      </c>
      <c r="AO20" s="3">
        <v>-3.5311451141296857E-2</v>
      </c>
      <c r="AP20" s="3">
        <f t="shared" si="18"/>
        <v>2.6329552004846616E-3</v>
      </c>
      <c r="AQ20" s="3">
        <f t="shared" si="19"/>
        <v>-1.3975968267389153E-4</v>
      </c>
      <c r="AR20" s="3">
        <f t="shared" si="20"/>
        <v>0.1373291015625</v>
      </c>
      <c r="AT20" s="51"/>
      <c r="AU20" s="4">
        <f>0.285*($AU$9/2)</f>
        <v>1.1379707999999999</v>
      </c>
      <c r="AV20" s="27" t="s">
        <v>8</v>
      </c>
      <c r="AW20"/>
      <c r="AX20" s="3" t="s">
        <v>219</v>
      </c>
      <c r="AY20" s="3">
        <f>AY17/AY19*AY7</f>
        <v>4.7903357993420256E-2</v>
      </c>
      <c r="AZ20" s="40"/>
      <c r="BA20"/>
      <c r="BB20"/>
      <c r="BC20"/>
      <c r="BD20"/>
      <c r="BE20"/>
      <c r="BF20"/>
      <c r="BG20"/>
      <c r="BH20"/>
      <c r="BI20"/>
      <c r="BJ20" s="8" t="s">
        <v>220</v>
      </c>
      <c r="BK20" s="41">
        <f>SIN(BK4)/(1+BK18) - $AU$3*COS(BK4)/($AY$5*$AU$19*(1-BK19))</f>
        <v>-9.5622999622679838E-10</v>
      </c>
      <c r="BL20" s="41"/>
      <c r="BM20" s="3"/>
      <c r="BN20" s="8" t="s">
        <v>220</v>
      </c>
      <c r="BO20" s="41">
        <f>SIN(BO4)/(1+BO18) - $AU$3*COS(BO4)/($AY$5*$AU$20*(1-BO19))</f>
        <v>7.2546920259347614E-9</v>
      </c>
      <c r="BP20" s="41"/>
      <c r="BQ20"/>
      <c r="BR20" s="3">
        <v>16</v>
      </c>
      <c r="BS20" s="3">
        <f t="shared" si="21"/>
        <v>0.15787155026123562</v>
      </c>
      <c r="BT20" s="3">
        <v>-2.8683070306703348E-4</v>
      </c>
      <c r="BU20" s="3">
        <f t="shared" si="22"/>
        <v>0.15795687794256175</v>
      </c>
      <c r="BV20" s="3">
        <v>5.3698528770936352E-5</v>
      </c>
      <c r="BW20" s="3">
        <f t="shared" si="7"/>
        <v>0.15791421410189868</v>
      </c>
      <c r="BX20" s="3">
        <v>-1.1653329986698394E-4</v>
      </c>
      <c r="BY20" s="3">
        <f t="shared" si="8"/>
        <v>3.3425328331568442E-8</v>
      </c>
      <c r="BZ20" s="3">
        <f t="shared" si="9"/>
        <v>-6.25766675567939E-9</v>
      </c>
      <c r="CA20" s="3">
        <f t="shared" si="10"/>
        <v>8.5327681326130556E-5</v>
      </c>
      <c r="CB20"/>
      <c r="CC20" s="3">
        <v>16</v>
      </c>
      <c r="CD20" s="3">
        <f t="shared" si="23"/>
        <v>0.12621498048923813</v>
      </c>
      <c r="CE20" s="3">
        <v>-1.8485891033458157E-4</v>
      </c>
      <c r="CF20" s="3">
        <f t="shared" si="24"/>
        <v>0.12630030817056426</v>
      </c>
      <c r="CG20" s="3">
        <v>1.131578486428305E-4</v>
      </c>
      <c r="CH20" s="3">
        <f t="shared" si="11"/>
        <v>0.12625764432990119</v>
      </c>
      <c r="CI20" s="3">
        <v>-3.5814902595722453E-5</v>
      </c>
      <c r="CJ20" s="3">
        <f t="shared" si="12"/>
        <v>6.6207038675844297E-9</v>
      </c>
      <c r="CK20" s="3">
        <f t="shared" si="13"/>
        <v>-4.0527373270844788E-9</v>
      </c>
      <c r="CL20" s="3">
        <f t="shared" si="14"/>
        <v>8.5327681326130556E-5</v>
      </c>
    </row>
    <row r="21" spans="2:90" x14ac:dyDescent="0.2">
      <c r="B21" s="7" t="s">
        <v>148</v>
      </c>
      <c r="C21" s="7">
        <f>$C$20*$C$8/PI()</f>
        <v>6.1401977044853208E-2</v>
      </c>
      <c r="F21" s="7" t="s">
        <v>294</v>
      </c>
      <c r="G21" s="18">
        <f>10+10</f>
        <v>20</v>
      </c>
      <c r="H21" s="7" t="s">
        <v>14</v>
      </c>
      <c r="J21" s="15" t="s">
        <v>67</v>
      </c>
      <c r="K21" s="7">
        <f xml:space="preserve"> $C$61 * 0</f>
        <v>0</v>
      </c>
      <c r="L21" s="7" t="s">
        <v>7</v>
      </c>
      <c r="N21" s="7" t="s">
        <v>33</v>
      </c>
      <c r="O21" s="7">
        <f xml:space="preserve"> O19 / ($C$47 * PI() * $C$7^2 * O20^2 * $C$7^2)</f>
        <v>7.6643856026777637E-3</v>
      </c>
      <c r="R21" s="7" t="s">
        <v>33</v>
      </c>
      <c r="S21" s="7">
        <f xml:space="preserve"> S19 / ($C$53 * PI() * $C$7^2 * S20^2 * $C$7^2)</f>
        <v>2.5801627583597335E-3</v>
      </c>
      <c r="X21" s="3">
        <v>17</v>
      </c>
      <c r="Y21" s="3">
        <f t="shared" si="15"/>
        <v>1.633453369140625E-2</v>
      </c>
      <c r="Z21" s="3">
        <f t="shared" si="0"/>
        <v>5.5539655088830686E-6</v>
      </c>
      <c r="AA21" s="3">
        <f t="shared" si="16"/>
        <v>1.63421630859375E-2</v>
      </c>
      <c r="AB21" s="3">
        <f t="shared" si="1"/>
        <v>-2.0904073818849012E-6</v>
      </c>
      <c r="AC21" s="3">
        <f t="shared" si="2"/>
        <v>1.6338348388671875E-2</v>
      </c>
      <c r="AD21" s="3">
        <f t="shared" si="3"/>
        <v>1.7317799234049802E-6</v>
      </c>
      <c r="AE21" s="3">
        <f t="shared" si="4"/>
        <v>9.6182459635674231E-12</v>
      </c>
      <c r="AF21" s="3">
        <f t="shared" si="5"/>
        <v>-3.6201255356858395E-12</v>
      </c>
      <c r="AG21" s="3">
        <f t="shared" si="6"/>
        <v>7.62939453125E-6</v>
      </c>
      <c r="AI21" s="3">
        <v>17</v>
      </c>
      <c r="AJ21" s="3">
        <f t="shared" si="25"/>
        <v>2498.8937377929688</v>
      </c>
      <c r="AK21" s="3">
        <v>-3.5311451141296857E-2</v>
      </c>
      <c r="AL21" s="3">
        <f t="shared" si="26"/>
        <v>2498.96240234375</v>
      </c>
      <c r="AM21" s="3">
        <v>3.9579138822318782E-3</v>
      </c>
      <c r="AN21" s="3">
        <f t="shared" si="17"/>
        <v>2498.9280700683594</v>
      </c>
      <c r="AO21" s="3">
        <v>-1.5684644377643053E-2</v>
      </c>
      <c r="AP21" s="3">
        <f t="shared" si="18"/>
        <v>5.5384755360975916E-4</v>
      </c>
      <c r="AQ21" s="3">
        <f t="shared" si="19"/>
        <v>-6.2078471720143616E-5</v>
      </c>
      <c r="AR21" s="3">
        <f t="shared" si="20"/>
        <v>6.866455078125E-2</v>
      </c>
      <c r="AT21" s="51"/>
      <c r="AU21" s="4">
        <f>0.395*($AU$9/2)</f>
        <v>1.5771876</v>
      </c>
      <c r="AV21" s="27" t="s">
        <v>8</v>
      </c>
      <c r="AW21"/>
      <c r="AX21"/>
      <c r="AY21"/>
      <c r="AZ21" s="40"/>
      <c r="BA21"/>
      <c r="BB21" s="62" t="s">
        <v>221</v>
      </c>
      <c r="BC21" s="62"/>
      <c r="BD21" s="62"/>
      <c r="BE21"/>
      <c r="BF21" s="62" t="s">
        <v>222</v>
      </c>
      <c r="BG21" s="62"/>
      <c r="BH21" s="62"/>
      <c r="BI21"/>
      <c r="BJ21" s="3"/>
      <c r="BK21" s="3"/>
      <c r="BL21" s="3"/>
      <c r="BM21" s="3"/>
      <c r="BN21" s="3"/>
      <c r="BO21" s="3"/>
      <c r="BP21" s="3"/>
      <c r="BQ21"/>
      <c r="BR21" s="3">
        <v>17</v>
      </c>
      <c r="BS21" s="3">
        <f t="shared" si="21"/>
        <v>0.15791421410189868</v>
      </c>
      <c r="BT21" s="3">
        <v>-1.1653329986698394E-4</v>
      </c>
      <c r="BU21" s="3">
        <f t="shared" si="22"/>
        <v>0.15795687794256175</v>
      </c>
      <c r="BV21" s="3">
        <v>5.3698528770936352E-5</v>
      </c>
      <c r="BW21" s="3">
        <f t="shared" si="7"/>
        <v>0.1579355460222302</v>
      </c>
      <c r="BX21" s="3">
        <v>-3.1409191805529396E-5</v>
      </c>
      <c r="BY21" s="3">
        <f t="shared" si="8"/>
        <v>3.6602167672533719E-9</v>
      </c>
      <c r="BZ21" s="3">
        <f t="shared" si="9"/>
        <v>-1.6866273898410785E-9</v>
      </c>
      <c r="CA21" s="3">
        <f t="shared" si="10"/>
        <v>4.2663840663065278E-5</v>
      </c>
      <c r="CB21"/>
      <c r="CC21" s="3">
        <v>17</v>
      </c>
      <c r="CD21" s="3">
        <f t="shared" si="23"/>
        <v>0.12625764432990119</v>
      </c>
      <c r="CE21" s="3">
        <v>-3.5814902595722453E-5</v>
      </c>
      <c r="CF21" s="3">
        <f t="shared" si="24"/>
        <v>0.12630030817056426</v>
      </c>
      <c r="CG21" s="3">
        <v>1.131578486428305E-4</v>
      </c>
      <c r="CH21" s="3">
        <f t="shared" si="11"/>
        <v>0.12627897625023271</v>
      </c>
      <c r="CI21" s="3">
        <v>3.8680375873546835E-5</v>
      </c>
      <c r="CJ21" s="3">
        <f t="shared" si="12"/>
        <v>-1.3853338942770126E-9</v>
      </c>
      <c r="CK21" s="3">
        <f t="shared" si="13"/>
        <v>4.3769881185466057E-9</v>
      </c>
      <c r="CL21" s="3">
        <f t="shared" si="14"/>
        <v>4.2663840663065278E-5</v>
      </c>
    </row>
    <row r="22" spans="2:90" x14ac:dyDescent="0.2">
      <c r="B22" s="7" t="s">
        <v>149</v>
      </c>
      <c r="C22" s="18">
        <v>0.75</v>
      </c>
      <c r="F22" s="7" t="s">
        <v>291</v>
      </c>
      <c r="G22" s="18">
        <v>100</v>
      </c>
      <c r="H22" s="7" t="s">
        <v>62</v>
      </c>
      <c r="J22" s="15" t="s">
        <v>137</v>
      </c>
      <c r="K22" s="7">
        <f>$C$61*(0.14*$G$18*1000/745.7)*0.453592</f>
        <v>22.118511466787471</v>
      </c>
      <c r="L22" s="7" t="s">
        <v>7</v>
      </c>
      <c r="N22" s="7" t="s">
        <v>1</v>
      </c>
      <c r="O22" s="18">
        <v>8.8999999999999999E-3</v>
      </c>
      <c r="R22" s="7" t="s">
        <v>1</v>
      </c>
      <c r="S22" s="18">
        <v>8.8999999999999999E-3</v>
      </c>
      <c r="X22" s="3">
        <v>18</v>
      </c>
      <c r="Y22" s="3">
        <f t="shared" si="15"/>
        <v>1.6338348388671875E-2</v>
      </c>
      <c r="Z22" s="3">
        <f t="shared" si="0"/>
        <v>1.7317799234049802E-6</v>
      </c>
      <c r="AA22" s="3">
        <f t="shared" si="16"/>
        <v>1.63421630859375E-2</v>
      </c>
      <c r="AB22" s="3">
        <f t="shared" si="1"/>
        <v>-2.0904073818849012E-6</v>
      </c>
      <c r="AC22" s="3">
        <f t="shared" si="2"/>
        <v>1.6340255737304688E-2</v>
      </c>
      <c r="AD22" s="3">
        <f t="shared" si="3"/>
        <v>-1.7931351426608844E-7</v>
      </c>
      <c r="AE22" s="3">
        <f t="shared" si="4"/>
        <v>-3.1053154400120444E-13</v>
      </c>
      <c r="AF22" s="3">
        <f t="shared" si="5"/>
        <v>3.7483829389355478E-13</v>
      </c>
      <c r="AG22" s="3">
        <f t="shared" si="6"/>
        <v>3.814697265625E-6</v>
      </c>
      <c r="AI22" s="3">
        <v>18</v>
      </c>
      <c r="AJ22" s="3">
        <f t="shared" si="25"/>
        <v>2498.9280700683594</v>
      </c>
      <c r="AK22" s="3">
        <v>-1.5684644377643053E-2</v>
      </c>
      <c r="AL22" s="3">
        <f t="shared" si="26"/>
        <v>2498.96240234375</v>
      </c>
      <c r="AM22" s="3">
        <v>3.9579138822318782E-3</v>
      </c>
      <c r="AN22" s="3">
        <f t="shared" si="17"/>
        <v>2498.9452362060547</v>
      </c>
      <c r="AO22" s="3">
        <v>-5.8627642604278662E-3</v>
      </c>
      <c r="AP22" s="3">
        <f t="shared" si="18"/>
        <v>9.1955372494766568E-5</v>
      </c>
      <c r="AQ22" s="3">
        <f t="shared" si="19"/>
        <v>-2.3204316054600362E-5</v>
      </c>
      <c r="AR22" s="3">
        <f t="shared" si="20"/>
        <v>3.4332275390625E-2</v>
      </c>
      <c r="AT22" s="51"/>
      <c r="AU22" s="4">
        <f>0.505*($AU$9/2)</f>
        <v>2.0164043999999999</v>
      </c>
      <c r="AV22" s="27" t="s">
        <v>8</v>
      </c>
      <c r="AW22"/>
      <c r="AX22" s="61" t="s">
        <v>223</v>
      </c>
      <c r="AY22" s="61"/>
      <c r="AZ22" s="61"/>
      <c r="BA22"/>
      <c r="BB22" s="3" t="s">
        <v>174</v>
      </c>
      <c r="BC22" s="3">
        <f>$AU$23-$AU$22</f>
        <v>0.43921680000000007</v>
      </c>
      <c r="BD22" s="27" t="s">
        <v>8</v>
      </c>
      <c r="BE22"/>
      <c r="BF22" s="3" t="s">
        <v>174</v>
      </c>
      <c r="BG22" s="3">
        <f>$AU$24-$AU$23</f>
        <v>0.43921680000000007</v>
      </c>
      <c r="BH22" s="27" t="s">
        <v>8</v>
      </c>
      <c r="BI22"/>
      <c r="BJ22" s="62" t="s">
        <v>206</v>
      </c>
      <c r="BK22" s="62"/>
      <c r="BL22" s="62"/>
      <c r="BM22" s="3"/>
      <c r="BN22" s="62" t="s">
        <v>207</v>
      </c>
      <c r="BO22" s="62"/>
      <c r="BP22" s="62"/>
      <c r="BQ22"/>
      <c r="BR22" s="3">
        <v>18</v>
      </c>
      <c r="BS22" s="3">
        <f t="shared" si="21"/>
        <v>0.1579355460222302</v>
      </c>
      <c r="BT22" s="3">
        <v>-3.1409191805529396E-5</v>
      </c>
      <c r="BU22" s="3">
        <f t="shared" si="22"/>
        <v>0.15795687794256175</v>
      </c>
      <c r="BV22" s="3">
        <v>5.3698528770936352E-5</v>
      </c>
      <c r="BW22" s="3">
        <f t="shared" si="7"/>
        <v>0.15794621198239597</v>
      </c>
      <c r="BX22" s="3">
        <v>1.1146716533886117E-5</v>
      </c>
      <c r="BY22" s="3">
        <f t="shared" si="8"/>
        <v>-3.5010935761469487E-10</v>
      </c>
      <c r="BZ22" s="3">
        <f t="shared" si="9"/>
        <v>5.985622784963556E-10</v>
      </c>
      <c r="CA22" s="3">
        <f t="shared" si="10"/>
        <v>2.1331920331546517E-5</v>
      </c>
      <c r="CB22"/>
      <c r="CC22" s="3">
        <v>18</v>
      </c>
      <c r="CD22" s="3">
        <f t="shared" si="23"/>
        <v>0.12625764432990119</v>
      </c>
      <c r="CE22" s="3">
        <v>-3.5814902595722453E-5</v>
      </c>
      <c r="CF22" s="3">
        <f t="shared" si="24"/>
        <v>0.12627897625023271</v>
      </c>
      <c r="CG22" s="3">
        <v>3.8680375873546835E-5</v>
      </c>
      <c r="CH22" s="3">
        <f t="shared" si="11"/>
        <v>0.12626831029006697</v>
      </c>
      <c r="CI22" s="3">
        <v>1.4349628778571183E-6</v>
      </c>
      <c r="CJ22" s="3">
        <f t="shared" si="12"/>
        <v>-5.1393055698930268E-11</v>
      </c>
      <c r="CK22" s="3">
        <f t="shared" si="13"/>
        <v>5.5504903480099811E-11</v>
      </c>
      <c r="CL22" s="3">
        <f t="shared" si="14"/>
        <v>2.1331920331518761E-5</v>
      </c>
    </row>
    <row r="23" spans="2:90" x14ac:dyDescent="0.2">
      <c r="F23" s="44" t="s">
        <v>304</v>
      </c>
      <c r="G23" s="44">
        <f>$G$22/100*K4</f>
        <v>278.5679459577251</v>
      </c>
      <c r="H23" s="44" t="s">
        <v>123</v>
      </c>
      <c r="J23" s="16" t="s">
        <v>68</v>
      </c>
      <c r="K23" s="7">
        <f xml:space="preserve"> $C$62 * (0.0268 * $C$5)</f>
        <v>66.972006919962411</v>
      </c>
      <c r="L23" s="7" t="s">
        <v>7</v>
      </c>
      <c r="N23" s="7" t="s">
        <v>34</v>
      </c>
      <c r="O23" s="7">
        <f xml:space="preserve"> ($C$21 * O22 / 8) * (1 + 4.65 *$C$10^ 2) * ( PI() * $C$47 * O20^3 *$C$7^ 5)</f>
        <v>8641.9759530729516</v>
      </c>
      <c r="P23" s="7" t="s">
        <v>21</v>
      </c>
      <c r="R23" s="7" t="s">
        <v>34</v>
      </c>
      <c r="S23" s="7">
        <f xml:space="preserve"> ($C$21 * S22 / 8) * (1 + 4.65 *$C$11^ 2) * ( PI() * $C$53 * S20^3 *$C$7^ 5)</f>
        <v>45492.378707118281</v>
      </c>
      <c r="T23" s="7" t="s">
        <v>21</v>
      </c>
      <c r="X23" s="3">
        <v>19</v>
      </c>
      <c r="Y23" s="3">
        <f t="shared" si="15"/>
        <v>1.6338348388671875E-2</v>
      </c>
      <c r="Z23" s="3">
        <f t="shared" si="0"/>
        <v>1.7317799234049802E-6</v>
      </c>
      <c r="AA23" s="3">
        <f t="shared" si="16"/>
        <v>1.6340255737304688E-2</v>
      </c>
      <c r="AB23" s="3">
        <f t="shared" si="1"/>
        <v>-1.7931351426608844E-7</v>
      </c>
      <c r="AC23" s="3">
        <f t="shared" si="2"/>
        <v>1.6339302062988281E-2</v>
      </c>
      <c r="AD23" s="3">
        <f t="shared" si="3"/>
        <v>7.762332583129139E-7</v>
      </c>
      <c r="AE23" s="3">
        <f t="shared" si="4"/>
        <v>1.3442651726255362E-12</v>
      </c>
      <c r="AF23" s="3">
        <f t="shared" si="5"/>
        <v>-1.3918911343830499E-13</v>
      </c>
      <c r="AG23" s="3">
        <f t="shared" si="6"/>
        <v>1.9073486328125E-6</v>
      </c>
      <c r="AI23" s="3">
        <v>19</v>
      </c>
      <c r="AJ23" s="3">
        <f t="shared" si="25"/>
        <v>2498.9452362060547</v>
      </c>
      <c r="AK23" s="3">
        <v>-5.8627642604278662E-3</v>
      </c>
      <c r="AL23" s="3">
        <f t="shared" si="26"/>
        <v>2498.96240234375</v>
      </c>
      <c r="AM23" s="3">
        <v>3.9579138822318782E-3</v>
      </c>
      <c r="AN23" s="3">
        <f t="shared" si="17"/>
        <v>2498.9538192749023</v>
      </c>
      <c r="AO23" s="3">
        <v>-9.6149730711658776E-4</v>
      </c>
      <c r="AP23" s="3">
        <f t="shared" si="18"/>
        <v>5.6370320486607668E-6</v>
      </c>
      <c r="AQ23" s="3">
        <f t="shared" si="19"/>
        <v>-3.8055235395653104E-6</v>
      </c>
      <c r="AR23" s="3">
        <f t="shared" si="20"/>
        <v>1.71661376953125E-2</v>
      </c>
      <c r="AT23" s="51"/>
      <c r="AU23" s="4">
        <f>0.615*($AU$9/2)</f>
        <v>2.4556211999999999</v>
      </c>
      <c r="AV23" s="27" t="s">
        <v>8</v>
      </c>
      <c r="AW23"/>
      <c r="AX23" s="63" t="s">
        <v>224</v>
      </c>
      <c r="AY23" s="51">
        <f>BK20</f>
        <v>-9.5622999622679838E-10</v>
      </c>
      <c r="AZ23" s="51"/>
      <c r="BA23"/>
      <c r="BB23" s="3" t="s">
        <v>179</v>
      </c>
      <c r="BC23" s="3">
        <f>(1+$BK$56)*$AU$3</f>
        <v>8.9441377148042047</v>
      </c>
      <c r="BD23" s="27" t="s">
        <v>10</v>
      </c>
      <c r="BE23"/>
      <c r="BF23" s="3" t="s">
        <v>179</v>
      </c>
      <c r="BG23" s="3">
        <f>(1+$BO$56)*$AU$3</f>
        <v>8.7010235636486808</v>
      </c>
      <c r="BH23" s="27" t="s">
        <v>10</v>
      </c>
      <c r="BI23"/>
      <c r="BJ23" s="29" t="s">
        <v>175</v>
      </c>
      <c r="BK23" s="30">
        <f>BW68</f>
        <v>0.10436097234436467</v>
      </c>
      <c r="BL23" s="6" t="s">
        <v>176</v>
      </c>
      <c r="BM23" s="3"/>
      <c r="BN23" s="29" t="s">
        <v>175</v>
      </c>
      <c r="BO23" s="30">
        <f>CH68</f>
        <v>8.7090413201282552E-2</v>
      </c>
      <c r="BP23" s="6" t="s">
        <v>176</v>
      </c>
      <c r="BQ23"/>
      <c r="BR23" s="3">
        <v>19</v>
      </c>
      <c r="BS23" s="3">
        <f t="shared" si="21"/>
        <v>0.1579355460222302</v>
      </c>
      <c r="BT23" s="3">
        <v>-3.1409191805529396E-5</v>
      </c>
      <c r="BU23" s="3">
        <f t="shared" si="22"/>
        <v>0.15794621198239597</v>
      </c>
      <c r="BV23" s="3">
        <v>1.1146716533886117E-5</v>
      </c>
      <c r="BW23" s="3">
        <f t="shared" si="7"/>
        <v>0.15794087900231307</v>
      </c>
      <c r="BX23" s="3">
        <v>-1.0130725575027699E-5</v>
      </c>
      <c r="BY23" s="3">
        <f t="shared" si="8"/>
        <v>3.1819790271522708E-10</v>
      </c>
      <c r="BZ23" s="3">
        <f t="shared" si="9"/>
        <v>-1.129243262674242E-10</v>
      </c>
      <c r="CA23" s="3">
        <f t="shared" si="10"/>
        <v>1.0665960165773258E-5</v>
      </c>
      <c r="CB23"/>
      <c r="CC23" s="3">
        <v>19</v>
      </c>
      <c r="CD23" s="3">
        <f t="shared" si="23"/>
        <v>0.12625764432990119</v>
      </c>
      <c r="CE23" s="3">
        <v>-3.5814902595722453E-5</v>
      </c>
      <c r="CF23" s="3">
        <f t="shared" si="24"/>
        <v>0.12626831029006697</v>
      </c>
      <c r="CG23" s="3">
        <v>1.4349628778571183E-6</v>
      </c>
      <c r="CH23" s="3">
        <f t="shared" si="11"/>
        <v>0.12626297730998409</v>
      </c>
      <c r="CI23" s="3">
        <v>-1.718941323337192E-5</v>
      </c>
      <c r="CJ23" s="3">
        <f t="shared" si="12"/>
        <v>6.1563716063083784E-10</v>
      </c>
      <c r="CK23" s="3">
        <f t="shared" si="13"/>
        <v>-2.4666169882034603E-11</v>
      </c>
      <c r="CL23" s="3">
        <f t="shared" si="14"/>
        <v>1.0665960165773258E-5</v>
      </c>
    </row>
    <row r="24" spans="2:90" x14ac:dyDescent="0.2">
      <c r="B24" s="58" t="s">
        <v>126</v>
      </c>
      <c r="C24" s="58"/>
      <c r="D24" s="58"/>
      <c r="J24" s="16" t="s">
        <v>69</v>
      </c>
      <c r="K24" s="7">
        <f xml:space="preserve"> $C$62 * (11.5 * ($C$5*2.20462/1000)^0.4 * 0.453592)</f>
        <v>10.322862238598885</v>
      </c>
      <c r="L24" s="7" t="s">
        <v>7</v>
      </c>
      <c r="N24" s="7" t="s">
        <v>35</v>
      </c>
      <c r="O24" s="19">
        <f>AC69</f>
        <v>5.610903212800622E-2</v>
      </c>
      <c r="R24" s="7" t="s">
        <v>35</v>
      </c>
      <c r="S24" s="19">
        <f>AC34</f>
        <v>1.6340076457709074E-2</v>
      </c>
      <c r="X24" s="3">
        <v>20</v>
      </c>
      <c r="Y24" s="3">
        <f t="shared" si="15"/>
        <v>1.6339302062988281E-2</v>
      </c>
      <c r="Z24" s="3">
        <f t="shared" si="0"/>
        <v>7.762332583129139E-7</v>
      </c>
      <c r="AA24" s="3">
        <f t="shared" si="16"/>
        <v>1.6340255737304688E-2</v>
      </c>
      <c r="AB24" s="3">
        <f t="shared" si="1"/>
        <v>-1.7931351426608844E-7</v>
      </c>
      <c r="AC24" s="3">
        <f t="shared" si="2"/>
        <v>1.6339778900146484E-2</v>
      </c>
      <c r="AD24" s="3">
        <f t="shared" si="3"/>
        <v>2.9845988545884605E-7</v>
      </c>
      <c r="AE24" s="3">
        <f t="shared" si="4"/>
        <v>2.3167448936541913E-13</v>
      </c>
      <c r="AF24" s="3">
        <f t="shared" si="5"/>
        <v>-5.3517890929079912E-14</v>
      </c>
      <c r="AG24" s="3">
        <f t="shared" si="6"/>
        <v>9.5367431640625E-7</v>
      </c>
      <c r="AI24" s="3">
        <v>20</v>
      </c>
      <c r="AJ24" s="3">
        <f t="shared" si="25"/>
        <v>2498.9538192749023</v>
      </c>
      <c r="AK24" s="3">
        <v>-9.6149730711658776E-4</v>
      </c>
      <c r="AL24" s="3">
        <f t="shared" si="26"/>
        <v>2498.96240234375</v>
      </c>
      <c r="AM24" s="3">
        <v>3.9579138822318782E-3</v>
      </c>
      <c r="AN24" s="3">
        <f t="shared" si="17"/>
        <v>2498.9581108093262</v>
      </c>
      <c r="AO24" s="3">
        <v>1.498208074053764E-3</v>
      </c>
      <c r="AP24" s="3">
        <f t="shared" si="18"/>
        <v>-1.4405230287030235E-6</v>
      </c>
      <c r="AQ24" s="3">
        <f t="shared" si="19"/>
        <v>5.9297785347692785E-6</v>
      </c>
      <c r="AR24" s="3">
        <f t="shared" si="20"/>
        <v>8.58306884765625E-3</v>
      </c>
      <c r="AT24" s="51"/>
      <c r="AU24" s="4">
        <f>0.725*($AU$9/2)</f>
        <v>2.894838</v>
      </c>
      <c r="AV24" s="27" t="s">
        <v>8</v>
      </c>
      <c r="AW24"/>
      <c r="AX24" s="63"/>
      <c r="AY24" s="51">
        <f>BO20</f>
        <v>7.2546920259347614E-9</v>
      </c>
      <c r="AZ24" s="51"/>
      <c r="BA24"/>
      <c r="BB24" s="3" t="s">
        <v>184</v>
      </c>
      <c r="BC24" s="3">
        <f>(1-$BK$57)*$AY$5*$AU$23</f>
        <v>122.99592523699626</v>
      </c>
      <c r="BD24" s="27" t="s">
        <v>10</v>
      </c>
      <c r="BE24"/>
      <c r="BF24" s="3" t="s">
        <v>184</v>
      </c>
      <c r="BG24" s="3">
        <f>(1-$BO$57)*$AY$5*$AU$24</f>
        <v>145.21307706768872</v>
      </c>
      <c r="BH24" s="27" t="s">
        <v>10</v>
      </c>
      <c r="BI24"/>
      <c r="BJ24" s="3" t="s">
        <v>180</v>
      </c>
      <c r="BK24" s="3">
        <f>($AU$37+$AU$5)/180*PI()</f>
        <v>0.15289084247470325</v>
      </c>
      <c r="BL24" s="3" t="s">
        <v>176</v>
      </c>
      <c r="BM24" s="3"/>
      <c r="BN24" s="3" t="s">
        <v>180</v>
      </c>
      <c r="BO24" s="3">
        <f>($AU$38+$AU$5)/180*PI()</f>
        <v>0.12985249634837812</v>
      </c>
      <c r="BP24" s="3" t="s">
        <v>176</v>
      </c>
      <c r="BQ24"/>
      <c r="BR24" s="3">
        <v>20</v>
      </c>
      <c r="BS24" s="3">
        <f t="shared" si="21"/>
        <v>0.15794087900231307</v>
      </c>
      <c r="BT24" s="3">
        <v>-1.0130725575027699E-5</v>
      </c>
      <c r="BU24" s="3">
        <f t="shared" si="22"/>
        <v>0.15794621198239597</v>
      </c>
      <c r="BV24" s="3">
        <v>1.1146716533886117E-5</v>
      </c>
      <c r="BW24" s="3">
        <f t="shared" si="7"/>
        <v>0.15794354549235451</v>
      </c>
      <c r="BX24" s="3">
        <v>5.0812348855074074E-7</v>
      </c>
      <c r="BY24" s="3">
        <f t="shared" si="8"/>
        <v>-5.1476596207332837E-12</v>
      </c>
      <c r="BZ24" s="3">
        <f t="shared" si="9"/>
        <v>5.6639084910844347E-12</v>
      </c>
      <c r="CA24" s="3">
        <f t="shared" si="10"/>
        <v>5.332980082900507E-6</v>
      </c>
      <c r="CB24"/>
      <c r="CC24" s="3">
        <v>20</v>
      </c>
      <c r="CD24" s="3">
        <f t="shared" si="23"/>
        <v>0.12626297730998409</v>
      </c>
      <c r="CE24" s="3">
        <v>-1.718941323337192E-5</v>
      </c>
      <c r="CF24" s="3">
        <f t="shared" si="24"/>
        <v>0.12626831029006697</v>
      </c>
      <c r="CG24" s="3">
        <v>1.4349628778571183E-6</v>
      </c>
      <c r="CH24" s="3">
        <f t="shared" si="11"/>
        <v>0.12626564380002553</v>
      </c>
      <c r="CI24" s="3">
        <v>-7.8770860296520362E-6</v>
      </c>
      <c r="CJ24" s="3">
        <f t="shared" si="12"/>
        <v>1.3540248683850977E-10</v>
      </c>
      <c r="CK24" s="3">
        <f t="shared" si="13"/>
        <v>-1.1303326038237588E-11</v>
      </c>
      <c r="CL24" s="3">
        <f t="shared" si="14"/>
        <v>5.3329800828727514E-6</v>
      </c>
    </row>
    <row r="25" spans="2:90" x14ac:dyDescent="0.2">
      <c r="B25" t="s">
        <v>127</v>
      </c>
      <c r="C25" s="1">
        <v>6</v>
      </c>
      <c r="D25"/>
      <c r="F25" s="56" t="s">
        <v>97</v>
      </c>
      <c r="G25" s="57"/>
      <c r="H25" s="57"/>
      <c r="J25" s="16" t="s">
        <v>70</v>
      </c>
      <c r="K25" s="7">
        <f xml:space="preserve"> $C$62 * (8 * ($C$5/1000))</f>
        <v>19.991643856705196</v>
      </c>
      <c r="L25" s="7" t="s">
        <v>7</v>
      </c>
      <c r="N25" s="7" t="s">
        <v>36</v>
      </c>
      <c r="O25" s="7">
        <f xml:space="preserve"> O20 * $C$7 * O24 - $G$26 * SIN(O18/180*PI())</f>
        <v>2.1759413477905021</v>
      </c>
      <c r="P25" s="7" t="s">
        <v>10</v>
      </c>
      <c r="R25" s="7" t="s">
        <v>36</v>
      </c>
      <c r="S25" s="7">
        <f xml:space="preserve"> S20 * $C$7 * S24 - $C$9 * SIN(S18/180*PI())</f>
        <v>1.3385935329375864</v>
      </c>
      <c r="T25" s="7" t="s">
        <v>10</v>
      </c>
      <c r="X25" s="3">
        <v>21</v>
      </c>
      <c r="Y25" s="3">
        <f t="shared" si="15"/>
        <v>1.6339778900146484E-2</v>
      </c>
      <c r="Z25" s="3">
        <f t="shared" si="0"/>
        <v>2.9845988545884605E-7</v>
      </c>
      <c r="AA25" s="3">
        <f t="shared" si="16"/>
        <v>1.6340255737304688E-2</v>
      </c>
      <c r="AB25" s="3">
        <f t="shared" si="1"/>
        <v>-1.7931351426608844E-7</v>
      </c>
      <c r="AC25" s="3">
        <f t="shared" si="2"/>
        <v>1.6340017318725586E-2</v>
      </c>
      <c r="AD25" s="3">
        <f t="shared" si="3"/>
        <v>5.9573188958272905E-8</v>
      </c>
      <c r="AE25" s="3">
        <f t="shared" si="4"/>
        <v>1.7780207152904324E-14</v>
      </c>
      <c r="AF25" s="3">
        <f t="shared" si="5"/>
        <v>-1.068227786814565E-14</v>
      </c>
      <c r="AG25" s="3">
        <f t="shared" si="6"/>
        <v>4.76837158203125E-7</v>
      </c>
      <c r="AI25" s="3">
        <v>21</v>
      </c>
      <c r="AJ25" s="3">
        <f t="shared" si="25"/>
        <v>2498.9538192749023</v>
      </c>
      <c r="AK25" s="3">
        <v>-9.6149730711658776E-4</v>
      </c>
      <c r="AL25" s="3">
        <f t="shared" si="26"/>
        <v>2498.9581108093262</v>
      </c>
      <c r="AM25" s="3">
        <v>1.498208074053764E-3</v>
      </c>
      <c r="AN25" s="3">
        <f t="shared" si="17"/>
        <v>2498.9559650421143</v>
      </c>
      <c r="AO25" s="3">
        <v>2.6895963219430996E-4</v>
      </c>
      <c r="AP25" s="3">
        <f t="shared" si="18"/>
        <v>-2.5860396207789693E-7</v>
      </c>
      <c r="AQ25" s="3">
        <f t="shared" si="19"/>
        <v>4.0295749254804584E-7</v>
      </c>
      <c r="AR25" s="3">
        <f t="shared" si="20"/>
        <v>4.291534423828125E-3</v>
      </c>
      <c r="AT25" s="51"/>
      <c r="AU25" s="4">
        <f>0.835*($AU$9/2)</f>
        <v>3.3340547999999997</v>
      </c>
      <c r="AV25" s="27" t="s">
        <v>8</v>
      </c>
      <c r="AW25"/>
      <c r="AX25" s="63"/>
      <c r="AY25" s="51">
        <f>BK39</f>
        <v>2.495367298210871E-9</v>
      </c>
      <c r="AZ25" s="51"/>
      <c r="BA25"/>
      <c r="BB25" s="3" t="s">
        <v>188</v>
      </c>
      <c r="BC25" s="3">
        <f>SQRT(BC23^2 + BC24^2)</f>
        <v>123.32070071308448</v>
      </c>
      <c r="BD25" s="27" t="s">
        <v>10</v>
      </c>
      <c r="BE25"/>
      <c r="BF25" s="3" t="s">
        <v>188</v>
      </c>
      <c r="BG25" s="3">
        <f>SQRT(BG23^2 + BG24^2)</f>
        <v>145.47352186058353</v>
      </c>
      <c r="BH25" s="27" t="s">
        <v>10</v>
      </c>
      <c r="BI25"/>
      <c r="BJ25" s="3" t="s">
        <v>29</v>
      </c>
      <c r="BK25" s="3">
        <f>BK24-BK23</f>
        <v>4.8529870130338576E-2</v>
      </c>
      <c r="BL25" s="3" t="s">
        <v>176</v>
      </c>
      <c r="BM25" s="3"/>
      <c r="BN25" s="3" t="s">
        <v>29</v>
      </c>
      <c r="BO25" s="3">
        <f>BO24-BO23</f>
        <v>4.2762083147095564E-2</v>
      </c>
      <c r="BP25" s="3" t="s">
        <v>176</v>
      </c>
      <c r="BQ25"/>
      <c r="BR25" s="3">
        <v>21</v>
      </c>
      <c r="BS25" s="3">
        <f t="shared" si="21"/>
        <v>0.15794087900231307</v>
      </c>
      <c r="BT25" s="3">
        <v>-1.0130725575027699E-5</v>
      </c>
      <c r="BU25" s="3">
        <f t="shared" si="22"/>
        <v>0.15794354549235451</v>
      </c>
      <c r="BV25" s="3">
        <v>5.0812348855074074E-7</v>
      </c>
      <c r="BW25" s="3">
        <f t="shared" si="7"/>
        <v>0.15794221224733379</v>
      </c>
      <c r="BX25" s="3">
        <v>-4.8112690401915653E-6</v>
      </c>
      <c r="BY25" s="3">
        <f t="shared" si="8"/>
        <v>4.8741646313807662E-11</v>
      </c>
      <c r="BZ25" s="3">
        <f t="shared" si="9"/>
        <v>-2.4447188090583121E-12</v>
      </c>
      <c r="CA25" s="3">
        <f t="shared" si="10"/>
        <v>2.6664900414363757E-6</v>
      </c>
      <c r="CB25"/>
      <c r="CC25" s="3">
        <v>21</v>
      </c>
      <c r="CD25" s="3">
        <f t="shared" si="23"/>
        <v>0.12626564380002553</v>
      </c>
      <c r="CE25" s="3">
        <v>-7.8770860296520362E-6</v>
      </c>
      <c r="CF25" s="3">
        <f t="shared" si="24"/>
        <v>0.12626831029006697</v>
      </c>
      <c r="CG25" s="3">
        <v>1.4349628778571183E-6</v>
      </c>
      <c r="CH25" s="3">
        <f t="shared" si="11"/>
        <v>0.12626697704504625</v>
      </c>
      <c r="CI25" s="3">
        <v>-3.2210267899169392E-6</v>
      </c>
      <c r="CJ25" s="3">
        <f t="shared" si="12"/>
        <v>2.5372305127989667E-11</v>
      </c>
      <c r="CK25" s="3">
        <f t="shared" si="13"/>
        <v>-4.6220538721140871E-12</v>
      </c>
      <c r="CL25" s="3">
        <f t="shared" si="14"/>
        <v>2.6664900414363757E-6</v>
      </c>
    </row>
    <row r="26" spans="2:90" x14ac:dyDescent="0.2">
      <c r="B26" t="s">
        <v>128</v>
      </c>
      <c r="C26" s="1">
        <v>6.4008000000000003</v>
      </c>
      <c r="D26" t="s">
        <v>8</v>
      </c>
      <c r="F26" s="2" t="s">
        <v>117</v>
      </c>
      <c r="G26" s="1">
        <v>28.808900000000001</v>
      </c>
      <c r="H26" t="s">
        <v>10</v>
      </c>
      <c r="J26" s="16" t="s">
        <v>71</v>
      </c>
      <c r="K26" s="7">
        <f xml:space="preserve"> $C$62 * (13 * ($C$5*2.20462/1000)^1.3 * 0.453592)</f>
        <v>54.203668391662369</v>
      </c>
      <c r="L26" s="7" t="s">
        <v>7</v>
      </c>
      <c r="N26" s="7" t="s">
        <v>37</v>
      </c>
      <c r="O26" s="7">
        <f xml:space="preserve"> 1/$C$22 - O23 * SQRT( (2*$C$47*PI()*$C$7^2) / O19^3 )</f>
        <v>1.1569576486882318</v>
      </c>
      <c r="R26" s="7" t="s">
        <v>37</v>
      </c>
      <c r="S26" s="7">
        <f xml:space="preserve"> 1/$C$22 - S23 * SQRT( (2*$C$53*PI()*$C$7^2) / S19^3 )</f>
        <v>0.43034096771937547</v>
      </c>
      <c r="X26" s="3">
        <v>22</v>
      </c>
      <c r="Y26" s="3">
        <f t="shared" si="15"/>
        <v>1.6340017318725586E-2</v>
      </c>
      <c r="Z26" s="3">
        <f t="shared" si="0"/>
        <v>5.9573188958272905E-8</v>
      </c>
      <c r="AA26" s="3">
        <f t="shared" si="16"/>
        <v>1.6340255737304688E-2</v>
      </c>
      <c r="AB26" s="3">
        <f t="shared" si="1"/>
        <v>-1.7931351426608844E-7</v>
      </c>
      <c r="AC26" s="3">
        <f t="shared" si="2"/>
        <v>1.6340136528015137E-2</v>
      </c>
      <c r="AD26" s="3">
        <f t="shared" si="3"/>
        <v>-5.9870161814301603E-8</v>
      </c>
      <c r="AE26" s="3">
        <f t="shared" si="4"/>
        <v>-3.5666564627257646E-15</v>
      </c>
      <c r="AF26" s="3">
        <f t="shared" si="5"/>
        <v>1.0735529114601794E-14</v>
      </c>
      <c r="AG26" s="3">
        <f t="shared" si="6"/>
        <v>2.384185791015625E-7</v>
      </c>
      <c r="AI26" s="3">
        <v>22</v>
      </c>
      <c r="AJ26" s="3">
        <f t="shared" si="25"/>
        <v>2498.9538192749023</v>
      </c>
      <c r="AK26" s="3">
        <v>-9.6149730711658776E-4</v>
      </c>
      <c r="AL26" s="3">
        <f t="shared" si="26"/>
        <v>2498.9559650421143</v>
      </c>
      <c r="AM26" s="3">
        <v>2.6895963219430996E-4</v>
      </c>
      <c r="AN26" s="3">
        <f t="shared" si="17"/>
        <v>2498.9548921585083</v>
      </c>
      <c r="AO26" s="3">
        <v>-3.4626884803401481E-4</v>
      </c>
      <c r="AP26" s="3">
        <f t="shared" si="18"/>
        <v>3.3293656492306818E-7</v>
      </c>
      <c r="AQ26" s="3">
        <f t="shared" si="19"/>
        <v>-9.3132342007576034E-8</v>
      </c>
      <c r="AR26" s="3">
        <f t="shared" si="20"/>
        <v>2.1457672119140625E-3</v>
      </c>
      <c r="AT26" s="51"/>
      <c r="AU26" s="4">
        <f>0.945*($AU$9/2)</f>
        <v>3.7732715999999997</v>
      </c>
      <c r="AV26" s="7" t="s">
        <v>8</v>
      </c>
      <c r="AW26"/>
      <c r="AX26" s="63"/>
      <c r="AY26" s="51">
        <f>BO39</f>
        <v>1.5984836371218947E-9</v>
      </c>
      <c r="AZ26" s="51"/>
      <c r="BA26"/>
      <c r="BB26" s="3" t="s">
        <v>191</v>
      </c>
      <c r="BC26" s="38">
        <f>$AU$45*BC25*$AU$31/$AU$46</f>
        <v>1841622.7156016496</v>
      </c>
      <c r="BD26" s="27"/>
      <c r="BE26"/>
      <c r="BF26" s="3" t="s">
        <v>191</v>
      </c>
      <c r="BG26" s="38">
        <f>$AU$45*BG25*$AU$32/$AU$46</f>
        <v>2102060.7953635235</v>
      </c>
      <c r="BH26" s="27"/>
      <c r="BI26"/>
      <c r="BJ26" s="3" t="s">
        <v>189</v>
      </c>
      <c r="BK26" s="3">
        <f>BK25/PI()*180</f>
        <v>2.780556738786399</v>
      </c>
      <c r="BL26" s="3" t="s">
        <v>44</v>
      </c>
      <c r="BM26" s="3"/>
      <c r="BN26" s="3" t="s">
        <v>189</v>
      </c>
      <c r="BO26" s="3">
        <f>BO25/PI()*180</f>
        <v>2.4500868875160808</v>
      </c>
      <c r="BP26" s="3" t="s">
        <v>44</v>
      </c>
      <c r="BQ26"/>
      <c r="BR26" s="3">
        <v>22</v>
      </c>
      <c r="BS26" s="3">
        <f t="shared" si="21"/>
        <v>0.15794221224733379</v>
      </c>
      <c r="BT26" s="3">
        <v>-4.8112690401915653E-6</v>
      </c>
      <c r="BU26" s="3">
        <f t="shared" si="22"/>
        <v>0.15794354549235451</v>
      </c>
      <c r="BV26" s="3">
        <v>5.0812348855074074E-7</v>
      </c>
      <c r="BW26" s="3">
        <f t="shared" si="7"/>
        <v>0.15794287886984415</v>
      </c>
      <c r="BX26" s="3">
        <v>-2.1515647751907396E-6</v>
      </c>
      <c r="BY26" s="3">
        <f t="shared" si="8"/>
        <v>1.0351756990841931E-11</v>
      </c>
      <c r="BZ26" s="3">
        <f t="shared" si="9"/>
        <v>-1.0932605994128089E-12</v>
      </c>
      <c r="CA26" s="3">
        <f t="shared" si="10"/>
        <v>1.3332450207181878E-6</v>
      </c>
      <c r="CB26"/>
      <c r="CC26" s="3">
        <v>22</v>
      </c>
      <c r="CD26" s="3">
        <f t="shared" si="23"/>
        <v>0.12626697704504625</v>
      </c>
      <c r="CE26" s="3">
        <v>-3.2210267899169392E-6</v>
      </c>
      <c r="CF26" s="3">
        <f t="shared" si="24"/>
        <v>0.12626831029006697</v>
      </c>
      <c r="CG26" s="3">
        <v>1.4349628778571183E-6</v>
      </c>
      <c r="CH26" s="3">
        <f t="shared" si="11"/>
        <v>0.12626764366755661</v>
      </c>
      <c r="CI26" s="3">
        <v>-8.9302325964255025E-7</v>
      </c>
      <c r="CJ26" s="3">
        <f t="shared" si="12"/>
        <v>2.8764518433276051E-12</v>
      </c>
      <c r="CK26" s="3">
        <f t="shared" si="13"/>
        <v>-1.2814552266500185E-12</v>
      </c>
      <c r="CL26" s="3">
        <f t="shared" si="14"/>
        <v>1.3332450207181878E-6</v>
      </c>
    </row>
    <row r="27" spans="2:90" x14ac:dyDescent="0.2">
      <c r="B27" t="s">
        <v>129</v>
      </c>
      <c r="C27" s="1">
        <v>2.0560284000000002</v>
      </c>
      <c r="D27" t="s">
        <v>8</v>
      </c>
      <c r="F27" t="s">
        <v>99</v>
      </c>
      <c r="G27" s="1">
        <f>900*0.3048/60</f>
        <v>4.5720000000000001</v>
      </c>
      <c r="H27" t="s">
        <v>10</v>
      </c>
      <c r="J27" s="11" t="s">
        <v>58</v>
      </c>
      <c r="K27" s="11">
        <f>$C$5 - $C$14 - SUM(K13:K26)</f>
        <v>1.4454144547926262E-9</v>
      </c>
      <c r="L27" s="11" t="s">
        <v>7</v>
      </c>
      <c r="N27" s="7" t="s">
        <v>38</v>
      </c>
      <c r="O27" s="18">
        <v>1.1499999999999999</v>
      </c>
      <c r="R27" s="7" t="s">
        <v>38</v>
      </c>
      <c r="S27" s="18">
        <v>1.1499999999999999</v>
      </c>
      <c r="X27" s="3">
        <v>23</v>
      </c>
      <c r="Y27" s="3">
        <f t="shared" si="15"/>
        <v>1.6340017318725586E-2</v>
      </c>
      <c r="Z27" s="3">
        <f t="shared" si="0"/>
        <v>5.9573188958272905E-8</v>
      </c>
      <c r="AA27" s="3">
        <f t="shared" si="16"/>
        <v>1.6340136528015137E-2</v>
      </c>
      <c r="AB27" s="3">
        <f t="shared" si="1"/>
        <v>-5.9870161814301603E-8</v>
      </c>
      <c r="AC27" s="3">
        <f t="shared" si="2"/>
        <v>1.6340076923370361E-2</v>
      </c>
      <c r="AD27" s="3">
        <f t="shared" si="3"/>
        <v>-1.4848621637808535E-10</v>
      </c>
      <c r="AE27" s="3">
        <f t="shared" si="4"/>
        <v>-8.8457974259906753E-18</v>
      </c>
      <c r="AF27" s="3">
        <f t="shared" si="5"/>
        <v>8.8898938017493712E-18</v>
      </c>
      <c r="AG27" s="3">
        <f t="shared" si="6"/>
        <v>1.1920928955078125E-7</v>
      </c>
      <c r="AI27" s="3">
        <v>23</v>
      </c>
      <c r="AJ27" s="3">
        <f t="shared" si="25"/>
        <v>2498.9548921585083</v>
      </c>
      <c r="AK27" s="3">
        <v>-3.4626884803401481E-4</v>
      </c>
      <c r="AL27" s="3">
        <f t="shared" si="26"/>
        <v>2498.9559650421143</v>
      </c>
      <c r="AM27" s="3">
        <v>2.6895963219430996E-4</v>
      </c>
      <c r="AN27" s="3">
        <f t="shared" si="17"/>
        <v>2498.9554286003113</v>
      </c>
      <c r="AO27" s="3">
        <v>-3.0187619586286019E-5</v>
      </c>
      <c r="AP27" s="3">
        <f t="shared" si="18"/>
        <v>1.0453032259032323E-8</v>
      </c>
      <c r="AQ27" s="3">
        <f t="shared" si="19"/>
        <v>-8.1192510607492348E-9</v>
      </c>
      <c r="AR27" s="3">
        <f t="shared" si="20"/>
        <v>1.0728836059570312E-3</v>
      </c>
      <c r="AT27" s="51" t="s">
        <v>225</v>
      </c>
      <c r="AU27" s="4">
        <f>0.071475*($AU$9/2)</f>
        <v>0.28539109800000001</v>
      </c>
      <c r="AV27" s="27" t="s">
        <v>8</v>
      </c>
      <c r="AW27"/>
      <c r="AX27" s="63"/>
      <c r="AY27" s="51">
        <f>BK58</f>
        <v>-4.6739072811705085E-9</v>
      </c>
      <c r="AZ27" s="51"/>
      <c r="BA27"/>
      <c r="BB27" s="3" t="s">
        <v>195</v>
      </c>
      <c r="BC27" s="34">
        <f xml:space="preserve"> $BK$46 * PI() * $AU$45 * BC25^2 * $BK$52 * $AU$23 * BC22</f>
        <v>1046.4645194821435</v>
      </c>
      <c r="BD27" s="27" t="s">
        <v>23</v>
      </c>
      <c r="BE27"/>
      <c r="BF27" s="3" t="s">
        <v>195</v>
      </c>
      <c r="BG27" s="34">
        <f xml:space="preserve"> $BO$46 * PI() * $AU$45 * BG25^2 * $BO$52 * $AU$24 * BG22</f>
        <v>1165.4659078663817</v>
      </c>
      <c r="BH27" s="27" t="s">
        <v>23</v>
      </c>
      <c r="BI27"/>
      <c r="BJ27" s="3" t="s">
        <v>192</v>
      </c>
      <c r="BK27" s="3">
        <f xml:space="preserve"> $AU$8*$AU$29 / (2*PI()*$AU$21)</f>
        <v>8.1440994613795809E-2</v>
      </c>
      <c r="BL27" s="3"/>
      <c r="BM27" s="3"/>
      <c r="BN27" s="3" t="s">
        <v>192</v>
      </c>
      <c r="BO27" s="3">
        <f xml:space="preserve"> $AU$8*$AU$30 / (2*PI()*$AU$22)</f>
        <v>6.1763148460265718E-2</v>
      </c>
      <c r="BP27" s="3"/>
      <c r="BQ27"/>
      <c r="BR27" s="3">
        <v>23</v>
      </c>
      <c r="BS27" s="3">
        <f t="shared" si="21"/>
        <v>0.15794287886984415</v>
      </c>
      <c r="BT27" s="3">
        <v>-2.1515647751907396E-6</v>
      </c>
      <c r="BU27" s="3">
        <f t="shared" si="22"/>
        <v>0.15794354549235451</v>
      </c>
      <c r="BV27" s="3">
        <v>5.0812348855074074E-7</v>
      </c>
      <c r="BW27" s="3">
        <f t="shared" si="7"/>
        <v>0.15794321218109933</v>
      </c>
      <c r="BX27" s="3">
        <v>-8.2171864315520871E-7</v>
      </c>
      <c r="BY27" s="3">
        <f t="shared" si="8"/>
        <v>1.7679808877302763E-12</v>
      </c>
      <c r="BZ27" s="3">
        <f t="shared" si="9"/>
        <v>-4.1753454356720589E-13</v>
      </c>
      <c r="CA27" s="3">
        <f t="shared" si="10"/>
        <v>6.6662251035909392E-7</v>
      </c>
      <c r="CB27"/>
      <c r="CC27" s="3">
        <v>23</v>
      </c>
      <c r="CD27" s="3">
        <f t="shared" si="23"/>
        <v>0.12626764366755661</v>
      </c>
      <c r="CE27" s="3">
        <v>-8.9302325964255025E-7</v>
      </c>
      <c r="CF27" s="3">
        <f t="shared" si="24"/>
        <v>0.12626831029006697</v>
      </c>
      <c r="CG27" s="3">
        <v>1.4349628778571183E-6</v>
      </c>
      <c r="CH27" s="3">
        <f t="shared" si="11"/>
        <v>0.12626797697881179</v>
      </c>
      <c r="CI27" s="3">
        <v>2.7097198312779625E-7</v>
      </c>
      <c r="CJ27" s="3">
        <f t="shared" si="12"/>
        <v>-2.4198428364459073E-13</v>
      </c>
      <c r="CK27" s="3">
        <f t="shared" si="13"/>
        <v>3.8883473672771298E-13</v>
      </c>
      <c r="CL27" s="3">
        <f t="shared" si="14"/>
        <v>6.6662251035909392E-7</v>
      </c>
    </row>
    <row r="28" spans="2:90" x14ac:dyDescent="0.2">
      <c r="F28" t="s">
        <v>98</v>
      </c>
      <c r="G28" s="1">
        <f>(10000-6050)*0.3048</f>
        <v>1203.96</v>
      </c>
      <c r="H28" t="s">
        <v>8</v>
      </c>
      <c r="J28" s="7" t="s">
        <v>59</v>
      </c>
      <c r="K28" s="5" t="str">
        <f>IF(ABS(K27)&lt;0.00001, "TRUE", "FALSE")</f>
        <v>TRUE</v>
      </c>
      <c r="N28" s="7" t="s">
        <v>39</v>
      </c>
      <c r="O28" s="7">
        <f xml:space="preserve"> 1/$C$59 * LN( EXP($C$59 * O26) + EXP($C$59 * O27) )</f>
        <v>1.176764935055729</v>
      </c>
      <c r="R28" s="7" t="s">
        <v>39</v>
      </c>
      <c r="S28" s="7">
        <f xml:space="preserve"> 1/$C$59 * LN( EXP($C$59 * S26) + EXP($C$59 * S27) )</f>
        <v>1.150000000014014</v>
      </c>
      <c r="X28" s="3">
        <v>24</v>
      </c>
      <c r="Y28" s="3">
        <f t="shared" si="15"/>
        <v>1.6340017318725586E-2</v>
      </c>
      <c r="Z28" s="3">
        <f t="shared" si="0"/>
        <v>5.9573188958272905E-8</v>
      </c>
      <c r="AA28" s="3">
        <f t="shared" si="16"/>
        <v>1.6340076923370361E-2</v>
      </c>
      <c r="AB28" s="3">
        <f t="shared" si="1"/>
        <v>-1.4848621637808535E-10</v>
      </c>
      <c r="AC28" s="3">
        <f t="shared" si="2"/>
        <v>1.6340047121047974E-2</v>
      </c>
      <c r="AD28" s="3">
        <f t="shared" si="3"/>
        <v>2.9712351419519667E-8</v>
      </c>
      <c r="AE28" s="3">
        <f t="shared" si="4"/>
        <v>1.7700595255096533E-15</v>
      </c>
      <c r="AF28" s="3">
        <f t="shared" si="5"/>
        <v>-4.4118746419805082E-18</v>
      </c>
      <c r="AG28" s="3">
        <f t="shared" si="6"/>
        <v>5.9604644775390625E-8</v>
      </c>
      <c r="AI28" s="3">
        <v>24</v>
      </c>
      <c r="AJ28" s="3">
        <f t="shared" si="25"/>
        <v>2498.9554286003113</v>
      </c>
      <c r="AK28" s="3">
        <v>-3.0187619586286019E-5</v>
      </c>
      <c r="AL28" s="3">
        <f t="shared" si="26"/>
        <v>2498.9559650421143</v>
      </c>
      <c r="AM28" s="3">
        <v>2.6895963219430996E-4</v>
      </c>
      <c r="AN28" s="3">
        <f t="shared" si="17"/>
        <v>2498.9556968212128</v>
      </c>
      <c r="AO28" s="3">
        <v>1.1878170380441588E-4</v>
      </c>
      <c r="AP28" s="3">
        <f t="shared" si="18"/>
        <v>-3.5857368882586095E-9</v>
      </c>
      <c r="AQ28" s="3">
        <f t="shared" si="19"/>
        <v>3.1947483366649163E-8</v>
      </c>
      <c r="AR28" s="3">
        <f t="shared" si="20"/>
        <v>5.3644180297851562E-4</v>
      </c>
      <c r="AT28" s="51"/>
      <c r="AU28" s="4">
        <f>0.069425*($AU$9/2)</f>
        <v>0.277205694</v>
      </c>
      <c r="AV28" s="27" t="s">
        <v>8</v>
      </c>
      <c r="AW28"/>
      <c r="AX28" s="63"/>
      <c r="AY28" s="51">
        <f>BO58</f>
        <v>-5.8689761518564143E-9</v>
      </c>
      <c r="AZ28" s="51"/>
      <c r="BA28"/>
      <c r="BB28" s="3" t="s">
        <v>199</v>
      </c>
      <c r="BC28" s="34">
        <f xml:space="preserve"> $BK$46 * PI() * $AU$45 * BC25^2 * $BK$53 * $AU$23^2 * BC22</f>
        <v>207.92085595265701</v>
      </c>
      <c r="BD28" s="27" t="s">
        <v>200</v>
      </c>
      <c r="BE28"/>
      <c r="BF28" s="3" t="s">
        <v>199</v>
      </c>
      <c r="BG28" s="34">
        <f xml:space="preserve"> $BO$46 * PI() * $AU$45 * BG25^2 * $BO$53 * $AU$24^2 * BG22</f>
        <v>241.63684962614855</v>
      </c>
      <c r="BH28" s="27" t="s">
        <v>200</v>
      </c>
      <c r="BI28"/>
      <c r="BJ28" s="3" t="s">
        <v>196</v>
      </c>
      <c r="BK28" s="3">
        <f>IF(-$AU$8*($AY$3-$AU$21)/(2*$AU$21*SIN(BK23))&gt;500, 1, 2*ACOS(MIN(1, EXP(-$AU$8*($AY$3-$AU$21)/(2*$AU$21*SIN(BK23)))))/PI() )</f>
        <v>0.99999999983186028</v>
      </c>
      <c r="BL28" s="3"/>
      <c r="BM28" s="3"/>
      <c r="BN28" s="3" t="s">
        <v>196</v>
      </c>
      <c r="BO28" s="3">
        <f>IF(-$AU$8*($AY$3-$AU$22)/(2*$AU$22*SIN(BO23))&gt;500, 1, 2*ACOS(MIN(1, EXP(-$AU$8*($AY$3-$AU$22)/(2*$AU$22*SIN(BO23)))))/PI() )</f>
        <v>0.99999997098242555</v>
      </c>
      <c r="BP28" s="3"/>
      <c r="BQ28"/>
      <c r="BR28" s="3">
        <v>24</v>
      </c>
      <c r="BS28" s="3">
        <f t="shared" si="21"/>
        <v>0.15794321218109933</v>
      </c>
      <c r="BT28" s="3">
        <v>-8.2171864315520871E-7</v>
      </c>
      <c r="BU28" s="3">
        <f t="shared" si="22"/>
        <v>0.15794354549235451</v>
      </c>
      <c r="BV28" s="3">
        <v>5.0812348855074074E-7</v>
      </c>
      <c r="BW28" s="3">
        <f t="shared" si="7"/>
        <v>0.15794337883672693</v>
      </c>
      <c r="BX28" s="3">
        <v>-1.5679707721268088E-7</v>
      </c>
      <c r="BY28" s="3">
        <f t="shared" si="8"/>
        <v>1.2884308153790664E-13</v>
      </c>
      <c r="BZ28" s="3">
        <f t="shared" si="9"/>
        <v>-7.9672277867867259E-14</v>
      </c>
      <c r="CA28" s="3">
        <f t="shared" si="10"/>
        <v>3.3331125517954696E-7</v>
      </c>
      <c r="CB28"/>
      <c r="CC28" s="3">
        <v>24</v>
      </c>
      <c r="CD28" s="3">
        <f t="shared" si="23"/>
        <v>0.12626764366755661</v>
      </c>
      <c r="CE28" s="3">
        <v>-8.9302325964255025E-7</v>
      </c>
      <c r="CF28" s="3">
        <f t="shared" si="24"/>
        <v>0.12626797697881179</v>
      </c>
      <c r="CG28" s="3">
        <v>2.7097198312779625E-7</v>
      </c>
      <c r="CH28" s="3">
        <f t="shared" si="11"/>
        <v>0.12626781032318418</v>
      </c>
      <c r="CI28" s="3">
        <v>-3.1102509476937934E-7</v>
      </c>
      <c r="CJ28" s="3">
        <f t="shared" si="12"/>
        <v>2.7775264396158422E-13</v>
      </c>
      <c r="CK28" s="3">
        <f t="shared" si="13"/>
        <v>-8.4279086732169481E-14</v>
      </c>
      <c r="CL28" s="3">
        <f t="shared" si="14"/>
        <v>3.3331125517954696E-7</v>
      </c>
    </row>
    <row r="29" spans="2:90" x14ac:dyDescent="0.2">
      <c r="B29" s="58" t="s">
        <v>130</v>
      </c>
      <c r="C29" s="58"/>
      <c r="D29" s="58"/>
      <c r="F29" t="s">
        <v>103</v>
      </c>
      <c r="G29" s="9">
        <f>$G$28/$G$27</f>
        <v>263.33333333333331</v>
      </c>
      <c r="H29" t="s">
        <v>14</v>
      </c>
      <c r="X29" s="3">
        <v>25</v>
      </c>
      <c r="Y29" s="3">
        <f t="shared" si="15"/>
        <v>1.6340047121047974E-2</v>
      </c>
      <c r="Z29" s="3">
        <f t="shared" si="0"/>
        <v>2.9712351419519667E-8</v>
      </c>
      <c r="AA29" s="3">
        <f t="shared" si="16"/>
        <v>1.6340076923370361E-2</v>
      </c>
      <c r="AB29" s="3">
        <f t="shared" si="1"/>
        <v>-1.4848621637808535E-10</v>
      </c>
      <c r="AC29" s="3">
        <f t="shared" si="2"/>
        <v>1.6340062022209167E-2</v>
      </c>
      <c r="AD29" s="3">
        <f t="shared" si="3"/>
        <v>1.4781932615448579E-8</v>
      </c>
      <c r="AE29" s="3">
        <f t="shared" si="4"/>
        <v>4.3920597652986766E-16</v>
      </c>
      <c r="AF29" s="3">
        <f t="shared" si="5"/>
        <v>-2.1949132448237746E-18</v>
      </c>
      <c r="AG29" s="3">
        <f t="shared" si="6"/>
        <v>2.9802322387695312E-8</v>
      </c>
      <c r="AI29" s="3">
        <v>25</v>
      </c>
      <c r="AJ29" s="3">
        <f t="shared" si="25"/>
        <v>2498.9554286003113</v>
      </c>
      <c r="AK29" s="3">
        <v>-3.0187619586286019E-5</v>
      </c>
      <c r="AL29" s="3">
        <f t="shared" si="26"/>
        <v>2498.9556968212128</v>
      </c>
      <c r="AM29" s="3">
        <v>1.1878170380441588E-4</v>
      </c>
      <c r="AN29" s="3">
        <f t="shared" si="17"/>
        <v>2498.955562710762</v>
      </c>
      <c r="AO29" s="3">
        <v>4.4297043586993823E-5</v>
      </c>
      <c r="AP29" s="3">
        <f t="shared" si="18"/>
        <v>-1.3372223006013003E-9</v>
      </c>
      <c r="AQ29" s="3">
        <f t="shared" si="19"/>
        <v>5.2616783107616002E-9</v>
      </c>
      <c r="AR29" s="3">
        <f t="shared" si="20"/>
        <v>2.6822090148925781E-4</v>
      </c>
      <c r="AT29" s="51"/>
      <c r="AU29" s="4">
        <f>0.067375*($AU$9/2)</f>
        <v>0.26902029</v>
      </c>
      <c r="AV29" s="27" t="s">
        <v>8</v>
      </c>
      <c r="AW29"/>
      <c r="AX29" s="63"/>
      <c r="AY29" s="51">
        <f>BK77</f>
        <v>-5.8452058341110225E-10</v>
      </c>
      <c r="AZ29" s="51"/>
      <c r="BA29"/>
      <c r="BB29"/>
      <c r="BC29"/>
      <c r="BD29"/>
      <c r="BE29"/>
      <c r="BF29"/>
      <c r="BG29"/>
      <c r="BH29"/>
      <c r="BI29"/>
      <c r="BJ29" s="3" t="s">
        <v>201</v>
      </c>
      <c r="BK29" s="3">
        <f>IF(-$AU$8*($AU$21-$AU$10)/(2*$AU$21*SIN(BK23))&gt;500, 1, 2*ACOS(MIN(1, EXP(-$AU$8*($AU$21-$AU$10)/(2*$AU$21*SIN(BK23)))))/PI() )</f>
        <v>0.99997180654247753</v>
      </c>
      <c r="BL29" s="3"/>
      <c r="BM29" s="3"/>
      <c r="BN29" s="3" t="s">
        <v>201</v>
      </c>
      <c r="BO29" s="3">
        <f>IF(-$AU$8*($AU$22-$AU$10)/(2*$AU$22*SIN(BO23))&gt;500, 1, 2*ACOS(MIN(1, EXP(-$AU$8*($AU$22-$AU$10)/(2*$AU$22*SIN(BO23)))))/PI() )</f>
        <v>0.99999875822442796</v>
      </c>
      <c r="BP29" s="3"/>
      <c r="BQ29"/>
      <c r="BR29" s="3">
        <v>25</v>
      </c>
      <c r="BS29" s="3">
        <f t="shared" si="21"/>
        <v>0.15794337883672693</v>
      </c>
      <c r="BT29" s="3">
        <v>-1.5679707721268088E-7</v>
      </c>
      <c r="BU29" s="3">
        <f t="shared" si="22"/>
        <v>0.15794354549235451</v>
      </c>
      <c r="BV29" s="3">
        <v>5.0812348855074074E-7</v>
      </c>
      <c r="BW29" s="3">
        <f t="shared" si="7"/>
        <v>0.15794346216454072</v>
      </c>
      <c r="BX29" s="3">
        <v>1.7566333068187723E-7</v>
      </c>
      <c r="BY29" s="3">
        <f t="shared" si="8"/>
        <v>-2.7543496824362997E-14</v>
      </c>
      <c r="BZ29" s="3">
        <f t="shared" si="9"/>
        <v>8.9258664396517833E-14</v>
      </c>
      <c r="CA29" s="3">
        <f t="shared" si="10"/>
        <v>1.6665562757589569E-7</v>
      </c>
      <c r="CB29"/>
      <c r="CC29" s="3">
        <v>25</v>
      </c>
      <c r="CD29" s="3">
        <f t="shared" si="23"/>
        <v>0.12626781032318418</v>
      </c>
      <c r="CE29" s="3">
        <v>-3.1102509476937934E-7</v>
      </c>
      <c r="CF29" s="3">
        <f t="shared" si="24"/>
        <v>0.12626797697881179</v>
      </c>
      <c r="CG29" s="3">
        <v>2.7097198312779625E-7</v>
      </c>
      <c r="CH29" s="3">
        <f t="shared" si="11"/>
        <v>0.126267893650998</v>
      </c>
      <c r="CI29" s="3">
        <v>-2.0026419893931502E-8</v>
      </c>
      <c r="CJ29" s="3">
        <f t="shared" si="12"/>
        <v>6.2287191454014294E-15</v>
      </c>
      <c r="CK29" s="3">
        <f t="shared" si="13"/>
        <v>-5.4265987136085698E-15</v>
      </c>
      <c r="CL29" s="3">
        <f t="shared" si="14"/>
        <v>1.6665562760365127E-7</v>
      </c>
    </row>
    <row r="30" spans="2:90" x14ac:dyDescent="0.2">
      <c r="B30" s="7" t="s">
        <v>144</v>
      </c>
      <c r="C30" s="22" t="s">
        <v>285</v>
      </c>
      <c r="F30" t="s">
        <v>150</v>
      </c>
      <c r="G30" s="9">
        <f>O20*$C$7</f>
        <v>128.91596168641587</v>
      </c>
      <c r="H30" s="7" t="s">
        <v>10</v>
      </c>
      <c r="J30" s="55" t="s">
        <v>136</v>
      </c>
      <c r="K30" s="55"/>
      <c r="L30" s="55"/>
      <c r="X30" s="3">
        <v>26</v>
      </c>
      <c r="Y30" s="3">
        <f t="shared" si="15"/>
        <v>1.6340062022209167E-2</v>
      </c>
      <c r="Z30" s="3">
        <f t="shared" si="0"/>
        <v>1.4781932615448579E-8</v>
      </c>
      <c r="AA30" s="3">
        <f t="shared" si="16"/>
        <v>1.6340076923370361E-2</v>
      </c>
      <c r="AB30" s="3">
        <f t="shared" si="1"/>
        <v>-1.4848621637808535E-10</v>
      </c>
      <c r="AC30" s="3">
        <f t="shared" si="2"/>
        <v>1.6340069472789764E-2</v>
      </c>
      <c r="AD30" s="3">
        <f t="shared" si="3"/>
        <v>7.3167231995352466E-9</v>
      </c>
      <c r="AE30" s="3">
        <f t="shared" si="4"/>
        <v>1.0815530930141934E-16</v>
      </c>
      <c r="AF30" s="3">
        <f t="shared" si="5"/>
        <v>-1.0864325441847475E-18</v>
      </c>
      <c r="AG30" s="3">
        <f t="shared" si="6"/>
        <v>1.4901161193847656E-8</v>
      </c>
      <c r="AI30" s="3">
        <v>26</v>
      </c>
      <c r="AJ30" s="3">
        <f t="shared" si="25"/>
        <v>2498.9554286003113</v>
      </c>
      <c r="AK30" s="3">
        <v>-3.0187619586286019E-5</v>
      </c>
      <c r="AL30" s="3">
        <f t="shared" si="26"/>
        <v>2498.955562710762</v>
      </c>
      <c r="AM30" s="3">
        <v>4.4297043586993823E-5</v>
      </c>
      <c r="AN30" s="3">
        <f t="shared" si="17"/>
        <v>2498.9554956555367</v>
      </c>
      <c r="AO30" s="3">
        <v>7.6590154094446916E-6</v>
      </c>
      <c r="AP30" s="3">
        <f t="shared" si="18"/>
        <v>-2.31207443585819E-10</v>
      </c>
      <c r="AQ30" s="3">
        <f t="shared" si="19"/>
        <v>3.3927173942562884E-10</v>
      </c>
      <c r="AR30" s="3">
        <f t="shared" si="20"/>
        <v>1.3411045074462891E-4</v>
      </c>
      <c r="AT30" s="51"/>
      <c r="AU30" s="4">
        <f>0.065325*($AU$9/2)</f>
        <v>0.26083488599999999</v>
      </c>
      <c r="AV30" s="27" t="s">
        <v>8</v>
      </c>
      <c r="AW30"/>
      <c r="AX30" s="39" t="s">
        <v>226</v>
      </c>
      <c r="AY30" s="51" t="b">
        <f>IF(AY23&lt;0.00001,IF(AY24&lt;0.00001,IF(AY25&lt;0.00001,IF(AY26&lt;0.00001,IF(AY27&lt;0.00001,IF(AY28&lt;0.00001,IF(AY29&lt;0.00001,TRUE,FALSE),FALSE),FALSE),FALSE),FALSE),FALSE),FALSE)</f>
        <v>1</v>
      </c>
      <c r="AZ30" s="51"/>
      <c r="BA30"/>
      <c r="BB30" s="62" t="s">
        <v>227</v>
      </c>
      <c r="BC30" s="62"/>
      <c r="BD30" s="62"/>
      <c r="BE30"/>
      <c r="BF30" s="62" t="s">
        <v>241</v>
      </c>
      <c r="BG30" s="62"/>
      <c r="BH30" s="62"/>
      <c r="BI30"/>
      <c r="BJ30" s="3" t="s">
        <v>204</v>
      </c>
      <c r="BK30" s="3">
        <f>IF(BK23=0,1,BK28*BK29)</f>
        <v>0.99997180637434258</v>
      </c>
      <c r="BL30" s="3"/>
      <c r="BM30" s="3"/>
      <c r="BN30" s="3" t="s">
        <v>204</v>
      </c>
      <c r="BO30" s="3">
        <f>IF(BO23=0,1,BO28*BO29)</f>
        <v>0.99999872920688959</v>
      </c>
      <c r="BP30" s="3"/>
      <c r="BQ30"/>
      <c r="BR30" s="3">
        <v>26</v>
      </c>
      <c r="BS30" s="3">
        <f t="shared" si="21"/>
        <v>0.15794337883672693</v>
      </c>
      <c r="BT30" s="3">
        <v>-1.5679707721268088E-7</v>
      </c>
      <c r="BU30" s="3">
        <f t="shared" si="22"/>
        <v>0.15794346216454072</v>
      </c>
      <c r="BV30" s="3">
        <v>1.7566333068187723E-7</v>
      </c>
      <c r="BW30" s="3">
        <f t="shared" si="7"/>
        <v>0.15794342050063381</v>
      </c>
      <c r="BX30" s="3">
        <v>9.4331579544165711E-9</v>
      </c>
      <c r="BY30" s="3">
        <f t="shared" si="8"/>
        <v>-1.47909159613807E-15</v>
      </c>
      <c r="BZ30" s="3">
        <f t="shared" si="9"/>
        <v>1.6570599451210588E-15</v>
      </c>
      <c r="CA30" s="3">
        <f t="shared" si="10"/>
        <v>8.3327813787947846E-8</v>
      </c>
      <c r="CB30"/>
      <c r="CC30" s="3">
        <v>26</v>
      </c>
      <c r="CD30" s="3">
        <f t="shared" si="23"/>
        <v>0.126267893650998</v>
      </c>
      <c r="CE30" s="3">
        <v>-2.0026419893931502E-8</v>
      </c>
      <c r="CF30" s="3">
        <f t="shared" si="24"/>
        <v>0.12626797697881179</v>
      </c>
      <c r="CG30" s="3">
        <v>2.7097198312779625E-7</v>
      </c>
      <c r="CH30" s="3">
        <f t="shared" si="11"/>
        <v>0.12626793531490488</v>
      </c>
      <c r="CI30" s="3">
        <v>1.2547281555766454E-7</v>
      </c>
      <c r="CJ30" s="3">
        <f t="shared" si="12"/>
        <v>-2.5127712896316112E-15</v>
      </c>
      <c r="CK30" s="3">
        <f t="shared" si="13"/>
        <v>3.3999617660288568E-14</v>
      </c>
      <c r="CL30" s="3">
        <f t="shared" si="14"/>
        <v>8.3327813787947846E-8</v>
      </c>
    </row>
    <row r="31" spans="2:90" x14ac:dyDescent="0.2">
      <c r="B31" s="7" t="s">
        <v>146</v>
      </c>
      <c r="C31" s="7">
        <f>IF(C30="wheeled",0.0325,0.014)</f>
        <v>1.4E-2</v>
      </c>
      <c r="F31" s="7" t="s">
        <v>153</v>
      </c>
      <c r="G31" s="7">
        <f>G30/$C$49</f>
        <v>0.38960277099461355</v>
      </c>
      <c r="H31" s="7" t="s">
        <v>151</v>
      </c>
      <c r="J31" s="7" t="s">
        <v>61</v>
      </c>
      <c r="K31" s="7">
        <f>ROUND($C$14,2)</f>
        <v>544.30999999999995</v>
      </c>
      <c r="L31" s="7" t="s">
        <v>7</v>
      </c>
      <c r="O31" s="51" t="s">
        <v>306</v>
      </c>
      <c r="P31" s="51"/>
      <c r="Q31" s="51" t="s">
        <v>308</v>
      </c>
      <c r="R31" s="51"/>
      <c r="S31" s="7" t="s">
        <v>313</v>
      </c>
      <c r="X31" s="3">
        <v>27</v>
      </c>
      <c r="Y31" s="3">
        <f t="shared" si="15"/>
        <v>1.6340069472789764E-2</v>
      </c>
      <c r="Z31" s="3">
        <f t="shared" si="0"/>
        <v>7.3167231995352466E-9</v>
      </c>
      <c r="AA31" s="3">
        <f t="shared" si="16"/>
        <v>1.6340076923370361E-2</v>
      </c>
      <c r="AB31" s="3">
        <f t="shared" si="1"/>
        <v>-1.4848621637808535E-10</v>
      </c>
      <c r="AC31" s="3">
        <f t="shared" si="2"/>
        <v>1.6340073198080063E-2</v>
      </c>
      <c r="AD31" s="3">
        <f t="shared" si="3"/>
        <v>3.5841184915785806E-9</v>
      </c>
      <c r="AE31" s="3">
        <f t="shared" si="4"/>
        <v>2.6224002917216276E-17</v>
      </c>
      <c r="AF31" s="3">
        <f t="shared" si="5"/>
        <v>-5.3219219386523401E-19</v>
      </c>
      <c r="AG31" s="3">
        <f t="shared" si="6"/>
        <v>7.4505805969238281E-9</v>
      </c>
      <c r="AI31" s="3">
        <v>27</v>
      </c>
      <c r="AJ31" s="3">
        <f t="shared" si="25"/>
        <v>2498.9554286003113</v>
      </c>
      <c r="AK31" s="3">
        <v>-3.0187619586286019E-5</v>
      </c>
      <c r="AL31" s="3">
        <f t="shared" si="26"/>
        <v>2498.9554956555367</v>
      </c>
      <c r="AM31" s="3">
        <v>7.6590154094446916E-6</v>
      </c>
      <c r="AN31" s="3">
        <f t="shared" si="17"/>
        <v>2498.955462127924</v>
      </c>
      <c r="AO31" s="3">
        <v>-1.1264304021096905E-5</v>
      </c>
      <c r="AP31" s="3">
        <f t="shared" si="18"/>
        <v>3.4004252469314528E-10</v>
      </c>
      <c r="AQ31" s="3">
        <f t="shared" si="19"/>
        <v>-8.6273478074250996E-11</v>
      </c>
      <c r="AR31" s="3">
        <f t="shared" si="20"/>
        <v>6.7055225372314453E-5</v>
      </c>
      <c r="AT31" s="51"/>
      <c r="AU31" s="4">
        <f>0.063275*($AU$9/2)</f>
        <v>0.25264948199999998</v>
      </c>
      <c r="AV31" s="27" t="s">
        <v>8</v>
      </c>
      <c r="AW31"/>
      <c r="AX31"/>
      <c r="AY31"/>
      <c r="AZ31"/>
      <c r="BA31"/>
      <c r="BB31" s="3" t="s">
        <v>174</v>
      </c>
      <c r="BC31" s="3">
        <f>$AU$25-$AU$24</f>
        <v>0.43921679999999963</v>
      </c>
      <c r="BD31" s="27" t="s">
        <v>8</v>
      </c>
      <c r="BE31"/>
      <c r="BF31" s="3" t="s">
        <v>174</v>
      </c>
      <c r="BG31" s="3">
        <f>2*($AU$9/2 - $AU$26)</f>
        <v>0.43921680000000052</v>
      </c>
      <c r="BH31" s="27" t="s">
        <v>8</v>
      </c>
      <c r="BI31"/>
      <c r="BJ31" s="3" t="s">
        <v>208</v>
      </c>
      <c r="BK31" s="3">
        <f>IF(BK26&lt;$BD$43, $AY$44*BK26^2 + $AZ$44*BK26 + $BA$44, IF(BK26&gt;$BE$43, $BF$44*BK26^2 + $BG$44*BK26 + $BH$44, $BB$44*BK26^3 + $BC$44*BK26^2 + $BD$44*BK26 + $BE$44))</f>
        <v>0.50311310413410826</v>
      </c>
      <c r="BL31" s="3"/>
      <c r="BM31" s="3"/>
      <c r="BN31" s="3" t="s">
        <v>208</v>
      </c>
      <c r="BO31" s="3">
        <f>IF(BO26&lt;$BD$43, $AY$44*BO26^2 + $AZ$44*BO26 + $BA$44, IF(BO26&gt;$BE$43, $BF$44*BO26^2 + $BG$44*BO26 + $BH$44, $BB$44*BO26^3 + $BC$44*BO26^2 + $BD$44*BO26 + $BE$44))</f>
        <v>0.46370325320321909</v>
      </c>
      <c r="BP31" s="3"/>
      <c r="BQ31"/>
      <c r="BR31" s="3">
        <v>27</v>
      </c>
      <c r="BS31" s="3">
        <f t="shared" si="21"/>
        <v>0.15794337883672693</v>
      </c>
      <c r="BT31" s="3">
        <v>-1.5679707721268088E-7</v>
      </c>
      <c r="BU31" s="3">
        <f t="shared" si="22"/>
        <v>0.15794342050063381</v>
      </c>
      <c r="BV31" s="3">
        <v>9.4331579544165711E-9</v>
      </c>
      <c r="BW31" s="3">
        <f t="shared" si="7"/>
        <v>0.15794339966868037</v>
      </c>
      <c r="BX31" s="3">
        <v>-7.368195183155013E-8</v>
      </c>
      <c r="BY31" s="3">
        <f t="shared" si="8"/>
        <v>1.1553114690512598E-14</v>
      </c>
      <c r="BZ31" s="3">
        <f t="shared" si="9"/>
        <v>-6.9505349001672571E-16</v>
      </c>
      <c r="CA31" s="3">
        <f t="shared" si="10"/>
        <v>4.1663906880096135E-8</v>
      </c>
      <c r="CB31"/>
      <c r="CC31" s="3">
        <v>27</v>
      </c>
      <c r="CD31" s="3">
        <f t="shared" si="23"/>
        <v>0.126267893650998</v>
      </c>
      <c r="CE31" s="3">
        <v>-2.0026419893931502E-8</v>
      </c>
      <c r="CF31" s="3">
        <f t="shared" si="24"/>
        <v>0.12626793531490488</v>
      </c>
      <c r="CG31" s="3">
        <v>1.2547281555766454E-7</v>
      </c>
      <c r="CH31" s="3">
        <f t="shared" si="11"/>
        <v>0.12626791448295144</v>
      </c>
      <c r="CI31" s="3">
        <v>5.2723206352828234E-8</v>
      </c>
      <c r="CJ31" s="3">
        <f t="shared" si="12"/>
        <v>-1.0558570685761352E-15</v>
      </c>
      <c r="CK31" s="3">
        <f t="shared" si="13"/>
        <v>6.6153291463171046E-15</v>
      </c>
      <c r="CL31" s="3">
        <f t="shared" si="14"/>
        <v>4.1663906880096135E-8</v>
      </c>
    </row>
    <row r="32" spans="2:90" x14ac:dyDescent="0.2">
      <c r="B32" t="s">
        <v>286</v>
      </c>
      <c r="C32" s="1">
        <v>2.8540374719999999</v>
      </c>
      <c r="D32" t="s">
        <v>8</v>
      </c>
      <c r="F32" t="s">
        <v>100</v>
      </c>
      <c r="G32" s="9">
        <f>SQRT($G$26^2-$G$27^2)</f>
        <v>28.443796075945983</v>
      </c>
      <c r="H32" t="s">
        <v>10</v>
      </c>
      <c r="J32" s="12" t="s">
        <v>56</v>
      </c>
      <c r="K32" s="7">
        <f>ROUND(K13,2)</f>
        <v>791</v>
      </c>
      <c r="L32" s="7" t="s">
        <v>7</v>
      </c>
      <c r="N32" s="7" t="s">
        <v>307</v>
      </c>
      <c r="O32" s="51">
        <f>6480*0.453592</f>
        <v>2939.2761599999999</v>
      </c>
      <c r="P32" s="51"/>
      <c r="Q32" s="51">
        <f>K12</f>
        <v>2498.9554820881494</v>
      </c>
      <c r="R32" s="51"/>
      <c r="S32" s="50">
        <f t="shared" ref="S32:S33" si="27">(Q32-O32)/O32</f>
        <v>-0.14980582086980573</v>
      </c>
      <c r="X32" s="3">
        <v>28</v>
      </c>
      <c r="Y32" s="3">
        <f t="shared" si="15"/>
        <v>1.6340073198080063E-2</v>
      </c>
      <c r="Z32" s="3">
        <f t="shared" si="0"/>
        <v>3.5841184915785806E-9</v>
      </c>
      <c r="AA32" s="3">
        <f t="shared" si="16"/>
        <v>1.6340076923370361E-2</v>
      </c>
      <c r="AB32" s="3">
        <f t="shared" si="1"/>
        <v>-1.4848621637808535E-10</v>
      </c>
      <c r="AC32" s="3">
        <f t="shared" si="2"/>
        <v>1.6340075060725212E-2</v>
      </c>
      <c r="AD32" s="3">
        <f t="shared" si="3"/>
        <v>1.7178161358655242E-9</v>
      </c>
      <c r="AE32" s="3">
        <f t="shared" si="4"/>
        <v>6.1568565776876887E-18</v>
      </c>
      <c r="AF32" s="3">
        <f t="shared" si="5"/>
        <v>-2.5507201844789465E-19</v>
      </c>
      <c r="AG32" s="3">
        <f t="shared" si="6"/>
        <v>3.7252902984619141E-9</v>
      </c>
      <c r="AI32" s="3">
        <v>28</v>
      </c>
      <c r="AJ32" s="3">
        <f t="shared" si="25"/>
        <v>2498.955462127924</v>
      </c>
      <c r="AK32" s="3">
        <v>-1.1264304021096905E-5</v>
      </c>
      <c r="AL32" s="3">
        <f t="shared" si="26"/>
        <v>2498.9554956555367</v>
      </c>
      <c r="AM32" s="3">
        <v>7.6590154094446916E-6</v>
      </c>
      <c r="AN32" s="3">
        <f t="shared" si="17"/>
        <v>2498.9554788917303</v>
      </c>
      <c r="AO32" s="3">
        <v>-1.8026441921392689E-6</v>
      </c>
      <c r="AP32" s="3">
        <f t="shared" si="18"/>
        <v>2.0305532222121348E-11</v>
      </c>
      <c r="AQ32" s="3">
        <f t="shared" si="19"/>
        <v>-1.3806479645340638E-11</v>
      </c>
      <c r="AR32" s="3">
        <f t="shared" si="20"/>
        <v>3.3527612686157227E-5</v>
      </c>
      <c r="AT32" s="51"/>
      <c r="AU32" s="4">
        <f>0.061225*($AU$9/2)</f>
        <v>0.244464078</v>
      </c>
      <c r="AV32" s="27" t="s">
        <v>8</v>
      </c>
      <c r="AW32"/>
      <c r="AX32"/>
      <c r="AY32"/>
      <c r="AZ32"/>
      <c r="BA32"/>
      <c r="BB32" s="3" t="s">
        <v>179</v>
      </c>
      <c r="BC32" s="3">
        <f>(1+$BK$75)*$AU$3</f>
        <v>8.0785456312258432</v>
      </c>
      <c r="BD32" s="27" t="s">
        <v>10</v>
      </c>
      <c r="BE32"/>
      <c r="BF32" s="3" t="s">
        <v>179</v>
      </c>
      <c r="BG32" s="3">
        <f>(1+$BO$75)*$AU$3</f>
        <v>7.1717233977527819</v>
      </c>
      <c r="BH32" s="27" t="s">
        <v>10</v>
      </c>
      <c r="BI32"/>
      <c r="BJ32" s="3" t="s">
        <v>209</v>
      </c>
      <c r="BK32" s="3">
        <f>IF(BK26&lt;$BD$43, $AY$45*BK26^2 + $AZ$45*BK26 + $BA$45, IF(BK26&gt;$BE$43, $BF$45*BK26^2 + $BG$45*BK26 + $BH$45, $BB$45*BK26^3 + $BC$45*BK26^2 + $BD$45*BK26 + $BE$45))</f>
        <v>2.8729611189682916E-3</v>
      </c>
      <c r="BL32" s="3"/>
      <c r="BM32" s="3"/>
      <c r="BN32" s="3" t="s">
        <v>209</v>
      </c>
      <c r="BO32" s="3">
        <f>IF(BO26&lt;$BD$43, $AY$45*BO26^2 + $AZ$45*BO26 + $BA$45, IF(BO26&gt;$BE$43, $BF$45*BO26^2 + $BG$45*BO26 + $BH$45, $BB$45*BO26^3 + $BC$45*BO26^2 + $BD$45*BO26 + $BE$45))</f>
        <v>2.9891764995069953E-3</v>
      </c>
      <c r="BP32" s="3"/>
      <c r="BQ32"/>
      <c r="BR32" s="3">
        <v>28</v>
      </c>
      <c r="BS32" s="3">
        <f t="shared" si="21"/>
        <v>0.15794339966868037</v>
      </c>
      <c r="BT32" s="3">
        <v>-7.368195183155013E-8</v>
      </c>
      <c r="BU32" s="3">
        <f t="shared" si="22"/>
        <v>0.15794342050063381</v>
      </c>
      <c r="BV32" s="3">
        <v>9.4331579544165711E-9</v>
      </c>
      <c r="BW32" s="3">
        <f t="shared" si="7"/>
        <v>0.15794341008465709</v>
      </c>
      <c r="BX32" s="3">
        <v>-3.2124395038177211E-8</v>
      </c>
      <c r="BY32" s="3">
        <f t="shared" si="8"/>
        <v>2.3669881278206615E-15</v>
      </c>
      <c r="BZ32" s="3">
        <f t="shared" si="9"/>
        <v>-3.0303449258520161E-16</v>
      </c>
      <c r="CA32" s="3">
        <f t="shared" si="10"/>
        <v>2.0831953440048068E-8</v>
      </c>
      <c r="CB32"/>
      <c r="CC32" s="3">
        <v>28</v>
      </c>
      <c r="CD32" s="3">
        <f t="shared" si="23"/>
        <v>0.126267893650998</v>
      </c>
      <c r="CE32" s="3">
        <v>-2.0026419893931502E-8</v>
      </c>
      <c r="CF32" s="3">
        <f t="shared" si="24"/>
        <v>0.12626791448295144</v>
      </c>
      <c r="CG32" s="3">
        <v>5.2723206352828234E-8</v>
      </c>
      <c r="CH32" s="3">
        <f t="shared" si="11"/>
        <v>0.12626790406697472</v>
      </c>
      <c r="CI32" s="3">
        <v>1.6348395330198495E-8</v>
      </c>
      <c r="CJ32" s="3">
        <f t="shared" si="12"/>
        <v>-3.2739982947454403E-16</v>
      </c>
      <c r="CK32" s="3">
        <f t="shared" si="13"/>
        <v>8.6193982053166877E-16</v>
      </c>
      <c r="CL32" s="3">
        <f t="shared" si="14"/>
        <v>2.0831953440048068E-8</v>
      </c>
    </row>
    <row r="33" spans="2:90" x14ac:dyDescent="0.2">
      <c r="B33" t="s">
        <v>287</v>
      </c>
      <c r="C33" s="1">
        <f>(0.750222528+0.849998808)/2</f>
        <v>0.80011066800000008</v>
      </c>
      <c r="D33"/>
      <c r="F33" t="s">
        <v>101</v>
      </c>
      <c r="G33" s="9">
        <f>$G$32*($G$28/$G$27)</f>
        <v>7490.1996333324414</v>
      </c>
      <c r="H33" t="s">
        <v>8</v>
      </c>
      <c r="J33" s="20" t="s">
        <v>83</v>
      </c>
      <c r="K33" s="7">
        <f>ROUND(SUM(K14:K17),2)</f>
        <v>787.25</v>
      </c>
      <c r="L33" s="7" t="s">
        <v>7</v>
      </c>
      <c r="N33" s="7" t="s">
        <v>328</v>
      </c>
      <c r="O33" s="51">
        <f>5280*0.453592</f>
        <v>2394.96576</v>
      </c>
      <c r="P33" s="51"/>
      <c r="Q33" s="51">
        <f>K12-C14</f>
        <v>1954.6444820881493</v>
      </c>
      <c r="R33" s="51"/>
      <c r="S33" s="50">
        <f t="shared" si="27"/>
        <v>-0.18385284886571854</v>
      </c>
      <c r="X33" s="3">
        <v>29</v>
      </c>
      <c r="Y33" s="3">
        <f t="shared" si="15"/>
        <v>1.6340075060725212E-2</v>
      </c>
      <c r="Z33" s="3">
        <f t="shared" si="0"/>
        <v>1.7178161358655242E-9</v>
      </c>
      <c r="AA33" s="3">
        <f t="shared" si="16"/>
        <v>1.6340076923370361E-2</v>
      </c>
      <c r="AB33" s="3">
        <f t="shared" si="1"/>
        <v>-1.4848621637808535E-10</v>
      </c>
      <c r="AC33" s="3">
        <f t="shared" si="2"/>
        <v>1.6340075992047787E-2</v>
      </c>
      <c r="AD33" s="3">
        <f t="shared" si="3"/>
        <v>7.8466495800899594E-10</v>
      </c>
      <c r="AE33" s="3">
        <f t="shared" si="4"/>
        <v>1.3479101261160972E-18</v>
      </c>
      <c r="AF33" s="3">
        <f t="shared" si="5"/>
        <v>-1.1651193073922502E-19</v>
      </c>
      <c r="AG33" s="3">
        <f t="shared" si="6"/>
        <v>1.862645149230957E-9</v>
      </c>
      <c r="AI33" s="3">
        <v>29</v>
      </c>
      <c r="AJ33" s="3">
        <f t="shared" si="25"/>
        <v>2498.9554788917303</v>
      </c>
      <c r="AK33" s="3">
        <v>-1.8026441921392689E-6</v>
      </c>
      <c r="AL33" s="3">
        <f t="shared" si="26"/>
        <v>2498.9554956555367</v>
      </c>
      <c r="AM33" s="3">
        <v>7.6590154094446916E-6</v>
      </c>
      <c r="AN33" s="3">
        <f t="shared" si="17"/>
        <v>2498.9554872736335</v>
      </c>
      <c r="AO33" s="3">
        <v>2.9281848128448473E-6</v>
      </c>
      <c r="AP33" s="3">
        <f t="shared" si="18"/>
        <v>-5.278475346385176E-12</v>
      </c>
      <c r="AQ33" s="3">
        <f t="shared" si="19"/>
        <v>2.2427012603280606E-11</v>
      </c>
      <c r="AR33" s="3">
        <f t="shared" si="20"/>
        <v>1.6763806343078613E-5</v>
      </c>
      <c r="AT33" s="51"/>
      <c r="AU33" s="4">
        <f>0.059175*($AU$9/2)</f>
        <v>0.23627867399999999</v>
      </c>
      <c r="AV33" s="27" t="s">
        <v>8</v>
      </c>
      <c r="AW33"/>
      <c r="AX33"/>
      <c r="AY33"/>
      <c r="AZ33"/>
      <c r="BA33"/>
      <c r="BB33" s="3" t="s">
        <v>184</v>
      </c>
      <c r="BC33" s="3">
        <f>(1-$BK$76)*$AY$5*$AU$25</f>
        <v>167.41242185493175</v>
      </c>
      <c r="BD33" s="27" t="s">
        <v>10</v>
      </c>
      <c r="BE33"/>
      <c r="BF33" s="3" t="s">
        <v>184</v>
      </c>
      <c r="BG33" s="3">
        <f>(1-$BO$76)*$AY$5*$AU$26</f>
        <v>189.54672056687699</v>
      </c>
      <c r="BH33" s="27" t="s">
        <v>10</v>
      </c>
      <c r="BI33"/>
      <c r="BJ33" s="3" t="s">
        <v>211</v>
      </c>
      <c r="BK33" s="3">
        <f xml:space="preserve"> BK31*COS(BK23) - BK32*SIN(BK23)</f>
        <v>0.50007655289108988</v>
      </c>
      <c r="BL33" s="3"/>
      <c r="BM33"/>
      <c r="BN33" s="3" t="s">
        <v>211</v>
      </c>
      <c r="BO33" s="3">
        <f xml:space="preserve"> BO31*COS(BO23) - BO32*SIN(BO23)</f>
        <v>0.46168583044767186</v>
      </c>
      <c r="BP33" s="3"/>
      <c r="BQ33"/>
      <c r="BR33" s="3">
        <v>29</v>
      </c>
      <c r="BS33" s="3">
        <f t="shared" si="21"/>
        <v>0.15794341008465709</v>
      </c>
      <c r="BT33" s="3">
        <v>-3.2124395038177211E-8</v>
      </c>
      <c r="BU33" s="3">
        <f t="shared" si="22"/>
        <v>0.15794342050063381</v>
      </c>
      <c r="BV33" s="3">
        <v>9.4331579544165711E-9</v>
      </c>
      <c r="BW33" s="3">
        <f t="shared" si="7"/>
        <v>0.15794341529264544</v>
      </c>
      <c r="BX33" s="3">
        <v>-1.1345618099525834E-8</v>
      </c>
      <c r="BY33" s="3">
        <f t="shared" si="8"/>
        <v>3.6447111778146126E-16</v>
      </c>
      <c r="BZ33" s="3">
        <f t="shared" si="9"/>
        <v>-1.0702500762331473E-16</v>
      </c>
      <c r="CA33" s="3">
        <f t="shared" si="10"/>
        <v>1.0415976720024034E-8</v>
      </c>
      <c r="CB33"/>
      <c r="CC33" s="3">
        <v>29</v>
      </c>
      <c r="CD33" s="3">
        <f t="shared" si="23"/>
        <v>0.126267893650998</v>
      </c>
      <c r="CE33" s="3">
        <v>-2.0026419893931502E-8</v>
      </c>
      <c r="CF33" s="3">
        <f t="shared" si="24"/>
        <v>0.12626790406697472</v>
      </c>
      <c r="CG33" s="3">
        <v>1.6348395330198495E-8</v>
      </c>
      <c r="CH33" s="3">
        <f t="shared" si="11"/>
        <v>0.12626789885898637</v>
      </c>
      <c r="CI33" s="3">
        <v>-1.839011713744565E-9</v>
      </c>
      <c r="CJ33" s="3">
        <f t="shared" si="12"/>
        <v>3.6828820769307221E-17</v>
      </c>
      <c r="CK33" s="3">
        <f t="shared" si="13"/>
        <v>-3.0064890513161978E-17</v>
      </c>
      <c r="CL33" s="3">
        <f t="shared" si="14"/>
        <v>1.0415976720024034E-8</v>
      </c>
    </row>
    <row r="34" spans="2:90" x14ac:dyDescent="0.2">
      <c r="F34" t="s">
        <v>115</v>
      </c>
      <c r="G34" s="9">
        <f>ATAN(G27/G32)/PI()*180</f>
        <v>9.1315031672119833</v>
      </c>
      <c r="H34" t="s">
        <v>44</v>
      </c>
      <c r="J34" s="21" t="s">
        <v>73</v>
      </c>
      <c r="K34" s="7">
        <f>ROUND(SUM(K18:K22),2)</f>
        <v>224.91</v>
      </c>
      <c r="L34" s="7" t="s">
        <v>7</v>
      </c>
      <c r="N34" s="7" t="s">
        <v>309</v>
      </c>
      <c r="O34" s="51">
        <f>1567*0.453592</f>
        <v>710.77866400000005</v>
      </c>
      <c r="P34" s="51"/>
      <c r="Q34" s="51">
        <f>K13</f>
        <v>790.99530073602602</v>
      </c>
      <c r="R34" s="51"/>
      <c r="S34" s="50">
        <f t="shared" ref="S34:S47" si="28">(Q34-O34)/O34</f>
        <v>0.11285740667087042</v>
      </c>
      <c r="X34" s="3">
        <v>30</v>
      </c>
      <c r="Y34" s="3">
        <f t="shared" si="15"/>
        <v>1.6340075992047787E-2</v>
      </c>
      <c r="Z34" s="3">
        <f t="shared" si="0"/>
        <v>7.8466495800899594E-10</v>
      </c>
      <c r="AA34" s="3">
        <f t="shared" si="16"/>
        <v>1.6340076923370361E-2</v>
      </c>
      <c r="AB34" s="3">
        <f t="shared" si="1"/>
        <v>-1.4848621637808535E-10</v>
      </c>
      <c r="AC34" s="3">
        <f t="shared" si="2"/>
        <v>1.6340076457709074E-2</v>
      </c>
      <c r="AD34" s="3">
        <f t="shared" si="3"/>
        <v>3.180893708154553E-10</v>
      </c>
      <c r="AE34" s="3">
        <f t="shared" si="4"/>
        <v>2.4959358279401717E-19</v>
      </c>
      <c r="AF34" s="3">
        <f t="shared" si="5"/>
        <v>-4.7231887142472721E-20</v>
      </c>
      <c r="AG34" s="3">
        <f>AA34-Y34</f>
        <v>9.3132257461547852E-10</v>
      </c>
      <c r="AI34" s="3">
        <v>30</v>
      </c>
      <c r="AJ34" s="3">
        <f t="shared" si="25"/>
        <v>2498.9554788917303</v>
      </c>
      <c r="AK34" s="3">
        <v>-1.8026441921392689E-6</v>
      </c>
      <c r="AL34" s="3">
        <f t="shared" si="26"/>
        <v>2498.9554872736335</v>
      </c>
      <c r="AM34" s="3">
        <v>2.9281848128448473E-6</v>
      </c>
      <c r="AN34" s="3">
        <f t="shared" si="17"/>
        <v>2498.9554830826819</v>
      </c>
      <c r="AO34" s="3">
        <v>5.6276962823176291E-7</v>
      </c>
      <c r="AP34" s="3">
        <f t="shared" si="18"/>
        <v>-1.0144734018443629E-12</v>
      </c>
      <c r="AQ34" s="3">
        <f t="shared" si="19"/>
        <v>1.647893478518589E-12</v>
      </c>
      <c r="AR34" s="3">
        <f t="shared" si="20"/>
        <v>8.3819031715393066E-6</v>
      </c>
      <c r="AT34" s="51"/>
      <c r="AU34" s="4">
        <f>0.057125*($AU$9/2)</f>
        <v>0.22809327000000001</v>
      </c>
      <c r="AV34" s="27" t="s">
        <v>8</v>
      </c>
      <c r="AW34"/>
      <c r="AX34"/>
      <c r="AY34"/>
      <c r="AZ34"/>
      <c r="BA34"/>
      <c r="BB34" s="3" t="s">
        <v>188</v>
      </c>
      <c r="BC34" s="3">
        <f>SQRT(BC32^2 + BC33^2)</f>
        <v>167.60722505563245</v>
      </c>
      <c r="BD34" s="27" t="s">
        <v>10</v>
      </c>
      <c r="BE34"/>
      <c r="BF34" s="3" t="s">
        <v>188</v>
      </c>
      <c r="BG34" s="3">
        <f>SQRT(BG32^2 + BG33^2)</f>
        <v>189.68234734458454</v>
      </c>
      <c r="BH34" s="27" t="s">
        <v>10</v>
      </c>
      <c r="BI34"/>
      <c r="BJ34" s="3" t="s">
        <v>213</v>
      </c>
      <c r="BK34" s="3">
        <f xml:space="preserve"> BK31*SIN(BK23) + BK32*COS(BK23)</f>
        <v>5.526744706980919E-2</v>
      </c>
      <c r="BL34" s="3"/>
      <c r="BM34"/>
      <c r="BN34" s="3" t="s">
        <v>213</v>
      </c>
      <c r="BO34" s="3">
        <f xml:space="preserve"> BO31*SIN(BO23) + BO32*COS(BO23)</f>
        <v>4.3310924386781545E-2</v>
      </c>
      <c r="BP34" s="3"/>
      <c r="BQ34"/>
      <c r="BR34" s="3">
        <v>30</v>
      </c>
      <c r="BS34" s="3">
        <f t="shared" si="21"/>
        <v>0.15794341529264544</v>
      </c>
      <c r="BT34" s="3">
        <v>-1.1345618099525834E-8</v>
      </c>
      <c r="BU34" s="3">
        <f t="shared" si="22"/>
        <v>0.15794342050063381</v>
      </c>
      <c r="BV34" s="3">
        <v>9.4331579544165711E-9</v>
      </c>
      <c r="BW34" s="6">
        <f t="shared" si="7"/>
        <v>0.15794341789663963</v>
      </c>
      <c r="BX34" s="3">
        <v>-9.5622999622679838E-10</v>
      </c>
      <c r="BY34" s="3">
        <f t="shared" si="8"/>
        <v>1.0849020352500284E-17</v>
      </c>
      <c r="BZ34" s="3">
        <f t="shared" si="9"/>
        <v>-9.0202685951585504E-18</v>
      </c>
      <c r="CA34" s="3">
        <f t="shared" si="10"/>
        <v>5.2079883738898047E-9</v>
      </c>
      <c r="CB34"/>
      <c r="CC34" s="3">
        <v>30</v>
      </c>
      <c r="CD34" s="3">
        <f t="shared" si="23"/>
        <v>0.12626789885898637</v>
      </c>
      <c r="CE34" s="3">
        <v>-1.839011713744565E-9</v>
      </c>
      <c r="CF34" s="3">
        <f t="shared" si="24"/>
        <v>0.12626790406697472</v>
      </c>
      <c r="CG34" s="3">
        <v>1.6348395330198495E-8</v>
      </c>
      <c r="CH34" s="6">
        <f t="shared" si="11"/>
        <v>0.12626790146298056</v>
      </c>
      <c r="CI34" s="3">
        <v>7.2546920259347614E-9</v>
      </c>
      <c r="CJ34" s="3">
        <f t="shared" si="12"/>
        <v>-1.3341463615303316E-17</v>
      </c>
      <c r="CK34" s="3">
        <f t="shared" si="13"/>
        <v>1.1860257323882011E-16</v>
      </c>
      <c r="CL34" s="3">
        <f t="shared" si="14"/>
        <v>5.2079883461342291E-9</v>
      </c>
    </row>
    <row r="35" spans="2:90" x14ac:dyDescent="0.2">
      <c r="B35" s="55" t="s">
        <v>2</v>
      </c>
      <c r="C35" s="55"/>
      <c r="D35" s="55"/>
      <c r="F35" t="s">
        <v>118</v>
      </c>
      <c r="G35" s="7">
        <f xml:space="preserve"> 1/1000 * (O23 + O19 * (O28 * O25 + $G$26 * SIN(O18/180*PI())))</f>
        <v>55.41374528065419</v>
      </c>
      <c r="H35" t="s">
        <v>123</v>
      </c>
      <c r="J35" s="16" t="s">
        <v>74</v>
      </c>
      <c r="K35" s="7">
        <f>ROUND(SUM(K23:K26),2)</f>
        <v>151.49</v>
      </c>
      <c r="L35" s="7" t="s">
        <v>7</v>
      </c>
      <c r="N35" s="7" t="s">
        <v>316</v>
      </c>
      <c r="O35" s="51">
        <f>O33-O34</f>
        <v>1684.1870960000001</v>
      </c>
      <c r="P35" s="51"/>
      <c r="Q35" s="51">
        <f>Q33-Q34</f>
        <v>1163.6491813521234</v>
      </c>
      <c r="R35" s="51"/>
      <c r="S35" s="50">
        <f t="shared" si="28"/>
        <v>-0.30907368657803602</v>
      </c>
      <c r="AI35" s="3">
        <v>31</v>
      </c>
      <c r="AJ35" s="3">
        <f t="shared" si="25"/>
        <v>2498.9554788917303</v>
      </c>
      <c r="AK35" s="3">
        <v>-1.8026441921392689E-6</v>
      </c>
      <c r="AL35" s="3">
        <f t="shared" si="26"/>
        <v>2498.9554830826819</v>
      </c>
      <c r="AM35" s="3">
        <v>5.6276962823176291E-7</v>
      </c>
      <c r="AN35" s="3">
        <f t="shared" si="17"/>
        <v>2498.9554809872061</v>
      </c>
      <c r="AO35" s="3">
        <v>-6.1993750932742842E-7</v>
      </c>
      <c r="AP35" s="3">
        <f t="shared" si="18"/>
        <v>1.1175267506783726E-12</v>
      </c>
      <c r="AQ35" s="3">
        <f t="shared" si="19"/>
        <v>-3.4888200165112194E-13</v>
      </c>
      <c r="AR35" s="3">
        <f t="shared" si="20"/>
        <v>4.1909515857696533E-6</v>
      </c>
      <c r="AT35" s="51" t="s">
        <v>244</v>
      </c>
      <c r="AU35" s="4">
        <v>6.9</v>
      </c>
      <c r="AV35" s="27" t="s">
        <v>44</v>
      </c>
      <c r="AW35"/>
      <c r="AX35"/>
      <c r="AY35"/>
      <c r="AZ35"/>
      <c r="BA35"/>
      <c r="BB35" s="3" t="s">
        <v>191</v>
      </c>
      <c r="BC35" s="38">
        <f>$AU$45*BC34*$AU$33/$AU$46</f>
        <v>2340795.7918856042</v>
      </c>
      <c r="BD35" s="27"/>
      <c r="BE35"/>
      <c r="BF35" s="3" t="s">
        <v>191</v>
      </c>
      <c r="BG35" s="38">
        <f>$AU$45*BG34*$AU$34/$AU$46</f>
        <v>2557323.4093245249</v>
      </c>
      <c r="BH35" s="27"/>
      <c r="BI35"/>
      <c r="BJ35" s="3" t="s">
        <v>39</v>
      </c>
      <c r="BK35" s="3">
        <f xml:space="preserve"> 4*BK30*SIN(BK23)*SIN(BK23) / (BK27*BK33)</f>
        <v>1.0657790571936612</v>
      </c>
      <c r="BL35" s="3"/>
      <c r="BM35"/>
      <c r="BN35" s="3" t="s">
        <v>39</v>
      </c>
      <c r="BO35" s="3">
        <f xml:space="preserve"> 4*BO30*SIN(BO23)*SIN(BO23) / (BO27*BO33)</f>
        <v>1.0612699999461266</v>
      </c>
      <c r="BP35" s="3"/>
      <c r="BQ35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/>
      <c r="CC35"/>
      <c r="CD35"/>
      <c r="CE35"/>
      <c r="CF35"/>
      <c r="CG35"/>
      <c r="CH35"/>
      <c r="CI35"/>
      <c r="CJ35"/>
      <c r="CK35"/>
      <c r="CL35"/>
    </row>
    <row r="36" spans="2:90" x14ac:dyDescent="0.2">
      <c r="B36" s="7" t="s">
        <v>3</v>
      </c>
      <c r="C36" s="18">
        <v>420</v>
      </c>
      <c r="D36" s="7" t="s">
        <v>4</v>
      </c>
      <c r="F36" s="43" t="s">
        <v>102</v>
      </c>
      <c r="G36" s="46">
        <f>$C$19*G35</f>
        <v>221.65498112261676</v>
      </c>
      <c r="H36" s="43" t="s">
        <v>123</v>
      </c>
      <c r="J36" s="11" t="s">
        <v>63</v>
      </c>
      <c r="K36" s="11">
        <f>SUM(K31:K35)</f>
        <v>2498.96</v>
      </c>
      <c r="L36" s="7" t="s">
        <v>7</v>
      </c>
      <c r="N36" s="7" t="s">
        <v>317</v>
      </c>
      <c r="O36" s="51">
        <f>1070*0.277778</f>
        <v>297.22246000000001</v>
      </c>
      <c r="P36" s="51"/>
      <c r="Q36" s="51">
        <f>K8</f>
        <v>332.21802630913095</v>
      </c>
      <c r="R36" s="51"/>
      <c r="S36" s="50">
        <f t="shared" si="28"/>
        <v>0.11774199806142152</v>
      </c>
      <c r="AI36" s="3">
        <v>32</v>
      </c>
      <c r="AJ36" s="3">
        <f t="shared" si="25"/>
        <v>2498.9554809872061</v>
      </c>
      <c r="AK36" s="3">
        <v>-6.1993750932742842E-7</v>
      </c>
      <c r="AL36" s="3">
        <f t="shared" si="26"/>
        <v>2498.9554830826819</v>
      </c>
      <c r="AM36" s="3">
        <v>5.6276962823176291E-7</v>
      </c>
      <c r="AN36" s="3">
        <f t="shared" si="17"/>
        <v>2498.955482034944</v>
      </c>
      <c r="AO36" s="3">
        <v>-2.8582689992617816E-8</v>
      </c>
      <c r="AP36" s="3">
        <f t="shared" si="18"/>
        <v>1.7719481643901502E-14</v>
      </c>
      <c r="AQ36" s="3">
        <f t="shared" si="19"/>
        <v>-1.6085469821009258E-14</v>
      </c>
      <c r="AR36" s="3">
        <f t="shared" si="20"/>
        <v>2.0954757928848267E-6</v>
      </c>
      <c r="AT36" s="51"/>
      <c r="AU36" s="4">
        <v>5.58</v>
      </c>
      <c r="AV36" s="27" t="s">
        <v>44</v>
      </c>
      <c r="AW36"/>
      <c r="AX36"/>
      <c r="AY36"/>
      <c r="AZ36"/>
      <c r="BA36"/>
      <c r="BB36" s="3" t="s">
        <v>195</v>
      </c>
      <c r="BC36" s="34">
        <f xml:space="preserve"> $BK$65 * PI() * $AU$45 * BC34^2 * $BK$71 * $AU$25 * BC31</f>
        <v>1150.0721603133579</v>
      </c>
      <c r="BD36" s="27" t="s">
        <v>23</v>
      </c>
      <c r="BE36"/>
      <c r="BF36" s="3" t="s">
        <v>195</v>
      </c>
      <c r="BG36" s="34">
        <f xml:space="preserve"> $BO$65 * PI() * $AU$45 * BG34^2 * $BO$71 * $AU$26 * BG31</f>
        <v>953.92262167593151</v>
      </c>
      <c r="BH36" s="27" t="s">
        <v>23</v>
      </c>
      <c r="BI36"/>
      <c r="BJ36" s="3" t="s">
        <v>215</v>
      </c>
      <c r="BK36" s="3">
        <f xml:space="preserve"> 4*BK30*SIN(BK23)*COS(BK23) / (BK27*BK34)</f>
        <v>92.06943326830195</v>
      </c>
      <c r="BL36" s="3"/>
      <c r="BM36"/>
      <c r="BN36" s="3" t="s">
        <v>215</v>
      </c>
      <c r="BO36" s="3">
        <f xml:space="preserve"> 4*BO30*SIN(BO23)*COS(BO23) / (BO27*BO34)</f>
        <v>129.57006558155103</v>
      </c>
      <c r="BP36" s="3"/>
      <c r="BQ36"/>
      <c r="BR36" s="61" t="s">
        <v>228</v>
      </c>
      <c r="BS36" s="61"/>
      <c r="BT36" s="61"/>
      <c r="BU36" s="61"/>
      <c r="BV36" s="61"/>
      <c r="BW36" s="61"/>
      <c r="BX36" s="61"/>
      <c r="BY36" s="61"/>
      <c r="BZ36" s="61"/>
      <c r="CA36" s="61"/>
      <c r="CB36"/>
      <c r="CC36" s="61" t="s">
        <v>229</v>
      </c>
      <c r="CD36" s="61"/>
      <c r="CE36" s="61"/>
      <c r="CF36" s="61"/>
      <c r="CG36" s="61"/>
      <c r="CH36" s="61"/>
      <c r="CI36" s="61"/>
      <c r="CJ36" s="61"/>
      <c r="CK36" s="61"/>
      <c r="CL36" s="61"/>
    </row>
    <row r="37" spans="2:90" x14ac:dyDescent="0.2">
      <c r="B37" s="7" t="s">
        <v>5</v>
      </c>
      <c r="C37" s="18">
        <v>1</v>
      </c>
      <c r="N37" s="7" t="s">
        <v>318</v>
      </c>
      <c r="O37" s="51">
        <f>672*745.7/1000</f>
        <v>501.11040000000003</v>
      </c>
      <c r="P37" s="51"/>
      <c r="Q37" s="51">
        <f>K4</f>
        <v>278.5679459577251</v>
      </c>
      <c r="R37" s="51"/>
      <c r="S37" s="50">
        <f t="shared" si="28"/>
        <v>-0.44409865379420366</v>
      </c>
      <c r="X37" s="17" t="s">
        <v>110</v>
      </c>
      <c r="AI37" s="3">
        <v>33</v>
      </c>
      <c r="AJ37" s="3">
        <f t="shared" si="25"/>
        <v>2498.955482034944</v>
      </c>
      <c r="AK37" s="3">
        <v>-2.8582689992617816E-8</v>
      </c>
      <c r="AL37" s="3">
        <f t="shared" si="26"/>
        <v>2498.9554830826819</v>
      </c>
      <c r="AM37" s="3">
        <v>5.6276962823176291E-7</v>
      </c>
      <c r="AN37" s="3">
        <f t="shared" si="17"/>
        <v>2498.9554825588129</v>
      </c>
      <c r="AO37" s="3">
        <v>2.6709403755376115E-7</v>
      </c>
      <c r="AP37" s="3">
        <f t="shared" si="18"/>
        <v>-7.634266074275776E-15</v>
      </c>
      <c r="AQ37" s="3">
        <f t="shared" si="19"/>
        <v>1.5031241221705069E-13</v>
      </c>
      <c r="AR37" s="3">
        <f t="shared" si="20"/>
        <v>1.0477378964424133E-6</v>
      </c>
      <c r="AT37" s="51"/>
      <c r="AU37" s="4">
        <v>4.26</v>
      </c>
      <c r="AV37" s="27" t="s">
        <v>44</v>
      </c>
      <c r="AW37"/>
      <c r="AX37"/>
      <c r="AY37"/>
      <c r="AZ37"/>
      <c r="BA37"/>
      <c r="BB37" s="3" t="s">
        <v>199</v>
      </c>
      <c r="BC37" s="34">
        <f xml:space="preserve"> $BK$65 * PI() * $AU$45 * BC34^2 * $BK$72 * $AU$25^2 * BC31</f>
        <v>257.70430477957962</v>
      </c>
      <c r="BD37" s="27" t="s">
        <v>200</v>
      </c>
      <c r="BE37"/>
      <c r="BF37" s="3" t="s">
        <v>199</v>
      </c>
      <c r="BG37" s="34">
        <f xml:space="preserve"> $BO$65 * PI() * $AU$45 * BG34^2 * $BO$72 * $AU$26^2 * BG31</f>
        <v>267.84180116603017</v>
      </c>
      <c r="BH37" s="27" t="s">
        <v>200</v>
      </c>
      <c r="BI37"/>
      <c r="BJ37" s="3" t="s">
        <v>46</v>
      </c>
      <c r="BK37" s="3">
        <f>1/(BK35-1)</f>
        <v>15.202407007079534</v>
      </c>
      <c r="BL37" s="3"/>
      <c r="BM37"/>
      <c r="BN37" s="3" t="s">
        <v>46</v>
      </c>
      <c r="BO37" s="3">
        <f>1/(BO35-1)</f>
        <v>16.32120125476218</v>
      </c>
      <c r="BP37" s="3"/>
      <c r="BQ37"/>
      <c r="BR37" s="8" t="s">
        <v>45</v>
      </c>
      <c r="BS37" s="8" t="s">
        <v>46</v>
      </c>
      <c r="BT37" s="8" t="s">
        <v>47</v>
      </c>
      <c r="BU37" s="8" t="s">
        <v>48</v>
      </c>
      <c r="BV37" s="8" t="s">
        <v>49</v>
      </c>
      <c r="BW37" s="8" t="s">
        <v>50</v>
      </c>
      <c r="BX37" s="8" t="s">
        <v>51</v>
      </c>
      <c r="BY37" s="8" t="s">
        <v>52</v>
      </c>
      <c r="BZ37" s="8" t="s">
        <v>53</v>
      </c>
      <c r="CA37" s="8" t="s">
        <v>54</v>
      </c>
      <c r="CB37"/>
      <c r="CC37" s="8" t="s">
        <v>45</v>
      </c>
      <c r="CD37" s="8" t="s">
        <v>46</v>
      </c>
      <c r="CE37" s="8" t="s">
        <v>47</v>
      </c>
      <c r="CF37" s="8" t="s">
        <v>48</v>
      </c>
      <c r="CG37" s="8" t="s">
        <v>49</v>
      </c>
      <c r="CH37" s="8" t="s">
        <v>50</v>
      </c>
      <c r="CI37" s="8" t="s">
        <v>51</v>
      </c>
      <c r="CJ37" s="8" t="s">
        <v>52</v>
      </c>
      <c r="CK37" s="8" t="s">
        <v>53</v>
      </c>
      <c r="CL37" s="8" t="s">
        <v>54</v>
      </c>
    </row>
    <row r="38" spans="2:90" x14ac:dyDescent="0.2">
      <c r="B38" s="7" t="s">
        <v>6</v>
      </c>
      <c r="C38" s="18">
        <v>1</v>
      </c>
      <c r="F38" s="53" t="s">
        <v>91</v>
      </c>
      <c r="G38" s="54"/>
      <c r="H38" s="54"/>
      <c r="J38" s="55" t="s">
        <v>60</v>
      </c>
      <c r="K38" s="55"/>
      <c r="L38" s="55"/>
      <c r="N38" s="7" t="s">
        <v>319</v>
      </c>
      <c r="O38" s="51">
        <f>14*0.453592/745.7</f>
        <v>8.5158750167627726E-3</v>
      </c>
      <c r="P38" s="51"/>
      <c r="Q38" s="51">
        <f>K12/(G18*1000)</f>
        <v>9.6212589124143721E-3</v>
      </c>
      <c r="R38" s="51"/>
      <c r="S38" s="50">
        <f t="shared" si="28"/>
        <v>0.12980273823602925</v>
      </c>
      <c r="X38" s="8" t="s">
        <v>45</v>
      </c>
      <c r="Y38" s="8" t="s">
        <v>46</v>
      </c>
      <c r="Z38" s="8" t="s">
        <v>47</v>
      </c>
      <c r="AA38" s="8" t="s">
        <v>48</v>
      </c>
      <c r="AB38" s="8" t="s">
        <v>49</v>
      </c>
      <c r="AC38" s="8" t="s">
        <v>50</v>
      </c>
      <c r="AD38" s="8" t="s">
        <v>51</v>
      </c>
      <c r="AE38" s="8" t="s">
        <v>52</v>
      </c>
      <c r="AF38" s="8" t="s">
        <v>53</v>
      </c>
      <c r="AG38" s="8" t="s">
        <v>54</v>
      </c>
      <c r="AI38" s="3">
        <v>34</v>
      </c>
      <c r="AJ38" s="3">
        <f t="shared" si="25"/>
        <v>2498.955482034944</v>
      </c>
      <c r="AK38" s="3">
        <v>-2.8582689992617816E-8</v>
      </c>
      <c r="AL38" s="3">
        <f t="shared" si="26"/>
        <v>2498.9554825588129</v>
      </c>
      <c r="AM38" s="3">
        <v>2.6709403755376115E-7</v>
      </c>
      <c r="AN38" s="3">
        <f t="shared" si="17"/>
        <v>2498.9554822968785</v>
      </c>
      <c r="AO38" s="3">
        <v>1.1925612852792256E-7</v>
      </c>
      <c r="AP38" s="3">
        <f t="shared" si="18"/>
        <v>-3.408660951433396E-15</v>
      </c>
      <c r="AQ38" s="3">
        <f t="shared" si="19"/>
        <v>3.1852600871553114E-14</v>
      </c>
      <c r="AR38" s="3">
        <f t="shared" si="20"/>
        <v>5.2386894822120667E-7</v>
      </c>
      <c r="AT38" s="51"/>
      <c r="AU38" s="4">
        <v>2.94</v>
      </c>
      <c r="AV38" s="27" t="s">
        <v>44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 s="3" t="s">
        <v>218</v>
      </c>
      <c r="BK38" s="3">
        <f>1/(BK36+1)</f>
        <v>1.0744666265638312E-2</v>
      </c>
      <c r="BL38" s="3"/>
      <c r="BM38"/>
      <c r="BN38" s="3" t="s">
        <v>218</v>
      </c>
      <c r="BO38" s="3">
        <f>1/(BO36+1)</f>
        <v>7.6587232727965754E-3</v>
      </c>
      <c r="BP38" s="3"/>
      <c r="BQ38"/>
      <c r="BR38" s="31">
        <v>0</v>
      </c>
      <c r="BS38" s="31"/>
      <c r="BT38" s="31">
        <f>$BK$39</f>
        <v>2.495367298210871E-9</v>
      </c>
      <c r="BU38" s="31"/>
      <c r="BV38" s="31">
        <f>$BK$39</f>
        <v>2.495367298210871E-9</v>
      </c>
      <c r="BW38" s="31"/>
      <c r="BX38" s="31">
        <f>$BK$39</f>
        <v>2.495367298210871E-9</v>
      </c>
      <c r="BY38" s="31"/>
      <c r="BZ38" s="31"/>
      <c r="CA38" s="31"/>
      <c r="CB38"/>
      <c r="CC38" s="31">
        <v>0</v>
      </c>
      <c r="CD38" s="31"/>
      <c r="CE38" s="31">
        <f>$BO$39</f>
        <v>1.5984836371218947E-9</v>
      </c>
      <c r="CF38" s="31"/>
      <c r="CG38" s="31">
        <f>$BO$39</f>
        <v>1.5984836371218947E-9</v>
      </c>
      <c r="CH38" s="31"/>
      <c r="CI38" s="31">
        <f>$BO$39</f>
        <v>1.5984836371218947E-9</v>
      </c>
      <c r="CJ38" s="31"/>
      <c r="CK38" s="31"/>
      <c r="CL38" s="31"/>
    </row>
    <row r="39" spans="2:90" x14ac:dyDescent="0.2">
      <c r="F39" s="10" t="s">
        <v>94</v>
      </c>
      <c r="G39" s="7">
        <f xml:space="preserve"> ($C$15-G33)/$C$9</f>
        <v>1228.9807195921017</v>
      </c>
      <c r="H39" s="7" t="s">
        <v>14</v>
      </c>
      <c r="J39" s="7" t="s">
        <v>61</v>
      </c>
      <c r="K39" s="7">
        <f>ROUND($C$14/$C$5 * 100, 2)</f>
        <v>21.78</v>
      </c>
      <c r="L39" s="7" t="s">
        <v>62</v>
      </c>
      <c r="N39" s="7" t="s">
        <v>320</v>
      </c>
      <c r="O39" s="51">
        <f>18.4*0.453592/745.7</f>
        <v>1.1192292879173929E-2</v>
      </c>
      <c r="P39" s="51"/>
      <c r="Q39" s="51">
        <f>K12/(G43*1000)</f>
        <v>8.9707215720626586E-3</v>
      </c>
      <c r="R39" s="51"/>
      <c r="S39" s="50">
        <f t="shared" si="28"/>
        <v>-0.19849116986967541</v>
      </c>
      <c r="X39" s="3">
        <v>0</v>
      </c>
      <c r="Y39" s="4">
        <v>0</v>
      </c>
      <c r="Z39" s="3">
        <f xml:space="preserve"> $C$10 * TAN($O$18/180*PI()) + $O$21 / (2 * SQRT($C$10^2 + Y39^2)) - Y39</f>
        <v>5.6649332097564759E-2</v>
      </c>
      <c r="AA39" s="4">
        <v>1</v>
      </c>
      <c r="AB39" s="3">
        <f t="shared" ref="AB39:AB69" si="29" xml:space="preserve"> $C$10 * TAN($O$18/180*PI()) + $O$21 / (2 * SQRT($C$10^2 + AA39^2)) - AA39</f>
        <v>-0.95702703619556451</v>
      </c>
      <c r="AC39" s="3">
        <f xml:space="preserve"> (Y39 + AA39)/2</f>
        <v>0.5</v>
      </c>
      <c r="AD39" s="3">
        <f t="shared" ref="AD39:AD69" si="30" xml:space="preserve"> $C$10 * TAN($O$18/180*PI()) + $O$21 / (2 * SQRT($C$10^2 + AC39^2)) - AC39</f>
        <v>-0.45375439873392365</v>
      </c>
      <c r="AE39" s="3">
        <f>Z39*AD39</f>
        <v>-2.5704883624608859E-2</v>
      </c>
      <c r="AF39" s="3">
        <f>AB39*AD39</f>
        <v>0.43425522738102734</v>
      </c>
      <c r="AG39" s="3">
        <f>AA39-Y39</f>
        <v>1</v>
      </c>
      <c r="AI39" s="3">
        <v>35</v>
      </c>
      <c r="AJ39" s="3">
        <f t="shared" si="25"/>
        <v>2498.955482034944</v>
      </c>
      <c r="AK39" s="3">
        <v>-2.8582689992617816E-8</v>
      </c>
      <c r="AL39" s="3">
        <f t="shared" si="26"/>
        <v>2498.9554822968785</v>
      </c>
      <c r="AM39" s="3">
        <v>1.1925612852792256E-7</v>
      </c>
      <c r="AN39" s="3">
        <f t="shared" si="17"/>
        <v>2498.9554821659112</v>
      </c>
      <c r="AO39" s="3">
        <v>4.533671926765237E-8</v>
      </c>
      <c r="AP39" s="3">
        <f t="shared" si="18"/>
        <v>-1.2958453921096507E-15</v>
      </c>
      <c r="AQ39" s="3">
        <f t="shared" si="19"/>
        <v>5.406681620017494E-15</v>
      </c>
      <c r="AR39" s="3">
        <f t="shared" si="20"/>
        <v>2.6193447411060333E-7</v>
      </c>
      <c r="AT39" s="51"/>
      <c r="AU39" s="4">
        <v>1.62</v>
      </c>
      <c r="AV39" s="27" t="s">
        <v>44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 s="8" t="s">
        <v>220</v>
      </c>
      <c r="BK39" s="41">
        <f>SIN(BK23)/(1+BK37) - $AU$3*COS(BK23)/($AY$5*$AU$21*(1-BK38))</f>
        <v>2.495367298210871E-9</v>
      </c>
      <c r="BL39" s="41"/>
      <c r="BM39"/>
      <c r="BN39" s="8" t="s">
        <v>220</v>
      </c>
      <c r="BO39" s="41">
        <f>SIN(BO23)/(1+BO37) - $AU$3*COS(BO23)/($AY$5*$AU$22*(1-BO38))</f>
        <v>1.5984836371218947E-9</v>
      </c>
      <c r="BP39" s="41"/>
      <c r="BQ39"/>
      <c r="BR39" s="3">
        <v>1</v>
      </c>
      <c r="BS39" s="4">
        <f>0.01*PI()</f>
        <v>3.1415926535897934E-2</v>
      </c>
      <c r="BT39" s="3">
        <f t="dataTable" ref="BT39:BT68" dt2D="0" dtr="0" r1="BK23" ca="1"/>
        <v>-0.60780589160853182</v>
      </c>
      <c r="BU39" s="4">
        <f>0.9*PI()</f>
        <v>2.8274333882308138</v>
      </c>
      <c r="BV39" s="3">
        <f t="dataTable" ref="BV39:BV68" dt2D="0" dtr="0" r1="BK23"/>
        <v>0.309232596095245</v>
      </c>
      <c r="BW39" s="3">
        <f t="shared" ref="BW39:BW68" si="31">(BS39+BU39)/2</f>
        <v>1.4294246573833558</v>
      </c>
      <c r="BX39" s="3">
        <f t="dataTable" ref="BX39:BX68" dt2D="0" dtr="0" r1="BK23" ca="1"/>
        <v>1.0208513294529193</v>
      </c>
      <c r="BY39" s="3">
        <f t="shared" ref="BY39:BY68" si="32">BT39*BX39</f>
        <v>-0.62047945249788672</v>
      </c>
      <c r="BZ39" s="3">
        <f t="shared" ref="BZ39:BZ68" si="33">BV39*BX39</f>
        <v>0.3156805068340085</v>
      </c>
      <c r="CA39" s="3">
        <f t="shared" ref="CA39:CA68" si="34">BU39-BS39</f>
        <v>2.7960174616949161</v>
      </c>
      <c r="CB39"/>
      <c r="CC39" s="3">
        <v>1</v>
      </c>
      <c r="CD39" s="4">
        <f>0.01*PI()</f>
        <v>3.1415926535897934E-2</v>
      </c>
      <c r="CE39" s="3">
        <f t="dataTable" ref="CE39:CE68" dt2D="0" dtr="0" r1="BO23"/>
        <v>-0.3838156352234906</v>
      </c>
      <c r="CF39" s="4">
        <f>0.9*PI()</f>
        <v>2.8274333882308138</v>
      </c>
      <c r="CG39" s="3">
        <f t="dataTable" ref="CG39:CG68" dt2D="0" dtr="0" r1="BO23" ca="1"/>
        <v>0.30852930047867405</v>
      </c>
      <c r="CH39" s="3">
        <f t="shared" ref="CH39:CH68" si="35">(CD39+CF39)/2</f>
        <v>1.4294246573833558</v>
      </c>
      <c r="CI39" s="3">
        <f t="dataTable" ref="CI39:CI68" dt2D="0" dtr="0" r1="BO23" ca="1"/>
        <v>1.015146855248966</v>
      </c>
      <c r="CJ39" s="3">
        <f t="shared" ref="CJ39:CJ68" si="36">CE39*CI39</f>
        <v>-0.38962923509251074</v>
      </c>
      <c r="CK39" s="3">
        <f t="shared" ref="CK39:CK68" si="37">CG39*CI39</f>
        <v>0.31320254913308926</v>
      </c>
      <c r="CL39" s="3">
        <f t="shared" ref="CL39:CL68" si="38">CF39-CD39</f>
        <v>2.7960174616949161</v>
      </c>
    </row>
    <row r="40" spans="2:90" x14ac:dyDescent="0.2">
      <c r="B40" s="55" t="s">
        <v>299</v>
      </c>
      <c r="C40" s="60"/>
      <c r="D40" s="60"/>
      <c r="F40" t="s">
        <v>150</v>
      </c>
      <c r="G40" s="9">
        <f>S20*$C$7</f>
        <v>228.90164762761356</v>
      </c>
      <c r="H40" s="7" t="s">
        <v>10</v>
      </c>
      <c r="J40" s="12" t="s">
        <v>56</v>
      </c>
      <c r="K40" s="7">
        <f>ROUND(K13/$C$5 * 100, 2)</f>
        <v>31.65</v>
      </c>
      <c r="L40" s="7" t="s">
        <v>62</v>
      </c>
      <c r="N40" s="7" t="s">
        <v>310</v>
      </c>
      <c r="O40" s="51">
        <v>167.64</v>
      </c>
      <c r="P40" s="51"/>
      <c r="Q40" s="51">
        <f>G12</f>
        <v>201.10326509968505</v>
      </c>
      <c r="R40" s="51"/>
      <c r="S40" s="50">
        <f t="shared" si="28"/>
        <v>0.19961384573899466</v>
      </c>
      <c r="X40" s="3">
        <v>1</v>
      </c>
      <c r="Y40" s="3">
        <f>IF(AE39&gt;0, AC39, Y39)</f>
        <v>0</v>
      </c>
      <c r="Z40" s="3">
        <f t="shared" ref="Z40:Z69" si="39" xml:space="preserve"> $C$10 * TAN($O$18/180*PI()) + $O$21 / (2 * SQRT($C$10^2 + Y40^2)) - Y40</f>
        <v>5.6649332097564759E-2</v>
      </c>
      <c r="AA40" s="3">
        <f>IF(AF39&gt;0, AC39, AA39)</f>
        <v>0.5</v>
      </c>
      <c r="AB40" s="3">
        <f t="shared" si="29"/>
        <v>-0.45375439873392365</v>
      </c>
      <c r="AC40" s="3">
        <f t="shared" ref="AC40:AC69" si="40" xml:space="preserve"> (Y40 + AA40)/2</f>
        <v>0.25</v>
      </c>
      <c r="AD40" s="3">
        <f t="shared" si="30"/>
        <v>-0.19926221034866254</v>
      </c>
      <c r="AE40" s="3">
        <f t="shared" ref="AE40:AE69" si="41">Z40*AD40</f>
        <v>-1.1288071128536189E-2</v>
      </c>
      <c r="AF40" s="3">
        <f t="shared" ref="AF40:AF69" si="42">AB40*AD40</f>
        <v>9.0416104447149995E-2</v>
      </c>
      <c r="AG40" s="3">
        <f t="shared" ref="AG40:AG69" si="43">AA40-Y40</f>
        <v>0.5</v>
      </c>
      <c r="AI40" s="3">
        <v>36</v>
      </c>
      <c r="AJ40" s="3">
        <f t="shared" si="25"/>
        <v>2498.955482034944</v>
      </c>
      <c r="AK40" s="3">
        <v>-2.8582689992617816E-8</v>
      </c>
      <c r="AL40" s="3">
        <f t="shared" si="26"/>
        <v>2498.9554821659112</v>
      </c>
      <c r="AM40" s="3">
        <v>4.533671926765237E-8</v>
      </c>
      <c r="AN40" s="3">
        <f t="shared" si="17"/>
        <v>2498.9554821004276</v>
      </c>
      <c r="AO40" s="3">
        <v>8.3771283243549988E-9</v>
      </c>
      <c r="AP40" s="3">
        <f t="shared" si="18"/>
        <v>-2.3944086192341687E-16</v>
      </c>
      <c r="AQ40" s="3">
        <f t="shared" si="19"/>
        <v>3.7979151511038169E-16</v>
      </c>
      <c r="AR40" s="3">
        <f t="shared" si="20"/>
        <v>1.3096723705530167E-7</v>
      </c>
      <c r="AT40" s="51"/>
      <c r="AU40" s="4">
        <v>0.3</v>
      </c>
      <c r="AV40" s="27" t="s">
        <v>44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s="3">
        <v>2</v>
      </c>
      <c r="BS40" s="3">
        <f t="shared" ref="BS40:BS68" si="44">IF(BY39&gt;0,BW39,BS39)</f>
        <v>3.1415926535897934E-2</v>
      </c>
      <c r="BT40" s="3">
        <v>-0.60780589160853182</v>
      </c>
      <c r="BU40" s="3">
        <f t="shared" ref="BU40:BU68" si="45">IF(BZ39&gt;0,BW39,BU39)</f>
        <v>1.4294246573833558</v>
      </c>
      <c r="BV40" s="3">
        <v>1.0208513294529193</v>
      </c>
      <c r="BW40" s="3">
        <f t="shared" si="31"/>
        <v>0.73042029195962688</v>
      </c>
      <c r="BX40" s="3">
        <v>0.68591160425664621</v>
      </c>
      <c r="BY40" s="3">
        <f t="shared" si="32"/>
        <v>-0.41690111418984926</v>
      </c>
      <c r="BZ40" s="3">
        <f t="shared" si="33"/>
        <v>0.70021377309258193</v>
      </c>
      <c r="CA40" s="3">
        <f t="shared" si="34"/>
        <v>1.3980087308474578</v>
      </c>
      <c r="CB40"/>
      <c r="CC40" s="3">
        <v>2</v>
      </c>
      <c r="CD40" s="3">
        <f t="shared" ref="CD40:CD68" si="46">IF(CJ39&gt;0,CH39,CD39)</f>
        <v>3.1415926535897934E-2</v>
      </c>
      <c r="CE40" s="3">
        <v>-0.3838156352234906</v>
      </c>
      <c r="CF40" s="3">
        <f t="shared" ref="CF40:CF68" si="47">IF(CK39&gt;0,CH39,CF39)</f>
        <v>1.4294246573833558</v>
      </c>
      <c r="CG40" s="3">
        <v>1.015146855248966</v>
      </c>
      <c r="CH40" s="3">
        <f t="shared" si="35"/>
        <v>0.73042029195962688</v>
      </c>
      <c r="CI40" s="3">
        <v>0.68212238778891732</v>
      </c>
      <c r="CJ40" s="3">
        <f t="shared" si="36"/>
        <v>-0.26180923756936747</v>
      </c>
      <c r="CK40" s="3">
        <f t="shared" si="37"/>
        <v>0.69245439685883503</v>
      </c>
      <c r="CL40" s="3">
        <f t="shared" si="38"/>
        <v>1.3980087308474578</v>
      </c>
    </row>
    <row r="41" spans="2:90" x14ac:dyDescent="0.2">
      <c r="B41" s="7" t="s">
        <v>15</v>
      </c>
      <c r="C41" s="18">
        <v>1.02327848692001</v>
      </c>
      <c r="D41" s="7" t="s">
        <v>16</v>
      </c>
      <c r="F41" s="7" t="s">
        <v>153</v>
      </c>
      <c r="G41" s="7">
        <f>G40/$C$55</f>
        <v>0.69679947046304169</v>
      </c>
      <c r="H41" s="7" t="s">
        <v>151</v>
      </c>
      <c r="J41" s="20" t="s">
        <v>83</v>
      </c>
      <c r="K41" s="7">
        <f>ROUND(SUM(K14:K17)/$C$5 * 100, 2)</f>
        <v>31.5</v>
      </c>
      <c r="L41" s="7" t="s">
        <v>62</v>
      </c>
      <c r="N41" s="7" t="s">
        <v>312</v>
      </c>
      <c r="O41" s="51">
        <v>0.7</v>
      </c>
      <c r="P41" s="51"/>
      <c r="Q41" s="51">
        <f>AY16</f>
        <v>0.75315388104999226</v>
      </c>
      <c r="R41" s="51"/>
      <c r="S41" s="50">
        <f t="shared" si="28"/>
        <v>7.5934115785703291E-2</v>
      </c>
      <c r="X41" s="3">
        <v>2</v>
      </c>
      <c r="Y41" s="3">
        <f t="shared" ref="Y41:Y69" si="48">IF(AE40&gt;0, AC40, Y40)</f>
        <v>0</v>
      </c>
      <c r="Z41" s="3">
        <f t="shared" si="39"/>
        <v>5.6649332097564759E-2</v>
      </c>
      <c r="AA41" s="3">
        <f t="shared" ref="AA41:AA69" si="49">IF(AF40&gt;0, AC40, AA40)</f>
        <v>0.25</v>
      </c>
      <c r="AB41" s="3">
        <f t="shared" si="29"/>
        <v>-0.19926221034866254</v>
      </c>
      <c r="AC41" s="3">
        <f t="shared" si="40"/>
        <v>0.125</v>
      </c>
      <c r="AD41" s="3">
        <f t="shared" si="30"/>
        <v>-7.0624611725259911E-2</v>
      </c>
      <c r="AE41" s="3">
        <f t="shared" si="41"/>
        <v>-4.0008370838858151E-3</v>
      </c>
      <c r="AF41" s="3">
        <f t="shared" si="42"/>
        <v>1.4072816237391358E-2</v>
      </c>
      <c r="AG41" s="3">
        <f t="shared" si="43"/>
        <v>0.25</v>
      </c>
      <c r="AI41" s="3">
        <v>37</v>
      </c>
      <c r="AJ41" s="3">
        <f t="shared" si="25"/>
        <v>2498.955482034944</v>
      </c>
      <c r="AK41" s="3">
        <v>-2.8582689992617816E-8</v>
      </c>
      <c r="AL41" s="3">
        <f t="shared" si="26"/>
        <v>2498.9554821004276</v>
      </c>
      <c r="AM41" s="3">
        <v>8.3771283243549988E-9</v>
      </c>
      <c r="AN41" s="3">
        <f t="shared" si="17"/>
        <v>2498.9554820676858</v>
      </c>
      <c r="AO41" s="3">
        <v>-1.0103349268320017E-8</v>
      </c>
      <c r="AP41" s="3">
        <f t="shared" si="18"/>
        <v>2.8878090002353307E-16</v>
      </c>
      <c r="AQ41" s="3">
        <f t="shared" si="19"/>
        <v>-8.4637053326494963E-17</v>
      </c>
      <c r="AR41" s="3">
        <f t="shared" si="20"/>
        <v>6.5483618527650833E-8</v>
      </c>
      <c r="AT41" s="51"/>
      <c r="AU41" s="4">
        <v>-1.02</v>
      </c>
      <c r="AV41" s="27" t="s">
        <v>44</v>
      </c>
      <c r="AW41"/>
      <c r="AX41" s="24" t="s">
        <v>164</v>
      </c>
      <c r="AY41" s="66" t="s">
        <v>239</v>
      </c>
      <c r="AZ41" s="66"/>
      <c r="BA41" s="25"/>
      <c r="BB41" s="25"/>
      <c r="BC41" s="25"/>
      <c r="BD41" s="25"/>
      <c r="BE41" s="25"/>
      <c r="BF41" s="25"/>
      <c r="BG41" s="25"/>
      <c r="BH41" s="26"/>
      <c r="BI41"/>
      <c r="BJ41" s="62" t="s">
        <v>221</v>
      </c>
      <c r="BK41" s="62"/>
      <c r="BL41" s="62"/>
      <c r="BM41" s="3"/>
      <c r="BN41" s="62" t="s">
        <v>222</v>
      </c>
      <c r="BO41" s="62"/>
      <c r="BP41" s="62"/>
      <c r="BQ41"/>
      <c r="BR41" s="3">
        <v>3</v>
      </c>
      <c r="BS41" s="3">
        <f t="shared" si="44"/>
        <v>3.1415926535897934E-2</v>
      </c>
      <c r="BT41" s="3">
        <v>-0.60780589160853182</v>
      </c>
      <c r="BU41" s="3">
        <f t="shared" si="45"/>
        <v>0.73042029195962688</v>
      </c>
      <c r="BV41" s="3">
        <v>0.68591160425664621</v>
      </c>
      <c r="BW41" s="3">
        <f t="shared" si="31"/>
        <v>0.38091810924776243</v>
      </c>
      <c r="BX41" s="3">
        <v>0.39486434300512246</v>
      </c>
      <c r="BY41" s="3">
        <f t="shared" si="32"/>
        <v>-0.2400008740646456</v>
      </c>
      <c r="BZ41" s="3">
        <f t="shared" si="33"/>
        <v>0.27084203497439019</v>
      </c>
      <c r="CA41" s="3">
        <f t="shared" si="34"/>
        <v>0.6990043654237289</v>
      </c>
      <c r="CB41"/>
      <c r="CC41" s="3">
        <v>3</v>
      </c>
      <c r="CD41" s="3">
        <f t="shared" si="46"/>
        <v>3.1415926535897934E-2</v>
      </c>
      <c r="CE41" s="3">
        <v>-0.3838156352234906</v>
      </c>
      <c r="CF41" s="3">
        <f t="shared" si="47"/>
        <v>0.73042029195962688</v>
      </c>
      <c r="CG41" s="3">
        <v>0.68212238778891732</v>
      </c>
      <c r="CH41" s="3">
        <f t="shared" si="35"/>
        <v>0.38091810924776243</v>
      </c>
      <c r="CI41" s="3">
        <v>0.38925677896658983</v>
      </c>
      <c r="CJ41" s="3">
        <f t="shared" si="36"/>
        <v>-0.14940283788411154</v>
      </c>
      <c r="CK41" s="3">
        <f t="shared" si="37"/>
        <v>0.26552076353171306</v>
      </c>
      <c r="CL41" s="3">
        <f t="shared" si="38"/>
        <v>0.6990043654237289</v>
      </c>
    </row>
    <row r="42" spans="2:90" x14ac:dyDescent="0.2">
      <c r="B42" s="7" t="s">
        <v>235</v>
      </c>
      <c r="C42" s="42">
        <v>1.7312013277058499E-5</v>
      </c>
      <c r="D42" s="7" t="s">
        <v>231</v>
      </c>
      <c r="F42" s="10" t="s">
        <v>118</v>
      </c>
      <c r="G42" s="7">
        <f xml:space="preserve"> 1/1000 * (S23 + S19 * (S25 * S28 + $C$9 * SIN(S18/180*PI())))</f>
        <v>69.641986489431275</v>
      </c>
      <c r="H42" s="7" t="s">
        <v>123</v>
      </c>
      <c r="J42" s="21" t="s">
        <v>73</v>
      </c>
      <c r="K42" s="7">
        <f>ROUND(SUM(K18:K22)/$C$5 * 100, 2)</f>
        <v>9</v>
      </c>
      <c r="L42" s="7" t="s">
        <v>62</v>
      </c>
      <c r="N42" s="7" t="s">
        <v>311</v>
      </c>
      <c r="O42" s="51">
        <v>143.64080000000001</v>
      </c>
      <c r="P42" s="51"/>
      <c r="Q42" s="51">
        <f>K12*C44/(C19*PI()*C7^2)</f>
        <v>122.2493285498736</v>
      </c>
      <c r="R42" s="51"/>
      <c r="S42" s="50">
        <f t="shared" si="28"/>
        <v>-0.14892336613362231</v>
      </c>
      <c r="X42" s="3">
        <v>3</v>
      </c>
      <c r="Y42" s="3">
        <f t="shared" si="48"/>
        <v>0</v>
      </c>
      <c r="Z42" s="3">
        <f t="shared" si="39"/>
        <v>5.6649332097564759E-2</v>
      </c>
      <c r="AA42" s="3">
        <f t="shared" si="49"/>
        <v>0.125</v>
      </c>
      <c r="AB42" s="3">
        <f t="shared" si="29"/>
        <v>-7.0624611725259911E-2</v>
      </c>
      <c r="AC42" s="3">
        <f t="shared" si="40"/>
        <v>6.25E-2</v>
      </c>
      <c r="AD42" s="3">
        <f t="shared" si="30"/>
        <v>-6.5137181253478726E-3</v>
      </c>
      <c r="AE42" s="3">
        <f t="shared" si="41"/>
        <v>-3.689977812727586E-4</v>
      </c>
      <c r="AF42" s="3">
        <f t="shared" si="42"/>
        <v>4.6002881349048138E-4</v>
      </c>
      <c r="AG42" s="3">
        <f t="shared" si="43"/>
        <v>0.125</v>
      </c>
      <c r="AI42" s="3">
        <v>38</v>
      </c>
      <c r="AJ42" s="3">
        <f t="shared" si="25"/>
        <v>2498.9554820676858</v>
      </c>
      <c r="AK42" s="3">
        <v>-1.0103349268320017E-8</v>
      </c>
      <c r="AL42" s="3">
        <f t="shared" si="26"/>
        <v>2498.9554821004276</v>
      </c>
      <c r="AM42" s="3">
        <v>8.3771283243549988E-9</v>
      </c>
      <c r="AN42" s="3">
        <f t="shared" si="17"/>
        <v>2498.9554820840567</v>
      </c>
      <c r="AO42" s="3">
        <v>-8.6265572463162243E-10</v>
      </c>
      <c r="AP42" s="3">
        <f t="shared" si="18"/>
        <v>8.7157120842689762E-18</v>
      </c>
      <c r="AQ42" s="3">
        <f t="shared" si="19"/>
        <v>-7.2265777049785505E-18</v>
      </c>
      <c r="AR42" s="3">
        <f t="shared" si="20"/>
        <v>3.2741809263825417E-8</v>
      </c>
      <c r="AT42" s="51"/>
      <c r="AU42" s="4">
        <v>-2.34</v>
      </c>
      <c r="AV42" s="27" t="s">
        <v>44</v>
      </c>
      <c r="AW42"/>
      <c r="AX42" s="28"/>
      <c r="AY42" s="63" t="s">
        <v>169</v>
      </c>
      <c r="AZ42" s="63"/>
      <c r="BA42" s="63"/>
      <c r="BB42" s="63" t="s">
        <v>170</v>
      </c>
      <c r="BC42" s="63"/>
      <c r="BD42" s="63"/>
      <c r="BE42" s="63"/>
      <c r="BF42" s="63" t="s">
        <v>171</v>
      </c>
      <c r="BG42" s="63"/>
      <c r="BH42" s="65"/>
      <c r="BI42"/>
      <c r="BJ42" s="29" t="s">
        <v>175</v>
      </c>
      <c r="BK42" s="30">
        <f>BW102</f>
        <v>7.2591118409512795E-2</v>
      </c>
      <c r="BL42" s="6" t="s">
        <v>176</v>
      </c>
      <c r="BM42" s="3"/>
      <c r="BN42" s="29" t="s">
        <v>175</v>
      </c>
      <c r="BO42" s="30">
        <f>CH102</f>
        <v>5.984735316682388E-2</v>
      </c>
      <c r="BP42" s="6" t="s">
        <v>176</v>
      </c>
      <c r="BQ42"/>
      <c r="BR42" s="3">
        <v>4</v>
      </c>
      <c r="BS42" s="3">
        <f t="shared" si="44"/>
        <v>3.1415926535897934E-2</v>
      </c>
      <c r="BT42" s="3">
        <v>-0.60780589160853182</v>
      </c>
      <c r="BU42" s="3">
        <f t="shared" si="45"/>
        <v>0.38091810924776243</v>
      </c>
      <c r="BV42" s="3">
        <v>0.39486434300512246</v>
      </c>
      <c r="BW42" s="3">
        <f t="shared" si="31"/>
        <v>0.20616701789183017</v>
      </c>
      <c r="BX42" s="3">
        <v>0.21445231908059184</v>
      </c>
      <c r="BY42" s="3">
        <f t="shared" si="32"/>
        <v>-0.13034538300629647</v>
      </c>
      <c r="BZ42" s="3">
        <f t="shared" si="33"/>
        <v>8.4679574079682782E-2</v>
      </c>
      <c r="CA42" s="3">
        <f t="shared" si="34"/>
        <v>0.34950218271186451</v>
      </c>
      <c r="CB42"/>
      <c r="CC42" s="3">
        <v>4</v>
      </c>
      <c r="CD42" s="3">
        <f t="shared" si="46"/>
        <v>3.1415926535897934E-2</v>
      </c>
      <c r="CE42" s="3">
        <v>-0.3838156352234906</v>
      </c>
      <c r="CF42" s="3">
        <f t="shared" si="47"/>
        <v>0.38091810924776243</v>
      </c>
      <c r="CG42" s="3">
        <v>0.38925677896658983</v>
      </c>
      <c r="CH42" s="3">
        <f t="shared" si="35"/>
        <v>0.20616701789183017</v>
      </c>
      <c r="CI42" s="3">
        <v>0.22135047820159665</v>
      </c>
      <c r="CJ42" s="3">
        <f t="shared" si="36"/>
        <v>-8.4957774397969227E-2</v>
      </c>
      <c r="CK42" s="3">
        <f t="shared" si="37"/>
        <v>8.6162174167467867E-2</v>
      </c>
      <c r="CL42" s="3">
        <f t="shared" si="38"/>
        <v>0.34950218271186451</v>
      </c>
    </row>
    <row r="43" spans="2:90" x14ac:dyDescent="0.2">
      <c r="B43" s="7" t="s">
        <v>152</v>
      </c>
      <c r="C43" s="18">
        <v>333.29000296588299</v>
      </c>
      <c r="D43" s="7" t="s">
        <v>10</v>
      </c>
      <c r="F43" s="45" t="s">
        <v>246</v>
      </c>
      <c r="G43" s="44">
        <f>$C$19 * G42</f>
        <v>278.5679459577251</v>
      </c>
      <c r="H43" s="44" t="s">
        <v>123</v>
      </c>
      <c r="J43" s="16" t="s">
        <v>74</v>
      </c>
      <c r="K43" s="7">
        <f>ROUND(SUM(K23:K26)/$C$5*100, 2)</f>
        <v>6.06</v>
      </c>
      <c r="L43" s="7" t="s">
        <v>62</v>
      </c>
      <c r="N43" s="7" t="s">
        <v>314</v>
      </c>
      <c r="O43" s="51">
        <f>1.4*0.3048^2</f>
        <v>0.13006425599999999</v>
      </c>
      <c r="P43" s="51"/>
      <c r="Q43" s="51">
        <v>0.131301340729813</v>
      </c>
      <c r="R43" s="51"/>
      <c r="S43" s="50">
        <f t="shared" si="28"/>
        <v>9.5113351497048901E-3</v>
      </c>
      <c r="X43" s="3">
        <v>4</v>
      </c>
      <c r="Y43" s="3">
        <f t="shared" si="48"/>
        <v>0</v>
      </c>
      <c r="Z43" s="3">
        <f t="shared" si="39"/>
        <v>5.6649332097564759E-2</v>
      </c>
      <c r="AA43" s="3">
        <f t="shared" si="49"/>
        <v>6.25E-2</v>
      </c>
      <c r="AB43" s="3">
        <f t="shared" si="29"/>
        <v>-6.5137181253478726E-3</v>
      </c>
      <c r="AC43" s="3">
        <f t="shared" si="40"/>
        <v>3.125E-2</v>
      </c>
      <c r="AD43" s="3">
        <f t="shared" si="30"/>
        <v>2.522621605219693E-2</v>
      </c>
      <c r="AE43" s="3">
        <f t="shared" si="41"/>
        <v>1.4290482907058229E-3</v>
      </c>
      <c r="AF43" s="3">
        <f t="shared" si="42"/>
        <v>-1.6431646073313661E-4</v>
      </c>
      <c r="AG43" s="3">
        <f t="shared" si="43"/>
        <v>6.25E-2</v>
      </c>
      <c r="AI43" s="3">
        <v>39</v>
      </c>
      <c r="AJ43" s="3">
        <f t="shared" si="25"/>
        <v>2498.9554820840567</v>
      </c>
      <c r="AK43" s="3">
        <v>-8.6265572463162243E-10</v>
      </c>
      <c r="AL43" s="3">
        <f t="shared" si="26"/>
        <v>2498.9554821004276</v>
      </c>
      <c r="AM43" s="3">
        <v>8.3771283243549988E-9</v>
      </c>
      <c r="AN43" s="3">
        <f t="shared" si="17"/>
        <v>2498.9554820922422</v>
      </c>
      <c r="AO43" s="3">
        <v>3.7580321077257395E-9</v>
      </c>
      <c r="AP43" s="3">
        <f t="shared" si="18"/>
        <v>-3.2418879110790512E-18</v>
      </c>
      <c r="AQ43" s="3">
        <f t="shared" si="19"/>
        <v>3.1481517213464808E-17</v>
      </c>
      <c r="AR43" s="3">
        <f t="shared" si="20"/>
        <v>1.6370904631912708E-8</v>
      </c>
      <c r="AT43" s="3"/>
      <c r="AU43" s="3"/>
      <c r="AV43" s="27"/>
      <c r="AW43"/>
      <c r="AX43" s="28"/>
      <c r="AY43" s="5" t="s">
        <v>177</v>
      </c>
      <c r="AZ43" s="3">
        <v>-180</v>
      </c>
      <c r="BA43" s="3">
        <v>-9.5</v>
      </c>
      <c r="BB43" s="63" t="s">
        <v>177</v>
      </c>
      <c r="BC43" s="63"/>
      <c r="BD43" s="3">
        <v>-9.5</v>
      </c>
      <c r="BE43" s="3">
        <v>18.5</v>
      </c>
      <c r="BF43" s="5" t="s">
        <v>177</v>
      </c>
      <c r="BG43" s="3">
        <v>18.5</v>
      </c>
      <c r="BH43" s="32">
        <v>180</v>
      </c>
      <c r="BI43"/>
      <c r="BJ43" s="3" t="s">
        <v>180</v>
      </c>
      <c r="BK43" s="3">
        <f>($AU$39+$AU$5)/180*PI()</f>
        <v>0.10681415022205297</v>
      </c>
      <c r="BL43" s="3" t="s">
        <v>176</v>
      </c>
      <c r="BM43" s="3"/>
      <c r="BN43" s="3" t="s">
        <v>180</v>
      </c>
      <c r="BO43" s="3">
        <f>($AU$40+$AU$5)/180*PI()</f>
        <v>8.377580409572781E-2</v>
      </c>
      <c r="BP43" s="3" t="s">
        <v>176</v>
      </c>
      <c r="BQ43"/>
      <c r="BR43" s="3">
        <v>5</v>
      </c>
      <c r="BS43" s="3">
        <f t="shared" si="44"/>
        <v>3.1415926535897934E-2</v>
      </c>
      <c r="BT43" s="3">
        <v>-0.60780589160853182</v>
      </c>
      <c r="BU43" s="3">
        <f t="shared" si="45"/>
        <v>0.20616701789183017</v>
      </c>
      <c r="BV43" s="3">
        <v>0.21445231908059184</v>
      </c>
      <c r="BW43" s="3">
        <f t="shared" si="31"/>
        <v>0.11879147221386405</v>
      </c>
      <c r="BX43" s="3">
        <v>4.3172388856544175E-2</v>
      </c>
      <c r="BY43" s="3">
        <f t="shared" si="32"/>
        <v>-2.6240432301822075E-2</v>
      </c>
      <c r="BZ43" s="3">
        <f t="shared" si="33"/>
        <v>9.258418910534999E-3</v>
      </c>
      <c r="CA43" s="3">
        <f t="shared" si="34"/>
        <v>0.17475109135593225</v>
      </c>
      <c r="CB43"/>
      <c r="CC43" s="3">
        <v>5</v>
      </c>
      <c r="CD43" s="3">
        <f t="shared" si="46"/>
        <v>3.1415926535897934E-2</v>
      </c>
      <c r="CE43" s="3">
        <v>-0.3838156352234906</v>
      </c>
      <c r="CF43" s="3">
        <f t="shared" si="47"/>
        <v>0.20616701789183017</v>
      </c>
      <c r="CG43" s="3">
        <v>0.22135047820159665</v>
      </c>
      <c r="CH43" s="3">
        <f t="shared" si="35"/>
        <v>0.11879147221386405</v>
      </c>
      <c r="CI43" s="3">
        <v>8.1554246180997381E-2</v>
      </c>
      <c r="CJ43" s="3">
        <f t="shared" si="36"/>
        <v>-3.1301794803132443E-2</v>
      </c>
      <c r="CK43" s="3">
        <f t="shared" si="37"/>
        <v>1.8052071391534506E-2</v>
      </c>
      <c r="CL43" s="3">
        <f t="shared" si="38"/>
        <v>0.17475109135593225</v>
      </c>
    </row>
    <row r="44" spans="2:90" x14ac:dyDescent="0.2">
      <c r="B44" s="7" t="s">
        <v>17</v>
      </c>
      <c r="C44" s="1">
        <v>9.80099897360674</v>
      </c>
      <c r="D44" s="7" t="s">
        <v>18</v>
      </c>
      <c r="J44" s="11" t="s">
        <v>63</v>
      </c>
      <c r="K44" s="11">
        <f>SUM(K39:K43)</f>
        <v>99.990000000000009</v>
      </c>
      <c r="L44" s="11" t="s">
        <v>62</v>
      </c>
      <c r="N44" s="7" t="s">
        <v>321</v>
      </c>
      <c r="O44" s="51">
        <f>9.7*0.3048^2</f>
        <v>0.90115948800000001</v>
      </c>
      <c r="P44" s="51"/>
      <c r="Q44" s="51">
        <f>S5</f>
        <v>0.39101824582803263</v>
      </c>
      <c r="R44" s="51"/>
      <c r="S44" s="50">
        <f t="shared" si="28"/>
        <v>-0.5660942918152656</v>
      </c>
      <c r="X44" s="3">
        <v>5</v>
      </c>
      <c r="Y44" s="3">
        <f t="shared" si="48"/>
        <v>3.125E-2</v>
      </c>
      <c r="Z44" s="3">
        <f t="shared" si="39"/>
        <v>2.522621605219693E-2</v>
      </c>
      <c r="AA44" s="3">
        <f t="shared" si="49"/>
        <v>6.25E-2</v>
      </c>
      <c r="AB44" s="3">
        <f t="shared" si="29"/>
        <v>-6.5137181253478726E-3</v>
      </c>
      <c r="AC44" s="3">
        <f t="shared" si="40"/>
        <v>4.6875E-2</v>
      </c>
      <c r="AD44" s="3">
        <f t="shared" si="30"/>
        <v>9.3919092258723941E-3</v>
      </c>
      <c r="AE44" s="3">
        <f t="shared" si="41"/>
        <v>2.3692233127447864E-4</v>
      </c>
      <c r="AF44" s="3">
        <f t="shared" si="42"/>
        <v>-6.1176249356186915E-5</v>
      </c>
      <c r="AG44" s="3">
        <f t="shared" si="43"/>
        <v>3.125E-2</v>
      </c>
      <c r="AI44" s="3">
        <v>40</v>
      </c>
      <c r="AJ44" s="3">
        <f t="shared" si="25"/>
        <v>2498.9554820840567</v>
      </c>
      <c r="AK44" s="3">
        <v>-8.6265572463162243E-10</v>
      </c>
      <c r="AL44" s="3">
        <f t="shared" si="26"/>
        <v>2498.9554820922422</v>
      </c>
      <c r="AM44" s="3">
        <v>3.7580321077257395E-9</v>
      </c>
      <c r="AN44" s="6">
        <f>(AJ44+AL44)/2</f>
        <v>2498.9554820881494</v>
      </c>
      <c r="AO44" s="3">
        <v>1.4454144547926262E-9</v>
      </c>
      <c r="AP44" s="3">
        <f t="shared" si="18"/>
        <v>-1.2468950538921544E-18</v>
      </c>
      <c r="AQ44" s="3">
        <f t="shared" si="19"/>
        <v>5.4319139300815836E-18</v>
      </c>
      <c r="AR44" s="3">
        <f t="shared" si="20"/>
        <v>8.1854523159563541E-9</v>
      </c>
      <c r="AT44" s="61" t="s">
        <v>230</v>
      </c>
      <c r="AU44" s="61"/>
      <c r="AV44" s="61"/>
      <c r="AW44"/>
      <c r="AX44" s="33" t="s">
        <v>181</v>
      </c>
      <c r="AY44" s="3">
        <v>-4.9719999999999998E-5</v>
      </c>
      <c r="AZ44" s="3">
        <v>-9.4228200000000002E-3</v>
      </c>
      <c r="BA44" s="3">
        <v>-0.58952914000000001</v>
      </c>
      <c r="BB44" s="3">
        <v>-2.3201E-4</v>
      </c>
      <c r="BC44" s="3">
        <v>1.5145600000000001E-3</v>
      </c>
      <c r="BD44" s="3">
        <v>0.11609899</v>
      </c>
      <c r="BE44" s="3">
        <v>0.17357117999999999</v>
      </c>
      <c r="BF44" s="3">
        <v>6.9132000000000004E-4</v>
      </c>
      <c r="BG44" s="3">
        <v>-0.13722607000000001</v>
      </c>
      <c r="BH44" s="32">
        <v>3.6431797299999999</v>
      </c>
      <c r="BI44"/>
      <c r="BJ44" s="3" t="s">
        <v>29</v>
      </c>
      <c r="BK44" s="3">
        <f>BK43-BK42</f>
        <v>3.4223031812540175E-2</v>
      </c>
      <c r="BL44" s="3" t="s">
        <v>176</v>
      </c>
      <c r="BM44" s="3"/>
      <c r="BN44" s="3" t="s">
        <v>29</v>
      </c>
      <c r="BO44" s="3">
        <f>BO43-BO42</f>
        <v>2.392845092890393E-2</v>
      </c>
      <c r="BP44" s="3" t="s">
        <v>176</v>
      </c>
      <c r="BQ44"/>
      <c r="BR44" s="3">
        <v>6</v>
      </c>
      <c r="BS44" s="3">
        <f t="shared" si="44"/>
        <v>3.1415926535897934E-2</v>
      </c>
      <c r="BT44" s="3">
        <v>-0.60780589160853182</v>
      </c>
      <c r="BU44" s="3">
        <f t="shared" si="45"/>
        <v>0.11879147221386405</v>
      </c>
      <c r="BV44" s="3">
        <v>4.3172388856544175E-2</v>
      </c>
      <c r="BW44" s="3">
        <f t="shared" si="31"/>
        <v>7.5103699374880983E-2</v>
      </c>
      <c r="BX44" s="3">
        <v>-0.12093136271158261</v>
      </c>
      <c r="BY44" s="3">
        <f t="shared" si="32"/>
        <v>7.3502794736348229E-2</v>
      </c>
      <c r="BZ44" s="3">
        <f t="shared" si="33"/>
        <v>-5.2208958159362306E-3</v>
      </c>
      <c r="CA44" s="3">
        <f t="shared" si="34"/>
        <v>8.7375545677966113E-2</v>
      </c>
      <c r="CB44"/>
      <c r="CC44" s="3">
        <v>6</v>
      </c>
      <c r="CD44" s="3">
        <f t="shared" si="46"/>
        <v>3.1415926535897934E-2</v>
      </c>
      <c r="CE44" s="3">
        <v>-0.3838156352234906</v>
      </c>
      <c r="CF44" s="3">
        <f t="shared" si="47"/>
        <v>0.11879147221386405</v>
      </c>
      <c r="CG44" s="3">
        <v>8.1554246180997381E-2</v>
      </c>
      <c r="CH44" s="3">
        <f t="shared" si="35"/>
        <v>7.5103699374880983E-2</v>
      </c>
      <c r="CI44" s="3">
        <v>-4.1896420555544614E-2</v>
      </c>
      <c r="CJ44" s="3">
        <f t="shared" si="36"/>
        <v>1.6080501269116865E-2</v>
      </c>
      <c r="CK44" s="3">
        <f t="shared" si="37"/>
        <v>-3.4168309960894844E-3</v>
      </c>
      <c r="CL44" s="3">
        <f t="shared" si="38"/>
        <v>8.7375545677966113E-2</v>
      </c>
    </row>
    <row r="45" spans="2:90" x14ac:dyDescent="0.2">
      <c r="F45" s="53" t="s">
        <v>295</v>
      </c>
      <c r="G45" s="54"/>
      <c r="H45" s="54"/>
      <c r="N45" s="7" t="s">
        <v>138</v>
      </c>
      <c r="O45" s="51">
        <v>3.2</v>
      </c>
      <c r="P45" s="51"/>
      <c r="Q45" s="51">
        <f>S11</f>
        <v>4.3533670535594187</v>
      </c>
      <c r="R45" s="51"/>
      <c r="S45" s="50">
        <f t="shared" si="28"/>
        <v>0.36042720423731828</v>
      </c>
      <c r="X45" s="3">
        <v>6</v>
      </c>
      <c r="Y45" s="3">
        <f t="shared" si="48"/>
        <v>4.6875E-2</v>
      </c>
      <c r="Z45" s="3">
        <f t="shared" si="39"/>
        <v>9.3919092258723941E-3</v>
      </c>
      <c r="AA45" s="3">
        <f t="shared" si="49"/>
        <v>6.25E-2</v>
      </c>
      <c r="AB45" s="3">
        <f t="shared" si="29"/>
        <v>-6.5137181253478726E-3</v>
      </c>
      <c r="AC45" s="3">
        <f t="shared" si="40"/>
        <v>5.46875E-2</v>
      </c>
      <c r="AD45" s="3">
        <f t="shared" si="30"/>
        <v>1.4473773927499295E-3</v>
      </c>
      <c r="AE45" s="3">
        <f t="shared" si="41"/>
        <v>1.3593637088287194E-5</v>
      </c>
      <c r="AF45" s="3">
        <f t="shared" si="42"/>
        <v>-9.4278083573739628E-6</v>
      </c>
      <c r="AG45" s="3">
        <f t="shared" si="43"/>
        <v>1.5625E-2</v>
      </c>
      <c r="AT45" s="3" t="s">
        <v>20</v>
      </c>
      <c r="AU45" s="3">
        <f>$C$41</f>
        <v>1.02327848692001</v>
      </c>
      <c r="AV45" s="27" t="s">
        <v>16</v>
      </c>
      <c r="AW45"/>
      <c r="AX45" s="35" t="s">
        <v>185</v>
      </c>
      <c r="AY45" s="36">
        <v>-1.4875000000000001E-4</v>
      </c>
      <c r="AZ45" s="36">
        <v>-2.818766E-2</v>
      </c>
      <c r="BA45" s="36">
        <v>-0.15965826999999999</v>
      </c>
      <c r="BB45" s="36">
        <v>-4.4100000000000001E-6</v>
      </c>
      <c r="BC45" s="36">
        <v>3.8060999999999998E-4</v>
      </c>
      <c r="BD45" s="36">
        <v>-2.2518899999999999E-3</v>
      </c>
      <c r="BE45" s="36">
        <v>6.2865899999999999E-3</v>
      </c>
      <c r="BF45" s="36">
        <v>-2.0911000000000001E-4</v>
      </c>
      <c r="BG45" s="36">
        <v>4.150877E-2</v>
      </c>
      <c r="BH45" s="37">
        <v>-0.59881362999999999</v>
      </c>
      <c r="BI45"/>
      <c r="BJ45" s="3" t="s">
        <v>189</v>
      </c>
      <c r="BK45" s="3">
        <f>BK44/PI()*180</f>
        <v>1.960835285000504</v>
      </c>
      <c r="BL45" s="3" t="s">
        <v>44</v>
      </c>
      <c r="BM45" s="3"/>
      <c r="BN45" s="3" t="s">
        <v>189</v>
      </c>
      <c r="BO45" s="3">
        <f>BO44/PI()*180</f>
        <v>1.3709992485120894</v>
      </c>
      <c r="BP45" s="3" t="s">
        <v>44</v>
      </c>
      <c r="BQ45"/>
      <c r="BR45" s="3">
        <v>7</v>
      </c>
      <c r="BS45" s="3">
        <f t="shared" si="44"/>
        <v>7.5103699374880983E-2</v>
      </c>
      <c r="BT45" s="3">
        <v>-0.12093136271158261</v>
      </c>
      <c r="BU45" s="3">
        <f t="shared" si="45"/>
        <v>0.11879147221386405</v>
      </c>
      <c r="BV45" s="3">
        <v>4.3172388856544175E-2</v>
      </c>
      <c r="BW45" s="3">
        <f t="shared" si="31"/>
        <v>9.6947585794372515E-2</v>
      </c>
      <c r="BX45" s="3">
        <v>-2.5492900786786604E-2</v>
      </c>
      <c r="BY45" s="3">
        <f t="shared" si="32"/>
        <v>3.0828912316172804E-3</v>
      </c>
      <c r="BZ45" s="3">
        <f t="shared" si="33"/>
        <v>-1.1005894258484521E-3</v>
      </c>
      <c r="CA45" s="3">
        <f t="shared" si="34"/>
        <v>4.3687772838983063E-2</v>
      </c>
      <c r="CB45"/>
      <c r="CC45" s="3">
        <v>7</v>
      </c>
      <c r="CD45" s="3">
        <f t="shared" si="46"/>
        <v>7.5103699374880983E-2</v>
      </c>
      <c r="CE45" s="3">
        <v>-4.1896420555544614E-2</v>
      </c>
      <c r="CF45" s="3">
        <f t="shared" si="47"/>
        <v>0.11879147221386405</v>
      </c>
      <c r="CG45" s="3">
        <v>8.1554246180997381E-2</v>
      </c>
      <c r="CH45" s="3">
        <f t="shared" si="35"/>
        <v>9.6947585794372515E-2</v>
      </c>
      <c r="CI45" s="3">
        <v>2.8917677204868774E-2</v>
      </c>
      <c r="CJ45" s="3">
        <f t="shared" si="36"/>
        <v>-1.2115471656646681E-3</v>
      </c>
      <c r="CK45" s="3">
        <f t="shared" si="37"/>
        <v>2.3583593657484844E-3</v>
      </c>
      <c r="CL45" s="3">
        <f t="shared" si="38"/>
        <v>4.3687772838983063E-2</v>
      </c>
    </row>
    <row r="46" spans="2:90" x14ac:dyDescent="0.2">
      <c r="B46" s="55" t="s">
        <v>302</v>
      </c>
      <c r="C46" s="60"/>
      <c r="D46" s="60"/>
      <c r="F46" s="7" t="s">
        <v>296</v>
      </c>
      <c r="G46" s="18">
        <v>30</v>
      </c>
      <c r="H46" s="7" t="s">
        <v>14</v>
      </c>
      <c r="N46" s="7" t="s">
        <v>327</v>
      </c>
      <c r="O46" s="51">
        <f>3.2*(6480/1000)^(2/3)*0.3048^2</f>
        <v>1.0333082755306622</v>
      </c>
      <c r="P46" s="51"/>
      <c r="Q46" s="51">
        <f>S8*PI()*C7^2</f>
        <v>1.0152595305359837</v>
      </c>
      <c r="R46" s="51"/>
      <c r="S46" s="50">
        <f t="shared" si="28"/>
        <v>-1.7466950978796143E-2</v>
      </c>
      <c r="X46" s="3">
        <v>7</v>
      </c>
      <c r="Y46" s="3">
        <f t="shared" si="48"/>
        <v>5.46875E-2</v>
      </c>
      <c r="Z46" s="3">
        <f t="shared" si="39"/>
        <v>1.4473773927499295E-3</v>
      </c>
      <c r="AA46" s="3">
        <f t="shared" si="49"/>
        <v>6.25E-2</v>
      </c>
      <c r="AB46" s="3">
        <f t="shared" si="29"/>
        <v>-6.5137181253478726E-3</v>
      </c>
      <c r="AC46" s="3">
        <f t="shared" si="40"/>
        <v>5.859375E-2</v>
      </c>
      <c r="AD46" s="3">
        <f t="shared" si="30"/>
        <v>-2.5311853263143697E-3</v>
      </c>
      <c r="AE46" s="3">
        <f t="shared" si="41"/>
        <v>-3.6635804181677717E-6</v>
      </c>
      <c r="AF46" s="3">
        <f t="shared" si="42"/>
        <v>1.6487427738628479E-5</v>
      </c>
      <c r="AG46" s="3">
        <f t="shared" si="43"/>
        <v>7.8125E-3</v>
      </c>
      <c r="AT46" s="3" t="s">
        <v>32</v>
      </c>
      <c r="AU46" s="38">
        <f>$C$42</f>
        <v>1.7312013277058499E-5</v>
      </c>
      <c r="AV46" s="27" t="s">
        <v>231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 s="3" t="s">
        <v>192</v>
      </c>
      <c r="BK46" s="3">
        <f xml:space="preserve"> $AU$8*$AU$31 / (2*PI()*$AU$23)</f>
        <v>4.9124531825071593E-2</v>
      </c>
      <c r="BL46" s="3"/>
      <c r="BM46" s="3"/>
      <c r="BN46" s="3" t="s">
        <v>192</v>
      </c>
      <c r="BO46" s="3">
        <f xml:space="preserve"> $AU$8*$AU$32 / (2*PI()*$AU$24)</f>
        <v>4.0321081617108796E-2</v>
      </c>
      <c r="BP46" s="3"/>
      <c r="BQ46"/>
      <c r="BR46" s="3">
        <v>8</v>
      </c>
      <c r="BS46" s="3">
        <f t="shared" si="44"/>
        <v>9.6947585794372515E-2</v>
      </c>
      <c r="BT46" s="3">
        <v>-2.5492900786786604E-2</v>
      </c>
      <c r="BU46" s="3">
        <f t="shared" si="45"/>
        <v>0.11879147221386405</v>
      </c>
      <c r="BV46" s="3">
        <v>4.3172388856544175E-2</v>
      </c>
      <c r="BW46" s="3">
        <f t="shared" si="31"/>
        <v>0.10786952900411828</v>
      </c>
      <c r="BX46" s="3">
        <v>1.1205310438672801E-2</v>
      </c>
      <c r="BY46" s="3">
        <f t="shared" si="32"/>
        <v>-2.8565586729822998E-4</v>
      </c>
      <c r="BZ46" s="3">
        <f t="shared" si="33"/>
        <v>4.8376001951667573E-4</v>
      </c>
      <c r="CA46" s="3">
        <f t="shared" si="34"/>
        <v>2.1843886419491532E-2</v>
      </c>
      <c r="CB46"/>
      <c r="CC46" s="3">
        <v>8</v>
      </c>
      <c r="CD46" s="3">
        <f t="shared" si="46"/>
        <v>7.5103699374880983E-2</v>
      </c>
      <c r="CE46" s="3">
        <v>-4.1896420555544614E-2</v>
      </c>
      <c r="CF46" s="3">
        <f t="shared" si="47"/>
        <v>9.6947585794372515E-2</v>
      </c>
      <c r="CG46" s="3">
        <v>2.8917677204868774E-2</v>
      </c>
      <c r="CH46" s="3">
        <f t="shared" si="35"/>
        <v>8.6025642584626749E-2</v>
      </c>
      <c r="CI46" s="3">
        <v>-3.3857977653145065E-3</v>
      </c>
      <c r="CJ46" s="3">
        <f t="shared" si="36"/>
        <v>1.4185280709163971E-4</v>
      </c>
      <c r="CK46" s="3">
        <f t="shared" si="37"/>
        <v>-9.7909406858330935E-5</v>
      </c>
      <c r="CL46" s="3">
        <f t="shared" si="38"/>
        <v>2.1843886419491532E-2</v>
      </c>
    </row>
    <row r="47" spans="2:90" x14ac:dyDescent="0.2">
      <c r="B47" s="7" t="s">
        <v>15</v>
      </c>
      <c r="C47" s="18">
        <v>0.96234512739503997</v>
      </c>
      <c r="D47" s="7" t="s">
        <v>16</v>
      </c>
      <c r="F47" s="7" t="s">
        <v>291</v>
      </c>
      <c r="G47" s="18">
        <v>100</v>
      </c>
      <c r="H47" s="7" t="s">
        <v>62</v>
      </c>
      <c r="N47" s="7" t="s">
        <v>315</v>
      </c>
      <c r="O47" s="51">
        <f>O45*(O32*2.20462/1000)^(2/3)*0.3048^2 * S4</f>
        <v>1188.3899697912775</v>
      </c>
      <c r="P47" s="51"/>
      <c r="Q47" s="51">
        <f>S10</f>
        <v>1167.6339811520461</v>
      </c>
      <c r="R47" s="51"/>
      <c r="S47" s="50">
        <f t="shared" si="28"/>
        <v>-1.7465637683627445E-2</v>
      </c>
      <c r="X47" s="3">
        <v>8</v>
      </c>
      <c r="Y47" s="3">
        <f t="shared" si="48"/>
        <v>5.46875E-2</v>
      </c>
      <c r="Z47" s="3">
        <f t="shared" si="39"/>
        <v>1.4473773927499295E-3</v>
      </c>
      <c r="AA47" s="3">
        <f t="shared" si="49"/>
        <v>5.859375E-2</v>
      </c>
      <c r="AB47" s="3">
        <f t="shared" si="29"/>
        <v>-2.5311853263143697E-3</v>
      </c>
      <c r="AC47" s="3">
        <f t="shared" si="40"/>
        <v>5.6640625E-2</v>
      </c>
      <c r="AD47" s="3">
        <f t="shared" si="30"/>
        <v>-5.4139680157890002E-4</v>
      </c>
      <c r="AE47" s="3">
        <f t="shared" si="41"/>
        <v>-7.8360549111241918E-7</v>
      </c>
      <c r="AF47" s="3">
        <f t="shared" si="42"/>
        <v>1.3703756398700442E-6</v>
      </c>
      <c r="AG47" s="3">
        <f t="shared" si="43"/>
        <v>3.90625E-3</v>
      </c>
      <c r="AI47" s="64" t="s">
        <v>243</v>
      </c>
      <c r="AJ47" s="64"/>
      <c r="AK47" s="64"/>
      <c r="AL47" s="64"/>
      <c r="AM47" s="3"/>
      <c r="AN47" s="3"/>
      <c r="AO47" s="3"/>
      <c r="AP47" s="3"/>
      <c r="AQ47" s="3"/>
      <c r="AR47" s="3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 s="3" t="s">
        <v>196</v>
      </c>
      <c r="BK47" s="3">
        <f>IF(-$AU$8*($AY$3-$AU$23)/(2*$AU$23*SIN(BK42))&gt;500, 1, 2*ACOS(MIN(1, EXP(-$AU$8*($AY$3-$AU$23)/(2*$AU$23*SIN(BK42)))))/PI() )</f>
        <v>0.99999848296572458</v>
      </c>
      <c r="BL47" s="3"/>
      <c r="BM47" s="3"/>
      <c r="BN47" s="3" t="s">
        <v>196</v>
      </c>
      <c r="BO47" s="3">
        <f>IF(-$AU$8*($AY$3-$AU$24)/(2*$AU$24*SIN(BO42))&gt;500, 1, 2*ACOS(MIN(1, EXP(-$AU$8*($AY$3-$AU$24)/(2*$AU$24*SIN(BO42)))))/PI() )</f>
        <v>0.99995294557414049</v>
      </c>
      <c r="BP47" s="3"/>
      <c r="BQ47"/>
      <c r="BR47" s="3">
        <v>9</v>
      </c>
      <c r="BS47" s="3">
        <f t="shared" si="44"/>
        <v>9.6947585794372515E-2</v>
      </c>
      <c r="BT47" s="3">
        <v>-2.5492900786786604E-2</v>
      </c>
      <c r="BU47" s="3">
        <f t="shared" si="45"/>
        <v>0.10786952900411828</v>
      </c>
      <c r="BV47" s="3">
        <v>1.1205310438672801E-2</v>
      </c>
      <c r="BW47" s="3">
        <f t="shared" si="31"/>
        <v>0.1024085573992454</v>
      </c>
      <c r="BX47" s="3">
        <v>-6.4624697158021825E-3</v>
      </c>
      <c r="BY47" s="3">
        <f t="shared" si="32"/>
        <v>1.6474709930255807E-4</v>
      </c>
      <c r="BZ47" s="3">
        <f t="shared" si="33"/>
        <v>-7.2413979366085042E-5</v>
      </c>
      <c r="CA47" s="3">
        <f t="shared" si="34"/>
        <v>1.0921943209745766E-2</v>
      </c>
      <c r="CB47"/>
      <c r="CC47" s="3">
        <v>9</v>
      </c>
      <c r="CD47" s="3">
        <f t="shared" si="46"/>
        <v>8.6025642584626749E-2</v>
      </c>
      <c r="CE47" s="3">
        <v>-3.3857977653145065E-3</v>
      </c>
      <c r="CF47" s="3">
        <f t="shared" si="47"/>
        <v>9.6947585794372515E-2</v>
      </c>
      <c r="CG47" s="3">
        <v>2.8917677204868774E-2</v>
      </c>
      <c r="CH47" s="3">
        <f t="shared" si="35"/>
        <v>9.1486614189499632E-2</v>
      </c>
      <c r="CI47" s="3">
        <v>1.3406878558393499E-2</v>
      </c>
      <c r="CJ47" s="3">
        <f t="shared" si="36"/>
        <v>-4.5392979462851681E-5</v>
      </c>
      <c r="CK47" s="3">
        <f t="shared" si="37"/>
        <v>3.8769578647649962E-4</v>
      </c>
      <c r="CL47" s="3">
        <f t="shared" si="38"/>
        <v>1.0921943209745766E-2</v>
      </c>
    </row>
    <row r="48" spans="2:90" x14ac:dyDescent="0.2">
      <c r="B48" s="7" t="s">
        <v>235</v>
      </c>
      <c r="C48" s="42">
        <v>1.7116254418577599E-5</v>
      </c>
      <c r="D48" s="7" t="s">
        <v>231</v>
      </c>
      <c r="F48" s="44" t="s">
        <v>305</v>
      </c>
      <c r="G48" s="44">
        <f>$G$47/100*K4</f>
        <v>278.5679459577251</v>
      </c>
      <c r="H48" s="44" t="s">
        <v>123</v>
      </c>
      <c r="X48" s="3">
        <v>9</v>
      </c>
      <c r="Y48" s="3">
        <f t="shared" si="48"/>
        <v>5.46875E-2</v>
      </c>
      <c r="Z48" s="3">
        <f t="shared" si="39"/>
        <v>1.4473773927499295E-3</v>
      </c>
      <c r="AA48" s="3">
        <f t="shared" si="49"/>
        <v>5.6640625E-2</v>
      </c>
      <c r="AB48" s="3">
        <f t="shared" si="29"/>
        <v>-5.4139680157890002E-4</v>
      </c>
      <c r="AC48" s="3">
        <f t="shared" si="40"/>
        <v>5.56640625E-2</v>
      </c>
      <c r="AD48" s="3">
        <f t="shared" si="30"/>
        <v>4.5311843170873362E-4</v>
      </c>
      <c r="AE48" s="3">
        <f t="shared" si="41"/>
        <v>6.5583337429352389E-7</v>
      </c>
      <c r="AF48" s="3">
        <f t="shared" si="42"/>
        <v>-2.4531686966355561E-7</v>
      </c>
      <c r="AG48" s="3">
        <f t="shared" si="43"/>
        <v>1.953125E-3</v>
      </c>
      <c r="AI48" s="8" t="s">
        <v>45</v>
      </c>
      <c r="AJ48" s="8" t="s">
        <v>46</v>
      </c>
      <c r="AK48" s="8" t="s">
        <v>47</v>
      </c>
      <c r="AL48" s="8" t="s">
        <v>48</v>
      </c>
      <c r="AM48" s="8" t="s">
        <v>49</v>
      </c>
      <c r="AN48" s="8" t="s">
        <v>50</v>
      </c>
      <c r="AO48" s="8" t="s">
        <v>51</v>
      </c>
      <c r="AP48" s="8" t="s">
        <v>52</v>
      </c>
      <c r="AQ48" s="8" t="s">
        <v>53</v>
      </c>
      <c r="AR48" s="8" t="s">
        <v>54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 s="3" t="s">
        <v>201</v>
      </c>
      <c r="BK48" s="3">
        <f>IF(-$AU$8*($AU$23-$AU$10)/(2*$AU$23*SIN(BK42))&gt;500, 1, 2*ACOS(MIN(1, EXP(-$AU$8*($AU$23-$AU$10)/(2*$AU$23*SIN(BK42)))))/PI() )</f>
        <v>0.99999996246323009</v>
      </c>
      <c r="BL48" s="3"/>
      <c r="BM48" s="3"/>
      <c r="BN48" s="3" t="s">
        <v>201</v>
      </c>
      <c r="BO48" s="3">
        <f>IF(-$AU$8*($AU$24-$AU$10)/(2*$AU$24*SIN(BO42))&gt;500, 1, 2*ACOS(MIN(1, EXP(-$AU$8*($AU$24-$AU$10)/(2*$AU$24*SIN(BO42)))))/PI() )</f>
        <v>0.9999999994811225</v>
      </c>
      <c r="BP48" s="3"/>
      <c r="BQ48"/>
      <c r="BR48" s="3">
        <v>10</v>
      </c>
      <c r="BS48" s="3">
        <f t="shared" si="44"/>
        <v>0.1024085573992454</v>
      </c>
      <c r="BT48" s="3">
        <v>-6.4624697158021825E-3</v>
      </c>
      <c r="BU48" s="3">
        <f t="shared" si="45"/>
        <v>0.10786952900411828</v>
      </c>
      <c r="BV48" s="3">
        <v>1.1205310438672801E-2</v>
      </c>
      <c r="BW48" s="3">
        <f t="shared" si="31"/>
        <v>0.10513904320168184</v>
      </c>
      <c r="BX48" s="3">
        <v>2.5290506364988308E-3</v>
      </c>
      <c r="BY48" s="3">
        <f t="shared" si="32"/>
        <v>-1.6343913148103928E-5</v>
      </c>
      <c r="BZ48" s="3">
        <f t="shared" si="33"/>
        <v>2.8338797497092441E-5</v>
      </c>
      <c r="CA48" s="3">
        <f t="shared" si="34"/>
        <v>5.4609716048728829E-3</v>
      </c>
      <c r="CB48"/>
      <c r="CC48" s="3">
        <v>10</v>
      </c>
      <c r="CD48" s="3">
        <f t="shared" si="46"/>
        <v>8.6025642584626749E-2</v>
      </c>
      <c r="CE48" s="3">
        <v>-3.3857977653145065E-3</v>
      </c>
      <c r="CF48" s="3">
        <f t="shared" si="47"/>
        <v>9.1486614189499632E-2</v>
      </c>
      <c r="CG48" s="3">
        <v>1.3406878558393499E-2</v>
      </c>
      <c r="CH48" s="3">
        <f t="shared" si="35"/>
        <v>8.8756128387063191E-2</v>
      </c>
      <c r="CI48" s="3">
        <v>5.1850483698101194E-3</v>
      </c>
      <c r="CJ48" s="3">
        <f t="shared" si="36"/>
        <v>-1.7555525183550728E-5</v>
      </c>
      <c r="CK48" s="3">
        <f t="shared" si="37"/>
        <v>6.9515313813440458E-5</v>
      </c>
      <c r="CL48" s="3">
        <f t="shared" si="38"/>
        <v>5.4609716048728829E-3</v>
      </c>
    </row>
    <row r="49" spans="2:90" x14ac:dyDescent="0.2">
      <c r="B49" s="7" t="s">
        <v>152</v>
      </c>
      <c r="C49" s="18">
        <v>330.89077204791801</v>
      </c>
      <c r="D49" s="7" t="s">
        <v>10</v>
      </c>
      <c r="X49" s="3">
        <v>10</v>
      </c>
      <c r="Y49" s="3">
        <f t="shared" si="48"/>
        <v>5.56640625E-2</v>
      </c>
      <c r="Z49" s="3">
        <f t="shared" si="39"/>
        <v>4.5311843170873362E-4</v>
      </c>
      <c r="AA49" s="3">
        <f t="shared" si="49"/>
        <v>5.6640625E-2</v>
      </c>
      <c r="AB49" s="3">
        <f t="shared" si="29"/>
        <v>-5.4139680157890002E-4</v>
      </c>
      <c r="AC49" s="3">
        <f t="shared" si="40"/>
        <v>5.615234375E-2</v>
      </c>
      <c r="AD49" s="3">
        <f t="shared" si="30"/>
        <v>-4.4107318137712181E-5</v>
      </c>
      <c r="AE49" s="3">
        <f t="shared" si="41"/>
        <v>-1.9985838821438324E-8</v>
      </c>
      <c r="AF49" s="3">
        <f t="shared" si="42"/>
        <v>2.3879560965980379E-8</v>
      </c>
      <c r="AG49" s="3">
        <f t="shared" si="43"/>
        <v>9.765625E-4</v>
      </c>
      <c r="AI49" s="3">
        <v>0</v>
      </c>
      <c r="AJ49" s="3"/>
      <c r="AK49" s="3">
        <f>G16</f>
        <v>-5.2314990170998499E-6</v>
      </c>
      <c r="AL49" s="3"/>
      <c r="AM49" s="3">
        <f>G16</f>
        <v>-5.2314990170998499E-6</v>
      </c>
      <c r="AN49" s="3"/>
      <c r="AO49" s="3">
        <f>G16</f>
        <v>-5.2314990170998499E-6</v>
      </c>
      <c r="AP49" s="3"/>
      <c r="AQ49" s="3"/>
      <c r="AR49" s="3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 s="3" t="s">
        <v>204</v>
      </c>
      <c r="BK49" s="3">
        <f>IF(BK42=0,1,BK47*BK48)</f>
        <v>0.99999844542901162</v>
      </c>
      <c r="BL49" s="3"/>
      <c r="BM49" s="3"/>
      <c r="BN49" s="3" t="s">
        <v>204</v>
      </c>
      <c r="BO49" s="3">
        <f>IF(BO42=0,1,BO47*BO48)</f>
        <v>0.99995294505528742</v>
      </c>
      <c r="BP49" s="3"/>
      <c r="BQ49"/>
      <c r="BR49" s="3">
        <v>11</v>
      </c>
      <c r="BS49" s="3">
        <f t="shared" si="44"/>
        <v>0.1024085573992454</v>
      </c>
      <c r="BT49" s="3">
        <v>-6.4624697158021825E-3</v>
      </c>
      <c r="BU49" s="3">
        <f t="shared" si="45"/>
        <v>0.10513904320168184</v>
      </c>
      <c r="BV49" s="3">
        <v>2.5290506364988308E-3</v>
      </c>
      <c r="BW49" s="3">
        <f t="shared" si="31"/>
        <v>0.10377380030046363</v>
      </c>
      <c r="BX49" s="3">
        <v>-1.9258187637413021E-3</v>
      </c>
      <c r="BY49" s="3">
        <f t="shared" si="32"/>
        <v>1.2445545438801764E-5</v>
      </c>
      <c r="BZ49" s="3">
        <f t="shared" si="33"/>
        <v>-4.8704931702213312E-6</v>
      </c>
      <c r="CA49" s="3">
        <f t="shared" si="34"/>
        <v>2.7304858024364415E-3</v>
      </c>
      <c r="CB49"/>
      <c r="CC49" s="3">
        <v>11</v>
      </c>
      <c r="CD49" s="3">
        <f t="shared" si="46"/>
        <v>8.6025642584626749E-2</v>
      </c>
      <c r="CE49" s="3">
        <v>-3.3857977653145065E-3</v>
      </c>
      <c r="CF49" s="3">
        <f t="shared" si="47"/>
        <v>8.8756128387063191E-2</v>
      </c>
      <c r="CG49" s="3">
        <v>5.1850483698101194E-3</v>
      </c>
      <c r="CH49" s="3">
        <f t="shared" si="35"/>
        <v>8.7390885485844977E-2</v>
      </c>
      <c r="CI49" s="3">
        <v>9.4523166461708049E-4</v>
      </c>
      <c r="CJ49" s="3">
        <f t="shared" si="36"/>
        <v>-3.2003632577650223E-6</v>
      </c>
      <c r="CK49" s="3">
        <f t="shared" si="37"/>
        <v>4.9010719017156988E-6</v>
      </c>
      <c r="CL49" s="3">
        <f t="shared" si="38"/>
        <v>2.7304858024364415E-3</v>
      </c>
    </row>
    <row r="50" spans="2:90" x14ac:dyDescent="0.2">
      <c r="B50" s="7" t="s">
        <v>17</v>
      </c>
      <c r="C50" s="1">
        <v>9.7991241940211005</v>
      </c>
      <c r="D50" s="7" t="s">
        <v>18</v>
      </c>
      <c r="F50" s="53" t="s">
        <v>86</v>
      </c>
      <c r="G50" s="54"/>
      <c r="H50" s="54"/>
      <c r="X50" s="3">
        <v>11</v>
      </c>
      <c r="Y50" s="3">
        <f t="shared" si="48"/>
        <v>5.56640625E-2</v>
      </c>
      <c r="Z50" s="3">
        <f t="shared" si="39"/>
        <v>4.5311843170873362E-4</v>
      </c>
      <c r="AA50" s="3">
        <f t="shared" si="49"/>
        <v>5.615234375E-2</v>
      </c>
      <c r="AB50" s="3">
        <f t="shared" si="29"/>
        <v>-4.4107318137712181E-5</v>
      </c>
      <c r="AC50" s="3">
        <f t="shared" si="40"/>
        <v>5.5908203125E-2</v>
      </c>
      <c r="AD50" s="3">
        <f t="shared" si="30"/>
        <v>2.045135444447288E-4</v>
      </c>
      <c r="AE50" s="3">
        <f t="shared" si="41"/>
        <v>9.2668856521989905E-8</v>
      </c>
      <c r="AF50" s="3">
        <f t="shared" si="42"/>
        <v>-9.0205439682947929E-9</v>
      </c>
      <c r="AG50" s="3">
        <f t="shared" si="43"/>
        <v>4.8828125E-4</v>
      </c>
      <c r="AI50" s="3">
        <v>1</v>
      </c>
      <c r="AJ50" s="4">
        <v>50</v>
      </c>
      <c r="AK50" s="3">
        <f t="dataTable" ref="AK50:AK79" dt2D="0" dtr="0" r1="C6" ca="1"/>
        <v>6023.686210220566</v>
      </c>
      <c r="AL50" s="4">
        <v>1500</v>
      </c>
      <c r="AM50" s="3">
        <f t="dataTable" ref="AM50:AM79" dt2D="0" dtr="0" r1="C6" ca="1"/>
        <v>-53142.39476731178</v>
      </c>
      <c r="AN50" s="3">
        <f t="shared" ref="AN50:AN79" si="50">(AJ50+AL50)/2</f>
        <v>775</v>
      </c>
      <c r="AO50" s="3">
        <f t="dataTable" ref="AO50:AO79" dt2D="0" dtr="0" r1="C6" ca="1"/>
        <v>-9722.1256628324008</v>
      </c>
      <c r="AP50" s="3">
        <f t="shared" ref="AP50:AP79" si="51">AK50*AO50</f>
        <v>-58563034.289235011</v>
      </c>
      <c r="AQ50" s="3">
        <f t="shared" ref="AQ50:AQ79" si="52">AM50*AO50</f>
        <v>516657039.95165217</v>
      </c>
      <c r="AR50" s="3">
        <f t="shared" ref="AR50:AR79" si="53">AL50-AJ50</f>
        <v>1450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 s="3" t="s">
        <v>208</v>
      </c>
      <c r="BK50" s="3">
        <f>IF(BK45&lt;$BD$43, $AY$44*BK45^2 + $AZ$44*BK45 + $BA$44, IF(BK45&gt;$BE$43, $BF$44*BK45^2 + $BG$44*BK45 + $BH$44, $BB$44*BK45^3 + $BC$44*BK45^2 + $BD$44*BK45 + $BE$44))</f>
        <v>0.40529630800563798</v>
      </c>
      <c r="BL50" s="3"/>
      <c r="BM50" s="3"/>
      <c r="BN50" s="3" t="s">
        <v>208</v>
      </c>
      <c r="BO50" s="3">
        <f>IF(BO45&lt;$BD$43, $AY$44*BO45^2 + $AZ$44*BO45 + $BA$44, IF(BO45&gt;$BE$43, $BF$44*BO45^2 + $BG$44*BO45 + $BH$44, $BB$44*BO45^3 + $BC$44*BO45^2 + $BD$44*BO45 + $BE$44))</f>
        <v>0.33499174803623244</v>
      </c>
      <c r="BP50" s="3"/>
      <c r="BQ50"/>
      <c r="BR50" s="3">
        <v>12</v>
      </c>
      <c r="BS50" s="3">
        <f t="shared" si="44"/>
        <v>0.10377380030046363</v>
      </c>
      <c r="BT50" s="3">
        <v>-1.9258187637413021E-3</v>
      </c>
      <c r="BU50" s="3">
        <f t="shared" si="45"/>
        <v>0.10513904320168184</v>
      </c>
      <c r="BV50" s="3">
        <v>2.5290506364988308E-3</v>
      </c>
      <c r="BW50" s="3">
        <f t="shared" si="31"/>
        <v>0.10445642175107273</v>
      </c>
      <c r="BX50" s="3">
        <v>3.1164717244755967E-4</v>
      </c>
      <c r="BY50" s="3">
        <f t="shared" si="32"/>
        <v>-6.0017597236643171E-7</v>
      </c>
      <c r="BZ50" s="3">
        <f t="shared" si="33"/>
        <v>7.8817147984156166E-7</v>
      </c>
      <c r="CA50" s="3">
        <f t="shared" si="34"/>
        <v>1.3652429012182138E-3</v>
      </c>
      <c r="CB50"/>
      <c r="CC50" s="3">
        <v>12</v>
      </c>
      <c r="CD50" s="3">
        <f t="shared" si="46"/>
        <v>8.6025642584626749E-2</v>
      </c>
      <c r="CE50" s="3">
        <v>-3.3857977653145065E-3</v>
      </c>
      <c r="CF50" s="3">
        <f t="shared" si="47"/>
        <v>8.7390885485844977E-2</v>
      </c>
      <c r="CG50" s="3">
        <v>9.4523166461708049E-4</v>
      </c>
      <c r="CH50" s="3">
        <f t="shared" si="35"/>
        <v>8.6708264035235863E-2</v>
      </c>
      <c r="CI50" s="3">
        <v>-1.2086203967634004E-3</v>
      </c>
      <c r="CJ50" s="3">
        <f t="shared" si="36"/>
        <v>4.0921442384750533E-6</v>
      </c>
      <c r="CK50" s="3">
        <f t="shared" si="37"/>
        <v>-1.1424262695228253E-6</v>
      </c>
      <c r="CL50" s="3">
        <f t="shared" si="38"/>
        <v>1.3652429012182277E-3</v>
      </c>
    </row>
    <row r="51" spans="2:90" x14ac:dyDescent="0.2">
      <c r="F51" t="s">
        <v>90</v>
      </c>
      <c r="G51" s="1">
        <f>100*0.3048/60</f>
        <v>0.50800000000000001</v>
      </c>
      <c r="H51" t="s">
        <v>10</v>
      </c>
      <c r="X51" s="3">
        <v>12</v>
      </c>
      <c r="Y51" s="3">
        <f t="shared" si="48"/>
        <v>5.5908203125E-2</v>
      </c>
      <c r="Z51" s="3">
        <f t="shared" si="39"/>
        <v>2.045135444447288E-4</v>
      </c>
      <c r="AA51" s="3">
        <f t="shared" si="49"/>
        <v>5.615234375E-2</v>
      </c>
      <c r="AB51" s="3">
        <f t="shared" si="29"/>
        <v>-4.4107318137712181E-5</v>
      </c>
      <c r="AC51" s="3">
        <f t="shared" si="40"/>
        <v>5.60302734375E-2</v>
      </c>
      <c r="AD51" s="3">
        <f t="shared" si="30"/>
        <v>8.0205107451769564E-5</v>
      </c>
      <c r="AE51" s="3">
        <f t="shared" si="41"/>
        <v>1.6403030807531722E-8</v>
      </c>
      <c r="AF51" s="3">
        <f t="shared" si="42"/>
        <v>-3.53763219064459E-9</v>
      </c>
      <c r="AG51" s="3">
        <f t="shared" si="43"/>
        <v>2.44140625E-4</v>
      </c>
      <c r="AI51" s="3">
        <v>2</v>
      </c>
      <c r="AJ51" s="3">
        <f t="shared" ref="AJ51:AJ79" si="54">IF(AP50&gt;0, AN50, AJ50)</f>
        <v>50</v>
      </c>
      <c r="AK51" s="3">
        <v>6023.686210220566</v>
      </c>
      <c r="AL51" s="3">
        <f t="shared" ref="AL51:AL79" si="55">IF(AQ50&gt;0, AN50, AL50)</f>
        <v>775</v>
      </c>
      <c r="AM51" s="3">
        <v>-9722.1256628324008</v>
      </c>
      <c r="AN51" s="3">
        <f t="shared" si="50"/>
        <v>412.5</v>
      </c>
      <c r="AO51" s="3">
        <v>1610.0874276223867</v>
      </c>
      <c r="AP51" s="3">
        <f t="shared" si="51"/>
        <v>9698661.4350184742</v>
      </c>
      <c r="AQ51" s="3">
        <f t="shared" si="52"/>
        <v>-15653472.299491411</v>
      </c>
      <c r="AR51" s="3">
        <f t="shared" si="53"/>
        <v>725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 s="3" t="s">
        <v>209</v>
      </c>
      <c r="BK51" s="3">
        <f>IF(BK45&lt;$BD$43, $AY$45*BK45^2 + $AZ$45*BK45 + $BA$45, IF(BK45&gt;$BE$43, $BF$45*BK45^2 + $BG$45*BK45 + $BH$45, $BB$45*BK45^3 + $BC$45*BK45^2 + $BD$45*BK45 + $BE$45))</f>
        <v>3.3011547847956822E-3</v>
      </c>
      <c r="BL51" s="3"/>
      <c r="BM51" s="3"/>
      <c r="BN51" s="3" t="s">
        <v>209</v>
      </c>
      <c r="BO51" s="3">
        <f>IF(BO45&lt;$BD$43, $AY$45*BO45^2 + $AZ$45*BO45 + $BA$45, IF(BO45&gt;$BE$43, $BF$45*BO45^2 + $BG$45*BO45 + $BH$45, $BB$45*BO45^3 + $BC$45*BO45^2 + $BD$45*BO45 + $BE$45))</f>
        <v>3.9032953814422473E-3</v>
      </c>
      <c r="BP51" s="3"/>
      <c r="BQ51"/>
      <c r="BR51" s="3">
        <v>13</v>
      </c>
      <c r="BS51" s="3">
        <f t="shared" si="44"/>
        <v>0.10377380030046363</v>
      </c>
      <c r="BT51" s="3">
        <v>-1.9258187637413021E-3</v>
      </c>
      <c r="BU51" s="3">
        <f t="shared" si="45"/>
        <v>0.10445642175107273</v>
      </c>
      <c r="BV51" s="3">
        <v>3.1164717244755967E-4</v>
      </c>
      <c r="BW51" s="3">
        <f t="shared" si="31"/>
        <v>0.10411511102576818</v>
      </c>
      <c r="BX51" s="3">
        <v>-8.0455444662511696E-4</v>
      </c>
      <c r="BY51" s="3">
        <f t="shared" si="32"/>
        <v>1.5494260497621502E-6</v>
      </c>
      <c r="BZ51" s="3">
        <f t="shared" si="33"/>
        <v>-2.5073711837082876E-7</v>
      </c>
      <c r="CA51" s="3">
        <f t="shared" si="34"/>
        <v>6.8262145060909996E-4</v>
      </c>
      <c r="CB51"/>
      <c r="CC51" s="3">
        <v>13</v>
      </c>
      <c r="CD51" s="3">
        <f t="shared" si="46"/>
        <v>8.6708264035235863E-2</v>
      </c>
      <c r="CE51" s="3">
        <v>-1.2086203967634004E-3</v>
      </c>
      <c r="CF51" s="3">
        <f t="shared" si="47"/>
        <v>8.7390885485844977E-2</v>
      </c>
      <c r="CG51" s="3">
        <v>9.4523166461708049E-4</v>
      </c>
      <c r="CH51" s="3">
        <f t="shared" si="35"/>
        <v>8.7049574760540427E-2</v>
      </c>
      <c r="CI51" s="3">
        <v>-1.2881197561153551E-4</v>
      </c>
      <c r="CJ51" s="3">
        <f t="shared" si="36"/>
        <v>1.5568478107149152E-7</v>
      </c>
      <c r="CK51" s="3">
        <f t="shared" si="37"/>
        <v>-1.2175715812990649E-7</v>
      </c>
      <c r="CL51" s="3">
        <f t="shared" si="38"/>
        <v>6.8262145060911383E-4</v>
      </c>
    </row>
    <row r="52" spans="2:90" x14ac:dyDescent="0.2">
      <c r="B52" s="55" t="s">
        <v>301</v>
      </c>
      <c r="C52" s="60"/>
      <c r="D52" s="60"/>
      <c r="F52" t="s">
        <v>96</v>
      </c>
      <c r="G52" s="1">
        <f>50*0.3048</f>
        <v>15.24</v>
      </c>
      <c r="H52" t="s">
        <v>8</v>
      </c>
      <c r="X52" s="3">
        <v>13</v>
      </c>
      <c r="Y52" s="3">
        <f t="shared" si="48"/>
        <v>5.60302734375E-2</v>
      </c>
      <c r="Z52" s="3">
        <f t="shared" si="39"/>
        <v>8.0205107451769564E-5</v>
      </c>
      <c r="AA52" s="3">
        <f t="shared" si="49"/>
        <v>5.615234375E-2</v>
      </c>
      <c r="AB52" s="3">
        <f t="shared" si="29"/>
        <v>-4.4107318137712181E-5</v>
      </c>
      <c r="AC52" s="3">
        <f t="shared" si="40"/>
        <v>5.609130859375E-2</v>
      </c>
      <c r="AD52" s="3">
        <f t="shared" si="30"/>
        <v>1.8049392904222195E-5</v>
      </c>
      <c r="AE52" s="3">
        <f t="shared" si="41"/>
        <v>1.4476534973223483E-9</v>
      </c>
      <c r="AF52" s="3">
        <f t="shared" si="42"/>
        <v>-7.961103150190931E-10</v>
      </c>
      <c r="AG52" s="3">
        <f t="shared" si="43"/>
        <v>1.220703125E-4</v>
      </c>
      <c r="AI52" s="3">
        <v>3</v>
      </c>
      <c r="AJ52" s="3">
        <f t="shared" si="54"/>
        <v>412.5</v>
      </c>
      <c r="AK52" s="3">
        <v>1610.0874276223867</v>
      </c>
      <c r="AL52" s="3">
        <f t="shared" si="55"/>
        <v>775</v>
      </c>
      <c r="AM52" s="3">
        <v>-9722.1256628324008</v>
      </c>
      <c r="AN52" s="3">
        <f t="shared" si="50"/>
        <v>593.75</v>
      </c>
      <c r="AO52" s="3">
        <v>-3191.1923291229296</v>
      </c>
      <c r="AP52" s="3">
        <f t="shared" si="51"/>
        <v>-5138098.6482458301</v>
      </c>
      <c r="AQ52" s="3">
        <f t="shared" si="52"/>
        <v>31025172.837999936</v>
      </c>
      <c r="AR52" s="3">
        <f t="shared" si="53"/>
        <v>362.5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 s="3" t="s">
        <v>211</v>
      </c>
      <c r="BK52" s="3">
        <f xml:space="preserve"> BK50*COS(BK42) - BK51*SIN(BK42)</f>
        <v>0.40398950426041991</v>
      </c>
      <c r="BL52" s="3"/>
      <c r="BM52" s="3"/>
      <c r="BN52" s="3" t="s">
        <v>211</v>
      </c>
      <c r="BO52" s="3">
        <f xml:space="preserve"> BO50*COS(BO42) - BO51*SIN(BO42)</f>
        <v>0.33415854367970504</v>
      </c>
      <c r="BP52" s="3"/>
      <c r="BQ52"/>
      <c r="BR52" s="3">
        <v>14</v>
      </c>
      <c r="BS52" s="3">
        <f t="shared" si="44"/>
        <v>0.10411511102576818</v>
      </c>
      <c r="BT52" s="3">
        <v>-8.0455444662511696E-4</v>
      </c>
      <c r="BU52" s="3">
        <f t="shared" si="45"/>
        <v>0.10445642175107273</v>
      </c>
      <c r="BV52" s="3">
        <v>3.1164717244755967E-4</v>
      </c>
      <c r="BW52" s="3">
        <f t="shared" si="31"/>
        <v>0.10428576638842045</v>
      </c>
      <c r="BX52" s="3">
        <v>-2.4582376640660229E-4</v>
      </c>
      <c r="BY52" s="3">
        <f t="shared" si="32"/>
        <v>1.9777860434856592E-7</v>
      </c>
      <c r="BZ52" s="3">
        <f t="shared" si="33"/>
        <v>-7.6610281721027012E-8</v>
      </c>
      <c r="CA52" s="3">
        <f t="shared" si="34"/>
        <v>3.4131072530454998E-4</v>
      </c>
      <c r="CB52"/>
      <c r="CC52" s="3">
        <v>14</v>
      </c>
      <c r="CD52" s="3">
        <f t="shared" si="46"/>
        <v>8.7049574760540427E-2</v>
      </c>
      <c r="CE52" s="3">
        <v>-1.2881197561153551E-4</v>
      </c>
      <c r="CF52" s="3">
        <f t="shared" si="47"/>
        <v>8.7390885485844977E-2</v>
      </c>
      <c r="CG52" s="3">
        <v>9.4523166461708049E-4</v>
      </c>
      <c r="CH52" s="3">
        <f t="shared" si="35"/>
        <v>8.7220230123192702E-2</v>
      </c>
      <c r="CI52" s="3">
        <v>4.0892633999305237E-4</v>
      </c>
      <c r="CJ52" s="3">
        <f t="shared" si="36"/>
        <v>-5.2674609734099538E-8</v>
      </c>
      <c r="CK52" s="3">
        <f t="shared" si="37"/>
        <v>3.8653012505740309E-7</v>
      </c>
      <c r="CL52" s="3">
        <f t="shared" si="38"/>
        <v>3.4131072530454998E-4</v>
      </c>
    </row>
    <row r="53" spans="2:90" x14ac:dyDescent="0.2">
      <c r="B53" s="7" t="s">
        <v>15</v>
      </c>
      <c r="C53" s="18">
        <v>0.90496079707312405</v>
      </c>
      <c r="D53" s="7" t="s">
        <v>16</v>
      </c>
      <c r="F53" t="s">
        <v>95</v>
      </c>
      <c r="G53" s="9">
        <f>$G$52/$G$51</f>
        <v>30</v>
      </c>
      <c r="H53" t="s">
        <v>14</v>
      </c>
      <c r="X53" s="3">
        <v>14</v>
      </c>
      <c r="Y53" s="3">
        <f t="shared" si="48"/>
        <v>5.609130859375E-2</v>
      </c>
      <c r="Z53" s="3">
        <f t="shared" si="39"/>
        <v>1.8049392904222195E-5</v>
      </c>
      <c r="AA53" s="3">
        <f t="shared" si="49"/>
        <v>5.615234375E-2</v>
      </c>
      <c r="AB53" s="3">
        <f t="shared" si="29"/>
        <v>-4.4107318137712181E-5</v>
      </c>
      <c r="AC53" s="3">
        <f t="shared" si="40"/>
        <v>5.6121826171875E-2</v>
      </c>
      <c r="AD53" s="3">
        <f t="shared" si="30"/>
        <v>-1.3028838095882622E-5</v>
      </c>
      <c r="AE53" s="3">
        <f t="shared" si="41"/>
        <v>-2.351626178780836E-10</v>
      </c>
      <c r="AF53" s="3">
        <f t="shared" si="42"/>
        <v>5.7466710685983906E-10</v>
      </c>
      <c r="AG53" s="3">
        <f t="shared" si="43"/>
        <v>6.103515625E-5</v>
      </c>
      <c r="AI53" s="3">
        <v>4</v>
      </c>
      <c r="AJ53" s="3">
        <f t="shared" si="54"/>
        <v>412.5</v>
      </c>
      <c r="AK53" s="3">
        <v>1610.0874276223867</v>
      </c>
      <c r="AL53" s="3">
        <f t="shared" si="55"/>
        <v>593.75</v>
      </c>
      <c r="AM53" s="3">
        <v>-3191.1923291229296</v>
      </c>
      <c r="AN53" s="3">
        <f t="shared" si="50"/>
        <v>503.125</v>
      </c>
      <c r="AO53" s="3">
        <v>-574.34575362975283</v>
      </c>
      <c r="AP53" s="3">
        <f t="shared" si="51"/>
        <v>-924746.8770275698</v>
      </c>
      <c r="AQ53" s="3">
        <f t="shared" si="52"/>
        <v>1832847.7632475952</v>
      </c>
      <c r="AR53" s="3">
        <f t="shared" si="53"/>
        <v>181.25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 s="3" t="s">
        <v>213</v>
      </c>
      <c r="BK53" s="3">
        <f xml:space="preserve"> BK50*SIN(BK42) + BK51*COS(BK42)</f>
        <v>3.2687541255565881E-2</v>
      </c>
      <c r="BL53" s="3"/>
      <c r="BM53" s="3"/>
      <c r="BN53" s="3" t="s">
        <v>213</v>
      </c>
      <c r="BO53" s="3">
        <f xml:space="preserve"> BO50*SIN(BO42) + BO51*COS(BO42)</f>
        <v>2.393271094264271E-2</v>
      </c>
      <c r="BP53" s="3"/>
      <c r="BQ53"/>
      <c r="BR53" s="3">
        <v>15</v>
      </c>
      <c r="BS53" s="3">
        <f t="shared" si="44"/>
        <v>0.10428576638842045</v>
      </c>
      <c r="BT53" s="3">
        <v>-2.4582376640660229E-4</v>
      </c>
      <c r="BU53" s="3">
        <f t="shared" si="45"/>
        <v>0.10445642175107273</v>
      </c>
      <c r="BV53" s="3">
        <v>3.1164717244755967E-4</v>
      </c>
      <c r="BW53" s="3">
        <f t="shared" si="31"/>
        <v>0.10437109406974659</v>
      </c>
      <c r="BX53" s="3">
        <v>3.3068801991253602E-5</v>
      </c>
      <c r="BY53" s="3">
        <f t="shared" si="32"/>
        <v>-8.1290974560441095E-9</v>
      </c>
      <c r="BZ53" s="3">
        <f t="shared" si="33"/>
        <v>1.0305798636802415E-8</v>
      </c>
      <c r="CA53" s="3">
        <f t="shared" si="34"/>
        <v>1.7065536265227499E-4</v>
      </c>
      <c r="CB53"/>
      <c r="CC53" s="3">
        <v>15</v>
      </c>
      <c r="CD53" s="3">
        <f t="shared" si="46"/>
        <v>8.7049574760540427E-2</v>
      </c>
      <c r="CE53" s="3">
        <v>-1.2881197561153551E-4</v>
      </c>
      <c r="CF53" s="3">
        <f t="shared" si="47"/>
        <v>8.7220230123192702E-2</v>
      </c>
      <c r="CG53" s="3">
        <v>4.0892633999305237E-4</v>
      </c>
      <c r="CH53" s="3">
        <f t="shared" si="35"/>
        <v>8.7134902441866557E-2</v>
      </c>
      <c r="CI53" s="3">
        <v>1.4023681631710003E-4</v>
      </c>
      <c r="CJ53" s="3">
        <f t="shared" si="36"/>
        <v>-1.8064181363277674E-8</v>
      </c>
      <c r="CK53" s="3">
        <f t="shared" si="37"/>
        <v>5.7346528028829685E-8</v>
      </c>
      <c r="CL53" s="3">
        <f t="shared" si="38"/>
        <v>1.7065536265227499E-4</v>
      </c>
    </row>
    <row r="54" spans="2:90" x14ac:dyDescent="0.2">
      <c r="B54" s="7" t="s">
        <v>235</v>
      </c>
      <c r="C54" s="42">
        <v>1.69216189172327E-5</v>
      </c>
      <c r="D54" s="7" t="s">
        <v>231</v>
      </c>
      <c r="F54" t="s">
        <v>22</v>
      </c>
      <c r="G54" s="7">
        <f xml:space="preserve"> $C$5 * $C$44 / $C$19</f>
        <v>6123.0650287587223</v>
      </c>
      <c r="H54" t="s">
        <v>23</v>
      </c>
      <c r="X54" s="3">
        <v>15</v>
      </c>
      <c r="Y54" s="3">
        <f t="shared" si="48"/>
        <v>5.609130859375E-2</v>
      </c>
      <c r="Z54" s="3">
        <f t="shared" si="39"/>
        <v>1.8049392904222195E-5</v>
      </c>
      <c r="AA54" s="3">
        <f t="shared" si="49"/>
        <v>5.6121826171875E-2</v>
      </c>
      <c r="AB54" s="3">
        <f t="shared" si="29"/>
        <v>-1.3028838095882622E-5</v>
      </c>
      <c r="AC54" s="3">
        <f t="shared" si="40"/>
        <v>5.61065673828125E-2</v>
      </c>
      <c r="AD54" s="3">
        <f t="shared" si="30"/>
        <v>2.5103085394967417E-6</v>
      </c>
      <c r="AE54" s="3">
        <f t="shared" si="41"/>
        <v>4.530954514020087E-11</v>
      </c>
      <c r="AF54" s="3">
        <f t="shared" si="42"/>
        <v>-3.2706403531814618E-11</v>
      </c>
      <c r="AG54" s="3">
        <f t="shared" si="43"/>
        <v>3.0517578125E-5</v>
      </c>
      <c r="AI54" s="3">
        <v>5</v>
      </c>
      <c r="AJ54" s="3">
        <f t="shared" si="54"/>
        <v>412.5</v>
      </c>
      <c r="AK54" s="3">
        <v>1610.0874276223867</v>
      </c>
      <c r="AL54" s="3">
        <f t="shared" si="55"/>
        <v>503.125</v>
      </c>
      <c r="AM54" s="3">
        <v>-574.34575362975283</v>
      </c>
      <c r="AN54" s="3">
        <f t="shared" si="50"/>
        <v>457.8125</v>
      </c>
      <c r="AO54" s="3">
        <v>571.92251127644795</v>
      </c>
      <c r="AP54" s="3">
        <f t="shared" si="51"/>
        <v>920845.24498043151</v>
      </c>
      <c r="AQ54" s="3">
        <f t="shared" si="52"/>
        <v>-328481.26575689233</v>
      </c>
      <c r="AR54" s="3">
        <f t="shared" si="53"/>
        <v>90.625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 s="3" t="s">
        <v>39</v>
      </c>
      <c r="BK54" s="3">
        <f xml:space="preserve"> 4*BK49*SIN(BK42)*SIN(BK42) / (BK46*BK52)</f>
        <v>1.0602171298257179</v>
      </c>
      <c r="BL54" s="3"/>
      <c r="BM54" s="3"/>
      <c r="BN54" s="3" t="s">
        <v>39</v>
      </c>
      <c r="BO54" s="3">
        <f xml:space="preserve"> 4*BO49*SIN(BO42)*SIN(BO42) / (BO46*BO52)</f>
        <v>1.0620039715562306</v>
      </c>
      <c r="BP54" s="3"/>
      <c r="BQ54"/>
      <c r="BR54" s="3">
        <v>16</v>
      </c>
      <c r="BS54" s="3">
        <f t="shared" si="44"/>
        <v>0.10428576638842045</v>
      </c>
      <c r="BT54" s="3">
        <v>-2.4582376640660229E-4</v>
      </c>
      <c r="BU54" s="3">
        <f t="shared" si="45"/>
        <v>0.10437109406974659</v>
      </c>
      <c r="BV54" s="3">
        <v>3.3068801991253602E-5</v>
      </c>
      <c r="BW54" s="3">
        <f t="shared" si="31"/>
        <v>0.10432843022908353</v>
      </c>
      <c r="BX54" s="3">
        <v>-1.0633816147171196E-4</v>
      </c>
      <c r="BY54" s="3">
        <f t="shared" si="32"/>
        <v>2.6140447365729677E-8</v>
      </c>
      <c r="BZ54" s="3">
        <f t="shared" si="33"/>
        <v>-3.5164756058219954E-9</v>
      </c>
      <c r="CA54" s="3">
        <f t="shared" si="34"/>
        <v>8.5327681326144433E-5</v>
      </c>
      <c r="CB54"/>
      <c r="CC54" s="3">
        <v>16</v>
      </c>
      <c r="CD54" s="3">
        <f t="shared" si="46"/>
        <v>8.7049574760540427E-2</v>
      </c>
      <c r="CE54" s="3">
        <v>-1.2881197561153551E-4</v>
      </c>
      <c r="CF54" s="3">
        <f t="shared" si="47"/>
        <v>8.7134902441866557E-2</v>
      </c>
      <c r="CG54" s="3">
        <v>1.4023681631710003E-4</v>
      </c>
      <c r="CH54" s="3">
        <f t="shared" si="35"/>
        <v>8.7092238601203492E-2</v>
      </c>
      <c r="CI54" s="3">
        <v>5.7573928849028941E-6</v>
      </c>
      <c r="CJ54" s="3">
        <f t="shared" si="36"/>
        <v>-7.4162115187613964E-10</v>
      </c>
      <c r="CK54" s="3">
        <f t="shared" si="37"/>
        <v>8.0739844846550577E-10</v>
      </c>
      <c r="CL54" s="3">
        <f t="shared" si="38"/>
        <v>8.5327681326130556E-5</v>
      </c>
    </row>
    <row r="55" spans="2:90" x14ac:dyDescent="0.2">
      <c r="B55" s="7" t="s">
        <v>152</v>
      </c>
      <c r="C55" s="18">
        <v>328.50433637026498</v>
      </c>
      <c r="D55" s="7" t="s">
        <v>10</v>
      </c>
      <c r="F55" s="43" t="s">
        <v>88</v>
      </c>
      <c r="G55" s="44">
        <f xml:space="preserve"> 1/1000 * IF($G$51&gt;= 2*SQRT(($C$5*$C$44)/(2*$C$41*$C$19*PI()*$C$7*$C$7)), ($C$5*$C$44)/$C$22 * ( ($G$51/2) - SQRT( ($G$51/2)^2 - ($C$5*$C$44)/(2*$C$41*$C$19*PI()*$C$7*$C$7 ) ) ), 1/$C$22 * SQRT(($C$5*$C$44)^3/(2*$C$41*$C$19*PI()*$C$7*$C$7)) )</f>
        <v>252.39393883803828</v>
      </c>
      <c r="H55" s="43" t="s">
        <v>123</v>
      </c>
      <c r="X55" s="3">
        <v>16</v>
      </c>
      <c r="Y55" s="3">
        <f t="shared" si="48"/>
        <v>5.61065673828125E-2</v>
      </c>
      <c r="Z55" s="3">
        <f t="shared" si="39"/>
        <v>2.5103085394967417E-6</v>
      </c>
      <c r="AA55" s="3">
        <f t="shared" si="49"/>
        <v>5.6121826171875E-2</v>
      </c>
      <c r="AB55" s="3">
        <f t="shared" si="29"/>
        <v>-1.3028838095882622E-5</v>
      </c>
      <c r="AC55" s="3">
        <f t="shared" si="40"/>
        <v>5.611419677734375E-2</v>
      </c>
      <c r="AD55" s="3">
        <f t="shared" si="30"/>
        <v>-5.2592569950021817E-6</v>
      </c>
      <c r="AE55" s="3">
        <f t="shared" si="41"/>
        <v>-1.3202357745961949E-11</v>
      </c>
      <c r="AF55" s="3">
        <f t="shared" si="42"/>
        <v>6.8522007892521588E-11</v>
      </c>
      <c r="AG55" s="3">
        <f t="shared" si="43"/>
        <v>1.52587890625E-5</v>
      </c>
      <c r="AI55" s="3">
        <v>6</v>
      </c>
      <c r="AJ55" s="3">
        <f t="shared" si="54"/>
        <v>457.8125</v>
      </c>
      <c r="AK55" s="3">
        <v>571.92251127644795</v>
      </c>
      <c r="AL55" s="3">
        <f t="shared" si="55"/>
        <v>503.125</v>
      </c>
      <c r="AM55" s="3">
        <v>-574.34575362975283</v>
      </c>
      <c r="AN55" s="3">
        <f t="shared" si="50"/>
        <v>480.46875</v>
      </c>
      <c r="AO55" s="3">
        <v>12.301297393380082</v>
      </c>
      <c r="AP55" s="3">
        <f t="shared" si="51"/>
        <v>7035.3888971803599</v>
      </c>
      <c r="AQ55" s="3">
        <f t="shared" si="52"/>
        <v>-7065.1979220245976</v>
      </c>
      <c r="AR55" s="3">
        <f t="shared" si="53"/>
        <v>45.3125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 s="3" t="s">
        <v>215</v>
      </c>
      <c r="BK55" s="3">
        <f xml:space="preserve"> 4*BK49*SIN(BK42)*COS(BK42) / (BK46*BK53)</f>
        <v>180.19194940353006</v>
      </c>
      <c r="BL55" s="3"/>
      <c r="BM55" s="3"/>
      <c r="BN55" s="3" t="s">
        <v>215</v>
      </c>
      <c r="BO55" s="3">
        <f xml:space="preserve"> 4*BO49*SIN(BO42)*COS(BO42) / (BO46*BO53)</f>
        <v>247.47021080756255</v>
      </c>
      <c r="BP55" s="3"/>
      <c r="BQ55"/>
      <c r="BR55" s="3">
        <v>17</v>
      </c>
      <c r="BS55" s="3">
        <f t="shared" si="44"/>
        <v>0.10432843022908353</v>
      </c>
      <c r="BT55" s="3">
        <v>-1.0633816147171196E-4</v>
      </c>
      <c r="BU55" s="3">
        <f t="shared" si="45"/>
        <v>0.10437109406974659</v>
      </c>
      <c r="BV55" s="3">
        <v>3.3068801991253602E-5</v>
      </c>
      <c r="BW55" s="3">
        <f t="shared" si="31"/>
        <v>0.10434976214941506</v>
      </c>
      <c r="BX55" s="3">
        <v>-3.6624855311285197E-5</v>
      </c>
      <c r="BY55" s="3">
        <f t="shared" si="32"/>
        <v>3.8946197779695324E-9</v>
      </c>
      <c r="BZ55" s="3">
        <f t="shared" si="33"/>
        <v>-1.211140088247203E-9</v>
      </c>
      <c r="CA55" s="3">
        <f t="shared" si="34"/>
        <v>4.2663840663065278E-5</v>
      </c>
      <c r="CB55"/>
      <c r="CC55" s="3">
        <v>17</v>
      </c>
      <c r="CD55" s="3">
        <f t="shared" si="46"/>
        <v>8.7049574760540427E-2</v>
      </c>
      <c r="CE55" s="3">
        <v>-1.2881197561153551E-4</v>
      </c>
      <c r="CF55" s="3">
        <f t="shared" si="47"/>
        <v>8.7092238601203492E-2</v>
      </c>
      <c r="CG55" s="3">
        <v>5.7573928849028941E-6</v>
      </c>
      <c r="CH55" s="3">
        <f t="shared" si="35"/>
        <v>8.707090668087196E-2</v>
      </c>
      <c r="CI55" s="3">
        <v>-6.1516040216514321E-5</v>
      </c>
      <c r="CJ55" s="3">
        <f t="shared" si="36"/>
        <v>7.92400267208788E-9</v>
      </c>
      <c r="CK55" s="3">
        <f t="shared" si="37"/>
        <v>-3.5417201224995984E-10</v>
      </c>
      <c r="CL55" s="3">
        <f t="shared" si="38"/>
        <v>4.2663840663065278E-5</v>
      </c>
    </row>
    <row r="56" spans="2:90" x14ac:dyDescent="0.2">
      <c r="B56" s="7" t="s">
        <v>17</v>
      </c>
      <c r="C56" s="1">
        <v>9.7972733770111002</v>
      </c>
      <c r="D56" s="7" t="s">
        <v>18</v>
      </c>
      <c r="X56" s="3">
        <v>17</v>
      </c>
      <c r="Y56" s="3">
        <f t="shared" si="48"/>
        <v>5.61065673828125E-2</v>
      </c>
      <c r="Z56" s="3">
        <f t="shared" si="39"/>
        <v>2.5103085394967417E-6</v>
      </c>
      <c r="AA56" s="3">
        <f t="shared" si="49"/>
        <v>5.611419677734375E-2</v>
      </c>
      <c r="AB56" s="3">
        <f t="shared" si="29"/>
        <v>-5.2592569950021817E-6</v>
      </c>
      <c r="AC56" s="3">
        <f t="shared" si="40"/>
        <v>5.6110382080078125E-2</v>
      </c>
      <c r="AD56" s="3">
        <f t="shared" si="30"/>
        <v>-1.3744722818717636E-6</v>
      </c>
      <c r="AE56" s="3">
        <f t="shared" si="41"/>
        <v>-3.450349506484261E-12</v>
      </c>
      <c r="AF56" s="3">
        <f t="shared" si="42"/>
        <v>7.2287029628706829E-12</v>
      </c>
      <c r="AG56" s="3">
        <f t="shared" si="43"/>
        <v>7.62939453125E-6</v>
      </c>
      <c r="AI56" s="3">
        <v>7</v>
      </c>
      <c r="AJ56" s="3">
        <f t="shared" si="54"/>
        <v>480.46875</v>
      </c>
      <c r="AK56" s="3">
        <v>12.301297393380082</v>
      </c>
      <c r="AL56" s="3">
        <f t="shared" si="55"/>
        <v>503.125</v>
      </c>
      <c r="AM56" s="3">
        <v>-574.34575362975283</v>
      </c>
      <c r="AN56" s="3">
        <f t="shared" si="50"/>
        <v>491.796875</v>
      </c>
      <c r="AO56" s="3">
        <v>-277.64399847567802</v>
      </c>
      <c r="AP56" s="3">
        <f t="shared" si="51"/>
        <v>-3415.3813947364815</v>
      </c>
      <c r="AQ56" s="3">
        <f t="shared" si="52"/>
        <v>159463.65154529124</v>
      </c>
      <c r="AR56" s="3">
        <f t="shared" si="53"/>
        <v>22.65625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 s="3" t="s">
        <v>46</v>
      </c>
      <c r="BK56" s="3">
        <f>1/(BK54-1)</f>
        <v>16.606570304732685</v>
      </c>
      <c r="BL56" s="3"/>
      <c r="BM56" s="3"/>
      <c r="BN56" s="3" t="s">
        <v>46</v>
      </c>
      <c r="BO56" s="3">
        <f>1/(BO54-1)</f>
        <v>16.127999141040711</v>
      </c>
      <c r="BP56" s="3"/>
      <c r="BQ56"/>
      <c r="BR56" s="3">
        <v>18</v>
      </c>
      <c r="BS56" s="3">
        <f t="shared" si="44"/>
        <v>0.10434976214941506</v>
      </c>
      <c r="BT56" s="3">
        <v>-3.6624855311285197E-5</v>
      </c>
      <c r="BU56" s="3">
        <f t="shared" si="45"/>
        <v>0.10437109406974659</v>
      </c>
      <c r="BV56" s="3">
        <v>3.3068801991253602E-5</v>
      </c>
      <c r="BW56" s="3">
        <f t="shared" si="31"/>
        <v>0.10436042810958082</v>
      </c>
      <c r="BX56" s="3">
        <v>-1.7755712716557154E-6</v>
      </c>
      <c r="BY56" s="3">
        <f t="shared" si="32"/>
        <v>6.5030040919265245E-11</v>
      </c>
      <c r="BZ56" s="3">
        <f t="shared" si="33"/>
        <v>-5.8716014803741214E-11</v>
      </c>
      <c r="CA56" s="3">
        <f t="shared" si="34"/>
        <v>2.1331920331532639E-5</v>
      </c>
      <c r="CB56"/>
      <c r="CC56" s="3">
        <v>18</v>
      </c>
      <c r="CD56" s="3">
        <f t="shared" si="46"/>
        <v>8.707090668087196E-2</v>
      </c>
      <c r="CE56" s="3">
        <v>-6.1516040216514321E-5</v>
      </c>
      <c r="CF56" s="3">
        <f t="shared" si="47"/>
        <v>8.7092238601203492E-2</v>
      </c>
      <c r="CG56" s="3">
        <v>5.7573928849028941E-6</v>
      </c>
      <c r="CH56" s="3">
        <f t="shared" si="35"/>
        <v>8.7081572641037719E-2</v>
      </c>
      <c r="CI56" s="3">
        <v>-2.7876511881450017E-5</v>
      </c>
      <c r="CJ56" s="3">
        <f t="shared" si="36"/>
        <v>1.7148526259954185E-9</v>
      </c>
      <c r="CK56" s="3">
        <f t="shared" si="37"/>
        <v>-1.6049603116217132E-10</v>
      </c>
      <c r="CL56" s="3">
        <f t="shared" si="38"/>
        <v>2.1331920331532639E-5</v>
      </c>
    </row>
    <row r="57" spans="2:90" x14ac:dyDescent="0.2">
      <c r="F57" s="53" t="s">
        <v>297</v>
      </c>
      <c r="G57" s="54"/>
      <c r="H57" s="54"/>
      <c r="X57" s="3">
        <v>18</v>
      </c>
      <c r="Y57" s="3">
        <f t="shared" si="48"/>
        <v>5.61065673828125E-2</v>
      </c>
      <c r="Z57" s="3">
        <f t="shared" si="39"/>
        <v>2.5103085394967417E-6</v>
      </c>
      <c r="AA57" s="3">
        <f t="shared" si="49"/>
        <v>5.6110382080078125E-2</v>
      </c>
      <c r="AB57" s="3">
        <f t="shared" si="29"/>
        <v>-1.3744722818717636E-6</v>
      </c>
      <c r="AC57" s="3">
        <f t="shared" si="40"/>
        <v>5.6108474731445312E-2</v>
      </c>
      <c r="AD57" s="3">
        <f t="shared" si="30"/>
        <v>5.679186152948712E-7</v>
      </c>
      <c r="AE57" s="3">
        <f t="shared" si="41"/>
        <v>1.42565094971388E-12</v>
      </c>
      <c r="AF57" s="3">
        <f t="shared" si="42"/>
        <v>-7.805883950817939E-13</v>
      </c>
      <c r="AG57" s="3">
        <f t="shared" si="43"/>
        <v>3.814697265625E-6</v>
      </c>
      <c r="AI57" s="3">
        <v>8</v>
      </c>
      <c r="AJ57" s="3">
        <f t="shared" si="54"/>
        <v>480.46875</v>
      </c>
      <c r="AK57" s="3">
        <v>12.301297393380082</v>
      </c>
      <c r="AL57" s="3">
        <f t="shared" si="55"/>
        <v>491.796875</v>
      </c>
      <c r="AM57" s="3">
        <v>-277.64399847567802</v>
      </c>
      <c r="AN57" s="3">
        <f t="shared" si="50"/>
        <v>486.1328125</v>
      </c>
      <c r="AO57" s="3">
        <v>-131.82679313052267</v>
      </c>
      <c r="AP57" s="3">
        <f t="shared" si="51"/>
        <v>-1621.6405867141539</v>
      </c>
      <c r="AQ57" s="3">
        <f t="shared" si="52"/>
        <v>36600.91795098436</v>
      </c>
      <c r="AR57" s="3">
        <f t="shared" si="53"/>
        <v>11.328125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 s="3" t="s">
        <v>218</v>
      </c>
      <c r="BK57" s="3">
        <f>1/(BK55+1)</f>
        <v>5.5190090028388291E-3</v>
      </c>
      <c r="BL57" s="3"/>
      <c r="BM57" s="3"/>
      <c r="BN57" s="3" t="s">
        <v>218</v>
      </c>
      <c r="BO57" s="3">
        <f>1/(BO55+1)</f>
        <v>4.0246273255448274E-3</v>
      </c>
      <c r="BP57" s="3"/>
      <c r="BQ57"/>
      <c r="BR57" s="3">
        <v>19</v>
      </c>
      <c r="BS57" s="3">
        <f t="shared" si="44"/>
        <v>0.10436042810958082</v>
      </c>
      <c r="BT57" s="3">
        <v>-1.7755712716557154E-6</v>
      </c>
      <c r="BU57" s="3">
        <f t="shared" si="45"/>
        <v>0.10437109406974659</v>
      </c>
      <c r="BV57" s="3">
        <v>3.3068801991253602E-5</v>
      </c>
      <c r="BW57" s="3">
        <f t="shared" si="31"/>
        <v>0.10436576108966371</v>
      </c>
      <c r="BX57" s="3">
        <v>1.564722911706444E-5</v>
      </c>
      <c r="BY57" s="3">
        <f t="shared" si="32"/>
        <v>-2.7782770501274443E-11</v>
      </c>
      <c r="BZ57" s="3">
        <f t="shared" si="33"/>
        <v>5.1743512138398194E-10</v>
      </c>
      <c r="CA57" s="3">
        <f t="shared" si="34"/>
        <v>1.0665960165773258E-5</v>
      </c>
      <c r="CB57"/>
      <c r="CC57" s="3">
        <v>19</v>
      </c>
      <c r="CD57" s="3">
        <f t="shared" si="46"/>
        <v>8.7081572641037719E-2</v>
      </c>
      <c r="CE57" s="3">
        <v>-2.7876511881450017E-5</v>
      </c>
      <c r="CF57" s="3">
        <f t="shared" si="47"/>
        <v>8.7092238601203492E-2</v>
      </c>
      <c r="CG57" s="3">
        <v>5.7573928849028941E-6</v>
      </c>
      <c r="CH57" s="3">
        <f t="shared" si="35"/>
        <v>8.7086905621120606E-2</v>
      </c>
      <c r="CI57" s="3">
        <v>-1.1058856677410855E-5</v>
      </c>
      <c r="CJ57" s="3">
        <f t="shared" si="36"/>
        <v>3.0828234956309656E-10</v>
      </c>
      <c r="CK57" s="3">
        <f t="shared" si="37"/>
        <v>-6.3670182749686119E-11</v>
      </c>
      <c r="CL57" s="3">
        <f t="shared" si="38"/>
        <v>1.0665960165773258E-5</v>
      </c>
    </row>
    <row r="58" spans="2:90" x14ac:dyDescent="0.2">
      <c r="B58" s="55" t="s">
        <v>75</v>
      </c>
      <c r="C58" s="55"/>
      <c r="D58" s="55"/>
      <c r="F58" s="10" t="s">
        <v>298</v>
      </c>
      <c r="G58" s="18">
        <v>1200</v>
      </c>
      <c r="H58" s="7" t="s">
        <v>14</v>
      </c>
      <c r="X58" s="3">
        <v>19</v>
      </c>
      <c r="Y58" s="3">
        <f t="shared" si="48"/>
        <v>5.6108474731445312E-2</v>
      </c>
      <c r="Z58" s="3">
        <f t="shared" si="39"/>
        <v>5.679186152948712E-7</v>
      </c>
      <c r="AA58" s="3">
        <f t="shared" si="49"/>
        <v>5.6110382080078125E-2</v>
      </c>
      <c r="AB58" s="3">
        <f t="shared" si="29"/>
        <v>-1.3744722818717636E-6</v>
      </c>
      <c r="AC58" s="3">
        <f t="shared" si="40"/>
        <v>5.6109428405761719E-2</v>
      </c>
      <c r="AD58" s="3">
        <f t="shared" si="30"/>
        <v>-4.0327671167045276E-7</v>
      </c>
      <c r="AE58" s="3">
        <f t="shared" si="41"/>
        <v>-2.2902835167255258E-13</v>
      </c>
      <c r="AF58" s="3">
        <f t="shared" si="42"/>
        <v>5.5429266211542844E-13</v>
      </c>
      <c r="AG58" s="3">
        <f t="shared" si="43"/>
        <v>1.9073486328125E-6</v>
      </c>
      <c r="AI58" s="3">
        <v>9</v>
      </c>
      <c r="AJ58" s="3">
        <f t="shared" si="54"/>
        <v>480.46875</v>
      </c>
      <c r="AK58" s="3">
        <v>12.301297393380082</v>
      </c>
      <c r="AL58" s="3">
        <f t="shared" si="55"/>
        <v>486.1328125</v>
      </c>
      <c r="AM58" s="3">
        <v>-131.82679313052267</v>
      </c>
      <c r="AN58" s="3">
        <f t="shared" si="50"/>
        <v>483.30078125</v>
      </c>
      <c r="AO58" s="3">
        <v>-59.551608515914268</v>
      </c>
      <c r="AP58" s="3">
        <f t="shared" si="51"/>
        <v>-732.56204660840729</v>
      </c>
      <c r="AQ58" s="3">
        <f t="shared" si="52"/>
        <v>7850.4975764173023</v>
      </c>
      <c r="AR58" s="3">
        <f t="shared" si="53"/>
        <v>5.6640625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 s="8" t="s">
        <v>220</v>
      </c>
      <c r="BK58" s="41">
        <f>SIN(BK42)/(1+BK56) - $AU$3*COS(BK42)/($AY$5*$AU$23*(1-BK57))</f>
        <v>-4.6739072811705085E-9</v>
      </c>
      <c r="BL58" s="41"/>
      <c r="BM58" s="3"/>
      <c r="BN58" s="8" t="s">
        <v>220</v>
      </c>
      <c r="BO58" s="41">
        <f>SIN(BO42)/(1+BO56) - $AU$3*COS(BO42)/($AY$5*$AU$24*(1-BO57))</f>
        <v>-5.8689761518564143E-9</v>
      </c>
      <c r="BP58" s="41"/>
      <c r="BQ58"/>
      <c r="BR58" s="3">
        <v>20</v>
      </c>
      <c r="BS58" s="3">
        <f t="shared" si="44"/>
        <v>0.10436042810958082</v>
      </c>
      <c r="BT58" s="3">
        <v>-1.7755712716557154E-6</v>
      </c>
      <c r="BU58" s="3">
        <f t="shared" si="45"/>
        <v>0.10436576108966371</v>
      </c>
      <c r="BV58" s="3">
        <v>1.564722911706444E-5</v>
      </c>
      <c r="BW58" s="3">
        <f t="shared" si="31"/>
        <v>0.10436309459962226</v>
      </c>
      <c r="BX58" s="3">
        <v>6.9359823731884526E-6</v>
      </c>
      <c r="BY58" s="3">
        <f t="shared" si="32"/>
        <v>-1.2315331042543848E-11</v>
      </c>
      <c r="BZ58" s="3">
        <f t="shared" si="33"/>
        <v>1.0852890534520007E-10</v>
      </c>
      <c r="CA58" s="3">
        <f t="shared" si="34"/>
        <v>5.3329800828866292E-6</v>
      </c>
      <c r="CB58"/>
      <c r="CC58" s="3">
        <v>20</v>
      </c>
      <c r="CD58" s="3">
        <f t="shared" si="46"/>
        <v>8.7086905621120606E-2</v>
      </c>
      <c r="CE58" s="3">
        <v>-1.1058856677410855E-5</v>
      </c>
      <c r="CF58" s="3">
        <f t="shared" si="47"/>
        <v>8.7092238601203492E-2</v>
      </c>
      <c r="CG58" s="3">
        <v>5.7573928849028941E-6</v>
      </c>
      <c r="CH58" s="3">
        <f t="shared" si="35"/>
        <v>8.7089572111162056E-2</v>
      </c>
      <c r="CI58" s="3">
        <v>-2.6505562066639343E-6</v>
      </c>
      <c r="CJ58" s="3">
        <f t="shared" si="36"/>
        <v>2.9312121204918238E-11</v>
      </c>
      <c r="CK58" s="3">
        <f t="shared" si="37"/>
        <v>-1.526029344528214E-11</v>
      </c>
      <c r="CL58" s="3">
        <f t="shared" si="38"/>
        <v>5.3329800828866292E-6</v>
      </c>
    </row>
    <row r="59" spans="2:90" x14ac:dyDescent="0.2">
      <c r="B59" s="7" t="s">
        <v>300</v>
      </c>
      <c r="C59" s="18">
        <v>30</v>
      </c>
      <c r="F59" s="45" t="s">
        <v>246</v>
      </c>
      <c r="G59" s="44">
        <f xml:space="preserve"> G43</f>
        <v>278.5679459577251</v>
      </c>
      <c r="H59" s="44" t="s">
        <v>123</v>
      </c>
      <c r="X59" s="3">
        <v>20</v>
      </c>
      <c r="Y59" s="3">
        <f t="shared" si="48"/>
        <v>5.6108474731445312E-2</v>
      </c>
      <c r="Z59" s="3">
        <f t="shared" si="39"/>
        <v>5.679186152948712E-7</v>
      </c>
      <c r="AA59" s="3">
        <f t="shared" si="49"/>
        <v>5.6109428405761719E-2</v>
      </c>
      <c r="AB59" s="3">
        <f t="shared" si="29"/>
        <v>-4.0327671167045276E-7</v>
      </c>
      <c r="AC59" s="3">
        <f t="shared" si="40"/>
        <v>5.6108951568603516E-2</v>
      </c>
      <c r="AD59" s="3">
        <f t="shared" si="30"/>
        <v>8.2320982218442307E-8</v>
      </c>
      <c r="AE59" s="3">
        <f t="shared" si="41"/>
        <v>4.6751618231211466E-14</v>
      </c>
      <c r="AF59" s="3">
        <f t="shared" si="42"/>
        <v>-3.3198135010535226E-14</v>
      </c>
      <c r="AG59" s="3">
        <f t="shared" si="43"/>
        <v>9.5367431640625E-7</v>
      </c>
      <c r="AI59" s="3">
        <v>10</v>
      </c>
      <c r="AJ59" s="3">
        <f t="shared" si="54"/>
        <v>480.46875</v>
      </c>
      <c r="AK59" s="3">
        <v>12.301297393380082</v>
      </c>
      <c r="AL59" s="3">
        <f t="shared" si="55"/>
        <v>483.30078125</v>
      </c>
      <c r="AM59" s="3">
        <v>-59.551608515914268</v>
      </c>
      <c r="AN59" s="3">
        <f t="shared" si="50"/>
        <v>481.884765625</v>
      </c>
      <c r="AO59" s="3">
        <v>-23.572370723103631</v>
      </c>
      <c r="AP59" s="3">
        <f t="shared" si="51"/>
        <v>-289.97074253190368</v>
      </c>
      <c r="AQ59" s="3">
        <f t="shared" si="52"/>
        <v>1403.7725930942663</v>
      </c>
      <c r="AR59" s="3">
        <f t="shared" si="53"/>
        <v>2.83203125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 s="3"/>
      <c r="BK59" s="3"/>
      <c r="BL59" s="3"/>
      <c r="BM59" s="3"/>
      <c r="BN59" s="3"/>
      <c r="BO59" s="3"/>
      <c r="BP59" s="3"/>
      <c r="BQ59"/>
      <c r="BR59" s="3">
        <v>21</v>
      </c>
      <c r="BS59" s="3">
        <f t="shared" si="44"/>
        <v>0.10436042810958082</v>
      </c>
      <c r="BT59" s="3">
        <v>-1.7755712716557154E-6</v>
      </c>
      <c r="BU59" s="3">
        <f t="shared" si="45"/>
        <v>0.10436309459962226</v>
      </c>
      <c r="BV59" s="3">
        <v>6.9359823731884526E-6</v>
      </c>
      <c r="BW59" s="3">
        <f t="shared" si="31"/>
        <v>0.10436176135460154</v>
      </c>
      <c r="BX59" s="3">
        <v>2.5802439148400053E-6</v>
      </c>
      <c r="BY59" s="3">
        <f t="shared" si="32"/>
        <v>-4.5814069690543896E-12</v>
      </c>
      <c r="BZ59" s="3">
        <f t="shared" si="33"/>
        <v>1.7896526311857042E-11</v>
      </c>
      <c r="CA59" s="3">
        <f t="shared" si="34"/>
        <v>2.6664900414363757E-6</v>
      </c>
      <c r="CB59"/>
      <c r="CC59" s="3">
        <v>21</v>
      </c>
      <c r="CD59" s="3">
        <f t="shared" si="46"/>
        <v>8.7089572111162056E-2</v>
      </c>
      <c r="CE59" s="3">
        <v>-2.6505562066639343E-6</v>
      </c>
      <c r="CF59" s="3">
        <f t="shared" si="47"/>
        <v>8.7092238601203492E-2</v>
      </c>
      <c r="CG59" s="3">
        <v>5.7573928849028941E-6</v>
      </c>
      <c r="CH59" s="3">
        <f t="shared" si="35"/>
        <v>8.7090905356182774E-2</v>
      </c>
      <c r="CI59" s="3">
        <v>1.5534622595401656E-6</v>
      </c>
      <c r="CJ59" s="3">
        <f t="shared" si="36"/>
        <v>-4.1175390338423658E-12</v>
      </c>
      <c r="CK59" s="3">
        <f t="shared" si="37"/>
        <v>8.9438925600417222E-12</v>
      </c>
      <c r="CL59" s="3">
        <f t="shared" si="38"/>
        <v>2.6664900414363757E-6</v>
      </c>
    </row>
    <row r="60" spans="2:90" x14ac:dyDescent="0.2">
      <c r="B60" s="7" t="s">
        <v>324</v>
      </c>
      <c r="C60" s="18">
        <v>1</v>
      </c>
      <c r="X60" s="3">
        <v>21</v>
      </c>
      <c r="Y60" s="3">
        <f t="shared" si="48"/>
        <v>5.6108951568603516E-2</v>
      </c>
      <c r="Z60" s="3">
        <f t="shared" si="39"/>
        <v>8.2320982218442307E-8</v>
      </c>
      <c r="AA60" s="3">
        <f t="shared" si="49"/>
        <v>5.6109428405761719E-2</v>
      </c>
      <c r="AB60" s="3">
        <f t="shared" si="29"/>
        <v>-4.0327671167045276E-7</v>
      </c>
      <c r="AC60" s="3">
        <f t="shared" si="40"/>
        <v>5.6109189987182617E-2</v>
      </c>
      <c r="AD60" s="3">
        <f t="shared" si="30"/>
        <v>-1.604778571279164E-7</v>
      </c>
      <c r="AE60" s="3">
        <f t="shared" si="41"/>
        <v>-1.3210694823080932E-14</v>
      </c>
      <c r="AF60" s="3">
        <f t="shared" si="42"/>
        <v>6.4716982518466853E-14</v>
      </c>
      <c r="AG60" s="3">
        <f t="shared" si="43"/>
        <v>4.76837158203125E-7</v>
      </c>
      <c r="AI60" s="3">
        <v>11</v>
      </c>
      <c r="AJ60" s="3">
        <f t="shared" si="54"/>
        <v>480.46875</v>
      </c>
      <c r="AK60" s="3">
        <v>12.301297393380082</v>
      </c>
      <c r="AL60" s="3">
        <f t="shared" si="55"/>
        <v>481.884765625</v>
      </c>
      <c r="AM60" s="3">
        <v>-23.572370723103631</v>
      </c>
      <c r="AN60" s="3">
        <f t="shared" si="50"/>
        <v>481.1767578125</v>
      </c>
      <c r="AO60" s="3">
        <v>-5.6223404553220462</v>
      </c>
      <c r="AP60" s="3">
        <f t="shared" si="51"/>
        <v>-69.162081987748465</v>
      </c>
      <c r="AQ60" s="3">
        <f t="shared" si="52"/>
        <v>132.53189354435455</v>
      </c>
      <c r="AR60" s="3">
        <f t="shared" si="53"/>
        <v>1.416015625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 s="62" t="s">
        <v>227</v>
      </c>
      <c r="BK60" s="62"/>
      <c r="BL60" s="62"/>
      <c r="BM60" s="3"/>
      <c r="BN60" s="62" t="s">
        <v>241</v>
      </c>
      <c r="BO60" s="62"/>
      <c r="BP60" s="62"/>
      <c r="BQ60"/>
      <c r="BR60" s="3">
        <v>22</v>
      </c>
      <c r="BS60" s="3">
        <f t="shared" si="44"/>
        <v>0.10436042810958082</v>
      </c>
      <c r="BT60" s="3">
        <v>-1.7755712716557154E-6</v>
      </c>
      <c r="BU60" s="3">
        <f t="shared" si="45"/>
        <v>0.10436176135460154</v>
      </c>
      <c r="BV60" s="3">
        <v>2.5802439148400053E-6</v>
      </c>
      <c r="BW60" s="3">
        <f t="shared" si="31"/>
        <v>0.10436109473209118</v>
      </c>
      <c r="BX60" s="3">
        <v>4.023459127585477E-7</v>
      </c>
      <c r="BY60" s="3">
        <f t="shared" si="32"/>
        <v>-7.1439384396217409E-13</v>
      </c>
      <c r="BZ60" s="3">
        <f t="shared" si="33"/>
        <v>1.0381505930559903E-12</v>
      </c>
      <c r="CA60" s="3">
        <f t="shared" si="34"/>
        <v>1.3332450207181878E-6</v>
      </c>
      <c r="CB60"/>
      <c r="CC60" s="3">
        <v>22</v>
      </c>
      <c r="CD60" s="3">
        <f t="shared" si="46"/>
        <v>8.7089572111162056E-2</v>
      </c>
      <c r="CE60" s="3">
        <v>-2.6505562066639343E-6</v>
      </c>
      <c r="CF60" s="3">
        <f t="shared" si="47"/>
        <v>8.7090905356182774E-2</v>
      </c>
      <c r="CG60" s="3">
        <v>1.5534622595401656E-6</v>
      </c>
      <c r="CH60" s="3">
        <f t="shared" si="35"/>
        <v>8.7090238733672415E-2</v>
      </c>
      <c r="CI60" s="3">
        <v>-5.4853599320593693E-7</v>
      </c>
      <c r="CJ60" s="3">
        <f t="shared" si="36"/>
        <v>1.4539254813705618E-12</v>
      </c>
      <c r="CK60" s="3">
        <f t="shared" si="37"/>
        <v>-8.5212996344480374E-13</v>
      </c>
      <c r="CL60" s="3">
        <f t="shared" si="38"/>
        <v>1.3332450207181878E-6</v>
      </c>
    </row>
    <row r="61" spans="2:90" x14ac:dyDescent="0.2">
      <c r="B61" s="7" t="s">
        <v>325</v>
      </c>
      <c r="C61" s="18">
        <v>1</v>
      </c>
      <c r="F61" s="10"/>
      <c r="X61" s="3">
        <v>22</v>
      </c>
      <c r="Y61" s="3">
        <f t="shared" si="48"/>
        <v>5.6108951568603516E-2</v>
      </c>
      <c r="Z61" s="3">
        <f t="shared" si="39"/>
        <v>8.2320982218442307E-8</v>
      </c>
      <c r="AA61" s="3">
        <f t="shared" si="49"/>
        <v>5.6109189987182617E-2</v>
      </c>
      <c r="AB61" s="3">
        <f t="shared" si="29"/>
        <v>-1.604778571279164E-7</v>
      </c>
      <c r="AC61" s="3">
        <f t="shared" si="40"/>
        <v>5.6109070777893066E-2</v>
      </c>
      <c r="AD61" s="3">
        <f t="shared" si="30"/>
        <v>-3.9078435556949564E-8</v>
      </c>
      <c r="AE61" s="3">
        <f t="shared" si="41"/>
        <v>-3.2169751986081888E-15</v>
      </c>
      <c r="AF61" s="3">
        <f t="shared" si="42"/>
        <v>6.2712235980906406E-15</v>
      </c>
      <c r="AG61" s="3">
        <f t="shared" si="43"/>
        <v>2.384185791015625E-7</v>
      </c>
      <c r="AI61" s="3">
        <v>12</v>
      </c>
      <c r="AJ61" s="3">
        <f t="shared" si="54"/>
        <v>480.46875</v>
      </c>
      <c r="AK61" s="3">
        <v>12.301297393380082</v>
      </c>
      <c r="AL61" s="3">
        <f t="shared" si="55"/>
        <v>481.1767578125</v>
      </c>
      <c r="AM61" s="3">
        <v>-5.6223404553220462</v>
      </c>
      <c r="AN61" s="3">
        <f t="shared" si="50"/>
        <v>480.82275390625</v>
      </c>
      <c r="AO61" s="3">
        <v>3.3427775214158828</v>
      </c>
      <c r="AP61" s="3">
        <f t="shared" si="51"/>
        <v>41.12050041084273</v>
      </c>
      <c r="AQ61" s="3">
        <f t="shared" si="52"/>
        <v>-18.794233291797674</v>
      </c>
      <c r="AR61" s="3">
        <f t="shared" si="53"/>
        <v>0.7080078125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 s="29" t="s">
        <v>175</v>
      </c>
      <c r="BK61" s="30">
        <f>BW136</f>
        <v>4.8217941193993009E-2</v>
      </c>
      <c r="BL61" s="6" t="s">
        <v>176</v>
      </c>
      <c r="BM61" s="3"/>
      <c r="BN61" s="29" t="s">
        <v>175</v>
      </c>
      <c r="BO61" s="30">
        <f>CH136</f>
        <v>3.7818077985603445E-2</v>
      </c>
      <c r="BP61" s="6" t="s">
        <v>176</v>
      </c>
      <c r="BQ61"/>
      <c r="BR61" s="3">
        <v>23</v>
      </c>
      <c r="BS61" s="3">
        <f t="shared" si="44"/>
        <v>0.10436042810958082</v>
      </c>
      <c r="BT61" s="3">
        <v>-1.7755712716557154E-6</v>
      </c>
      <c r="BU61" s="3">
        <f t="shared" si="45"/>
        <v>0.10436109473209118</v>
      </c>
      <c r="BV61" s="3">
        <v>4.023459127585477E-7</v>
      </c>
      <c r="BW61" s="3">
        <f t="shared" si="31"/>
        <v>0.104360761420836</v>
      </c>
      <c r="BX61" s="3">
        <v>-6.8661028162272236E-7</v>
      </c>
      <c r="BY61" s="3">
        <f t="shared" si="32"/>
        <v>1.219125490872746E-12</v>
      </c>
      <c r="BZ61" s="3">
        <f t="shared" si="33"/>
        <v>-2.7625484046889771E-13</v>
      </c>
      <c r="CA61" s="3">
        <f t="shared" si="34"/>
        <v>6.6662251035909392E-7</v>
      </c>
      <c r="CB61"/>
      <c r="CC61" s="3">
        <v>23</v>
      </c>
      <c r="CD61" s="3">
        <f t="shared" si="46"/>
        <v>8.7090238733672415E-2</v>
      </c>
      <c r="CE61" s="3">
        <v>-5.4853599320593693E-7</v>
      </c>
      <c r="CF61" s="3">
        <f t="shared" si="47"/>
        <v>8.7090905356182774E-2</v>
      </c>
      <c r="CG61" s="3">
        <v>1.5534622595401656E-6</v>
      </c>
      <c r="CH61" s="3">
        <f t="shared" si="35"/>
        <v>8.7090572044927594E-2</v>
      </c>
      <c r="CI61" s="3">
        <v>5.0246587824515077E-7</v>
      </c>
      <c r="CJ61" s="3">
        <f t="shared" si="36"/>
        <v>-2.7562061957529714E-13</v>
      </c>
      <c r="CK61" s="3">
        <f t="shared" si="37"/>
        <v>7.8056177856054571E-13</v>
      </c>
      <c r="CL61" s="3">
        <f t="shared" si="38"/>
        <v>6.6662251035909392E-7</v>
      </c>
    </row>
    <row r="62" spans="2:90" x14ac:dyDescent="0.2">
      <c r="B62" s="7" t="s">
        <v>326</v>
      </c>
      <c r="C62" s="18">
        <v>1</v>
      </c>
      <c r="X62" s="3">
        <v>23</v>
      </c>
      <c r="Y62" s="3">
        <f t="shared" si="48"/>
        <v>5.6108951568603516E-2</v>
      </c>
      <c r="Z62" s="3">
        <f t="shared" si="39"/>
        <v>8.2320982218442307E-8</v>
      </c>
      <c r="AA62" s="3">
        <f t="shared" si="49"/>
        <v>5.6109070777893066E-2</v>
      </c>
      <c r="AB62" s="3">
        <f t="shared" si="29"/>
        <v>-3.9078435556949564E-8</v>
      </c>
      <c r="AC62" s="3">
        <f t="shared" si="40"/>
        <v>5.6109011173248291E-2</v>
      </c>
      <c r="AD62" s="3">
        <f t="shared" si="30"/>
        <v>2.1621273806060604E-8</v>
      </c>
      <c r="AE62" s="3">
        <f t="shared" si="41"/>
        <v>1.7798844965287872E-15</v>
      </c>
      <c r="AF62" s="3">
        <f t="shared" si="42"/>
        <v>-8.4492555508930094E-16</v>
      </c>
      <c r="AG62" s="3">
        <f t="shared" si="43"/>
        <v>1.1920928955078125E-7</v>
      </c>
      <c r="AI62" s="3">
        <v>13</v>
      </c>
      <c r="AJ62" s="3">
        <f t="shared" si="54"/>
        <v>480.82275390625</v>
      </c>
      <c r="AK62" s="3">
        <v>3.3427775214158828</v>
      </c>
      <c r="AL62" s="3">
        <f t="shared" si="55"/>
        <v>481.1767578125</v>
      </c>
      <c r="AM62" s="3">
        <v>-5.6223404553220462</v>
      </c>
      <c r="AN62" s="3">
        <f t="shared" si="50"/>
        <v>480.999755859375</v>
      </c>
      <c r="AO62" s="3">
        <v>-1.1389567038568202</v>
      </c>
      <c r="AP62" s="3">
        <f t="shared" si="51"/>
        <v>-3.8072788675185052</v>
      </c>
      <c r="AQ62" s="3">
        <f t="shared" si="52"/>
        <v>6.4036023529544517</v>
      </c>
      <c r="AR62" s="3">
        <f t="shared" si="53"/>
        <v>0.35400390625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 s="3" t="s">
        <v>180</v>
      </c>
      <c r="BK62" s="3">
        <f>($AU$41+$AU$5)/180*PI()</f>
        <v>6.0737457969402671E-2</v>
      </c>
      <c r="BL62" s="3" t="s">
        <v>176</v>
      </c>
      <c r="BM62" s="3"/>
      <c r="BN62" s="3" t="s">
        <v>180</v>
      </c>
      <c r="BO62" s="3">
        <f>($AU$42+$AU$5)/180*PI()</f>
        <v>3.7699111843077518E-2</v>
      </c>
      <c r="BP62" s="3" t="s">
        <v>176</v>
      </c>
      <c r="BQ62"/>
      <c r="BR62" s="3">
        <v>24</v>
      </c>
      <c r="BS62" s="3">
        <f t="shared" si="44"/>
        <v>0.104360761420836</v>
      </c>
      <c r="BT62" s="3">
        <v>-6.8661028162272236E-7</v>
      </c>
      <c r="BU62" s="3">
        <f t="shared" si="45"/>
        <v>0.10436109473209118</v>
      </c>
      <c r="BV62" s="3">
        <v>4.023459127585477E-7</v>
      </c>
      <c r="BW62" s="3">
        <f t="shared" si="31"/>
        <v>0.10436092807646359</v>
      </c>
      <c r="BX62" s="3">
        <v>-1.4213158495372108E-7</v>
      </c>
      <c r="BY62" s="3">
        <f t="shared" si="32"/>
        <v>9.7589007572558324E-14</v>
      </c>
      <c r="BZ62" s="3">
        <f t="shared" si="33"/>
        <v>-5.7186062280023971E-14</v>
      </c>
      <c r="CA62" s="3">
        <f t="shared" si="34"/>
        <v>3.3331125517954696E-7</v>
      </c>
      <c r="CB62"/>
      <c r="CC62" s="3">
        <v>24</v>
      </c>
      <c r="CD62" s="3">
        <f t="shared" si="46"/>
        <v>8.7090238733672415E-2</v>
      </c>
      <c r="CE62" s="3">
        <v>-5.4853599320593693E-7</v>
      </c>
      <c r="CF62" s="3">
        <f t="shared" si="47"/>
        <v>8.7090572044927594E-2</v>
      </c>
      <c r="CG62" s="3">
        <v>5.0246587824515077E-7</v>
      </c>
      <c r="CH62" s="3">
        <f t="shared" si="35"/>
        <v>8.7090405389300005E-2</v>
      </c>
      <c r="CI62" s="3">
        <v>-2.3034371237663775E-8</v>
      </c>
      <c r="CJ62" s="3">
        <f t="shared" si="36"/>
        <v>1.2635181704726165E-14</v>
      </c>
      <c r="CK62" s="3">
        <f t="shared" si="37"/>
        <v>-1.1573985573757569E-14</v>
      </c>
      <c r="CL62" s="3">
        <f t="shared" si="38"/>
        <v>3.3331125517954696E-7</v>
      </c>
    </row>
    <row r="63" spans="2:90" x14ac:dyDescent="0.2">
      <c r="X63" s="3">
        <v>24</v>
      </c>
      <c r="Y63" s="3">
        <f t="shared" si="48"/>
        <v>5.6109011173248291E-2</v>
      </c>
      <c r="Z63" s="3">
        <f t="shared" si="39"/>
        <v>2.1621273806060604E-8</v>
      </c>
      <c r="AA63" s="3">
        <f t="shared" si="49"/>
        <v>5.6109070777893066E-2</v>
      </c>
      <c r="AB63" s="3">
        <f t="shared" si="29"/>
        <v>-3.9078435556949564E-8</v>
      </c>
      <c r="AC63" s="3">
        <f t="shared" si="40"/>
        <v>5.6109040975570679E-2</v>
      </c>
      <c r="AD63" s="3">
        <f t="shared" si="30"/>
        <v>-8.7285807540138372E-9</v>
      </c>
      <c r="AE63" s="3">
        <f t="shared" si="41"/>
        <v>-1.8872303442084409E-16</v>
      </c>
      <c r="AF63" s="3">
        <f t="shared" si="42"/>
        <v>3.4109928049935999E-16</v>
      </c>
      <c r="AG63" s="3">
        <f t="shared" si="43"/>
        <v>5.9604644775390625E-8</v>
      </c>
      <c r="AI63" s="3">
        <v>14</v>
      </c>
      <c r="AJ63" s="3">
        <f t="shared" si="54"/>
        <v>480.82275390625</v>
      </c>
      <c r="AK63" s="3">
        <v>3.3427775214158828</v>
      </c>
      <c r="AL63" s="3">
        <f t="shared" si="55"/>
        <v>480.999755859375</v>
      </c>
      <c r="AM63" s="3">
        <v>-1.1389567038568202</v>
      </c>
      <c r="AN63" s="3">
        <f t="shared" si="50"/>
        <v>480.9112548828125</v>
      </c>
      <c r="AO63" s="3">
        <v>1.102116599553483</v>
      </c>
      <c r="AP63" s="3">
        <f t="shared" si="51"/>
        <v>3.6841305949666929</v>
      </c>
      <c r="AQ63" s="3">
        <f t="shared" si="52"/>
        <v>-1.2552630894933221</v>
      </c>
      <c r="AR63" s="3">
        <f t="shared" si="53"/>
        <v>0.177001953125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 s="3" t="s">
        <v>29</v>
      </c>
      <c r="BK63" s="3">
        <f>BK62-BK61</f>
        <v>1.2519516775409661E-2</v>
      </c>
      <c r="BL63" s="3" t="s">
        <v>176</v>
      </c>
      <c r="BM63" s="3"/>
      <c r="BN63" s="3" t="s">
        <v>29</v>
      </c>
      <c r="BO63" s="3">
        <f>BO62-BO61</f>
        <v>-1.1896614252592669E-4</v>
      </c>
      <c r="BP63" s="3" t="s">
        <v>176</v>
      </c>
      <c r="BQ63"/>
      <c r="BR63" s="3">
        <v>25</v>
      </c>
      <c r="BS63" s="3">
        <f t="shared" si="44"/>
        <v>0.10436092807646359</v>
      </c>
      <c r="BT63" s="3">
        <v>-1.4213158495372108E-7</v>
      </c>
      <c r="BU63" s="3">
        <f t="shared" si="45"/>
        <v>0.10436109473209118</v>
      </c>
      <c r="BV63" s="3">
        <v>4.023459127585477E-7</v>
      </c>
      <c r="BW63" s="3">
        <f t="shared" si="31"/>
        <v>0.10436101140427739</v>
      </c>
      <c r="BX63" s="3">
        <v>1.3010731377775114E-7</v>
      </c>
      <c r="BY63" s="3">
        <f t="shared" si="32"/>
        <v>-1.8492358721302883E-14</v>
      </c>
      <c r="BZ63" s="3">
        <f t="shared" si="33"/>
        <v>5.2348145918472051E-14</v>
      </c>
      <c r="CA63" s="3">
        <f t="shared" si="34"/>
        <v>1.6665562758977348E-7</v>
      </c>
      <c r="CB63"/>
      <c r="CC63" s="3">
        <v>25</v>
      </c>
      <c r="CD63" s="3">
        <f t="shared" si="46"/>
        <v>8.7090405389300005E-2</v>
      </c>
      <c r="CE63" s="3">
        <v>-2.3034371237663775E-8</v>
      </c>
      <c r="CF63" s="3">
        <f t="shared" si="47"/>
        <v>8.7090572044927594E-2</v>
      </c>
      <c r="CG63" s="3">
        <v>5.0246587824515077E-7</v>
      </c>
      <c r="CH63" s="3">
        <f t="shared" si="35"/>
        <v>8.7090488717113806E-2</v>
      </c>
      <c r="CI63" s="3">
        <v>2.3971592507613521E-7</v>
      </c>
      <c r="CJ63" s="3">
        <f t="shared" si="36"/>
        <v>-5.5217056097836931E-15</v>
      </c>
      <c r="CK63" s="3">
        <f t="shared" si="37"/>
        <v>1.2044907282272904E-13</v>
      </c>
      <c r="CL63" s="3">
        <f t="shared" si="38"/>
        <v>1.6665562758977348E-7</v>
      </c>
    </row>
    <row r="64" spans="2:90" x14ac:dyDescent="0.2">
      <c r="X64" s="3">
        <v>25</v>
      </c>
      <c r="Y64" s="3">
        <f t="shared" si="48"/>
        <v>5.6109011173248291E-2</v>
      </c>
      <c r="Z64" s="3">
        <f t="shared" si="39"/>
        <v>2.1621273806060604E-8</v>
      </c>
      <c r="AA64" s="3">
        <f t="shared" si="49"/>
        <v>5.6109040975570679E-2</v>
      </c>
      <c r="AB64" s="3">
        <f t="shared" si="29"/>
        <v>-8.7285807540138372E-9</v>
      </c>
      <c r="AC64" s="3">
        <f t="shared" si="40"/>
        <v>5.6109026074409485E-2</v>
      </c>
      <c r="AD64" s="3">
        <f t="shared" si="30"/>
        <v>6.4463465537789588E-9</v>
      </c>
      <c r="AE64" s="3">
        <f t="shared" si="41"/>
        <v>1.3937822388801004E-16</v>
      </c>
      <c r="AF64" s="3">
        <f t="shared" si="42"/>
        <v>-5.6267456463018442E-17</v>
      </c>
      <c r="AG64" s="3">
        <f t="shared" si="43"/>
        <v>2.9802322387695312E-8</v>
      </c>
      <c r="AI64" s="3">
        <v>15</v>
      </c>
      <c r="AJ64" s="3">
        <f t="shared" si="54"/>
        <v>480.9112548828125</v>
      </c>
      <c r="AK64" s="3">
        <v>1.102116599553483</v>
      </c>
      <c r="AL64" s="3">
        <f t="shared" si="55"/>
        <v>480.999755859375</v>
      </c>
      <c r="AM64" s="3">
        <v>-1.1389567038568202</v>
      </c>
      <c r="AN64" s="3">
        <f t="shared" si="50"/>
        <v>480.95550537109375</v>
      </c>
      <c r="AO64" s="3">
        <v>-1.8368504457612289E-2</v>
      </c>
      <c r="AP64" s="3">
        <f t="shared" si="51"/>
        <v>-2.0244233671706649E-2</v>
      </c>
      <c r="AQ64" s="3">
        <f t="shared" si="52"/>
        <v>2.0920931291821404E-2</v>
      </c>
      <c r="AR64" s="3">
        <f t="shared" si="53"/>
        <v>8.85009765625E-2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 s="3" t="s">
        <v>189</v>
      </c>
      <c r="BK64" s="3">
        <f>BK63/PI()*180</f>
        <v>0.71731547277420726</v>
      </c>
      <c r="BL64" s="3" t="s">
        <v>44</v>
      </c>
      <c r="BM64" s="3"/>
      <c r="BN64" s="3" t="s">
        <v>189</v>
      </c>
      <c r="BO64" s="3">
        <f>BO63/PI()*180</f>
        <v>-6.8162578716874219E-3</v>
      </c>
      <c r="BP64" s="3" t="s">
        <v>44</v>
      </c>
      <c r="BQ64"/>
      <c r="BR64" s="3">
        <v>26</v>
      </c>
      <c r="BS64" s="3">
        <f t="shared" si="44"/>
        <v>0.10436092807646359</v>
      </c>
      <c r="BT64" s="3">
        <v>-1.4213158495372108E-7</v>
      </c>
      <c r="BU64" s="3">
        <f t="shared" si="45"/>
        <v>0.10436101140427739</v>
      </c>
      <c r="BV64" s="3">
        <v>1.3010731377775114E-7</v>
      </c>
      <c r="BW64" s="3">
        <f t="shared" si="31"/>
        <v>0.10436096974037049</v>
      </c>
      <c r="BX64" s="3">
        <v>-6.0120981266315043E-9</v>
      </c>
      <c r="BY64" s="3">
        <f t="shared" si="32"/>
        <v>8.5450903563543301E-16</v>
      </c>
      <c r="BZ64" s="3">
        <f t="shared" si="33"/>
        <v>-7.8221793742427497E-16</v>
      </c>
      <c r="CA64" s="3">
        <f t="shared" si="34"/>
        <v>8.3327813801825634E-8</v>
      </c>
      <c r="CB64"/>
      <c r="CC64" s="3">
        <v>26</v>
      </c>
      <c r="CD64" s="3">
        <f t="shared" si="46"/>
        <v>8.7090405389300005E-2</v>
      </c>
      <c r="CE64" s="3">
        <v>-2.3034371237663775E-8</v>
      </c>
      <c r="CF64" s="3">
        <f t="shared" si="47"/>
        <v>8.7090488717113806E-2</v>
      </c>
      <c r="CG64" s="3">
        <v>2.3971592507613521E-7</v>
      </c>
      <c r="CH64" s="3">
        <f t="shared" si="35"/>
        <v>8.7090447053206899E-2</v>
      </c>
      <c r="CI64" s="3">
        <v>1.0834081979552851E-7</v>
      </c>
      <c r="CJ64" s="3">
        <f t="shared" si="36"/>
        <v>-2.4955626633630361E-15</v>
      </c>
      <c r="CK64" s="3">
        <f t="shared" si="37"/>
        <v>2.5971019840791977E-14</v>
      </c>
      <c r="CL64" s="3">
        <f t="shared" si="38"/>
        <v>8.3327813801825634E-8</v>
      </c>
    </row>
    <row r="65" spans="24:90" x14ac:dyDescent="0.2">
      <c r="X65" s="3">
        <v>26</v>
      </c>
      <c r="Y65" s="3">
        <f t="shared" si="48"/>
        <v>5.6109026074409485E-2</v>
      </c>
      <c r="Z65" s="3">
        <f t="shared" si="39"/>
        <v>6.4463465537789588E-9</v>
      </c>
      <c r="AA65" s="3">
        <f t="shared" si="49"/>
        <v>5.6109040975570679E-2</v>
      </c>
      <c r="AB65" s="3">
        <f t="shared" si="29"/>
        <v>-8.7285807540138372E-9</v>
      </c>
      <c r="AC65" s="3">
        <f t="shared" si="40"/>
        <v>5.6109033524990082E-2</v>
      </c>
      <c r="AD65" s="3">
        <f t="shared" si="30"/>
        <v>-1.1411170897090983E-9</v>
      </c>
      <c r="AE65" s="3">
        <f t="shared" si="41"/>
        <v>-7.3560362187045209E-18</v>
      </c>
      <c r="AF65" s="3">
        <f t="shared" si="42"/>
        <v>9.960332667311116E-18</v>
      </c>
      <c r="AG65" s="3">
        <f t="shared" si="43"/>
        <v>1.4901161193847656E-8</v>
      </c>
      <c r="AI65" s="3">
        <v>16</v>
      </c>
      <c r="AJ65" s="3">
        <f t="shared" si="54"/>
        <v>480.9112548828125</v>
      </c>
      <c r="AK65" s="3">
        <v>1.102116599553483</v>
      </c>
      <c r="AL65" s="3">
        <f t="shared" si="55"/>
        <v>480.95550537109375</v>
      </c>
      <c r="AM65" s="3">
        <v>-1.8368504457612289E-2</v>
      </c>
      <c r="AN65" s="3">
        <f t="shared" si="50"/>
        <v>480.93338012695312</v>
      </c>
      <c r="AO65" s="3">
        <v>0.54188693446940306</v>
      </c>
      <c r="AP65" s="3">
        <f t="shared" si="51"/>
        <v>0.5972225855598795</v>
      </c>
      <c r="AQ65" s="3">
        <f t="shared" si="52"/>
        <v>-9.9536525713230881E-3</v>
      </c>
      <c r="AR65" s="3">
        <f t="shared" si="53"/>
        <v>4.425048828125E-2</v>
      </c>
      <c r="AT65" s="3"/>
      <c r="AU65" s="3"/>
      <c r="AV65" s="27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 s="3" t="s">
        <v>192</v>
      </c>
      <c r="BK65" s="3">
        <f xml:space="preserve"> $AU$8*$AU$33 / (2*PI()*$AU$25)</f>
        <v>3.3837103320226013E-2</v>
      </c>
      <c r="BL65" s="3"/>
      <c r="BM65" s="3"/>
      <c r="BN65" s="3" t="s">
        <v>192</v>
      </c>
      <c r="BO65" s="3">
        <f xml:space="preserve"> $AU$8*$AU$34 / (2*PI()*$AU$26)</f>
        <v>2.8862622616268326E-2</v>
      </c>
      <c r="BP65" s="3"/>
      <c r="BQ65"/>
      <c r="BR65" s="3">
        <v>27</v>
      </c>
      <c r="BS65" s="3">
        <f t="shared" si="44"/>
        <v>0.10436096974037049</v>
      </c>
      <c r="BT65" s="3">
        <v>-6.0120981266315043E-9</v>
      </c>
      <c r="BU65" s="3">
        <f t="shared" si="45"/>
        <v>0.10436101140427739</v>
      </c>
      <c r="BV65" s="3">
        <v>1.3010731377775114E-7</v>
      </c>
      <c r="BW65" s="3">
        <f t="shared" si="31"/>
        <v>0.10436099057232394</v>
      </c>
      <c r="BX65" s="3">
        <v>6.2047617164877333E-8</v>
      </c>
      <c r="BY65" s="3">
        <f t="shared" si="32"/>
        <v>-3.7303636291890778E-16</v>
      </c>
      <c r="BZ65" s="3">
        <f t="shared" si="33"/>
        <v>8.0728487956324736E-15</v>
      </c>
      <c r="CA65" s="3">
        <f t="shared" si="34"/>
        <v>4.1663906907851711E-8</v>
      </c>
      <c r="CB65"/>
      <c r="CC65" s="3">
        <v>27</v>
      </c>
      <c r="CD65" s="3">
        <f t="shared" si="46"/>
        <v>8.7090405389300005E-2</v>
      </c>
      <c r="CE65" s="3">
        <v>-2.3034371237663775E-8</v>
      </c>
      <c r="CF65" s="3">
        <f t="shared" si="47"/>
        <v>8.7090447053206899E-2</v>
      </c>
      <c r="CG65" s="3">
        <v>1.0834081979552851E-7</v>
      </c>
      <c r="CH65" s="3">
        <f t="shared" si="35"/>
        <v>8.7090426221253459E-2</v>
      </c>
      <c r="CI65" s="3">
        <v>4.2653235037687365E-8</v>
      </c>
      <c r="CJ65" s="3">
        <f t="shared" si="36"/>
        <v>-9.8249045034541856E-16</v>
      </c>
      <c r="CK65" s="3">
        <f t="shared" si="37"/>
        <v>4.6210864509144091E-15</v>
      </c>
      <c r="CL65" s="3">
        <f t="shared" si="38"/>
        <v>4.1663906893973923E-8</v>
      </c>
    </row>
    <row r="66" spans="24:90" x14ac:dyDescent="0.2">
      <c r="X66" s="3">
        <v>27</v>
      </c>
      <c r="Y66" s="3">
        <f t="shared" si="48"/>
        <v>5.6109026074409485E-2</v>
      </c>
      <c r="Z66" s="3">
        <f t="shared" si="39"/>
        <v>6.4463465537789588E-9</v>
      </c>
      <c r="AA66" s="3">
        <f t="shared" si="49"/>
        <v>5.6109033524990082E-2</v>
      </c>
      <c r="AB66" s="3">
        <f t="shared" si="29"/>
        <v>-1.1411170897090983E-9</v>
      </c>
      <c r="AC66" s="3">
        <f t="shared" si="40"/>
        <v>5.6109029799699783E-2</v>
      </c>
      <c r="AD66" s="3">
        <f t="shared" si="30"/>
        <v>2.6526147389738242E-9</v>
      </c>
      <c r="AE66" s="3">
        <f t="shared" si="41"/>
        <v>1.7099673881087183E-17</v>
      </c>
      <c r="AF66" s="3">
        <f t="shared" si="42"/>
        <v>-3.0269440110572697E-18</v>
      </c>
      <c r="AG66" s="3">
        <f t="shared" si="43"/>
        <v>7.4505805969238281E-9</v>
      </c>
      <c r="AI66" s="3">
        <v>17</v>
      </c>
      <c r="AJ66" s="3">
        <f t="shared" si="54"/>
        <v>480.93338012695312</v>
      </c>
      <c r="AK66" s="3">
        <v>0.54188693446940306</v>
      </c>
      <c r="AL66" s="3">
        <f t="shared" si="55"/>
        <v>480.95550537109375</v>
      </c>
      <c r="AM66" s="3">
        <v>-1.8368504457612289E-2</v>
      </c>
      <c r="AN66" s="3">
        <f t="shared" si="50"/>
        <v>480.94444274902344</v>
      </c>
      <c r="AO66" s="3">
        <v>0.26176243673762656</v>
      </c>
      <c r="AP66" s="3">
        <f t="shared" si="51"/>
        <v>0.14184564440299349</v>
      </c>
      <c r="AQ66" s="3">
        <f t="shared" si="52"/>
        <v>-4.808184486050548E-3</v>
      </c>
      <c r="AR66" s="3">
        <f t="shared" si="53"/>
        <v>2.2125244140625E-2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 s="3" t="s">
        <v>196</v>
      </c>
      <c r="BK66" s="3">
        <f>IF(-$AU$8*($AY$3-$AU$25)/(2*$AU$25*SIN(BK61))&gt;500, 1, 2*ACOS(MIN(1, EXP(-$AU$8*($AY$3-$AU$25)/(2*$AU$25*SIN(BK61)))))/PI() )</f>
        <v>0.99864126769124006</v>
      </c>
      <c r="BL66" s="3"/>
      <c r="BM66" s="3"/>
      <c r="BN66" s="3" t="s">
        <v>196</v>
      </c>
      <c r="BO66" s="3">
        <f>IF(-$AU$8*($AY$3-$AU$26)/(2*$AU$26*SIN(BO61))&gt;500, 1, 2*ACOS(MIN(1, EXP(-$AU$8*($AY$3-$AU$26)/(2*$AU$26*SIN(BO61)))))/PI() )</f>
        <v>0.93664132618912588</v>
      </c>
      <c r="BP66" s="3"/>
      <c r="BQ66"/>
      <c r="BR66" s="3">
        <v>28</v>
      </c>
      <c r="BS66" s="3">
        <f t="shared" si="44"/>
        <v>0.10436096974037049</v>
      </c>
      <c r="BT66" s="3">
        <v>-6.0120981266315043E-9</v>
      </c>
      <c r="BU66" s="3">
        <f t="shared" si="45"/>
        <v>0.10436099057232394</v>
      </c>
      <c r="BV66" s="3">
        <v>6.2047617164877333E-8</v>
      </c>
      <c r="BW66" s="3">
        <f t="shared" si="31"/>
        <v>0.10436098015634721</v>
      </c>
      <c r="BX66" s="3">
        <v>2.8017761790309625E-8</v>
      </c>
      <c r="BY66" s="3">
        <f t="shared" si="32"/>
        <v>-1.6844553317192825E-16</v>
      </c>
      <c r="BZ66" s="3">
        <f t="shared" si="33"/>
        <v>1.7384353573818597E-15</v>
      </c>
      <c r="CA66" s="3">
        <f t="shared" si="34"/>
        <v>2.0831953453925856E-8</v>
      </c>
      <c r="CB66"/>
      <c r="CC66" s="3">
        <v>28</v>
      </c>
      <c r="CD66" s="3">
        <f t="shared" si="46"/>
        <v>8.7090405389300005E-2</v>
      </c>
      <c r="CE66" s="3">
        <v>-2.3034371237663775E-8</v>
      </c>
      <c r="CF66" s="3">
        <f t="shared" si="47"/>
        <v>8.7090426221253459E-2</v>
      </c>
      <c r="CG66" s="3">
        <v>4.2653235037687365E-8</v>
      </c>
      <c r="CH66" s="3">
        <f t="shared" si="35"/>
        <v>8.7090415805276739E-2</v>
      </c>
      <c r="CI66" s="3">
        <v>9.8094346031446511E-9</v>
      </c>
      <c r="CJ66" s="3">
        <f t="shared" si="36"/>
        <v>-2.259541582804189E-16</v>
      </c>
      <c r="CK66" s="3">
        <f t="shared" si="37"/>
        <v>4.1840411971475229E-16</v>
      </c>
      <c r="CL66" s="3">
        <f t="shared" si="38"/>
        <v>2.0831953453925856E-8</v>
      </c>
    </row>
    <row r="67" spans="24:90" x14ac:dyDescent="0.2">
      <c r="X67" s="3">
        <v>28</v>
      </c>
      <c r="Y67" s="3">
        <f t="shared" si="48"/>
        <v>5.6109029799699783E-2</v>
      </c>
      <c r="Z67" s="3">
        <f t="shared" si="39"/>
        <v>2.6526147389738242E-9</v>
      </c>
      <c r="AA67" s="3">
        <f t="shared" si="49"/>
        <v>5.6109033524990082E-2</v>
      </c>
      <c r="AB67" s="3">
        <f t="shared" si="29"/>
        <v>-1.1411170897090983E-9</v>
      </c>
      <c r="AC67" s="3">
        <f t="shared" si="40"/>
        <v>5.6109031662344933E-2</v>
      </c>
      <c r="AD67" s="3">
        <f t="shared" si="30"/>
        <v>7.5574882463236293E-10</v>
      </c>
      <c r="AE67" s="3">
        <f t="shared" si="41"/>
        <v>2.0047104711819498E-18</v>
      </c>
      <c r="AF67" s="3">
        <f t="shared" si="42"/>
        <v>-8.6239789931555369E-19</v>
      </c>
      <c r="AG67" s="3">
        <f t="shared" si="43"/>
        <v>3.7252902984619141E-9</v>
      </c>
      <c r="AI67" s="3">
        <v>18</v>
      </c>
      <c r="AJ67" s="3">
        <f t="shared" si="54"/>
        <v>480.94444274902344</v>
      </c>
      <c r="AK67" s="3">
        <v>0.26176243673762656</v>
      </c>
      <c r="AL67" s="3">
        <f t="shared" si="55"/>
        <v>480.95550537109375</v>
      </c>
      <c r="AM67" s="3">
        <v>-1.8368504457612289E-2</v>
      </c>
      <c r="AN67" s="3">
        <f t="shared" si="50"/>
        <v>480.94997406005859</v>
      </c>
      <c r="AO67" s="3">
        <v>0.12169777157214412</v>
      </c>
      <c r="AP67" s="3">
        <f t="shared" si="51"/>
        <v>3.1855905232263504E-2</v>
      </c>
      <c r="AQ67" s="3">
        <f t="shared" si="52"/>
        <v>-2.2354060596044114E-3</v>
      </c>
      <c r="AR67" s="3">
        <f t="shared" si="53"/>
        <v>1.10626220703125E-2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 s="3" t="s">
        <v>201</v>
      </c>
      <c r="BK67" s="3">
        <f>IF(-$AU$8*($AU$25-$AU$10)/(2*$AU$25*SIN(BK61))&gt;500, 1, 2*ACOS(MIN(1, EXP(-$AU$8*($AU$25-$AU$10)/(2*$AU$25*SIN(BK61)))))/PI() )</f>
        <v>0.99999999999829914</v>
      </c>
      <c r="BL67" s="3"/>
      <c r="BM67" s="3"/>
      <c r="BN67" s="3" t="s">
        <v>201</v>
      </c>
      <c r="BO67" s="3">
        <f>IF(-$AU$8*($AU$26-$AU$10)/(2*$AU$26*SIN(BO61))&gt;500, 1, 2*ACOS(MIN(1, EXP(-$AU$8*($AU$26-$AU$10)/(2*$AU$26*SIN(BO61)))))/PI() )</f>
        <v>0.99999999999999944</v>
      </c>
      <c r="BP67" s="3"/>
      <c r="BQ67"/>
      <c r="BR67" s="3">
        <v>29</v>
      </c>
      <c r="BS67" s="3">
        <f t="shared" si="44"/>
        <v>0.10436096974037049</v>
      </c>
      <c r="BT67" s="3">
        <v>-6.0120981266315043E-9</v>
      </c>
      <c r="BU67" s="3">
        <f t="shared" si="45"/>
        <v>0.10436098015634721</v>
      </c>
      <c r="BV67" s="3">
        <v>2.8017761790309625E-8</v>
      </c>
      <c r="BW67" s="3">
        <f t="shared" si="31"/>
        <v>0.10436097494835885</v>
      </c>
      <c r="BX67" s="3">
        <v>1.1002832427282894E-8</v>
      </c>
      <c r="BY67" s="3">
        <f t="shared" si="32"/>
        <v>-6.6150108223707853E-17</v>
      </c>
      <c r="BZ67" s="3">
        <f t="shared" si="33"/>
        <v>3.0827473796630639E-16</v>
      </c>
      <c r="CA67" s="3">
        <f t="shared" si="34"/>
        <v>1.0415976720024034E-8</v>
      </c>
      <c r="CB67"/>
      <c r="CC67" s="3">
        <v>29</v>
      </c>
      <c r="CD67" s="3">
        <f t="shared" si="46"/>
        <v>8.7090405389300005E-2</v>
      </c>
      <c r="CE67" s="3">
        <v>-2.3034371237663775E-8</v>
      </c>
      <c r="CF67" s="3">
        <f t="shared" si="47"/>
        <v>8.7090415805276739E-2</v>
      </c>
      <c r="CG67" s="3">
        <v>9.8094346031446511E-9</v>
      </c>
      <c r="CH67" s="3">
        <f t="shared" si="35"/>
        <v>8.7090410597288365E-2</v>
      </c>
      <c r="CI67" s="3">
        <v>-6.6124676611004074E-9</v>
      </c>
      <c r="CJ67" s="3">
        <f t="shared" si="36"/>
        <v>1.5231403490283309E-16</v>
      </c>
      <c r="CK67" s="3">
        <f t="shared" si="37"/>
        <v>-6.4864569086973311E-17</v>
      </c>
      <c r="CL67" s="3">
        <f t="shared" si="38"/>
        <v>1.0415976733901822E-8</v>
      </c>
    </row>
    <row r="68" spans="24:90" x14ac:dyDescent="0.2">
      <c r="X68" s="3">
        <v>29</v>
      </c>
      <c r="Y68" s="3">
        <f t="shared" si="48"/>
        <v>5.6109031662344933E-2</v>
      </c>
      <c r="Z68" s="3">
        <f t="shared" si="39"/>
        <v>7.5574882463236293E-10</v>
      </c>
      <c r="AA68" s="3">
        <f t="shared" si="49"/>
        <v>5.6109033524990082E-2</v>
      </c>
      <c r="AB68" s="3">
        <f t="shared" si="29"/>
        <v>-1.1411170897090983E-9</v>
      </c>
      <c r="AC68" s="3">
        <f t="shared" si="40"/>
        <v>5.6109032593667507E-2</v>
      </c>
      <c r="AD68" s="3">
        <f t="shared" si="30"/>
        <v>-1.9268413253836769E-10</v>
      </c>
      <c r="AE68" s="3">
        <f t="shared" si="41"/>
        <v>-1.4562080669117782E-19</v>
      </c>
      <c r="AF68" s="3">
        <f t="shared" si="42"/>
        <v>2.1987515655530431E-19</v>
      </c>
      <c r="AG68" s="3">
        <f t="shared" si="43"/>
        <v>1.862645149230957E-9</v>
      </c>
      <c r="AI68" s="3">
        <v>19</v>
      </c>
      <c r="AJ68" s="3">
        <f t="shared" si="54"/>
        <v>480.94997406005859</v>
      </c>
      <c r="AK68" s="3">
        <v>0.12169777157214412</v>
      </c>
      <c r="AL68" s="3">
        <f t="shared" si="55"/>
        <v>480.95550537109375</v>
      </c>
      <c r="AM68" s="3">
        <v>-1.8368504457612289E-2</v>
      </c>
      <c r="AN68" s="3">
        <f t="shared" si="50"/>
        <v>480.95273971557617</v>
      </c>
      <c r="AO68" s="3">
        <v>5.1664834916664404E-2</v>
      </c>
      <c r="AP68" s="3">
        <f t="shared" si="51"/>
        <v>6.2874952780007601E-3</v>
      </c>
      <c r="AQ68" s="3">
        <f t="shared" si="52"/>
        <v>-9.4900575046855313E-4</v>
      </c>
      <c r="AR68" s="3">
        <f t="shared" si="53"/>
        <v>5.53131103515625E-3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 s="3" t="s">
        <v>204</v>
      </c>
      <c r="BK68" s="3">
        <f>IF(BK61=0,1,BK66*BK67)</f>
        <v>0.99864126768954153</v>
      </c>
      <c r="BL68" s="3"/>
      <c r="BM68" s="3"/>
      <c r="BN68" s="3" t="s">
        <v>204</v>
      </c>
      <c r="BO68" s="3">
        <f>IF(BO61=0,1,BO66*BO67)</f>
        <v>0.93664132618912532</v>
      </c>
      <c r="BP68" s="3"/>
      <c r="BQ68"/>
      <c r="BR68" s="3">
        <v>30</v>
      </c>
      <c r="BS68" s="3">
        <f t="shared" si="44"/>
        <v>0.10436096974037049</v>
      </c>
      <c r="BT68" s="3">
        <v>-6.0120981266315043E-9</v>
      </c>
      <c r="BU68" s="3">
        <f t="shared" si="45"/>
        <v>0.10436097494835885</v>
      </c>
      <c r="BV68" s="3">
        <v>1.1002832427282894E-8</v>
      </c>
      <c r="BW68" s="6">
        <f t="shared" si="31"/>
        <v>0.10436097234436467</v>
      </c>
      <c r="BX68" s="3">
        <v>2.495367298210871E-9</v>
      </c>
      <c r="BY68" s="3">
        <f t="shared" si="32"/>
        <v>-1.5002393058831097E-17</v>
      </c>
      <c r="BZ68" s="3">
        <f t="shared" si="33"/>
        <v>2.7456108226735873E-17</v>
      </c>
      <c r="CA68" s="3">
        <f t="shared" si="34"/>
        <v>5.2079883600120169E-9</v>
      </c>
      <c r="CB68"/>
      <c r="CC68" s="3">
        <v>30</v>
      </c>
      <c r="CD68" s="3">
        <f t="shared" si="46"/>
        <v>8.7090410597288365E-2</v>
      </c>
      <c r="CE68" s="3">
        <v>-6.6124676611004074E-9</v>
      </c>
      <c r="CF68" s="3">
        <f t="shared" si="47"/>
        <v>8.7090415805276739E-2</v>
      </c>
      <c r="CG68" s="3">
        <v>9.8094346031446511E-9</v>
      </c>
      <c r="CH68" s="6">
        <f t="shared" si="35"/>
        <v>8.7090413201282552E-2</v>
      </c>
      <c r="CI68" s="3">
        <v>1.5984836371218947E-9</v>
      </c>
      <c r="CJ68" s="3">
        <f t="shared" si="36"/>
        <v>-1.0569921357266687E-17</v>
      </c>
      <c r="CK68" s="3">
        <f t="shared" si="37"/>
        <v>1.5680220702544032E-17</v>
      </c>
      <c r="CL68" s="3">
        <f t="shared" si="38"/>
        <v>5.2079883738898047E-9</v>
      </c>
    </row>
    <row r="69" spans="24:90" x14ac:dyDescent="0.2">
      <c r="X69" s="3">
        <v>30</v>
      </c>
      <c r="Y69" s="3">
        <f t="shared" si="48"/>
        <v>5.6109031662344933E-2</v>
      </c>
      <c r="Z69" s="3">
        <f t="shared" si="39"/>
        <v>7.5574882463236293E-10</v>
      </c>
      <c r="AA69" s="3">
        <f t="shared" si="49"/>
        <v>5.6109032593667507E-2</v>
      </c>
      <c r="AB69" s="3">
        <f t="shared" si="29"/>
        <v>-1.9268413253836769E-10</v>
      </c>
      <c r="AC69" s="3">
        <f t="shared" si="40"/>
        <v>5.610903212800622E-2</v>
      </c>
      <c r="AD69" s="3">
        <f t="shared" si="30"/>
        <v>2.8153233910810371E-10</v>
      </c>
      <c r="AE69" s="3">
        <f t="shared" si="41"/>
        <v>2.127677343769492E-19</v>
      </c>
      <c r="AF69" s="3">
        <f t="shared" si="42"/>
        <v>-5.4246814542542534E-20</v>
      </c>
      <c r="AG69" s="3">
        <f t="shared" si="43"/>
        <v>9.3132257461547852E-10</v>
      </c>
      <c r="AI69" s="3">
        <v>20</v>
      </c>
      <c r="AJ69" s="3">
        <f t="shared" si="54"/>
        <v>480.95273971557617</v>
      </c>
      <c r="AK69" s="3">
        <v>5.1664834916664404E-2</v>
      </c>
      <c r="AL69" s="3">
        <f t="shared" si="55"/>
        <v>480.95550537109375</v>
      </c>
      <c r="AM69" s="3">
        <v>-1.8368504457612289E-2</v>
      </c>
      <c r="AN69" s="3">
        <f t="shared" si="50"/>
        <v>480.95412254333496</v>
      </c>
      <c r="AO69" s="3">
        <v>1.6648215570057801E-2</v>
      </c>
      <c r="AP69" s="3">
        <f t="shared" si="51"/>
        <v>8.6012730908407824E-4</v>
      </c>
      <c r="AQ69" s="3">
        <f t="shared" si="52"/>
        <v>-3.05802821909897E-4</v>
      </c>
      <c r="AR69" s="3">
        <f t="shared" si="53"/>
        <v>2.765655517578125E-3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 s="3" t="s">
        <v>208</v>
      </c>
      <c r="BK69" s="3">
        <f>IF(BK64&lt;$BD$43, $AY$44*BK64^2 + $AZ$44*BK64 + $BA$44, IF(BK64&gt;$BE$43, $BF$44*BK64^2 + $BG$44*BK64 + $BH$44, $BB$44*BK64^3 + $BC$44*BK64^2 + $BD$44*BK64 + $BE$44))</f>
        <v>0.25754445361652967</v>
      </c>
      <c r="BL69" s="3"/>
      <c r="BM69" s="3"/>
      <c r="BN69" s="3" t="s">
        <v>208</v>
      </c>
      <c r="BO69" s="3">
        <f>IF(BO64&lt;$BD$43, $AY$44*BO64^2 + $AZ$44*BO64 + $BA$44, IF(BO64&gt;$BE$43, $BF$44*BO64^2 + $BG$44*BO64 + $BH$44, $BB$44*BO64^3 + $BC$44*BO64^2 + $BD$44*BO64 + $BE$44))</f>
        <v>0.17277988978752803</v>
      </c>
      <c r="BP69" s="3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</row>
    <row r="70" spans="24:90" x14ac:dyDescent="0.2">
      <c r="AI70" s="3">
        <v>21</v>
      </c>
      <c r="AJ70" s="3">
        <f t="shared" si="54"/>
        <v>480.95412254333496</v>
      </c>
      <c r="AK70" s="3">
        <v>1.6648215570057801E-2</v>
      </c>
      <c r="AL70" s="3">
        <f t="shared" si="55"/>
        <v>480.95550537109375</v>
      </c>
      <c r="AM70" s="3">
        <v>-1.8368504457612289E-2</v>
      </c>
      <c r="AN70" s="3">
        <f t="shared" si="50"/>
        <v>480.95481395721436</v>
      </c>
      <c r="AO70" s="3">
        <v>-8.6013186137279263E-4</v>
      </c>
      <c r="AP70" s="3">
        <f t="shared" si="51"/>
        <v>-1.4319660646809324E-5</v>
      </c>
      <c r="AQ70" s="3">
        <f t="shared" si="52"/>
        <v>1.5799335929760496E-5</v>
      </c>
      <c r="AR70" s="3">
        <f t="shared" si="53"/>
        <v>1.3828277587890625E-3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 s="3" t="s">
        <v>209</v>
      </c>
      <c r="BK70" s="3">
        <f>IF(BK64&lt;$BD$43, $AY$45*BK64^2 + $AZ$45*BK64 + $BA$45, IF(BK64&gt;$BE$43, $BF$45*BK64^2 + $BG$45*BK64 + $BH$45, $BB$45*BK64^3 + $BC$45*BK64^2 + $BD$45*BK64 + $BE$45))</f>
        <v>4.8654864149694785E-3</v>
      </c>
      <c r="BL70" s="3"/>
      <c r="BM70" s="3"/>
      <c r="BN70" s="3" t="s">
        <v>209</v>
      </c>
      <c r="BO70" s="3">
        <f>IF(BO64&lt;$BD$43, $AY$45*BO64^2 + $AZ$45*BO64 + $BA$45, IF(BO64&gt;$BE$43, $BF$45*BO64^2 + $BG$45*BO64 + $BH$45, $BB$45*BO64^3 + $BC$45*BO64^2 + $BD$45*BO64 + $BE$45))</f>
        <v>6.301957147997847E-3</v>
      </c>
      <c r="BP70" s="3"/>
      <c r="BQ70"/>
      <c r="BR70" s="61" t="s">
        <v>232</v>
      </c>
      <c r="BS70" s="61"/>
      <c r="BT70" s="61"/>
      <c r="BU70" s="61"/>
      <c r="BV70" s="61"/>
      <c r="BW70" s="61"/>
      <c r="BX70" s="61"/>
      <c r="BY70" s="61"/>
      <c r="BZ70" s="61"/>
      <c r="CA70" s="61"/>
      <c r="CB70"/>
      <c r="CC70" s="61" t="s">
        <v>233</v>
      </c>
      <c r="CD70" s="61"/>
      <c r="CE70" s="61"/>
      <c r="CF70" s="61"/>
      <c r="CG70" s="61"/>
      <c r="CH70" s="61"/>
      <c r="CI70" s="61"/>
      <c r="CJ70" s="61"/>
      <c r="CK70" s="61"/>
      <c r="CL70" s="61"/>
    </row>
    <row r="71" spans="24:90" x14ac:dyDescent="0.2">
      <c r="AI71" s="3">
        <v>22</v>
      </c>
      <c r="AJ71" s="3">
        <f t="shared" si="54"/>
        <v>480.95412254333496</v>
      </c>
      <c r="AK71" s="3">
        <v>1.6648215570057801E-2</v>
      </c>
      <c r="AL71" s="3">
        <f t="shared" si="55"/>
        <v>480.95481395721436</v>
      </c>
      <c r="AM71" s="3">
        <v>-8.6013186137279263E-4</v>
      </c>
      <c r="AN71" s="3">
        <f t="shared" si="50"/>
        <v>480.95446825027466</v>
      </c>
      <c r="AO71" s="3">
        <v>7.8940450011941721E-3</v>
      </c>
      <c r="AP71" s="3">
        <f t="shared" si="51"/>
        <v>1.3142176289961777E-4</v>
      </c>
      <c r="AQ71" s="3">
        <f t="shared" si="52"/>
        <v>-6.7899196206377324E-6</v>
      </c>
      <c r="AR71" s="3">
        <f t="shared" si="53"/>
        <v>6.9141387939453125E-4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s="3" t="s">
        <v>211</v>
      </c>
      <c r="BK71" s="3">
        <f xml:space="preserve"> BK69*COS(BK61) - BK70*SIN(BK61)</f>
        <v>0.25701060723252811</v>
      </c>
      <c r="BL71" s="3"/>
      <c r="BM71" s="3"/>
      <c r="BN71" s="3" t="s">
        <v>211</v>
      </c>
      <c r="BO71" s="3">
        <f xml:space="preserve"> BO69*COS(BO61) - BO70*SIN(BO61)</f>
        <v>0.17241807790555316</v>
      </c>
      <c r="BP71" s="3"/>
      <c r="BQ71"/>
      <c r="BR71" s="8" t="s">
        <v>45</v>
      </c>
      <c r="BS71" s="8" t="s">
        <v>46</v>
      </c>
      <c r="BT71" s="8" t="s">
        <v>47</v>
      </c>
      <c r="BU71" s="8" t="s">
        <v>48</v>
      </c>
      <c r="BV71" s="8" t="s">
        <v>49</v>
      </c>
      <c r="BW71" s="8" t="s">
        <v>50</v>
      </c>
      <c r="BX71" s="8" t="s">
        <v>51</v>
      </c>
      <c r="BY71" s="8" t="s">
        <v>52</v>
      </c>
      <c r="BZ71" s="8" t="s">
        <v>53</v>
      </c>
      <c r="CA71" s="8" t="s">
        <v>54</v>
      </c>
      <c r="CB71"/>
      <c r="CC71" s="8" t="s">
        <v>45</v>
      </c>
      <c r="CD71" s="8" t="s">
        <v>46</v>
      </c>
      <c r="CE71" s="8" t="s">
        <v>47</v>
      </c>
      <c r="CF71" s="8" t="s">
        <v>48</v>
      </c>
      <c r="CG71" s="8" t="s">
        <v>49</v>
      </c>
      <c r="CH71" s="8" t="s">
        <v>50</v>
      </c>
      <c r="CI71" s="8" t="s">
        <v>51</v>
      </c>
      <c r="CJ71" s="8" t="s">
        <v>52</v>
      </c>
      <c r="CK71" s="8" t="s">
        <v>53</v>
      </c>
      <c r="CL71" s="8" t="s">
        <v>54</v>
      </c>
    </row>
    <row r="72" spans="24:90" x14ac:dyDescent="0.2">
      <c r="AI72" s="3">
        <v>23</v>
      </c>
      <c r="AJ72" s="3">
        <f t="shared" si="54"/>
        <v>480.95446825027466</v>
      </c>
      <c r="AK72" s="3">
        <v>7.8940450011941721E-3</v>
      </c>
      <c r="AL72" s="3">
        <f t="shared" si="55"/>
        <v>480.95481395721436</v>
      </c>
      <c r="AM72" s="3">
        <v>-8.6013186137279263E-4</v>
      </c>
      <c r="AN72" s="3">
        <f t="shared" si="50"/>
        <v>480.95464110374451</v>
      </c>
      <c r="AO72" s="3">
        <v>3.5169573584425962E-3</v>
      </c>
      <c r="AP72" s="3">
        <f t="shared" si="51"/>
        <v>2.7763019654826837E-5</v>
      </c>
      <c r="AQ72" s="3">
        <f t="shared" si="52"/>
        <v>-3.0250470790859701E-6</v>
      </c>
      <c r="AR72" s="3">
        <f t="shared" si="53"/>
        <v>3.4570693969726562E-4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 s="3" t="s">
        <v>213</v>
      </c>
      <c r="BK72" s="3">
        <f xml:space="preserve"> BK69*SIN(BK61) + BK70*COS(BK61)</f>
        <v>1.727328332015219E-2</v>
      </c>
      <c r="BL72" s="3"/>
      <c r="BM72" s="3"/>
      <c r="BN72" s="3" t="s">
        <v>213</v>
      </c>
      <c r="BO72" s="3">
        <f xml:space="preserve"> BO69*SIN(BO61) + BO70*COS(BO61)</f>
        <v>1.2830097047183041E-2</v>
      </c>
      <c r="BP72" s="3"/>
      <c r="BQ72"/>
      <c r="BR72" s="31">
        <v>0</v>
      </c>
      <c r="BS72" s="31"/>
      <c r="BT72" s="31">
        <f>$BK$58</f>
        <v>-4.6739072811705085E-9</v>
      </c>
      <c r="BU72" s="31"/>
      <c r="BV72" s="31">
        <f>$BK$58</f>
        <v>-4.6739072811705085E-9</v>
      </c>
      <c r="BW72" s="31"/>
      <c r="BX72" s="31">
        <f>$BK$58</f>
        <v>-4.6739072811705085E-9</v>
      </c>
      <c r="BY72" s="31"/>
      <c r="BZ72" s="31"/>
      <c r="CA72" s="31"/>
      <c r="CB72"/>
      <c r="CC72" s="31">
        <v>0</v>
      </c>
      <c r="CD72" s="31"/>
      <c r="CE72" s="31">
        <f>$BO$58</f>
        <v>-5.8689761518564143E-9</v>
      </c>
      <c r="CF72" s="31"/>
      <c r="CG72" s="31">
        <f>$BO$58</f>
        <v>-5.8689761518564143E-9</v>
      </c>
      <c r="CH72" s="31"/>
      <c r="CI72" s="31">
        <f>$BO$58</f>
        <v>-5.8689761518564143E-9</v>
      </c>
      <c r="CJ72" s="31"/>
      <c r="CK72" s="31"/>
      <c r="CL72" s="31"/>
    </row>
    <row r="73" spans="24:90" x14ac:dyDescent="0.2">
      <c r="AI73" s="3">
        <v>24</v>
      </c>
      <c r="AJ73" s="3">
        <f t="shared" si="54"/>
        <v>480.95464110374451</v>
      </c>
      <c r="AK73" s="3">
        <v>3.5169573584425962E-3</v>
      </c>
      <c r="AL73" s="3">
        <f t="shared" si="55"/>
        <v>480.95481395721436</v>
      </c>
      <c r="AM73" s="3">
        <v>-8.6013186137279263E-4</v>
      </c>
      <c r="AN73" s="3">
        <f t="shared" si="50"/>
        <v>480.95472753047943</v>
      </c>
      <c r="AO73" s="3">
        <v>1.3284129454405047E-3</v>
      </c>
      <c r="AP73" s="3">
        <f t="shared" si="51"/>
        <v>4.6719716835173857E-6</v>
      </c>
      <c r="AQ73" s="3">
        <f t="shared" si="52"/>
        <v>-1.1426102994334554E-6</v>
      </c>
      <c r="AR73" s="3">
        <f t="shared" si="53"/>
        <v>1.7285346984863281E-4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s="3" t="s">
        <v>39</v>
      </c>
      <c r="BK73" s="3">
        <f xml:space="preserve"> 4*BK68*SIN(BK61)*SIN(BK61) / (BK65*BK71)</f>
        <v>1.0671021647243863</v>
      </c>
      <c r="BL73" s="3"/>
      <c r="BM73" s="3"/>
      <c r="BN73" s="3" t="s">
        <v>39</v>
      </c>
      <c r="BO73" s="3">
        <f xml:space="preserve"> 4*BO68*SIN(BO61)*SIN(BO61) / (BO65*BO71)</f>
        <v>1.0762336564226711</v>
      </c>
      <c r="BP73" s="3"/>
      <c r="BQ73"/>
      <c r="BR73" s="3">
        <v>1</v>
      </c>
      <c r="BS73" s="4">
        <f>0.01*PI()</f>
        <v>3.1415926535897934E-2</v>
      </c>
      <c r="BT73" s="3">
        <f t="dataTable" ref="BT73:BT102" dt2D="0" dtr="0" r1="BK42" ca="1"/>
        <v>-0.24026099911679483</v>
      </c>
      <c r="BU73" s="4">
        <f>0.9*PI()</f>
        <v>2.8274333882308138</v>
      </c>
      <c r="BV73" s="3">
        <f t="dataTable" ref="BV73:BV102" dt2D="0" dtr="0" r1="BK42"/>
        <v>0.30800867072773819</v>
      </c>
      <c r="BW73" s="3">
        <f t="shared" ref="BW73:BW102" si="56">(BS73+BU73)/2</f>
        <v>1.4294246573833558</v>
      </c>
      <c r="BX73" s="3">
        <f t="dataTable" ref="BX73:BX102" dt2D="0" dtr="0" r1="BK42" ca="1"/>
        <v>1.0127192216395335</v>
      </c>
      <c r="BY73" s="3">
        <f t="shared" ref="BY73:BY102" si="57">BT73*BX73</f>
        <v>-0.2433169320158971</v>
      </c>
      <c r="BZ73" s="3">
        <f t="shared" ref="BZ73:BZ102" si="58">BV73*BX73</f>
        <v>0.31192630127762239</v>
      </c>
      <c r="CA73" s="3">
        <f t="shared" ref="CA73:CA102" si="59">BU73-BS73</f>
        <v>2.7960174616949161</v>
      </c>
      <c r="CB73"/>
      <c r="CC73" s="3">
        <v>1</v>
      </c>
      <c r="CD73" s="4">
        <f>0.01*PI()</f>
        <v>3.1415926535897934E-2</v>
      </c>
      <c r="CE73" s="3">
        <f t="dataTable" ref="CE73:CE102" dt2D="0" dtr="0" r1="BO42" ca="1"/>
        <v>-0.14182198705590748</v>
      </c>
      <c r="CF73" s="4">
        <f>0.9*PI()</f>
        <v>2.8274333882308138</v>
      </c>
      <c r="CG73" s="3">
        <f t="dataTable" ref="CG73:CG102" dt2D="0" dtr="0" r1="BO42" ca="1"/>
        <v>0.30740911811427335</v>
      </c>
      <c r="CH73" s="3">
        <f t="shared" ref="CH73:CH102" si="60">(CD73+CF73)/2</f>
        <v>1.4294246573833558</v>
      </c>
      <c r="CI73" s="3">
        <f t="dataTable" ref="CI73:CI102" dt2D="0" dtr="0" r1="BO42"/>
        <v>1.0124589472254617</v>
      </c>
      <c r="CJ73" s="3">
        <f t="shared" ref="CJ73:CJ102" si="61">CE73*CI73</f>
        <v>-0.14358893970804715</v>
      </c>
      <c r="CK73" s="3">
        <f t="shared" ref="CK73:CK102" si="62">CG73*CI73</f>
        <v>0.31123911209348482</v>
      </c>
      <c r="CL73" s="3">
        <f t="shared" ref="CL73:CL102" si="63">CF73-CD73</f>
        <v>2.7960174616949161</v>
      </c>
    </row>
    <row r="74" spans="24:90" x14ac:dyDescent="0.2">
      <c r="AI74" s="3">
        <v>25</v>
      </c>
      <c r="AJ74" s="3">
        <f t="shared" si="54"/>
        <v>480.95472753047943</v>
      </c>
      <c r="AK74" s="3">
        <v>1.3284129454405047E-3</v>
      </c>
      <c r="AL74" s="3">
        <f t="shared" si="55"/>
        <v>480.95481395721436</v>
      </c>
      <c r="AM74" s="3">
        <v>-8.6013186137279263E-4</v>
      </c>
      <c r="AN74" s="3">
        <f t="shared" si="50"/>
        <v>480.95477074384689</v>
      </c>
      <c r="AO74" s="3">
        <v>2.3414059069182258E-4</v>
      </c>
      <c r="AP74" s="3">
        <f t="shared" si="51"/>
        <v>3.1103539172810367E-7</v>
      </c>
      <c r="AQ74" s="3">
        <f t="shared" si="52"/>
        <v>-2.0139178209468252E-7</v>
      </c>
      <c r="AR74" s="3">
        <f t="shared" si="53"/>
        <v>8.6426734924316406E-5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 s="3" t="s">
        <v>215</v>
      </c>
      <c r="BK74" s="3">
        <f xml:space="preserve"> 4*BK68*SIN(BK61)*COS(BK61) / (BK65*BK72)</f>
        <v>329.03093578653875</v>
      </c>
      <c r="BL74" s="3"/>
      <c r="BM74" s="3"/>
      <c r="BN74" s="3" t="s">
        <v>215</v>
      </c>
      <c r="BO74" s="3">
        <f xml:space="preserve"> 4*BO68*SIN(BO61)*COS(BO61) / (BO65*BO72)</f>
        <v>382.25472415017884</v>
      </c>
      <c r="BP74" s="3"/>
      <c r="BQ74"/>
      <c r="BR74" s="3">
        <v>2</v>
      </c>
      <c r="BS74" s="3">
        <f t="shared" ref="BS74:BS102" si="64">IF(BY73&gt;0,BW73,BS73)</f>
        <v>3.1415926535897934E-2</v>
      </c>
      <c r="BT74" s="3">
        <v>-0.24026099911679483</v>
      </c>
      <c r="BU74" s="3">
        <f t="shared" ref="BU74:BU102" si="65">IF(BZ73&gt;0,BW73,BU73)</f>
        <v>1.4294246573833558</v>
      </c>
      <c r="BV74" s="3">
        <v>1.0127192216395335</v>
      </c>
      <c r="BW74" s="3">
        <f t="shared" si="56"/>
        <v>0.73042029195962688</v>
      </c>
      <c r="BX74" s="3">
        <v>0.68055062050447368</v>
      </c>
      <c r="BY74" s="3">
        <f t="shared" si="57"/>
        <v>-0.16350977203195952</v>
      </c>
      <c r="BZ74" s="3">
        <f t="shared" si="58"/>
        <v>0.68920669468359219</v>
      </c>
      <c r="CA74" s="3">
        <f t="shared" si="59"/>
        <v>1.3980087308474578</v>
      </c>
      <c r="CB74"/>
      <c r="CC74" s="3">
        <v>2</v>
      </c>
      <c r="CD74" s="3">
        <f t="shared" ref="CD74:CD102" si="66">IF(CJ73&gt;0,CH73,CD73)</f>
        <v>3.1415926535897934E-2</v>
      </c>
      <c r="CE74" s="3">
        <v>-0.14182198705590748</v>
      </c>
      <c r="CF74" s="3">
        <f t="shared" ref="CF74:CF102" si="67">IF(CK73&gt;0,CH73,CF73)</f>
        <v>1.4294246573833558</v>
      </c>
      <c r="CG74" s="3">
        <v>1.0124589472254617</v>
      </c>
      <c r="CH74" s="3">
        <f t="shared" si="60"/>
        <v>0.73042029195962688</v>
      </c>
      <c r="CI74" s="3">
        <v>0.68047962094713721</v>
      </c>
      <c r="CJ74" s="3">
        <f t="shared" si="61"/>
        <v>-9.6506971993773727E-2</v>
      </c>
      <c r="CK74" s="3">
        <f t="shared" si="62"/>
        <v>0.68895768063251983</v>
      </c>
      <c r="CL74" s="3">
        <f t="shared" si="63"/>
        <v>1.3980087308474578</v>
      </c>
    </row>
    <row r="75" spans="24:90" x14ac:dyDescent="0.2">
      <c r="AI75" s="3">
        <v>26</v>
      </c>
      <c r="AJ75" s="3">
        <f t="shared" si="54"/>
        <v>480.95477074384689</v>
      </c>
      <c r="AK75" s="3">
        <v>2.3414059069182258E-4</v>
      </c>
      <c r="AL75" s="3">
        <f t="shared" si="55"/>
        <v>480.95481395721436</v>
      </c>
      <c r="AM75" s="3">
        <v>-8.6013186137279263E-4</v>
      </c>
      <c r="AN75" s="3">
        <f t="shared" si="50"/>
        <v>480.95479235053062</v>
      </c>
      <c r="AO75" s="3">
        <v>-3.1299562215281185E-4</v>
      </c>
      <c r="AP75" s="3">
        <f t="shared" si="51"/>
        <v>-7.3284979854813872E-8</v>
      </c>
      <c r="AQ75" s="3">
        <f t="shared" si="52"/>
        <v>2.6921750708383332E-7</v>
      </c>
      <c r="AR75" s="3">
        <f t="shared" si="53"/>
        <v>4.3213367462158203E-5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s="3" t="s">
        <v>46</v>
      </c>
      <c r="BK75" s="3">
        <f>1/(BK73-1)</f>
        <v>14.902648880365835</v>
      </c>
      <c r="BL75" s="3"/>
      <c r="BM75" s="3"/>
      <c r="BN75" s="3" t="s">
        <v>46</v>
      </c>
      <c r="BO75" s="3">
        <f>1/(BO73-1)</f>
        <v>13.117565743607837</v>
      </c>
      <c r="BP75" s="3"/>
      <c r="BQ75"/>
      <c r="BR75" s="3">
        <v>3</v>
      </c>
      <c r="BS75" s="3">
        <f t="shared" si="64"/>
        <v>3.1415926535897934E-2</v>
      </c>
      <c r="BT75" s="3">
        <v>-0.24026099911679483</v>
      </c>
      <c r="BU75" s="3">
        <f t="shared" si="65"/>
        <v>0.73042029195962688</v>
      </c>
      <c r="BV75" s="3">
        <v>0.68055062050447368</v>
      </c>
      <c r="BW75" s="3">
        <f t="shared" si="56"/>
        <v>0.38091810924776243</v>
      </c>
      <c r="BX75" s="3">
        <v>0.38625621242460328</v>
      </c>
      <c r="BY75" s="3">
        <f t="shared" si="57"/>
        <v>-9.2802303512204129E-2</v>
      </c>
      <c r="BZ75" s="3">
        <f t="shared" si="58"/>
        <v>0.26286690503927157</v>
      </c>
      <c r="CA75" s="3">
        <f t="shared" si="59"/>
        <v>0.6990043654237289</v>
      </c>
      <c r="CB75"/>
      <c r="CC75" s="3">
        <v>3</v>
      </c>
      <c r="CD75" s="3">
        <f t="shared" si="66"/>
        <v>3.1415926535897934E-2</v>
      </c>
      <c r="CE75" s="3">
        <v>-0.14182198705590748</v>
      </c>
      <c r="CF75" s="3">
        <f t="shared" si="67"/>
        <v>0.73042029195962688</v>
      </c>
      <c r="CG75" s="3">
        <v>0.68047962094713721</v>
      </c>
      <c r="CH75" s="3">
        <f t="shared" si="60"/>
        <v>0.38091810924776243</v>
      </c>
      <c r="CI75" s="3">
        <v>0.38510037010291198</v>
      </c>
      <c r="CJ75" s="3">
        <f t="shared" si="61"/>
        <v>-5.4615699703960366E-2</v>
      </c>
      <c r="CK75" s="3">
        <f t="shared" si="62"/>
        <v>0.26205295387423178</v>
      </c>
      <c r="CL75" s="3">
        <f t="shared" si="63"/>
        <v>0.6990043654237289</v>
      </c>
    </row>
    <row r="76" spans="24:90" x14ac:dyDescent="0.2">
      <c r="AI76" s="3">
        <v>27</v>
      </c>
      <c r="AJ76" s="3">
        <f t="shared" si="54"/>
        <v>480.95477074384689</v>
      </c>
      <c r="AK76" s="3">
        <v>2.3414059069182258E-4</v>
      </c>
      <c r="AL76" s="3">
        <f t="shared" si="55"/>
        <v>480.95479235053062</v>
      </c>
      <c r="AM76" s="3">
        <v>-3.1299562215281185E-4</v>
      </c>
      <c r="AN76" s="3">
        <f t="shared" si="50"/>
        <v>480.95478154718876</v>
      </c>
      <c r="AO76" s="3">
        <v>-3.9427512092515826E-5</v>
      </c>
      <c r="AP76" s="3">
        <f t="shared" si="51"/>
        <v>-9.2315809708506333E-9</v>
      </c>
      <c r="AQ76" s="3">
        <f t="shared" si="52"/>
        <v>1.2340638677334504E-8</v>
      </c>
      <c r="AR76" s="3">
        <f t="shared" si="53"/>
        <v>2.1606683731079102E-5</v>
      </c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s="3" t="s">
        <v>218</v>
      </c>
      <c r="BK76" s="3">
        <f>1/(BK74+1)</f>
        <v>3.0300189817562789E-3</v>
      </c>
      <c r="BL76" s="3"/>
      <c r="BM76"/>
      <c r="BN76" s="3" t="s">
        <v>218</v>
      </c>
      <c r="BO76" s="3">
        <f>1/(BO74+1)</f>
        <v>2.6092307204232889E-3</v>
      </c>
      <c r="BP76" s="3"/>
      <c r="BQ76"/>
      <c r="BR76" s="3">
        <v>4</v>
      </c>
      <c r="BS76" s="3">
        <f t="shared" si="64"/>
        <v>3.1415926535897934E-2</v>
      </c>
      <c r="BT76" s="3">
        <v>-0.24026099911679483</v>
      </c>
      <c r="BU76" s="3">
        <f t="shared" si="65"/>
        <v>0.38091810924776243</v>
      </c>
      <c r="BV76" s="3">
        <v>0.38625621242460328</v>
      </c>
      <c r="BW76" s="3">
        <f t="shared" si="56"/>
        <v>0.20616701789183017</v>
      </c>
      <c r="BX76" s="3">
        <v>0.22451484119745446</v>
      </c>
      <c r="BY76" s="3">
        <f t="shared" si="57"/>
        <v>-5.3942160062648938E-2</v>
      </c>
      <c r="BZ76" s="3">
        <f t="shared" si="58"/>
        <v>8.6720252194040046E-2</v>
      </c>
      <c r="CA76" s="3">
        <f t="shared" si="59"/>
        <v>0.34950218271186451</v>
      </c>
      <c r="CB76"/>
      <c r="CC76" s="3">
        <v>4</v>
      </c>
      <c r="CD76" s="3">
        <f t="shared" si="66"/>
        <v>3.1415926535897934E-2</v>
      </c>
      <c r="CE76" s="3">
        <v>-0.14182198705590748</v>
      </c>
      <c r="CF76" s="3">
        <f t="shared" si="67"/>
        <v>0.38091810924776243</v>
      </c>
      <c r="CG76" s="3">
        <v>0.38510037010291198</v>
      </c>
      <c r="CH76" s="3">
        <f t="shared" si="60"/>
        <v>0.20616701789183017</v>
      </c>
      <c r="CI76" s="3">
        <v>0.22618224786138547</v>
      </c>
      <c r="CJ76" s="3">
        <f t="shared" si="61"/>
        <v>-3.2077615828473467E-2</v>
      </c>
      <c r="CK76" s="3">
        <f t="shared" si="62"/>
        <v>8.710286736212812E-2</v>
      </c>
      <c r="CL76" s="3">
        <f t="shared" si="63"/>
        <v>0.34950218271186451</v>
      </c>
    </row>
    <row r="77" spans="24:90" x14ac:dyDescent="0.2">
      <c r="AI77" s="3">
        <v>28</v>
      </c>
      <c r="AJ77" s="3">
        <f t="shared" si="54"/>
        <v>480.95477074384689</v>
      </c>
      <c r="AK77" s="3">
        <v>2.3414059069182258E-4</v>
      </c>
      <c r="AL77" s="3">
        <f t="shared" si="55"/>
        <v>480.95478154718876</v>
      </c>
      <c r="AM77" s="3">
        <v>-3.9427512092515826E-5</v>
      </c>
      <c r="AN77" s="3">
        <f t="shared" si="50"/>
        <v>480.95477614551783</v>
      </c>
      <c r="AO77" s="3">
        <v>9.7356541118642781E-5</v>
      </c>
      <c r="AP77" s="3">
        <f t="shared" si="51"/>
        <v>2.2795118045231736E-8</v>
      </c>
      <c r="AQ77" s="3">
        <f t="shared" si="52"/>
        <v>-3.8385262022408025E-9</v>
      </c>
      <c r="AR77" s="3">
        <f t="shared" si="53"/>
        <v>1.0803341865539551E-5</v>
      </c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 s="8" t="s">
        <v>220</v>
      </c>
      <c r="BK77" s="41">
        <f>SIN(BK61)/(1+BK75) - $AU$3*COS(BK61)/($AY$5*$AU$25*(1-BK76))</f>
        <v>-5.8452058341110225E-10</v>
      </c>
      <c r="BL77" s="41"/>
      <c r="BM77"/>
      <c r="BN77" s="8" t="s">
        <v>220</v>
      </c>
      <c r="BO77" s="41">
        <f>SIN(BO61)/(1+BO75) - $AU$3*COS(BO61)/($AY$5*$AU$26*(1-BO76))</f>
        <v>-4.2573090820903492E-9</v>
      </c>
      <c r="BP77" s="41"/>
      <c r="BQ77"/>
      <c r="BR77" s="3">
        <v>5</v>
      </c>
      <c r="BS77" s="3">
        <f t="shared" si="64"/>
        <v>3.1415926535897934E-2</v>
      </c>
      <c r="BT77" s="3">
        <v>-0.24026099911679483</v>
      </c>
      <c r="BU77" s="3">
        <f t="shared" si="65"/>
        <v>0.20616701789183017</v>
      </c>
      <c r="BV77" s="3">
        <v>0.22451484119745446</v>
      </c>
      <c r="BW77" s="3">
        <f t="shared" si="56"/>
        <v>0.11879147221386405</v>
      </c>
      <c r="BX77" s="3">
        <v>0.10477861473829814</v>
      </c>
      <c r="BY77" s="3">
        <f t="shared" si="57"/>
        <v>-2.5174214663097234E-2</v>
      </c>
      <c r="BZ77" s="3">
        <f t="shared" si="58"/>
        <v>2.3524354048858269E-2</v>
      </c>
      <c r="CA77" s="3">
        <f t="shared" si="59"/>
        <v>0.17475109135593225</v>
      </c>
      <c r="CB77"/>
      <c r="CC77" s="3">
        <v>5</v>
      </c>
      <c r="CD77" s="3">
        <f t="shared" si="66"/>
        <v>3.1415926535897934E-2</v>
      </c>
      <c r="CE77" s="3">
        <v>-0.14182198705590748</v>
      </c>
      <c r="CF77" s="3">
        <f t="shared" si="67"/>
        <v>0.20616701789183017</v>
      </c>
      <c r="CG77" s="3">
        <v>0.22618224786138547</v>
      </c>
      <c r="CH77" s="3">
        <f t="shared" si="60"/>
        <v>0.11879147221386405</v>
      </c>
      <c r="CI77" s="3">
        <v>0.11953869073106621</v>
      </c>
      <c r="CJ77" s="3">
        <f t="shared" si="61"/>
        <v>-1.6953214649541401E-2</v>
      </c>
      <c r="CK77" s="3">
        <f t="shared" si="62"/>
        <v>2.703752977595952E-2</v>
      </c>
      <c r="CL77" s="3">
        <f t="shared" si="63"/>
        <v>0.17475109135593225</v>
      </c>
    </row>
    <row r="78" spans="24:90" x14ac:dyDescent="0.2">
      <c r="AI78" s="3">
        <v>29</v>
      </c>
      <c r="AJ78" s="3">
        <f t="shared" si="54"/>
        <v>480.95477614551783</v>
      </c>
      <c r="AK78" s="3">
        <v>9.7356541118642781E-5</v>
      </c>
      <c r="AL78" s="3">
        <f t="shared" si="55"/>
        <v>480.95478154718876</v>
      </c>
      <c r="AM78" s="3">
        <v>-3.9427512092515826E-5</v>
      </c>
      <c r="AN78" s="3">
        <f t="shared" si="50"/>
        <v>480.95477884635329</v>
      </c>
      <c r="AO78" s="3">
        <v>2.8964516786800232E-5</v>
      </c>
      <c r="AP78" s="3">
        <f t="shared" si="51"/>
        <v>2.8198851695357358E-9</v>
      </c>
      <c r="AQ78" s="3">
        <f t="shared" si="52"/>
        <v>-1.1419988358654438E-9</v>
      </c>
      <c r="AR78" s="3">
        <f t="shared" si="53"/>
        <v>5.4016709327697754E-6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 s="3">
        <v>6</v>
      </c>
      <c r="BS78" s="3">
        <f t="shared" si="64"/>
        <v>3.1415926535897934E-2</v>
      </c>
      <c r="BT78" s="3">
        <v>-0.24026099911679483</v>
      </c>
      <c r="BU78" s="3">
        <f t="shared" si="65"/>
        <v>0.11879147221386405</v>
      </c>
      <c r="BV78" s="3">
        <v>0.10477861473829814</v>
      </c>
      <c r="BW78" s="3">
        <f t="shared" si="56"/>
        <v>7.5103699374880983E-2</v>
      </c>
      <c r="BX78" s="3">
        <v>7.6109359935287472E-3</v>
      </c>
      <c r="BY78" s="3">
        <f t="shared" si="57"/>
        <v>-1.8286110860191924E-3</v>
      </c>
      <c r="BZ78" s="3">
        <f t="shared" si="58"/>
        <v>7.9746333026379493E-4</v>
      </c>
      <c r="CA78" s="3">
        <f t="shared" si="59"/>
        <v>8.7375545677966113E-2</v>
      </c>
      <c r="CB78"/>
      <c r="CC78" s="3">
        <v>6</v>
      </c>
      <c r="CD78" s="3">
        <f t="shared" si="66"/>
        <v>3.1415926535897934E-2</v>
      </c>
      <c r="CE78" s="3">
        <v>-0.14182198705590748</v>
      </c>
      <c r="CF78" s="3">
        <f t="shared" si="67"/>
        <v>0.11879147221386405</v>
      </c>
      <c r="CG78" s="3">
        <v>0.11953869073106621</v>
      </c>
      <c r="CH78" s="3">
        <f t="shared" si="60"/>
        <v>7.5103699374880983E-2</v>
      </c>
      <c r="CI78" s="3">
        <v>4.056423178189511E-2</v>
      </c>
      <c r="CJ78" s="3">
        <f t="shared" si="61"/>
        <v>-5.7528999547047594E-3</v>
      </c>
      <c r="CK78" s="3">
        <f t="shared" si="62"/>
        <v>4.8489951577192466E-3</v>
      </c>
      <c r="CL78" s="3">
        <f t="shared" si="63"/>
        <v>8.7375545677966113E-2</v>
      </c>
    </row>
    <row r="79" spans="24:90" x14ac:dyDescent="0.2">
      <c r="AI79" s="3">
        <v>30</v>
      </c>
      <c r="AJ79" s="3">
        <f t="shared" si="54"/>
        <v>480.95477884635329</v>
      </c>
      <c r="AK79" s="3">
        <v>2.8964516786800232E-5</v>
      </c>
      <c r="AL79" s="3">
        <f t="shared" si="55"/>
        <v>480.95478154718876</v>
      </c>
      <c r="AM79" s="3">
        <v>-3.9427512092515826E-5</v>
      </c>
      <c r="AN79" s="6">
        <f t="shared" si="50"/>
        <v>480.95478019677103</v>
      </c>
      <c r="AO79" s="3">
        <v>-5.2314990170998499E-6</v>
      </c>
      <c r="AP79" s="3">
        <f t="shared" si="51"/>
        <v>-1.5152784110091751E-10</v>
      </c>
      <c r="AQ79" s="3">
        <f t="shared" si="52"/>
        <v>2.0626499075868899E-10</v>
      </c>
      <c r="AR79" s="3">
        <f t="shared" si="53"/>
        <v>2.7008354663848877E-6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 s="3">
        <v>7</v>
      </c>
      <c r="BS79" s="3">
        <f t="shared" si="64"/>
        <v>3.1415926535897934E-2</v>
      </c>
      <c r="BT79" s="3">
        <v>-0.24026099911679483</v>
      </c>
      <c r="BU79" s="3">
        <f t="shared" si="65"/>
        <v>7.5103699374880983E-2</v>
      </c>
      <c r="BV79" s="3">
        <v>7.6109359935287472E-3</v>
      </c>
      <c r="BW79" s="3">
        <f t="shared" si="56"/>
        <v>5.3259812955389459E-2</v>
      </c>
      <c r="BX79" s="3">
        <v>-7.4656650354032433E-2</v>
      </c>
      <c r="BY79" s="3">
        <f t="shared" si="57"/>
        <v>1.7937081404773045E-2</v>
      </c>
      <c r="BZ79" s="3">
        <f t="shared" si="58"/>
        <v>-5.6820698733579616E-4</v>
      </c>
      <c r="CA79" s="3">
        <f t="shared" si="59"/>
        <v>4.3687772838983049E-2</v>
      </c>
      <c r="CB79"/>
      <c r="CC79" s="3">
        <v>7</v>
      </c>
      <c r="CD79" s="3">
        <f t="shared" si="66"/>
        <v>3.1415926535897934E-2</v>
      </c>
      <c r="CE79" s="3">
        <v>-0.14182198705590748</v>
      </c>
      <c r="CF79" s="3">
        <f t="shared" si="67"/>
        <v>7.5103699374880983E-2</v>
      </c>
      <c r="CG79" s="3">
        <v>4.056423178189511E-2</v>
      </c>
      <c r="CH79" s="3">
        <f t="shared" si="60"/>
        <v>5.3259812955389459E-2</v>
      </c>
      <c r="CI79" s="3">
        <v>-2.2070325162568464E-2</v>
      </c>
      <c r="CJ79" s="3">
        <f t="shared" si="61"/>
        <v>3.130057369525454E-3</v>
      </c>
      <c r="CK79" s="3">
        <f t="shared" si="62"/>
        <v>-8.952657853962191E-4</v>
      </c>
      <c r="CL79" s="3">
        <f t="shared" si="63"/>
        <v>4.3687772838983049E-2</v>
      </c>
    </row>
    <row r="80" spans="24:90" x14ac:dyDescent="0.2"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 s="3">
        <v>8</v>
      </c>
      <c r="BS80" s="3">
        <f t="shared" si="64"/>
        <v>5.3259812955389459E-2</v>
      </c>
      <c r="BT80" s="3">
        <v>-7.4656650354032433E-2</v>
      </c>
      <c r="BU80" s="3">
        <f t="shared" si="65"/>
        <v>7.5103699374880983E-2</v>
      </c>
      <c r="BV80" s="3">
        <v>7.6109359935287472E-3</v>
      </c>
      <c r="BW80" s="3">
        <f t="shared" si="56"/>
        <v>6.4181756165135218E-2</v>
      </c>
      <c r="BX80" s="3">
        <v>-2.8388193448595916E-2</v>
      </c>
      <c r="BY80" s="3">
        <f t="shared" si="57"/>
        <v>2.1193674324744595E-3</v>
      </c>
      <c r="BZ80" s="3">
        <f t="shared" si="58"/>
        <v>-2.1606072330917564E-4</v>
      </c>
      <c r="CA80" s="3">
        <f t="shared" si="59"/>
        <v>2.1843886419491525E-2</v>
      </c>
      <c r="CB80"/>
      <c r="CC80" s="3">
        <v>8</v>
      </c>
      <c r="CD80" s="3">
        <f t="shared" si="66"/>
        <v>5.3259812955389459E-2</v>
      </c>
      <c r="CE80" s="3">
        <v>-2.2070325162568464E-2</v>
      </c>
      <c r="CF80" s="3">
        <f t="shared" si="67"/>
        <v>7.5103699374880983E-2</v>
      </c>
      <c r="CG80" s="3">
        <v>4.056423178189511E-2</v>
      </c>
      <c r="CH80" s="3">
        <f t="shared" si="60"/>
        <v>6.4181756165135218E-2</v>
      </c>
      <c r="CI80" s="3">
        <v>1.2772013085459251E-2</v>
      </c>
      <c r="CJ80" s="3">
        <f t="shared" si="61"/>
        <v>-2.8188248177666501E-4</v>
      </c>
      <c r="CK80" s="3">
        <f t="shared" si="62"/>
        <v>5.1808689911996637E-4</v>
      </c>
      <c r="CL80" s="3">
        <f t="shared" si="63"/>
        <v>2.1843886419491525E-2</v>
      </c>
    </row>
    <row r="81" spans="46:90" x14ac:dyDescent="0.2"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s="3">
        <v>9</v>
      </c>
      <c r="BS81" s="3">
        <f t="shared" si="64"/>
        <v>6.4181756165135218E-2</v>
      </c>
      <c r="BT81" s="3">
        <v>-2.8388193448595916E-2</v>
      </c>
      <c r="BU81" s="3">
        <f t="shared" si="65"/>
        <v>7.5103699374880983E-2</v>
      </c>
      <c r="BV81" s="3">
        <v>7.6109359935287472E-3</v>
      </c>
      <c r="BW81" s="3">
        <f t="shared" si="56"/>
        <v>6.96427277700081E-2</v>
      </c>
      <c r="BX81" s="3">
        <v>-9.4027817986918685E-3</v>
      </c>
      <c r="BY81" s="3">
        <f t="shared" si="57"/>
        <v>2.6692798865620142E-4</v>
      </c>
      <c r="BZ81" s="3">
        <f t="shared" si="58"/>
        <v>-7.1563970430960923E-5</v>
      </c>
      <c r="CA81" s="3">
        <f t="shared" si="59"/>
        <v>1.0921943209745766E-2</v>
      </c>
      <c r="CB81"/>
      <c r="CC81" s="3">
        <v>9</v>
      </c>
      <c r="CD81" s="3">
        <f t="shared" si="66"/>
        <v>5.3259812955389459E-2</v>
      </c>
      <c r="CE81" s="3">
        <v>-2.2070325162568464E-2</v>
      </c>
      <c r="CF81" s="3">
        <f t="shared" si="67"/>
        <v>6.4181756165135218E-2</v>
      </c>
      <c r="CG81" s="3">
        <v>1.2772013085459251E-2</v>
      </c>
      <c r="CH81" s="3">
        <f t="shared" si="60"/>
        <v>5.8720784560262335E-2</v>
      </c>
      <c r="CI81" s="3">
        <v>-3.5261345963851849E-3</v>
      </c>
      <c r="CJ81" s="3">
        <f t="shared" si="61"/>
        <v>7.7822937109203144E-5</v>
      </c>
      <c r="CK81" s="3">
        <f t="shared" si="62"/>
        <v>-4.5035837206122155E-5</v>
      </c>
      <c r="CL81" s="3">
        <f t="shared" si="63"/>
        <v>1.0921943209745759E-2</v>
      </c>
    </row>
    <row r="82" spans="46:90" x14ac:dyDescent="0.2"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 s="3">
        <v>10</v>
      </c>
      <c r="BS82" s="3">
        <f t="shared" si="64"/>
        <v>6.96427277700081E-2</v>
      </c>
      <c r="BT82" s="3">
        <v>-9.4027817986918685E-3</v>
      </c>
      <c r="BU82" s="3">
        <f t="shared" si="65"/>
        <v>7.5103699374880983E-2</v>
      </c>
      <c r="BV82" s="3">
        <v>7.6109359935287472E-3</v>
      </c>
      <c r="BW82" s="3">
        <f t="shared" si="56"/>
        <v>7.2373213572444542E-2</v>
      </c>
      <c r="BX82" s="3">
        <v>-6.7685427831790405E-4</v>
      </c>
      <c r="BY82" s="3">
        <f t="shared" si="57"/>
        <v>6.3643130885343086E-6</v>
      </c>
      <c r="BZ82" s="3">
        <f t="shared" si="58"/>
        <v>-5.1514945892236602E-6</v>
      </c>
      <c r="CA82" s="3">
        <f t="shared" si="59"/>
        <v>5.4609716048728829E-3</v>
      </c>
      <c r="CB82"/>
      <c r="CC82" s="3">
        <v>10</v>
      </c>
      <c r="CD82" s="3">
        <f t="shared" si="66"/>
        <v>5.8720784560262335E-2</v>
      </c>
      <c r="CE82" s="3">
        <v>-3.5261345963851849E-3</v>
      </c>
      <c r="CF82" s="3">
        <f t="shared" si="67"/>
        <v>6.4181756165135218E-2</v>
      </c>
      <c r="CG82" s="3">
        <v>1.2772013085459251E-2</v>
      </c>
      <c r="CH82" s="3">
        <f t="shared" si="60"/>
        <v>6.1451270362698776E-2</v>
      </c>
      <c r="CI82" s="3">
        <v>4.8667682128750575E-3</v>
      </c>
      <c r="CJ82" s="3">
        <f t="shared" si="61"/>
        <v>-1.716087976800644E-5</v>
      </c>
      <c r="CK82" s="3">
        <f t="shared" si="62"/>
        <v>6.2158427298737365E-5</v>
      </c>
      <c r="CL82" s="3">
        <f t="shared" si="63"/>
        <v>5.4609716048728829E-3</v>
      </c>
    </row>
    <row r="83" spans="46:90" x14ac:dyDescent="0.2"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 s="3">
        <v>11</v>
      </c>
      <c r="BS83" s="3">
        <f t="shared" si="64"/>
        <v>7.2373213572444542E-2</v>
      </c>
      <c r="BT83" s="3">
        <v>-6.7685427831790405E-4</v>
      </c>
      <c r="BU83" s="3">
        <f t="shared" si="65"/>
        <v>7.5103699374880983E-2</v>
      </c>
      <c r="BV83" s="3">
        <v>7.6109359935287472E-3</v>
      </c>
      <c r="BW83" s="3">
        <f t="shared" si="56"/>
        <v>7.3738456473662756E-2</v>
      </c>
      <c r="BX83" s="3">
        <v>3.5188278101047511E-3</v>
      </c>
      <c r="BY83" s="3">
        <f t="shared" si="57"/>
        <v>-2.3817336579334218E-6</v>
      </c>
      <c r="BZ83" s="3">
        <f t="shared" si="58"/>
        <v>2.678157323495619E-5</v>
      </c>
      <c r="CA83" s="3">
        <f t="shared" si="59"/>
        <v>2.7304858024364415E-3</v>
      </c>
      <c r="CB83"/>
      <c r="CC83" s="3">
        <v>11</v>
      </c>
      <c r="CD83" s="3">
        <f t="shared" si="66"/>
        <v>5.8720784560262335E-2</v>
      </c>
      <c r="CE83" s="3">
        <v>-3.5261345963851849E-3</v>
      </c>
      <c r="CF83" s="3">
        <f t="shared" si="67"/>
        <v>6.1451270362698776E-2</v>
      </c>
      <c r="CG83" s="3">
        <v>4.8667682128750575E-3</v>
      </c>
      <c r="CH83" s="3">
        <f t="shared" si="60"/>
        <v>6.0086027461480555E-2</v>
      </c>
      <c r="CI83" s="3">
        <v>7.3536573438355915E-4</v>
      </c>
      <c r="CJ83" s="3">
        <f t="shared" si="61"/>
        <v>-2.5929985570060666E-6</v>
      </c>
      <c r="CK83" s="3">
        <f t="shared" si="62"/>
        <v>3.5788545809354282E-6</v>
      </c>
      <c r="CL83" s="3">
        <f t="shared" si="63"/>
        <v>2.7304858024364415E-3</v>
      </c>
    </row>
    <row r="84" spans="46:90" x14ac:dyDescent="0.2"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 s="3">
        <v>12</v>
      </c>
      <c r="BS84" s="3">
        <f t="shared" si="64"/>
        <v>7.2373213572444542E-2</v>
      </c>
      <c r="BT84" s="3">
        <v>-6.7685427831790405E-4</v>
      </c>
      <c r="BU84" s="3">
        <f t="shared" si="65"/>
        <v>7.3738456473662756E-2</v>
      </c>
      <c r="BV84" s="3">
        <v>3.5188278101047511E-3</v>
      </c>
      <c r="BW84" s="3">
        <f t="shared" si="56"/>
        <v>7.3055835023053656E-2</v>
      </c>
      <c r="BX84" s="3">
        <v>1.4342886185906741E-3</v>
      </c>
      <c r="BY84" s="3">
        <f t="shared" si="57"/>
        <v>-9.708043878357742E-7</v>
      </c>
      <c r="BZ84" s="3">
        <f t="shared" si="58"/>
        <v>5.0470146788135898E-6</v>
      </c>
      <c r="CA84" s="3">
        <f t="shared" si="59"/>
        <v>1.3652429012182138E-3</v>
      </c>
      <c r="CB84"/>
      <c r="CC84" s="3">
        <v>12</v>
      </c>
      <c r="CD84" s="3">
        <f t="shared" si="66"/>
        <v>5.8720784560262335E-2</v>
      </c>
      <c r="CE84" s="3">
        <v>-3.5261345963851849E-3</v>
      </c>
      <c r="CF84" s="3">
        <f t="shared" si="67"/>
        <v>6.0086027461480555E-2</v>
      </c>
      <c r="CG84" s="3">
        <v>7.3536573438355915E-4</v>
      </c>
      <c r="CH84" s="3">
        <f t="shared" si="60"/>
        <v>5.9403406010871448E-2</v>
      </c>
      <c r="CI84" s="3">
        <v>-1.3785696285670349E-3</v>
      </c>
      <c r="CJ84" s="3">
        <f t="shared" si="61"/>
        <v>4.8610220608160956E-6</v>
      </c>
      <c r="CK84" s="3">
        <f t="shared" si="62"/>
        <v>-1.013752867310068E-6</v>
      </c>
      <c r="CL84" s="3">
        <f t="shared" si="63"/>
        <v>1.3652429012182207E-3</v>
      </c>
    </row>
    <row r="85" spans="46:90" x14ac:dyDescent="0.2"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 s="3">
        <v>13</v>
      </c>
      <c r="BS85" s="3">
        <f t="shared" si="64"/>
        <v>7.2373213572444542E-2</v>
      </c>
      <c r="BT85" s="3">
        <v>-6.7685427831790405E-4</v>
      </c>
      <c r="BU85" s="3">
        <f t="shared" si="65"/>
        <v>7.3055835023053656E-2</v>
      </c>
      <c r="BV85" s="3">
        <v>1.4342886185906741E-3</v>
      </c>
      <c r="BW85" s="3">
        <f t="shared" si="56"/>
        <v>7.2714524297749106E-2</v>
      </c>
      <c r="BX85" s="3">
        <v>3.8208848171514612E-4</v>
      </c>
      <c r="BY85" s="3">
        <f t="shared" si="57"/>
        <v>-2.5861822354488892E-7</v>
      </c>
      <c r="BZ85" s="3">
        <f t="shared" si="58"/>
        <v>5.4802516061862499E-7</v>
      </c>
      <c r="CA85" s="3">
        <f t="shared" si="59"/>
        <v>6.8262145060911383E-4</v>
      </c>
      <c r="CB85"/>
      <c r="CC85" s="3">
        <v>13</v>
      </c>
      <c r="CD85" s="3">
        <f t="shared" si="66"/>
        <v>5.9403406010871448E-2</v>
      </c>
      <c r="CE85" s="3">
        <v>-1.3785696285670349E-3</v>
      </c>
      <c r="CF85" s="3">
        <f t="shared" si="67"/>
        <v>6.0086027461480555E-2</v>
      </c>
      <c r="CG85" s="3">
        <v>7.3536573438355915E-4</v>
      </c>
      <c r="CH85" s="3">
        <f t="shared" si="60"/>
        <v>5.9744716736175998E-2</v>
      </c>
      <c r="CI85" s="3">
        <v>-3.1746928964433707E-4</v>
      </c>
      <c r="CJ85" s="3">
        <f t="shared" si="61"/>
        <v>4.3765352070643418E-7</v>
      </c>
      <c r="CK85" s="3">
        <f t="shared" si="62"/>
        <v>-2.3345603732353477E-7</v>
      </c>
      <c r="CL85" s="3">
        <f t="shared" si="63"/>
        <v>6.8262145060910689E-4</v>
      </c>
    </row>
    <row r="86" spans="46:90" x14ac:dyDescent="0.2"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 s="3">
        <v>14</v>
      </c>
      <c r="BS86" s="3">
        <f t="shared" si="64"/>
        <v>7.2373213572444542E-2</v>
      </c>
      <c r="BT86" s="3">
        <v>-6.7685427831790405E-4</v>
      </c>
      <c r="BU86" s="3">
        <f t="shared" si="65"/>
        <v>7.2714524297749106E-2</v>
      </c>
      <c r="BV86" s="3">
        <v>3.8208848171514612E-4</v>
      </c>
      <c r="BW86" s="3">
        <f t="shared" si="56"/>
        <v>7.2543868935096817E-2</v>
      </c>
      <c r="BX86" s="3">
        <v>-1.4653424494501504E-4</v>
      </c>
      <c r="BY86" s="3">
        <f t="shared" si="57"/>
        <v>9.9182330611117133E-8</v>
      </c>
      <c r="BZ86" s="3">
        <f t="shared" si="58"/>
        <v>-5.5989047170316122E-8</v>
      </c>
      <c r="CA86" s="3">
        <f t="shared" si="59"/>
        <v>3.4131072530456386E-4</v>
      </c>
      <c r="CB86"/>
      <c r="CC86" s="3">
        <v>14</v>
      </c>
      <c r="CD86" s="3">
        <f t="shared" si="66"/>
        <v>5.9744716736175998E-2</v>
      </c>
      <c r="CE86" s="3">
        <v>-3.1746928964433707E-4</v>
      </c>
      <c r="CF86" s="3">
        <f t="shared" si="67"/>
        <v>6.0086027461480555E-2</v>
      </c>
      <c r="CG86" s="3">
        <v>7.3536573438355915E-4</v>
      </c>
      <c r="CH86" s="3">
        <f t="shared" si="60"/>
        <v>5.9915372098828273E-2</v>
      </c>
      <c r="CI86" s="3">
        <v>2.0997268329799468E-4</v>
      </c>
      <c r="CJ86" s="3">
        <f t="shared" si="61"/>
        <v>-6.6659878611329734E-8</v>
      </c>
      <c r="CK86" s="3">
        <f t="shared" si="62"/>
        <v>1.5440671645391634E-7</v>
      </c>
      <c r="CL86" s="3">
        <f t="shared" si="63"/>
        <v>3.4131072530455692E-4</v>
      </c>
    </row>
    <row r="87" spans="46:90" x14ac:dyDescent="0.2"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s="3">
        <v>15</v>
      </c>
      <c r="BS87" s="3">
        <f t="shared" si="64"/>
        <v>7.2543868935096817E-2</v>
      </c>
      <c r="BT87" s="3">
        <v>-1.4653424494501504E-4</v>
      </c>
      <c r="BU87" s="3">
        <f t="shared" si="65"/>
        <v>7.2714524297749106E-2</v>
      </c>
      <c r="BV87" s="3">
        <v>3.8208848171514612E-4</v>
      </c>
      <c r="BW87" s="3">
        <f t="shared" si="56"/>
        <v>7.2629196616422961E-2</v>
      </c>
      <c r="BX87" s="3">
        <v>1.1798854926225837E-4</v>
      </c>
      <c r="BY87" s="3">
        <f t="shared" si="57"/>
        <v>-1.7289362978302742E-8</v>
      </c>
      <c r="BZ87" s="3">
        <f t="shared" si="58"/>
        <v>4.5082065647389026E-8</v>
      </c>
      <c r="CA87" s="3">
        <f t="shared" si="59"/>
        <v>1.7065536265228887E-4</v>
      </c>
      <c r="CB87"/>
      <c r="CC87" s="3">
        <v>15</v>
      </c>
      <c r="CD87" s="3">
        <f t="shared" si="66"/>
        <v>5.9744716736175998E-2</v>
      </c>
      <c r="CE87" s="3">
        <v>-3.1746928964433707E-4</v>
      </c>
      <c r="CF87" s="3">
        <f t="shared" si="67"/>
        <v>5.9915372098828273E-2</v>
      </c>
      <c r="CG87" s="3">
        <v>2.0997268329799468E-4</v>
      </c>
      <c r="CH87" s="3">
        <f t="shared" si="60"/>
        <v>5.9830044417502136E-2</v>
      </c>
      <c r="CI87" s="3">
        <v>-5.3491107765270361E-5</v>
      </c>
      <c r="CJ87" s="3">
        <f t="shared" si="61"/>
        <v>1.6981783984529062E-8</v>
      </c>
      <c r="CK87" s="3">
        <f t="shared" si="62"/>
        <v>-1.1231671430056018E-8</v>
      </c>
      <c r="CL87" s="3">
        <f t="shared" si="63"/>
        <v>1.7065536265227499E-4</v>
      </c>
    </row>
    <row r="88" spans="46:90" x14ac:dyDescent="0.2"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s="3">
        <v>16</v>
      </c>
      <c r="BS88" s="3">
        <f t="shared" si="64"/>
        <v>7.2543868935096817E-2</v>
      </c>
      <c r="BT88" s="3">
        <v>-1.4653424494501504E-4</v>
      </c>
      <c r="BU88" s="3">
        <f t="shared" si="65"/>
        <v>7.2629196616422961E-2</v>
      </c>
      <c r="BV88" s="3">
        <v>1.1798854926225837E-4</v>
      </c>
      <c r="BW88" s="3">
        <f t="shared" si="56"/>
        <v>7.2586532775759882E-2</v>
      </c>
      <c r="BX88" s="3">
        <v>-1.4219898833530385E-5</v>
      </c>
      <c r="BY88" s="3">
        <f t="shared" si="57"/>
        <v>2.0837021387658752E-9</v>
      </c>
      <c r="BZ88" s="3">
        <f t="shared" si="58"/>
        <v>-1.6777852340243302E-9</v>
      </c>
      <c r="CA88" s="3">
        <f t="shared" si="59"/>
        <v>8.5327681326144433E-5</v>
      </c>
      <c r="CB88"/>
      <c r="CC88" s="3">
        <v>16</v>
      </c>
      <c r="CD88" s="3">
        <f t="shared" si="66"/>
        <v>5.9830044417502136E-2</v>
      </c>
      <c r="CE88" s="3">
        <v>-5.3491107765270361E-5</v>
      </c>
      <c r="CF88" s="3">
        <f t="shared" si="67"/>
        <v>5.9915372098828273E-2</v>
      </c>
      <c r="CG88" s="3">
        <v>2.0997268329799468E-4</v>
      </c>
      <c r="CH88" s="3">
        <f t="shared" si="60"/>
        <v>5.9872708258165208E-2</v>
      </c>
      <c r="CI88" s="3">
        <v>7.8304951115596398E-5</v>
      </c>
      <c r="CJ88" s="3">
        <f t="shared" si="61"/>
        <v>-4.1886185786785945E-9</v>
      </c>
      <c r="CK88" s="3">
        <f t="shared" si="62"/>
        <v>1.644190070126008E-8</v>
      </c>
      <c r="CL88" s="3">
        <f t="shared" si="63"/>
        <v>8.5327681326137494E-5</v>
      </c>
    </row>
    <row r="89" spans="46:90" x14ac:dyDescent="0.2"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 s="3">
        <v>17</v>
      </c>
      <c r="BS89" s="3">
        <f t="shared" si="64"/>
        <v>7.2586532775759882E-2</v>
      </c>
      <c r="BT89" s="3">
        <v>-1.4219898833530385E-5</v>
      </c>
      <c r="BU89" s="3">
        <f t="shared" si="65"/>
        <v>7.2629196616422961E-2</v>
      </c>
      <c r="BV89" s="3">
        <v>1.1798854926225837E-4</v>
      </c>
      <c r="BW89" s="3">
        <f t="shared" si="56"/>
        <v>7.2607864696091429E-2</v>
      </c>
      <c r="BX89" s="3">
        <v>5.1897551038506892E-5</v>
      </c>
      <c r="BY89" s="3">
        <f t="shared" si="57"/>
        <v>-7.3797792547554782E-10</v>
      </c>
      <c r="BZ89" s="3">
        <f t="shared" si="58"/>
        <v>6.1233167572974383E-9</v>
      </c>
      <c r="CA89" s="3">
        <f t="shared" si="59"/>
        <v>4.2663840663079156E-5</v>
      </c>
      <c r="CB89"/>
      <c r="CC89" s="3">
        <v>17</v>
      </c>
      <c r="CD89" s="3">
        <f t="shared" si="66"/>
        <v>5.9830044417502136E-2</v>
      </c>
      <c r="CE89" s="3">
        <v>-5.3491107765270361E-5</v>
      </c>
      <c r="CF89" s="3">
        <f t="shared" si="67"/>
        <v>5.9872708258165208E-2</v>
      </c>
      <c r="CG89" s="3">
        <v>7.8304951115596398E-5</v>
      </c>
      <c r="CH89" s="3">
        <f t="shared" si="60"/>
        <v>5.9851376337833676E-2</v>
      </c>
      <c r="CI89" s="3">
        <v>1.2422979420141558E-5</v>
      </c>
      <c r="CJ89" s="3">
        <f t="shared" si="61"/>
        <v>-6.645189309285279E-10</v>
      </c>
      <c r="CK89" s="3">
        <f t="shared" si="62"/>
        <v>9.7278079620424485E-10</v>
      </c>
      <c r="CL89" s="3">
        <f t="shared" si="63"/>
        <v>4.2663840663072217E-5</v>
      </c>
    </row>
    <row r="90" spans="46:90" x14ac:dyDescent="0.2"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 s="3">
        <v>18</v>
      </c>
      <c r="BS90" s="3">
        <f t="shared" si="64"/>
        <v>7.2586532775759882E-2</v>
      </c>
      <c r="BT90" s="3">
        <v>-1.4219898833530385E-5</v>
      </c>
      <c r="BU90" s="3">
        <f t="shared" si="65"/>
        <v>7.2607864696091429E-2</v>
      </c>
      <c r="BV90" s="3">
        <v>5.1897551038506892E-5</v>
      </c>
      <c r="BW90" s="3">
        <f t="shared" si="56"/>
        <v>7.2597198735925655E-2</v>
      </c>
      <c r="BX90" s="3">
        <v>1.8842133985948889E-5</v>
      </c>
      <c r="BY90" s="3">
        <f t="shared" si="57"/>
        <v>-2.6793323908801785E-10</v>
      </c>
      <c r="BZ90" s="3">
        <f t="shared" si="58"/>
        <v>9.7786061021016778E-10</v>
      </c>
      <c r="CA90" s="3">
        <f t="shared" si="59"/>
        <v>2.1331920331546517E-5</v>
      </c>
      <c r="CB90"/>
      <c r="CC90" s="3">
        <v>18</v>
      </c>
      <c r="CD90" s="3">
        <f t="shared" si="66"/>
        <v>5.9830044417502136E-2</v>
      </c>
      <c r="CE90" s="3">
        <v>-5.3491107765270361E-5</v>
      </c>
      <c r="CF90" s="3">
        <f t="shared" si="67"/>
        <v>5.9851376337833676E-2</v>
      </c>
      <c r="CG90" s="3">
        <v>1.2422979420141558E-5</v>
      </c>
      <c r="CH90" s="3">
        <f t="shared" si="60"/>
        <v>5.9840710377667902E-2</v>
      </c>
      <c r="CI90" s="3">
        <v>-2.0530047620261407E-5</v>
      </c>
      <c r="CJ90" s="3">
        <f t="shared" si="61"/>
        <v>1.0981749896815353E-9</v>
      </c>
      <c r="CK90" s="3">
        <f t="shared" si="62"/>
        <v>-2.5504435908103363E-10</v>
      </c>
      <c r="CL90" s="3">
        <f t="shared" si="63"/>
        <v>2.1331920331539578E-5</v>
      </c>
    </row>
    <row r="91" spans="46:90" x14ac:dyDescent="0.2"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 s="3">
        <v>19</v>
      </c>
      <c r="BS91" s="3">
        <f t="shared" si="64"/>
        <v>7.2586532775759882E-2</v>
      </c>
      <c r="BT91" s="3">
        <v>-1.4219898833530385E-5</v>
      </c>
      <c r="BU91" s="3">
        <f t="shared" si="65"/>
        <v>7.2597198735925655E-2</v>
      </c>
      <c r="BV91" s="3">
        <v>1.8842133985948889E-5</v>
      </c>
      <c r="BW91" s="3">
        <f t="shared" si="56"/>
        <v>7.2591865755842769E-2</v>
      </c>
      <c r="BX91" s="3">
        <v>2.3119447256263539E-6</v>
      </c>
      <c r="BY91" s="3">
        <f t="shared" si="57"/>
        <v>-3.2875620107120916E-11</v>
      </c>
      <c r="BZ91" s="3">
        <f t="shared" si="58"/>
        <v>4.3561972288359605E-11</v>
      </c>
      <c r="CA91" s="3">
        <f t="shared" si="59"/>
        <v>1.0665960165773258E-5</v>
      </c>
      <c r="CB91"/>
      <c r="CC91" s="3">
        <v>19</v>
      </c>
      <c r="CD91" s="3">
        <f t="shared" si="66"/>
        <v>5.9840710377667902E-2</v>
      </c>
      <c r="CE91" s="3">
        <v>-2.0530047620261407E-5</v>
      </c>
      <c r="CF91" s="3">
        <f t="shared" si="67"/>
        <v>5.9851376337833676E-2</v>
      </c>
      <c r="CG91" s="3">
        <v>1.2422979420141558E-5</v>
      </c>
      <c r="CH91" s="3">
        <f t="shared" si="60"/>
        <v>5.9846043357750789E-2</v>
      </c>
      <c r="CI91" s="3">
        <v>-4.0525302266113637E-6</v>
      </c>
      <c r="CJ91" s="3">
        <f t="shared" si="61"/>
        <v>8.3198638534880055E-11</v>
      </c>
      <c r="CK91" s="3">
        <f t="shared" si="62"/>
        <v>-5.0344499604694577E-11</v>
      </c>
      <c r="CL91" s="3">
        <f t="shared" si="63"/>
        <v>1.0665960165773258E-5</v>
      </c>
    </row>
    <row r="92" spans="46:90" x14ac:dyDescent="0.2"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 s="3">
        <v>20</v>
      </c>
      <c r="BS92" s="3">
        <f t="shared" si="64"/>
        <v>7.2586532775759882E-2</v>
      </c>
      <c r="BT92" s="3">
        <v>-1.4219898833530385E-5</v>
      </c>
      <c r="BU92" s="3">
        <f t="shared" si="65"/>
        <v>7.2591865755842769E-2</v>
      </c>
      <c r="BV92" s="3">
        <v>2.3119447256263539E-6</v>
      </c>
      <c r="BW92" s="3">
        <f t="shared" si="56"/>
        <v>7.2589199265801319E-2</v>
      </c>
      <c r="BX92" s="3">
        <v>-5.9537702443383106E-6</v>
      </c>
      <c r="BY92" s="3">
        <f t="shared" si="57"/>
        <v>8.4662010552574258E-11</v>
      </c>
      <c r="BZ92" s="3">
        <f t="shared" si="58"/>
        <v>-1.3764787713989085E-11</v>
      </c>
      <c r="CA92" s="3">
        <f t="shared" si="59"/>
        <v>5.3329800828866292E-6</v>
      </c>
      <c r="CB92"/>
      <c r="CC92" s="3">
        <v>20</v>
      </c>
      <c r="CD92" s="3">
        <f t="shared" si="66"/>
        <v>5.9846043357750789E-2</v>
      </c>
      <c r="CE92" s="3">
        <v>-4.0525302266113637E-6</v>
      </c>
      <c r="CF92" s="3">
        <f t="shared" si="67"/>
        <v>5.9851376337833676E-2</v>
      </c>
      <c r="CG92" s="3">
        <v>1.2422979420141558E-5</v>
      </c>
      <c r="CH92" s="3">
        <f t="shared" si="60"/>
        <v>5.9848709847792232E-2</v>
      </c>
      <c r="CI92" s="3">
        <v>4.1854755320727861E-6</v>
      </c>
      <c r="CJ92" s="3">
        <f t="shared" si="61"/>
        <v>-1.6961766106467248E-11</v>
      </c>
      <c r="CK92" s="3">
        <f t="shared" si="62"/>
        <v>5.1996076398446256E-11</v>
      </c>
      <c r="CL92" s="3">
        <f t="shared" si="63"/>
        <v>5.3329800828866292E-6</v>
      </c>
    </row>
    <row r="93" spans="46:90" x14ac:dyDescent="0.2"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s="3">
        <v>21</v>
      </c>
      <c r="BS93" s="3">
        <f t="shared" si="64"/>
        <v>7.2589199265801319E-2</v>
      </c>
      <c r="BT93" s="3">
        <v>-5.9537702443383106E-6</v>
      </c>
      <c r="BU93" s="3">
        <f t="shared" si="65"/>
        <v>7.2591865755842769E-2</v>
      </c>
      <c r="BV93" s="3">
        <v>2.3119447256263539E-6</v>
      </c>
      <c r="BW93" s="3">
        <f t="shared" si="56"/>
        <v>7.2590532510822037E-2</v>
      </c>
      <c r="BX93" s="3">
        <v>-1.8208610597265917E-6</v>
      </c>
      <c r="BY93" s="3">
        <f t="shared" si="57"/>
        <v>1.0840988396474505E-11</v>
      </c>
      <c r="BZ93" s="3">
        <f t="shared" si="58"/>
        <v>-4.2097301231333072E-12</v>
      </c>
      <c r="CA93" s="3">
        <f t="shared" si="59"/>
        <v>2.6664900414502535E-6</v>
      </c>
      <c r="CB93"/>
      <c r="CC93" s="3">
        <v>21</v>
      </c>
      <c r="CD93" s="3">
        <f t="shared" si="66"/>
        <v>5.9846043357750789E-2</v>
      </c>
      <c r="CE93" s="3">
        <v>-4.0525302266113637E-6</v>
      </c>
      <c r="CF93" s="3">
        <f t="shared" si="67"/>
        <v>5.9848709847792232E-2</v>
      </c>
      <c r="CG93" s="3">
        <v>4.1854755320727861E-6</v>
      </c>
      <c r="CH93" s="3">
        <f t="shared" si="60"/>
        <v>5.9847376602771507E-2</v>
      </c>
      <c r="CI93" s="3">
        <v>6.653539070308051E-8</v>
      </c>
      <c r="CJ93" s="3">
        <f t="shared" si="61"/>
        <v>-2.6963668196363049E-13</v>
      </c>
      <c r="CK93" s="3">
        <f t="shared" si="62"/>
        <v>2.7848224980464661E-13</v>
      </c>
      <c r="CL93" s="3">
        <f t="shared" si="63"/>
        <v>2.6664900414433146E-6</v>
      </c>
    </row>
    <row r="94" spans="46:90" x14ac:dyDescent="0.2"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 s="3">
        <v>22</v>
      </c>
      <c r="BS94" s="3">
        <f t="shared" si="64"/>
        <v>7.2590532510822037E-2</v>
      </c>
      <c r="BT94" s="3">
        <v>-1.8208610597265917E-6</v>
      </c>
      <c r="BU94" s="3">
        <f t="shared" si="65"/>
        <v>7.2591865755842769E-2</v>
      </c>
      <c r="BV94" s="3">
        <v>2.3119447256263539E-6</v>
      </c>
      <c r="BW94" s="3">
        <f t="shared" si="56"/>
        <v>7.2591199133332396E-2</v>
      </c>
      <c r="BX94" s="3">
        <v>2.4555475745292876E-7</v>
      </c>
      <c r="BY94" s="3">
        <f t="shared" si="57"/>
        <v>-4.4712109587664606E-13</v>
      </c>
      <c r="BZ94" s="3">
        <f t="shared" si="58"/>
        <v>5.6770902634575728E-13</v>
      </c>
      <c r="CA94" s="3">
        <f t="shared" si="59"/>
        <v>1.3332450207320656E-6</v>
      </c>
      <c r="CB94"/>
      <c r="CC94" s="3">
        <v>22</v>
      </c>
      <c r="CD94" s="3">
        <f t="shared" si="66"/>
        <v>5.9846043357750789E-2</v>
      </c>
      <c r="CE94" s="3">
        <v>-4.0525302266113637E-6</v>
      </c>
      <c r="CF94" s="3">
        <f t="shared" si="67"/>
        <v>5.9847376602771507E-2</v>
      </c>
      <c r="CG94" s="3">
        <v>6.653539070308051E-8</v>
      </c>
      <c r="CH94" s="3">
        <f t="shared" si="60"/>
        <v>5.9846709980261148E-2</v>
      </c>
      <c r="CI94" s="3">
        <v>-1.9929817329528837E-6</v>
      </c>
      <c r="CJ94" s="3">
        <f t="shared" si="61"/>
        <v>8.0766187138758587E-12</v>
      </c>
      <c r="CK94" s="3">
        <f t="shared" si="62"/>
        <v>-1.3260381826612258E-13</v>
      </c>
      <c r="CL94" s="3">
        <f t="shared" si="63"/>
        <v>1.3332450207181878E-6</v>
      </c>
    </row>
    <row r="95" spans="46:90" x14ac:dyDescent="0.2"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 s="3">
        <v>23</v>
      </c>
      <c r="BS95" s="3">
        <f t="shared" si="64"/>
        <v>7.2590532510822037E-2</v>
      </c>
      <c r="BT95" s="3">
        <v>-1.8208610597265917E-6</v>
      </c>
      <c r="BU95" s="3">
        <f t="shared" si="65"/>
        <v>7.2591199133332396E-2</v>
      </c>
      <c r="BV95" s="3">
        <v>2.4555475745292876E-7</v>
      </c>
      <c r="BW95" s="3">
        <f t="shared" si="56"/>
        <v>7.2590865822077216E-2</v>
      </c>
      <c r="BX95" s="3">
        <v>-7.8764991995848577E-7</v>
      </c>
      <c r="BY95" s="3">
        <f t="shared" si="57"/>
        <v>1.4342010679491736E-12</v>
      </c>
      <c r="BZ95" s="3">
        <f t="shared" si="58"/>
        <v>-1.9341118505322472E-13</v>
      </c>
      <c r="CA95" s="3">
        <f t="shared" si="59"/>
        <v>6.6662251035909392E-7</v>
      </c>
      <c r="CB95"/>
      <c r="CC95" s="3">
        <v>23</v>
      </c>
      <c r="CD95" s="3">
        <f t="shared" si="66"/>
        <v>5.9846709980261148E-2</v>
      </c>
      <c r="CE95" s="3">
        <v>-1.9929817329528837E-6</v>
      </c>
      <c r="CF95" s="3">
        <f t="shared" si="67"/>
        <v>5.9847376602771507E-2</v>
      </c>
      <c r="CG95" s="3">
        <v>6.653539070308051E-8</v>
      </c>
      <c r="CH95" s="3">
        <f t="shared" si="60"/>
        <v>5.9847043291516328E-2</v>
      </c>
      <c r="CI95" s="3">
        <v>-9.63219249940344E-7</v>
      </c>
      <c r="CJ95" s="3">
        <f t="shared" si="61"/>
        <v>1.9196783699596836E-12</v>
      </c>
      <c r="CK95" s="3">
        <f t="shared" si="62"/>
        <v>-6.4088169127508943E-14</v>
      </c>
      <c r="CL95" s="3">
        <f t="shared" si="63"/>
        <v>6.6662251035909392E-7</v>
      </c>
    </row>
    <row r="96" spans="46:90" x14ac:dyDescent="0.2"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 s="3">
        <v>24</v>
      </c>
      <c r="BS96" s="3">
        <f t="shared" si="64"/>
        <v>7.2590865822077216E-2</v>
      </c>
      <c r="BT96" s="3">
        <v>-7.8764991995848577E-7</v>
      </c>
      <c r="BU96" s="3">
        <f t="shared" si="65"/>
        <v>7.2591199133332396E-2</v>
      </c>
      <c r="BV96" s="3">
        <v>2.4555475745292876E-7</v>
      </c>
      <c r="BW96" s="3">
        <f t="shared" si="56"/>
        <v>7.2591032477704806E-2</v>
      </c>
      <c r="BX96" s="3">
        <v>-2.7104677347879191E-7</v>
      </c>
      <c r="BY96" s="3">
        <f t="shared" si="57"/>
        <v>2.1348996943557628E-13</v>
      </c>
      <c r="BZ96" s="3">
        <f t="shared" si="58"/>
        <v>-6.6556824719983667E-14</v>
      </c>
      <c r="CA96" s="3">
        <f t="shared" si="59"/>
        <v>3.3331125517954696E-7</v>
      </c>
      <c r="CB96"/>
      <c r="CC96" s="3">
        <v>24</v>
      </c>
      <c r="CD96" s="3">
        <f t="shared" si="66"/>
        <v>5.9847043291516328E-2</v>
      </c>
      <c r="CE96" s="3">
        <v>-9.63219249940344E-7</v>
      </c>
      <c r="CF96" s="3">
        <f t="shared" si="67"/>
        <v>5.9847376602771507E-2</v>
      </c>
      <c r="CG96" s="3">
        <v>6.653539070308051E-8</v>
      </c>
      <c r="CH96" s="3">
        <f t="shared" si="60"/>
        <v>5.9847209947143917E-2</v>
      </c>
      <c r="CI96" s="3">
        <v>-4.4834094935480157E-7</v>
      </c>
      <c r="CJ96" s="3">
        <f t="shared" si="61"/>
        <v>4.3185063295507373E-13</v>
      </c>
      <c r="CK96" s="3">
        <f t="shared" si="62"/>
        <v>-2.9830540233511753E-14</v>
      </c>
      <c r="CL96" s="3">
        <f t="shared" si="63"/>
        <v>3.3331125517954696E-7</v>
      </c>
    </row>
    <row r="97" spans="46:90" x14ac:dyDescent="0.2"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 s="3">
        <v>25</v>
      </c>
      <c r="BS97" s="3">
        <f t="shared" si="64"/>
        <v>7.2591032477704806E-2</v>
      </c>
      <c r="BT97" s="3">
        <v>-2.7104677347879191E-7</v>
      </c>
      <c r="BU97" s="3">
        <f t="shared" si="65"/>
        <v>7.2591199133332396E-2</v>
      </c>
      <c r="BV97" s="3">
        <v>2.4555475745292876E-7</v>
      </c>
      <c r="BW97" s="3">
        <f t="shared" si="56"/>
        <v>7.2591115805518608E-2</v>
      </c>
      <c r="BX97" s="3">
        <v>-1.2745806040811991E-8</v>
      </c>
      <c r="BY97" s="3">
        <f t="shared" si="57"/>
        <v>3.4547096027485852E-15</v>
      </c>
      <c r="BZ97" s="3">
        <f t="shared" si="58"/>
        <v>-3.1297933108936628E-15</v>
      </c>
      <c r="CA97" s="3">
        <f t="shared" si="59"/>
        <v>1.6665562758977348E-7</v>
      </c>
      <c r="CB97"/>
      <c r="CC97" s="3">
        <v>25</v>
      </c>
      <c r="CD97" s="3">
        <f t="shared" si="66"/>
        <v>5.9847209947143917E-2</v>
      </c>
      <c r="CE97" s="3">
        <v>-4.4834094935480157E-7</v>
      </c>
      <c r="CF97" s="3">
        <f t="shared" si="67"/>
        <v>5.9847376602771507E-2</v>
      </c>
      <c r="CG97" s="3">
        <v>6.653539070308051E-8</v>
      </c>
      <c r="CH97" s="3">
        <f t="shared" si="60"/>
        <v>5.9847293274957712E-2</v>
      </c>
      <c r="CI97" s="3">
        <v>-1.909025342653782E-7</v>
      </c>
      <c r="CJ97" s="3">
        <f t="shared" si="61"/>
        <v>8.5589423446777206E-14</v>
      </c>
      <c r="CK97" s="3">
        <f t="shared" si="62"/>
        <v>-1.2701774703555153E-14</v>
      </c>
      <c r="CL97" s="3">
        <f t="shared" si="63"/>
        <v>1.6665562758977348E-7</v>
      </c>
    </row>
    <row r="98" spans="46:90" x14ac:dyDescent="0.2"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 s="3">
        <v>26</v>
      </c>
      <c r="BS98" s="3">
        <f t="shared" si="64"/>
        <v>7.2591115805518608E-2</v>
      </c>
      <c r="BT98" s="3">
        <v>-1.2745806040811991E-8</v>
      </c>
      <c r="BU98" s="3">
        <f t="shared" si="65"/>
        <v>7.2591199133332396E-2</v>
      </c>
      <c r="BV98" s="3">
        <v>2.4555475745292876E-7</v>
      </c>
      <c r="BW98" s="3">
        <f t="shared" si="56"/>
        <v>7.2591157469425502E-2</v>
      </c>
      <c r="BX98" s="3">
        <v>1.1640452622207337E-7</v>
      </c>
      <c r="BY98" s="3">
        <f t="shared" si="57"/>
        <v>-1.4836695134991606E-15</v>
      </c>
      <c r="BZ98" s="3">
        <f t="shared" si="58"/>
        <v>2.8583685202884311E-14</v>
      </c>
      <c r="CA98" s="3">
        <f t="shared" si="59"/>
        <v>8.3327813787947846E-8</v>
      </c>
      <c r="CB98"/>
      <c r="CC98" s="3">
        <v>26</v>
      </c>
      <c r="CD98" s="3">
        <f t="shared" si="66"/>
        <v>5.9847293274957712E-2</v>
      </c>
      <c r="CE98" s="3">
        <v>-1.909025342653782E-7</v>
      </c>
      <c r="CF98" s="3">
        <f t="shared" si="67"/>
        <v>5.9847376602771507E-2</v>
      </c>
      <c r="CG98" s="3">
        <v>6.653539070308051E-8</v>
      </c>
      <c r="CH98" s="3">
        <f t="shared" si="60"/>
        <v>5.9847334938864613E-2</v>
      </c>
      <c r="CI98" s="3">
        <v>-6.2183510521340857E-8</v>
      </c>
      <c r="CJ98" s="3">
        <f t="shared" si="61"/>
        <v>1.1870989748041778E-14</v>
      </c>
      <c r="CK98" s="3">
        <f t="shared" si="62"/>
        <v>-4.1374041678265318E-15</v>
      </c>
      <c r="CL98" s="3">
        <f t="shared" si="63"/>
        <v>8.332781379488674E-8</v>
      </c>
    </row>
    <row r="99" spans="46:90" x14ac:dyDescent="0.2"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 s="3">
        <v>27</v>
      </c>
      <c r="BS99" s="3">
        <f t="shared" si="64"/>
        <v>7.2591115805518608E-2</v>
      </c>
      <c r="BT99" s="3">
        <v>-1.2745806040811991E-8</v>
      </c>
      <c r="BU99" s="3">
        <f t="shared" si="65"/>
        <v>7.2591157469425502E-2</v>
      </c>
      <c r="BV99" s="3">
        <v>1.1640452622207337E-7</v>
      </c>
      <c r="BW99" s="3">
        <f t="shared" si="56"/>
        <v>7.2591136637472048E-2</v>
      </c>
      <c r="BX99" s="3">
        <v>5.1829372679085273E-8</v>
      </c>
      <c r="BY99" s="3">
        <f t="shared" si="57"/>
        <v>-6.6060713138458107E-16</v>
      </c>
      <c r="BZ99" s="3">
        <f t="shared" si="58"/>
        <v>6.0331735710961943E-15</v>
      </c>
      <c r="CA99" s="3">
        <f t="shared" si="59"/>
        <v>4.1663906893973923E-8</v>
      </c>
      <c r="CB99"/>
      <c r="CC99" s="3">
        <v>27</v>
      </c>
      <c r="CD99" s="3">
        <f t="shared" si="66"/>
        <v>5.9847334938864613E-2</v>
      </c>
      <c r="CE99" s="3">
        <v>-6.2183510521340857E-8</v>
      </c>
      <c r="CF99" s="3">
        <f t="shared" si="67"/>
        <v>5.9847376602771507E-2</v>
      </c>
      <c r="CG99" s="3">
        <v>6.653539070308051E-8</v>
      </c>
      <c r="CH99" s="3">
        <f t="shared" si="60"/>
        <v>5.984735577081806E-2</v>
      </c>
      <c r="CI99" s="3">
        <v>2.1759553755183736E-9</v>
      </c>
      <c r="CJ99" s="3">
        <f t="shared" si="61"/>
        <v>-1.3530854398751499E-16</v>
      </c>
      <c r="CK99" s="3">
        <f t="shared" si="62"/>
        <v>1.4477804106258325E-16</v>
      </c>
      <c r="CL99" s="3">
        <f t="shared" si="63"/>
        <v>4.1663906893973923E-8</v>
      </c>
    </row>
    <row r="100" spans="46:90" x14ac:dyDescent="0.2"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 s="3">
        <v>28</v>
      </c>
      <c r="BS100" s="3">
        <f t="shared" si="64"/>
        <v>7.2591115805518608E-2</v>
      </c>
      <c r="BT100" s="3">
        <v>-1.2745806040811991E-8</v>
      </c>
      <c r="BU100" s="3">
        <f t="shared" si="65"/>
        <v>7.2591136637472048E-2</v>
      </c>
      <c r="BV100" s="3">
        <v>5.1829372679085273E-8</v>
      </c>
      <c r="BW100" s="3">
        <f t="shared" si="56"/>
        <v>7.2591126221495328E-2</v>
      </c>
      <c r="BX100" s="3">
        <v>1.9541786485006984E-8</v>
      </c>
      <c r="BY100" s="3">
        <f t="shared" si="57"/>
        <v>-2.4907582022886014E-16</v>
      </c>
      <c r="BZ100" s="3">
        <f t="shared" si="58"/>
        <v>1.0128385345465389E-15</v>
      </c>
      <c r="CA100" s="3">
        <f t="shared" si="59"/>
        <v>2.0831953440048068E-8</v>
      </c>
      <c r="CB100"/>
      <c r="CC100" s="3">
        <v>28</v>
      </c>
      <c r="CD100" s="3">
        <f t="shared" si="66"/>
        <v>5.9847334938864613E-2</v>
      </c>
      <c r="CE100" s="3">
        <v>-6.2183510521340857E-8</v>
      </c>
      <c r="CF100" s="3">
        <f t="shared" si="67"/>
        <v>5.984735577081806E-2</v>
      </c>
      <c r="CG100" s="3">
        <v>2.1759553755183736E-9</v>
      </c>
      <c r="CH100" s="3">
        <f t="shared" si="60"/>
        <v>5.9847345354841333E-2</v>
      </c>
      <c r="CI100" s="3">
        <v>-3.0003773732883987E-8</v>
      </c>
      <c r="CJ100" s="3">
        <f t="shared" si="61"/>
        <v>1.8657399795987217E-15</v>
      </c>
      <c r="CK100" s="3">
        <f t="shared" si="62"/>
        <v>-6.5286872739905894E-17</v>
      </c>
      <c r="CL100" s="3">
        <f t="shared" si="63"/>
        <v>2.0831953446986962E-8</v>
      </c>
    </row>
    <row r="101" spans="46:90" x14ac:dyDescent="0.2"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 s="3">
        <v>29</v>
      </c>
      <c r="BS101" s="3">
        <f t="shared" si="64"/>
        <v>7.2591115805518608E-2</v>
      </c>
      <c r="BT101" s="3">
        <v>-1.2745806040811991E-8</v>
      </c>
      <c r="BU101" s="3">
        <f t="shared" si="65"/>
        <v>7.2591126221495328E-2</v>
      </c>
      <c r="BV101" s="3">
        <v>1.9541786485006984E-8</v>
      </c>
      <c r="BW101" s="3">
        <f t="shared" si="56"/>
        <v>7.2591121013506968E-2</v>
      </c>
      <c r="BX101" s="3">
        <v>3.3979910100956356E-9</v>
      </c>
      <c r="BY101" s="3">
        <f t="shared" si="57"/>
        <v>-4.3310134343101795E-17</v>
      </c>
      <c r="BZ101" s="3">
        <f t="shared" si="58"/>
        <v>6.6402814797262121E-17</v>
      </c>
      <c r="CA101" s="3">
        <f t="shared" si="59"/>
        <v>1.0415976720024034E-8</v>
      </c>
      <c r="CB101"/>
      <c r="CC101" s="3">
        <v>29</v>
      </c>
      <c r="CD101" s="3">
        <f t="shared" si="66"/>
        <v>5.9847345354841333E-2</v>
      </c>
      <c r="CE101" s="3">
        <v>-3.0003773732883987E-8</v>
      </c>
      <c r="CF101" s="3">
        <f t="shared" si="67"/>
        <v>5.984735577081806E-2</v>
      </c>
      <c r="CG101" s="3">
        <v>2.1759553755183736E-9</v>
      </c>
      <c r="CH101" s="3">
        <f t="shared" si="60"/>
        <v>5.9847350562829693E-2</v>
      </c>
      <c r="CI101" s="3">
        <v>-1.391390821699548E-8</v>
      </c>
      <c r="CJ101" s="3">
        <f t="shared" si="61"/>
        <v>4.1746975388284763E-16</v>
      </c>
      <c r="CK101" s="3">
        <f t="shared" si="62"/>
        <v>-3.0276043379240582E-17</v>
      </c>
      <c r="CL101" s="3">
        <f t="shared" si="63"/>
        <v>1.0415976726962928E-8</v>
      </c>
    </row>
    <row r="102" spans="46:90" x14ac:dyDescent="0.2"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 s="3">
        <v>30</v>
      </c>
      <c r="BS102" s="3">
        <f t="shared" si="64"/>
        <v>7.2591115805518608E-2</v>
      </c>
      <c r="BT102" s="3">
        <v>-1.2745806040811991E-8</v>
      </c>
      <c r="BU102" s="3">
        <f t="shared" si="65"/>
        <v>7.2591121013506968E-2</v>
      </c>
      <c r="BV102" s="3">
        <v>3.3979910100956356E-9</v>
      </c>
      <c r="BW102" s="6">
        <f t="shared" si="56"/>
        <v>7.2591118409512795E-2</v>
      </c>
      <c r="BX102" s="3">
        <v>-4.6739072811705085E-9</v>
      </c>
      <c r="BY102" s="3">
        <f t="shared" si="57"/>
        <v>5.9572715658538216E-17</v>
      </c>
      <c r="BZ102" s="3">
        <f t="shared" si="58"/>
        <v>-1.5881894923437921E-17</v>
      </c>
      <c r="CA102" s="3">
        <f t="shared" si="59"/>
        <v>5.2079883600120169E-9</v>
      </c>
      <c r="CB102"/>
      <c r="CC102" s="3">
        <v>30</v>
      </c>
      <c r="CD102" s="3">
        <f t="shared" si="66"/>
        <v>5.9847350562829693E-2</v>
      </c>
      <c r="CE102" s="3">
        <v>-1.391390821699548E-8</v>
      </c>
      <c r="CF102" s="3">
        <f t="shared" si="67"/>
        <v>5.984735577081806E-2</v>
      </c>
      <c r="CG102" s="3">
        <v>2.1759553755183736E-9</v>
      </c>
      <c r="CH102" s="6">
        <f t="shared" si="60"/>
        <v>5.984735316682388E-2</v>
      </c>
      <c r="CI102" s="3">
        <v>-5.8689761518564143E-9</v>
      </c>
      <c r="CJ102" s="3">
        <f t="shared" si="61"/>
        <v>8.1660395504665476E-17</v>
      </c>
      <c r="CK102" s="3">
        <f t="shared" si="62"/>
        <v>-1.2770630206421103E-17</v>
      </c>
      <c r="CL102" s="3">
        <f t="shared" si="63"/>
        <v>5.2079883669509108E-9</v>
      </c>
    </row>
    <row r="103" spans="46:90" x14ac:dyDescent="0.2"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</row>
    <row r="104" spans="46:90" x14ac:dyDescent="0.2"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s="61" t="s">
        <v>234</v>
      </c>
      <c r="BS104" s="61"/>
      <c r="BT104" s="61"/>
      <c r="BU104" s="61"/>
      <c r="BV104" s="61"/>
      <c r="BW104" s="61"/>
      <c r="BX104" s="61"/>
      <c r="BY104" s="61"/>
      <c r="BZ104" s="61"/>
      <c r="CA104" s="61"/>
      <c r="CB104"/>
      <c r="CC104" s="61" t="s">
        <v>242</v>
      </c>
      <c r="CD104" s="61"/>
      <c r="CE104" s="61"/>
      <c r="CF104" s="61"/>
      <c r="CG104" s="61"/>
      <c r="CH104" s="61"/>
      <c r="CI104" s="61"/>
      <c r="CJ104" s="61"/>
      <c r="CK104" s="61"/>
      <c r="CL104" s="61"/>
    </row>
    <row r="105" spans="46:90" x14ac:dyDescent="0.2"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 s="8" t="s">
        <v>45</v>
      </c>
      <c r="BS105" s="8" t="s">
        <v>46</v>
      </c>
      <c r="BT105" s="8" t="s">
        <v>47</v>
      </c>
      <c r="BU105" s="8" t="s">
        <v>48</v>
      </c>
      <c r="BV105" s="8" t="s">
        <v>49</v>
      </c>
      <c r="BW105" s="8" t="s">
        <v>50</v>
      </c>
      <c r="BX105" s="8" t="s">
        <v>51</v>
      </c>
      <c r="BY105" s="8" t="s">
        <v>52</v>
      </c>
      <c r="BZ105" s="8" t="s">
        <v>53</v>
      </c>
      <c r="CA105" s="8" t="s">
        <v>54</v>
      </c>
      <c r="CB105"/>
      <c r="CC105" s="8" t="s">
        <v>45</v>
      </c>
      <c r="CD105" s="8" t="s">
        <v>46</v>
      </c>
      <c r="CE105" s="8" t="s">
        <v>47</v>
      </c>
      <c r="CF105" s="8" t="s">
        <v>48</v>
      </c>
      <c r="CG105" s="8" t="s">
        <v>49</v>
      </c>
      <c r="CH105" s="8" t="s">
        <v>50</v>
      </c>
      <c r="CI105" s="8" t="s">
        <v>51</v>
      </c>
      <c r="CJ105" s="8" t="s">
        <v>52</v>
      </c>
      <c r="CK105" s="8" t="s">
        <v>53</v>
      </c>
      <c r="CL105" s="8" t="s">
        <v>54</v>
      </c>
    </row>
    <row r="106" spans="46:90" x14ac:dyDescent="0.2"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s="31">
        <v>0</v>
      </c>
      <c r="BS106" s="31"/>
      <c r="BT106" s="31">
        <f>$BK$77</f>
        <v>-5.8452058341110225E-10</v>
      </c>
      <c r="BU106" s="31"/>
      <c r="BV106" s="31">
        <f>$BK$77</f>
        <v>-5.8452058341110225E-10</v>
      </c>
      <c r="BW106" s="31"/>
      <c r="BX106" s="31">
        <f>$BK$77</f>
        <v>-5.8452058341110225E-10</v>
      </c>
      <c r="BY106" s="31"/>
      <c r="BZ106" s="31"/>
      <c r="CA106" s="31"/>
      <c r="CB106"/>
      <c r="CC106" s="31">
        <v>0</v>
      </c>
      <c r="CD106" s="31"/>
      <c r="CE106" s="31">
        <f>$BO$77</f>
        <v>-4.2573090820903492E-9</v>
      </c>
      <c r="CF106" s="31"/>
      <c r="CG106" s="31">
        <f>$BO$77</f>
        <v>-4.2573090820903492E-9</v>
      </c>
      <c r="CH106" s="31"/>
      <c r="CI106" s="31">
        <f>$BO$77</f>
        <v>-4.2573090820903492E-9</v>
      </c>
      <c r="CJ106" s="31"/>
      <c r="CK106" s="31"/>
      <c r="CL106" s="31"/>
    </row>
    <row r="107" spans="46:90" x14ac:dyDescent="0.2"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 s="3">
        <v>1</v>
      </c>
      <c r="BS107" s="4">
        <f>0.01*PI()</f>
        <v>3.1415926535897934E-2</v>
      </c>
      <c r="BT107" s="3">
        <f t="dataTable" ref="BT107:BT136" dt2D="0" dtr="0" r1="BK61" ca="1"/>
        <v>-7.1678820815312572E-2</v>
      </c>
      <c r="BU107" s="4">
        <f>0.9*PI()</f>
        <v>2.8274333882308138</v>
      </c>
      <c r="BV107" s="3">
        <f t="dataTable" ref="BV107:BV136" dt2D="0" dtr="0" r1="BK61"/>
        <v>0.30636223389752576</v>
      </c>
      <c r="BW107" s="3">
        <f t="shared" ref="BW107:BW136" si="68">(BS107+BU107)/2</f>
        <v>1.4294246573833558</v>
      </c>
      <c r="BX107" s="3">
        <f t="dataTable" ref="BX107:BX136" dt2D="0" dtr="0" r1="BK61" ca="1"/>
        <v>1.0149873663197213</v>
      </c>
      <c r="BY107" s="3">
        <f t="shared" ref="BY107:BY136" si="69">BT107*BX107</f>
        <v>-7.2753097560237331E-2</v>
      </c>
      <c r="BZ107" s="3">
        <f t="shared" ref="BZ107:BZ136" si="70">BV107*BX107</f>
        <v>0.31095379692347613</v>
      </c>
      <c r="CA107" s="3">
        <f t="shared" ref="CA107:CA136" si="71">BU107-BS107</f>
        <v>2.7960174616949161</v>
      </c>
      <c r="CB107"/>
      <c r="CC107" s="3">
        <v>1</v>
      </c>
      <c r="CD107" s="4">
        <f>0.01*PI()</f>
        <v>3.1415926535897934E-2</v>
      </c>
      <c r="CE107" s="3">
        <f t="dataTable" ref="CE107:CE136" dt2D="0" dtr="0" r1="BO61" ca="1"/>
        <v>-2.2757226686988236E-2</v>
      </c>
      <c r="CF107" s="4">
        <f>0.9*PI()</f>
        <v>2.8274333882308138</v>
      </c>
      <c r="CG107" s="3">
        <f t="dataTable" ref="CG107:CG136" dt2D="0" dtr="0" r1="BO61" ca="1"/>
        <v>0.30298022842951661</v>
      </c>
      <c r="CH107" s="3">
        <f t="shared" ref="CH107:CH136" si="72">(CD107+CF107)/2</f>
        <v>1.4294246573833558</v>
      </c>
      <c r="CI107" s="3">
        <f t="dataTable" ref="CI107:CI136" dt2D="0" dtr="0" r1="BO61"/>
        <v>1.0281414487657869</v>
      </c>
      <c r="CJ107" s="3">
        <f t="shared" ref="CJ107:CJ136" si="73">CE107*CI107</f>
        <v>-2.3397648015851515E-2</v>
      </c>
      <c r="CK107" s="3">
        <f t="shared" ref="CK107:CK136" si="74">CG107*CI107</f>
        <v>0.31150653100491227</v>
      </c>
      <c r="CL107" s="3">
        <f t="shared" ref="CL107:CL136" si="75">CF107-CD107</f>
        <v>2.7960174616949161</v>
      </c>
    </row>
    <row r="108" spans="46:90" x14ac:dyDescent="0.2"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 s="3">
        <v>2</v>
      </c>
      <c r="BS108" s="3">
        <f t="shared" ref="BS108:BS136" si="76">IF(BY107&gt;0,BW107,BS107)</f>
        <v>3.1415926535897934E-2</v>
      </c>
      <c r="BT108" s="3">
        <v>-7.1678820815312572E-2</v>
      </c>
      <c r="BU108" s="3">
        <f t="shared" ref="BU108:BU136" si="77">IF(BZ107&gt;0,BW107,BU107)</f>
        <v>1.4294246573833558</v>
      </c>
      <c r="BV108" s="3">
        <v>1.0149873663197213</v>
      </c>
      <c r="BW108" s="3">
        <f t="shared" si="68"/>
        <v>0.73042029195962688</v>
      </c>
      <c r="BX108" s="3">
        <v>0.68231488477358915</v>
      </c>
      <c r="BY108" s="3">
        <f t="shared" si="69"/>
        <v>-4.8907526365306743E-2</v>
      </c>
      <c r="BZ108" s="3">
        <f t="shared" si="70"/>
        <v>0.6925409878970894</v>
      </c>
      <c r="CA108" s="3">
        <f t="shared" si="71"/>
        <v>1.3980087308474578</v>
      </c>
      <c r="CB108"/>
      <c r="CC108" s="3">
        <v>2</v>
      </c>
      <c r="CD108" s="3">
        <f t="shared" ref="CD108:CD136" si="78">IF(CJ107&gt;0,CH107,CD107)</f>
        <v>3.1415926535897934E-2</v>
      </c>
      <c r="CE108" s="3">
        <v>-2.2757226686988236E-2</v>
      </c>
      <c r="CF108" s="3">
        <f t="shared" ref="CF108:CF136" si="79">IF(CK107&gt;0,CH107,CF107)</f>
        <v>1.4294246573833558</v>
      </c>
      <c r="CG108" s="3">
        <v>1.0281414487657869</v>
      </c>
      <c r="CH108" s="3">
        <f t="shared" si="72"/>
        <v>0.73042029195962688</v>
      </c>
      <c r="CI108" s="3">
        <v>0.69135147670760699</v>
      </c>
      <c r="CJ108" s="3">
        <f t="shared" si="73"/>
        <v>-1.5733242275819081E-2</v>
      </c>
      <c r="CK108" s="3">
        <f t="shared" si="74"/>
        <v>0.71080710886852527</v>
      </c>
      <c r="CL108" s="3">
        <f t="shared" si="75"/>
        <v>1.3980087308474578</v>
      </c>
    </row>
    <row r="109" spans="46:90" x14ac:dyDescent="0.2"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 s="3">
        <v>3</v>
      </c>
      <c r="BS109" s="3">
        <f t="shared" si="76"/>
        <v>3.1415926535897934E-2</v>
      </c>
      <c r="BT109" s="3">
        <v>-7.1678820815312572E-2</v>
      </c>
      <c r="BU109" s="3">
        <f t="shared" si="77"/>
        <v>0.73042029195962688</v>
      </c>
      <c r="BV109" s="3">
        <v>0.68231488477358915</v>
      </c>
      <c r="BW109" s="3">
        <f t="shared" si="68"/>
        <v>0.38091810924776243</v>
      </c>
      <c r="BX109" s="3">
        <v>0.3860297450371224</v>
      </c>
      <c r="BY109" s="3">
        <f t="shared" si="69"/>
        <v>-2.7670156923896693E-2</v>
      </c>
      <c r="BZ109" s="3">
        <f t="shared" si="70"/>
        <v>0.26339384100418217</v>
      </c>
      <c r="CA109" s="3">
        <f t="shared" si="71"/>
        <v>0.6990043654237289</v>
      </c>
      <c r="CB109"/>
      <c r="CC109" s="3">
        <v>3</v>
      </c>
      <c r="CD109" s="3">
        <f t="shared" si="78"/>
        <v>3.1415926535897934E-2</v>
      </c>
      <c r="CE109" s="3">
        <v>-2.2757226686988236E-2</v>
      </c>
      <c r="CF109" s="3">
        <f t="shared" si="79"/>
        <v>0.73042029195962688</v>
      </c>
      <c r="CG109" s="3">
        <v>0.69135147670760699</v>
      </c>
      <c r="CH109" s="3">
        <f t="shared" si="72"/>
        <v>0.38091810924776243</v>
      </c>
      <c r="CI109" s="3">
        <v>0.39372226568105145</v>
      </c>
      <c r="CJ109" s="3">
        <f t="shared" si="73"/>
        <v>-8.9600268518182959E-3</v>
      </c>
      <c r="CK109" s="3">
        <f t="shared" si="74"/>
        <v>0.27220046979125967</v>
      </c>
      <c r="CL109" s="3">
        <f t="shared" si="75"/>
        <v>0.6990043654237289</v>
      </c>
    </row>
    <row r="110" spans="46:90" x14ac:dyDescent="0.2"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 s="3">
        <v>4</v>
      </c>
      <c r="BS110" s="3">
        <f t="shared" si="76"/>
        <v>3.1415926535897934E-2</v>
      </c>
      <c r="BT110" s="3">
        <v>-7.1678820815312572E-2</v>
      </c>
      <c r="BU110" s="3">
        <f t="shared" si="77"/>
        <v>0.38091810924776243</v>
      </c>
      <c r="BV110" s="3">
        <v>0.3860297450371224</v>
      </c>
      <c r="BW110" s="3">
        <f t="shared" si="68"/>
        <v>0.20616701789183017</v>
      </c>
      <c r="BX110" s="3">
        <v>0.22874457729872247</v>
      </c>
      <c r="BY110" s="3">
        <f t="shared" si="69"/>
        <v>-1.6396141568669545E-2</v>
      </c>
      <c r="BZ110" s="3">
        <f t="shared" si="70"/>
        <v>8.8302210853250171E-2</v>
      </c>
      <c r="CA110" s="3">
        <f t="shared" si="71"/>
        <v>0.34950218271186451</v>
      </c>
      <c r="CB110"/>
      <c r="CC110" s="3">
        <v>4</v>
      </c>
      <c r="CD110" s="3">
        <f t="shared" si="78"/>
        <v>3.1415926535897934E-2</v>
      </c>
      <c r="CE110" s="3">
        <v>-2.2757226686988236E-2</v>
      </c>
      <c r="CF110" s="3">
        <f t="shared" si="79"/>
        <v>0.38091810924776243</v>
      </c>
      <c r="CG110" s="3">
        <v>0.39372226568105145</v>
      </c>
      <c r="CH110" s="3">
        <f t="shared" si="72"/>
        <v>0.20616701789183017</v>
      </c>
      <c r="CI110" s="3">
        <v>0.23515839233941535</v>
      </c>
      <c r="CJ110" s="3">
        <f t="shared" si="73"/>
        <v>-5.3515528418157932E-3</v>
      </c>
      <c r="CK110" s="3">
        <f t="shared" si="74"/>
        <v>9.2587095025788227E-2</v>
      </c>
      <c r="CL110" s="3">
        <f t="shared" si="75"/>
        <v>0.34950218271186451</v>
      </c>
    </row>
    <row r="111" spans="46:90" x14ac:dyDescent="0.2"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 s="3">
        <v>5</v>
      </c>
      <c r="BS111" s="3">
        <f t="shared" si="76"/>
        <v>3.1415926535897934E-2</v>
      </c>
      <c r="BT111" s="3">
        <v>-7.1678820815312572E-2</v>
      </c>
      <c r="BU111" s="3">
        <f t="shared" si="77"/>
        <v>0.20616701789183017</v>
      </c>
      <c r="BV111" s="3">
        <v>0.22874457729872247</v>
      </c>
      <c r="BW111" s="3">
        <f t="shared" si="68"/>
        <v>0.11879147221386405</v>
      </c>
      <c r="BX111" s="3">
        <v>0.12967914599619645</v>
      </c>
      <c r="BY111" s="3">
        <f t="shared" si="69"/>
        <v>-9.2952482693441241E-3</v>
      </c>
      <c r="BZ111" s="3">
        <f t="shared" si="70"/>
        <v>2.9663401435359275E-2</v>
      </c>
      <c r="CA111" s="3">
        <f t="shared" si="71"/>
        <v>0.17475109135593225</v>
      </c>
      <c r="CB111"/>
      <c r="CC111" s="3">
        <v>5</v>
      </c>
      <c r="CD111" s="3">
        <f t="shared" si="78"/>
        <v>3.1415926535897934E-2</v>
      </c>
      <c r="CE111" s="3">
        <v>-2.2757226686988236E-2</v>
      </c>
      <c r="CF111" s="3">
        <f t="shared" si="79"/>
        <v>0.20616701789183017</v>
      </c>
      <c r="CG111" s="3">
        <v>0.23515839233941535</v>
      </c>
      <c r="CH111" s="3">
        <f t="shared" si="72"/>
        <v>0.11879147221386405</v>
      </c>
      <c r="CI111" s="3">
        <v>0.14359166607062088</v>
      </c>
      <c r="CJ111" s="3">
        <f t="shared" si="73"/>
        <v>-3.2677480951314366E-3</v>
      </c>
      <c r="CK111" s="3">
        <f t="shared" si="74"/>
        <v>3.376678534650538E-2</v>
      </c>
      <c r="CL111" s="3">
        <f t="shared" si="75"/>
        <v>0.17475109135593225</v>
      </c>
    </row>
    <row r="112" spans="46:90" x14ac:dyDescent="0.2"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 s="3">
        <v>6</v>
      </c>
      <c r="BS112" s="3">
        <f t="shared" si="76"/>
        <v>3.1415926535897934E-2</v>
      </c>
      <c r="BT112" s="3">
        <v>-7.1678820815312572E-2</v>
      </c>
      <c r="BU112" s="3">
        <f t="shared" si="77"/>
        <v>0.11879147221386405</v>
      </c>
      <c r="BV112" s="3">
        <v>0.12967914599619645</v>
      </c>
      <c r="BW112" s="3">
        <f t="shared" si="68"/>
        <v>7.5103699374880983E-2</v>
      </c>
      <c r="BX112" s="3">
        <v>6.3073306399817508E-2</v>
      </c>
      <c r="BY112" s="3">
        <f t="shared" si="69"/>
        <v>-4.5210202276618266E-3</v>
      </c>
      <c r="BZ112" s="3">
        <f t="shared" si="70"/>
        <v>8.1792925090847669E-3</v>
      </c>
      <c r="CA112" s="3">
        <f t="shared" si="71"/>
        <v>8.7375545677966113E-2</v>
      </c>
      <c r="CB112"/>
      <c r="CC112" s="3">
        <v>6</v>
      </c>
      <c r="CD112" s="3">
        <f t="shared" si="78"/>
        <v>3.1415926535897934E-2</v>
      </c>
      <c r="CE112" s="3">
        <v>-2.2757226686988236E-2</v>
      </c>
      <c r="CF112" s="3">
        <f t="shared" si="79"/>
        <v>0.11879147221386405</v>
      </c>
      <c r="CG112" s="3">
        <v>0.14359166607062088</v>
      </c>
      <c r="CH112" s="3">
        <f t="shared" si="72"/>
        <v>7.5103699374880983E-2</v>
      </c>
      <c r="CI112" s="3">
        <v>8.0415886952459881E-2</v>
      </c>
      <c r="CJ112" s="3">
        <f t="shared" si="73"/>
        <v>-1.8300425686123491E-3</v>
      </c>
      <c r="CK112" s="3">
        <f t="shared" si="74"/>
        <v>1.1547051186050417E-2</v>
      </c>
      <c r="CL112" s="3">
        <f t="shared" si="75"/>
        <v>8.7375545677966113E-2</v>
      </c>
    </row>
    <row r="113" spans="46:90" x14ac:dyDescent="0.2"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 s="3">
        <v>7</v>
      </c>
      <c r="BS113" s="3">
        <f t="shared" si="76"/>
        <v>3.1415926535897934E-2</v>
      </c>
      <c r="BT113" s="3">
        <v>-7.1678820815312572E-2</v>
      </c>
      <c r="BU113" s="3">
        <f t="shared" si="77"/>
        <v>7.5103699374880983E-2</v>
      </c>
      <c r="BV113" s="3">
        <v>6.3073306399817508E-2</v>
      </c>
      <c r="BW113" s="3">
        <f t="shared" si="68"/>
        <v>5.3259812955389459E-2</v>
      </c>
      <c r="BX113" s="3">
        <v>1.4688180860538674E-2</v>
      </c>
      <c r="BY113" s="3">
        <f t="shared" si="69"/>
        <v>-1.0528314840054552E-3</v>
      </c>
      <c r="BZ113" s="3">
        <f t="shared" si="70"/>
        <v>9.2643213187269097E-4</v>
      </c>
      <c r="CA113" s="3">
        <f t="shared" si="71"/>
        <v>4.3687772838983049E-2</v>
      </c>
      <c r="CB113"/>
      <c r="CC113" s="3">
        <v>7</v>
      </c>
      <c r="CD113" s="3">
        <f t="shared" si="78"/>
        <v>3.1415926535897934E-2</v>
      </c>
      <c r="CE113" s="3">
        <v>-2.2757226686988236E-2</v>
      </c>
      <c r="CF113" s="3">
        <f t="shared" si="79"/>
        <v>7.5103699374880983E-2</v>
      </c>
      <c r="CG113" s="3">
        <v>8.0415886952459881E-2</v>
      </c>
      <c r="CH113" s="3">
        <f t="shared" si="72"/>
        <v>5.3259812955389459E-2</v>
      </c>
      <c r="CI113" s="3">
        <v>3.9590695668155637E-2</v>
      </c>
      <c r="CJ113" s="3">
        <f t="shared" si="73"/>
        <v>-9.0097443601578101E-4</v>
      </c>
      <c r="CK113" s="3">
        <f t="shared" si="74"/>
        <v>3.1837209072196468E-3</v>
      </c>
      <c r="CL113" s="3">
        <f t="shared" si="75"/>
        <v>4.3687772838983049E-2</v>
      </c>
    </row>
    <row r="114" spans="46:90" x14ac:dyDescent="0.2"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 s="3">
        <v>8</v>
      </c>
      <c r="BS114" s="3">
        <f t="shared" si="76"/>
        <v>3.1415926535897934E-2</v>
      </c>
      <c r="BT114" s="3">
        <v>-7.1678820815312572E-2</v>
      </c>
      <c r="BU114" s="3">
        <f t="shared" si="77"/>
        <v>5.3259812955389459E-2</v>
      </c>
      <c r="BV114" s="3">
        <v>1.4688180860538674E-2</v>
      </c>
      <c r="BW114" s="3">
        <f t="shared" si="68"/>
        <v>4.23378697456437E-2</v>
      </c>
      <c r="BX114" s="3">
        <v>-2.0086733958210045E-2</v>
      </c>
      <c r="BY114" s="3">
        <f t="shared" si="69"/>
        <v>1.4397934041553921E-3</v>
      </c>
      <c r="BZ114" s="3">
        <f t="shared" si="70"/>
        <v>-2.95037581275713E-4</v>
      </c>
      <c r="CA114" s="3">
        <f t="shared" si="71"/>
        <v>2.1843886419491525E-2</v>
      </c>
      <c r="CB114"/>
      <c r="CC114" s="3">
        <v>8</v>
      </c>
      <c r="CD114" s="3">
        <f t="shared" si="78"/>
        <v>3.1415926535897934E-2</v>
      </c>
      <c r="CE114" s="3">
        <v>-2.2757226686988236E-2</v>
      </c>
      <c r="CF114" s="3">
        <f t="shared" si="79"/>
        <v>5.3259812955389459E-2</v>
      </c>
      <c r="CG114" s="3">
        <v>3.9590695668155637E-2</v>
      </c>
      <c r="CH114" s="3">
        <f t="shared" si="72"/>
        <v>4.23378697456437E-2</v>
      </c>
      <c r="CI114" s="3">
        <v>1.3226747375162107E-2</v>
      </c>
      <c r="CJ114" s="3">
        <f t="shared" si="73"/>
        <v>-3.0100408834809068E-4</v>
      </c>
      <c r="CK114" s="3">
        <f t="shared" si="74"/>
        <v>5.2365613000961934E-4</v>
      </c>
      <c r="CL114" s="3">
        <f t="shared" si="75"/>
        <v>2.1843886419491525E-2</v>
      </c>
    </row>
    <row r="115" spans="46:90" x14ac:dyDescent="0.2"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 s="3">
        <v>9</v>
      </c>
      <c r="BS115" s="3">
        <f t="shared" si="76"/>
        <v>4.23378697456437E-2</v>
      </c>
      <c r="BT115" s="3">
        <v>-2.0086733958210045E-2</v>
      </c>
      <c r="BU115" s="3">
        <f t="shared" si="77"/>
        <v>5.3259812955389459E-2</v>
      </c>
      <c r="BV115" s="3">
        <v>1.4688180860538674E-2</v>
      </c>
      <c r="BW115" s="3">
        <f t="shared" si="68"/>
        <v>4.7798841350516583E-2</v>
      </c>
      <c r="BX115" s="3">
        <v>-1.3143176409301162E-3</v>
      </c>
      <c r="BY115" s="3">
        <f t="shared" si="69"/>
        <v>2.6400348789945481E-5</v>
      </c>
      <c r="BZ115" s="3">
        <f t="shared" si="70"/>
        <v>-1.9304935218178074E-5</v>
      </c>
      <c r="CA115" s="3">
        <f t="shared" si="71"/>
        <v>1.0921943209745759E-2</v>
      </c>
      <c r="CB115"/>
      <c r="CC115" s="3">
        <v>9</v>
      </c>
      <c r="CD115" s="3">
        <f t="shared" si="78"/>
        <v>3.1415926535897934E-2</v>
      </c>
      <c r="CE115" s="3">
        <v>-2.2757226686988236E-2</v>
      </c>
      <c r="CF115" s="3">
        <f t="shared" si="79"/>
        <v>4.23378697456437E-2</v>
      </c>
      <c r="CG115" s="3">
        <v>1.3226747375162107E-2</v>
      </c>
      <c r="CH115" s="3">
        <f t="shared" si="72"/>
        <v>3.6876898140770817E-2</v>
      </c>
      <c r="CI115" s="3">
        <v>-3.0040005967061261E-3</v>
      </c>
      <c r="CJ115" s="3">
        <f t="shared" si="73"/>
        <v>6.8362722547089238E-5</v>
      </c>
      <c r="CK115" s="3">
        <f t="shared" si="74"/>
        <v>-3.9733157007468157E-5</v>
      </c>
      <c r="CL115" s="3">
        <f t="shared" si="75"/>
        <v>1.0921943209745766E-2</v>
      </c>
    </row>
    <row r="116" spans="46:90" x14ac:dyDescent="0.2"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s="3">
        <v>10</v>
      </c>
      <c r="BS116" s="3">
        <f t="shared" si="76"/>
        <v>4.7798841350516583E-2</v>
      </c>
      <c r="BT116" s="3">
        <v>-1.3143176409301162E-3</v>
      </c>
      <c r="BU116" s="3">
        <f t="shared" si="77"/>
        <v>5.3259812955389459E-2</v>
      </c>
      <c r="BV116" s="3">
        <v>1.4688180860538674E-2</v>
      </c>
      <c r="BW116" s="3">
        <f t="shared" si="68"/>
        <v>5.0529327152953024E-2</v>
      </c>
      <c r="BX116" s="3">
        <v>6.9772462190373571E-3</v>
      </c>
      <c r="BY116" s="3">
        <f t="shared" si="69"/>
        <v>-9.1703177907937517E-6</v>
      </c>
      <c r="BZ116" s="3">
        <f t="shared" si="70"/>
        <v>1.0248305437373033E-4</v>
      </c>
      <c r="CA116" s="3">
        <f t="shared" si="71"/>
        <v>5.460971604872876E-3</v>
      </c>
      <c r="CB116"/>
      <c r="CC116" s="3">
        <v>10</v>
      </c>
      <c r="CD116" s="3">
        <f t="shared" si="78"/>
        <v>3.6876898140770817E-2</v>
      </c>
      <c r="CE116" s="3">
        <v>-3.0040005967061261E-3</v>
      </c>
      <c r="CF116" s="3">
        <f t="shared" si="79"/>
        <v>4.23378697456437E-2</v>
      </c>
      <c r="CG116" s="3">
        <v>1.3226747375162107E-2</v>
      </c>
      <c r="CH116" s="3">
        <f t="shared" si="72"/>
        <v>3.9607383943207258E-2</v>
      </c>
      <c r="CI116" s="3">
        <v>5.4565046773145196E-3</v>
      </c>
      <c r="CJ116" s="3">
        <f t="shared" si="73"/>
        <v>-1.6391343306582584E-5</v>
      </c>
      <c r="CK116" s="3">
        <f t="shared" si="74"/>
        <v>7.2171808918229584E-5</v>
      </c>
      <c r="CL116" s="3">
        <f t="shared" si="75"/>
        <v>5.4609716048728829E-3</v>
      </c>
    </row>
    <row r="117" spans="46:90" x14ac:dyDescent="0.2"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 s="3">
        <v>11</v>
      </c>
      <c r="BS117" s="3">
        <f t="shared" si="76"/>
        <v>4.7798841350516583E-2</v>
      </c>
      <c r="BT117" s="3">
        <v>-1.3143176409301162E-3</v>
      </c>
      <c r="BU117" s="3">
        <f t="shared" si="77"/>
        <v>5.0529327152953024E-2</v>
      </c>
      <c r="BV117" s="3">
        <v>6.9772462190373571E-3</v>
      </c>
      <c r="BW117" s="3">
        <f t="shared" si="68"/>
        <v>4.9164084251734803E-2</v>
      </c>
      <c r="BX117" s="3">
        <v>2.9100710327485341E-3</v>
      </c>
      <c r="BY117" s="3">
        <f t="shared" si="69"/>
        <v>-3.8247576947011208E-6</v>
      </c>
      <c r="BZ117" s="3">
        <f t="shared" si="70"/>
        <v>2.0304282110374846E-5</v>
      </c>
      <c r="CA117" s="3">
        <f t="shared" si="71"/>
        <v>2.7304858024364415E-3</v>
      </c>
      <c r="CB117"/>
      <c r="CC117" s="3">
        <v>11</v>
      </c>
      <c r="CD117" s="3">
        <f t="shared" si="78"/>
        <v>3.6876898140770817E-2</v>
      </c>
      <c r="CE117" s="3">
        <v>-3.0040005967061261E-3</v>
      </c>
      <c r="CF117" s="3">
        <f t="shared" si="79"/>
        <v>3.9607383943207258E-2</v>
      </c>
      <c r="CG117" s="3">
        <v>5.4565046773145196E-3</v>
      </c>
      <c r="CH117" s="3">
        <f t="shared" si="72"/>
        <v>3.8242141041989038E-2</v>
      </c>
      <c r="CI117" s="3">
        <v>1.3222090097365345E-3</v>
      </c>
      <c r="CJ117" s="3">
        <f t="shared" si="73"/>
        <v>-3.9719166542187654E-6</v>
      </c>
      <c r="CK117" s="3">
        <f t="shared" si="74"/>
        <v>7.2146396460147997E-6</v>
      </c>
      <c r="CL117" s="3">
        <f t="shared" si="75"/>
        <v>2.7304858024364415E-3</v>
      </c>
    </row>
    <row r="118" spans="46:90" x14ac:dyDescent="0.2"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 s="3">
        <v>12</v>
      </c>
      <c r="BS118" s="3">
        <f t="shared" si="76"/>
        <v>4.7798841350516583E-2</v>
      </c>
      <c r="BT118" s="3">
        <v>-1.3143176409301162E-3</v>
      </c>
      <c r="BU118" s="3">
        <f t="shared" si="77"/>
        <v>4.9164084251734803E-2</v>
      </c>
      <c r="BV118" s="3">
        <v>2.9100710327485341E-3</v>
      </c>
      <c r="BW118" s="3">
        <f t="shared" si="68"/>
        <v>4.8481462801125697E-2</v>
      </c>
      <c r="BX118" s="3">
        <v>8.1835548409200584E-4</v>
      </c>
      <c r="BY118" s="3">
        <f t="shared" si="69"/>
        <v>-1.0755790492940285E-6</v>
      </c>
      <c r="BZ118" s="3">
        <f t="shared" si="70"/>
        <v>2.3814725887470501E-6</v>
      </c>
      <c r="CA118" s="3">
        <f t="shared" si="71"/>
        <v>1.3652429012182207E-3</v>
      </c>
      <c r="CB118"/>
      <c r="CC118" s="3">
        <v>12</v>
      </c>
      <c r="CD118" s="3">
        <f t="shared" si="78"/>
        <v>3.6876898140770817E-2</v>
      </c>
      <c r="CE118" s="3">
        <v>-3.0040005967061261E-3</v>
      </c>
      <c r="CF118" s="3">
        <f t="shared" si="79"/>
        <v>3.8242141041989038E-2</v>
      </c>
      <c r="CG118" s="3">
        <v>1.3222090097365345E-3</v>
      </c>
      <c r="CH118" s="3">
        <f t="shared" si="72"/>
        <v>3.7559519591379931E-2</v>
      </c>
      <c r="CI118" s="3">
        <v>-8.15535279541147E-4</v>
      </c>
      <c r="CJ118" s="3">
        <f t="shared" si="73"/>
        <v>2.449868466376503E-6</v>
      </c>
      <c r="CK118" s="3">
        <f t="shared" si="74"/>
        <v>-1.0783080943673078E-6</v>
      </c>
      <c r="CL118" s="3">
        <f t="shared" si="75"/>
        <v>1.3652429012182207E-3</v>
      </c>
    </row>
    <row r="119" spans="46:90" x14ac:dyDescent="0.2"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s="3">
        <v>13</v>
      </c>
      <c r="BS119" s="3">
        <f t="shared" si="76"/>
        <v>4.7798841350516583E-2</v>
      </c>
      <c r="BT119" s="3">
        <v>-1.3143176409301162E-3</v>
      </c>
      <c r="BU119" s="3">
        <f t="shared" si="77"/>
        <v>4.8481462801125697E-2</v>
      </c>
      <c r="BV119" s="3">
        <v>8.1835548409200584E-4</v>
      </c>
      <c r="BW119" s="3">
        <f t="shared" si="68"/>
        <v>4.814015207582114E-2</v>
      </c>
      <c r="BX119" s="3">
        <v>-2.4275290744273353E-4</v>
      </c>
      <c r="BY119" s="3">
        <f t="shared" si="69"/>
        <v>3.1905442863906038E-7</v>
      </c>
      <c r="BZ119" s="3">
        <f t="shared" si="70"/>
        <v>-1.9865817308504009E-7</v>
      </c>
      <c r="CA119" s="3">
        <f t="shared" si="71"/>
        <v>6.8262145060911383E-4</v>
      </c>
      <c r="CB119"/>
      <c r="CC119" s="3">
        <v>13</v>
      </c>
      <c r="CD119" s="3">
        <f t="shared" si="78"/>
        <v>3.7559519591379931E-2</v>
      </c>
      <c r="CE119" s="3">
        <v>-8.15535279541147E-4</v>
      </c>
      <c r="CF119" s="3">
        <f t="shared" si="79"/>
        <v>3.8242141041989038E-2</v>
      </c>
      <c r="CG119" s="3">
        <v>1.3222090097365345E-3</v>
      </c>
      <c r="CH119" s="3">
        <f t="shared" si="72"/>
        <v>3.7900830316684481E-2</v>
      </c>
      <c r="CI119" s="3">
        <v>2.5949748334477092E-4</v>
      </c>
      <c r="CJ119" s="3">
        <f t="shared" si="73"/>
        <v>-2.1162935261980188E-7</v>
      </c>
      <c r="CK119" s="3">
        <f t="shared" si="74"/>
        <v>3.4310991048241242E-7</v>
      </c>
      <c r="CL119" s="3">
        <f t="shared" si="75"/>
        <v>6.8262145060910689E-4</v>
      </c>
    </row>
    <row r="120" spans="46:90" x14ac:dyDescent="0.2"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s="3">
        <v>14</v>
      </c>
      <c r="BS120" s="3">
        <f t="shared" si="76"/>
        <v>4.814015207582114E-2</v>
      </c>
      <c r="BT120" s="3">
        <v>-2.4275290744273353E-4</v>
      </c>
      <c r="BU120" s="3">
        <f t="shared" si="77"/>
        <v>4.8481462801125697E-2</v>
      </c>
      <c r="BV120" s="3">
        <v>8.1835548409200584E-4</v>
      </c>
      <c r="BW120" s="3">
        <f t="shared" si="68"/>
        <v>4.8310807438473422E-2</v>
      </c>
      <c r="BX120" s="3">
        <v>2.8909453438293172E-4</v>
      </c>
      <c r="BY120" s="3">
        <f t="shared" si="69"/>
        <v>-7.0178538747259971E-8</v>
      </c>
      <c r="BZ120" s="3">
        <f t="shared" si="70"/>
        <v>2.3658209763329713E-7</v>
      </c>
      <c r="CA120" s="3">
        <f t="shared" si="71"/>
        <v>3.4131072530455692E-4</v>
      </c>
      <c r="CB120"/>
      <c r="CC120" s="3">
        <v>14</v>
      </c>
      <c r="CD120" s="3">
        <f t="shared" si="78"/>
        <v>3.7559519591379931E-2</v>
      </c>
      <c r="CE120" s="3">
        <v>-8.15535279541147E-4</v>
      </c>
      <c r="CF120" s="3">
        <f t="shared" si="79"/>
        <v>3.7900830316684481E-2</v>
      </c>
      <c r="CG120" s="3">
        <v>2.5949748334477092E-4</v>
      </c>
      <c r="CH120" s="3">
        <f t="shared" si="72"/>
        <v>3.7730174954032206E-2</v>
      </c>
      <c r="CI120" s="3">
        <v>-2.7645683688334562E-4</v>
      </c>
      <c r="CJ120" s="3">
        <f t="shared" si="73"/>
        <v>2.2546030374872056E-7</v>
      </c>
      <c r="CK120" s="3">
        <f t="shared" si="74"/>
        <v>-7.1739853424684031E-8</v>
      </c>
      <c r="CL120" s="3">
        <f t="shared" si="75"/>
        <v>3.4131072530454998E-4</v>
      </c>
    </row>
    <row r="121" spans="46:90" x14ac:dyDescent="0.2"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 s="3">
        <v>15</v>
      </c>
      <c r="BS121" s="3">
        <f t="shared" si="76"/>
        <v>4.814015207582114E-2</v>
      </c>
      <c r="BT121" s="3">
        <v>-2.4275290744273353E-4</v>
      </c>
      <c r="BU121" s="3">
        <f t="shared" si="77"/>
        <v>4.8310807438473422E-2</v>
      </c>
      <c r="BV121" s="3">
        <v>2.8909453438293172E-4</v>
      </c>
      <c r="BW121" s="3">
        <f t="shared" si="68"/>
        <v>4.8225479757147277E-2</v>
      </c>
      <c r="BX121" s="3">
        <v>2.3495834442339124E-5</v>
      </c>
      <c r="BY121" s="3">
        <f t="shared" si="69"/>
        <v>-5.7036821236709401E-9</v>
      </c>
      <c r="BZ121" s="3">
        <f t="shared" si="70"/>
        <v>6.7925173180464795E-9</v>
      </c>
      <c r="CA121" s="3">
        <f t="shared" si="71"/>
        <v>1.7065536265228193E-4</v>
      </c>
      <c r="CB121"/>
      <c r="CC121" s="3">
        <v>15</v>
      </c>
      <c r="CD121" s="3">
        <f t="shared" si="78"/>
        <v>3.7730174954032206E-2</v>
      </c>
      <c r="CE121" s="3">
        <v>-2.7645683688334562E-4</v>
      </c>
      <c r="CF121" s="3">
        <f t="shared" si="79"/>
        <v>3.7900830316684481E-2</v>
      </c>
      <c r="CG121" s="3">
        <v>2.5949748334477092E-4</v>
      </c>
      <c r="CH121" s="3">
        <f t="shared" si="72"/>
        <v>3.7815502635358343E-2</v>
      </c>
      <c r="CI121" s="3">
        <v>-8.0919322107109691E-6</v>
      </c>
      <c r="CJ121" s="3">
        <f t="shared" si="73"/>
        <v>2.2370699832476127E-9</v>
      </c>
      <c r="CK121" s="3">
        <f t="shared" si="74"/>
        <v>-2.0998360440759852E-9</v>
      </c>
      <c r="CL121" s="3">
        <f t="shared" si="75"/>
        <v>1.7065536265227499E-4</v>
      </c>
    </row>
    <row r="122" spans="46:90" x14ac:dyDescent="0.2"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 s="3">
        <v>16</v>
      </c>
      <c r="BS122" s="3">
        <f t="shared" si="76"/>
        <v>4.814015207582114E-2</v>
      </c>
      <c r="BT122" s="3">
        <v>-2.4275290744273353E-4</v>
      </c>
      <c r="BU122" s="3">
        <f t="shared" si="77"/>
        <v>4.8225479757147277E-2</v>
      </c>
      <c r="BV122" s="3">
        <v>2.3495834442339124E-5</v>
      </c>
      <c r="BW122" s="3">
        <f t="shared" si="68"/>
        <v>4.8182815916484212E-2</v>
      </c>
      <c r="BX122" s="3">
        <v>-1.0954706626170986E-4</v>
      </c>
      <c r="BY122" s="3">
        <f t="shared" si="69"/>
        <v>2.6592868836851852E-8</v>
      </c>
      <c r="BZ122" s="3">
        <f t="shared" si="70"/>
        <v>-2.5738997325290888E-9</v>
      </c>
      <c r="CA122" s="3">
        <f t="shared" si="71"/>
        <v>8.5327681326137494E-5</v>
      </c>
      <c r="CB122"/>
      <c r="CC122" s="3">
        <v>16</v>
      </c>
      <c r="CD122" s="3">
        <f t="shared" si="78"/>
        <v>3.7815502635358343E-2</v>
      </c>
      <c r="CE122" s="3">
        <v>-8.0919322107109691E-6</v>
      </c>
      <c r="CF122" s="3">
        <f t="shared" si="79"/>
        <v>3.7900830316684481E-2</v>
      </c>
      <c r="CG122" s="3">
        <v>2.5949748334477092E-4</v>
      </c>
      <c r="CH122" s="3">
        <f t="shared" si="72"/>
        <v>3.7858166476021415E-2</v>
      </c>
      <c r="CI122" s="3">
        <v>1.257993682291618E-4</v>
      </c>
      <c r="CJ122" s="3">
        <f t="shared" si="73"/>
        <v>-1.0179599598606444E-9</v>
      </c>
      <c r="CK122" s="3">
        <f t="shared" si="74"/>
        <v>3.264461946182962E-8</v>
      </c>
      <c r="CL122" s="3">
        <f t="shared" si="75"/>
        <v>8.5327681326137494E-5</v>
      </c>
    </row>
    <row r="123" spans="46:90" x14ac:dyDescent="0.2"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 s="3">
        <v>17</v>
      </c>
      <c r="BS123" s="3">
        <f t="shared" si="76"/>
        <v>4.8182815916484212E-2</v>
      </c>
      <c r="BT123" s="3">
        <v>-1.0954706626170986E-4</v>
      </c>
      <c r="BU123" s="3">
        <f t="shared" si="77"/>
        <v>4.8225479757147277E-2</v>
      </c>
      <c r="BV123" s="3">
        <v>2.3495834442339124E-5</v>
      </c>
      <c r="BW123" s="3">
        <f t="shared" si="68"/>
        <v>4.8204147836815744E-2</v>
      </c>
      <c r="BX123" s="3">
        <v>-4.3005275283451456E-5</v>
      </c>
      <c r="BY123" s="3">
        <f t="shared" si="69"/>
        <v>4.7111017410793304E-9</v>
      </c>
      <c r="BZ123" s="3">
        <f t="shared" si="70"/>
        <v>-1.0104448282071941E-9</v>
      </c>
      <c r="CA123" s="3">
        <f t="shared" si="71"/>
        <v>4.2663840663065278E-5</v>
      </c>
      <c r="CB123"/>
      <c r="CC123" s="3">
        <v>17</v>
      </c>
      <c r="CD123" s="3">
        <f t="shared" si="78"/>
        <v>3.7815502635358343E-2</v>
      </c>
      <c r="CE123" s="3">
        <v>-8.0919322107109691E-6</v>
      </c>
      <c r="CF123" s="3">
        <f t="shared" si="79"/>
        <v>3.7858166476021415E-2</v>
      </c>
      <c r="CG123" s="3">
        <v>1.257993682291618E-4</v>
      </c>
      <c r="CH123" s="3">
        <f t="shared" si="72"/>
        <v>3.7836834555689883E-2</v>
      </c>
      <c r="CI123" s="3">
        <v>5.8877908982486651E-5</v>
      </c>
      <c r="CJ123" s="3">
        <f t="shared" si="73"/>
        <v>-4.7643604819469242E-10</v>
      </c>
      <c r="CK123" s="3">
        <f t="shared" si="74"/>
        <v>7.4068037526509113E-9</v>
      </c>
      <c r="CL123" s="3">
        <f t="shared" si="75"/>
        <v>4.2663840663072217E-5</v>
      </c>
    </row>
    <row r="124" spans="46:90" x14ac:dyDescent="0.2"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 s="3">
        <v>18</v>
      </c>
      <c r="BS124" s="3">
        <f t="shared" si="76"/>
        <v>4.8204147836815744E-2</v>
      </c>
      <c r="BT124" s="3">
        <v>-4.3005275283451456E-5</v>
      </c>
      <c r="BU124" s="3">
        <f t="shared" si="77"/>
        <v>4.8225479757147277E-2</v>
      </c>
      <c r="BV124" s="3">
        <v>2.3495834442339124E-5</v>
      </c>
      <c r="BW124" s="3">
        <f t="shared" si="68"/>
        <v>4.8214813796981511E-2</v>
      </c>
      <c r="BX124" s="3">
        <v>-9.7496386255138852E-6</v>
      </c>
      <c r="BY124" s="3">
        <f t="shared" si="69"/>
        <v>4.1928589300439593E-10</v>
      </c>
      <c r="BZ124" s="3">
        <f t="shared" si="70"/>
        <v>-2.2907589501770902E-10</v>
      </c>
      <c r="CA124" s="3">
        <f t="shared" si="71"/>
        <v>2.1331920331532639E-5</v>
      </c>
      <c r="CB124"/>
      <c r="CC124" s="3">
        <v>18</v>
      </c>
      <c r="CD124" s="3">
        <f t="shared" si="78"/>
        <v>3.7815502635358343E-2</v>
      </c>
      <c r="CE124" s="3">
        <v>-8.0919322107109691E-6</v>
      </c>
      <c r="CF124" s="3">
        <f t="shared" si="79"/>
        <v>3.7836834555689883E-2</v>
      </c>
      <c r="CG124" s="3">
        <v>5.8877908982486651E-5</v>
      </c>
      <c r="CH124" s="3">
        <f t="shared" si="72"/>
        <v>3.7826168595524109E-2</v>
      </c>
      <c r="CI124" s="3">
        <v>2.539904149122512E-5</v>
      </c>
      <c r="CJ124" s="3">
        <f t="shared" si="73"/>
        <v>-2.0552732196402892E-10</v>
      </c>
      <c r="CK124" s="3">
        <f t="shared" si="74"/>
        <v>1.4954424531627546E-9</v>
      </c>
      <c r="CL124" s="3">
        <f t="shared" si="75"/>
        <v>2.1331920331539578E-5</v>
      </c>
    </row>
    <row r="125" spans="46:90" x14ac:dyDescent="0.2"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 s="3">
        <v>19</v>
      </c>
      <c r="BS125" s="3">
        <f t="shared" si="76"/>
        <v>4.8214813796981511E-2</v>
      </c>
      <c r="BT125" s="3">
        <v>-9.7496386255138852E-6</v>
      </c>
      <c r="BU125" s="3">
        <f t="shared" si="77"/>
        <v>4.8225479757147277E-2</v>
      </c>
      <c r="BV125" s="3">
        <v>2.3495834442339124E-5</v>
      </c>
      <c r="BW125" s="3">
        <f t="shared" si="68"/>
        <v>4.822014677706439E-2</v>
      </c>
      <c r="BX125" s="3">
        <v>6.8743679373069536E-6</v>
      </c>
      <c r="BY125" s="3">
        <f t="shared" si="69"/>
        <v>-6.7022603167562095E-11</v>
      </c>
      <c r="BZ125" s="3">
        <f t="shared" si="70"/>
        <v>1.6151901095068849E-10</v>
      </c>
      <c r="CA125" s="3">
        <f t="shared" si="71"/>
        <v>1.0665960165766319E-5</v>
      </c>
      <c r="CB125"/>
      <c r="CC125" s="3">
        <v>19</v>
      </c>
      <c r="CD125" s="3">
        <f t="shared" si="78"/>
        <v>3.7815502635358343E-2</v>
      </c>
      <c r="CE125" s="3">
        <v>-8.0919322107109691E-6</v>
      </c>
      <c r="CF125" s="3">
        <f t="shared" si="79"/>
        <v>3.7826168595524109E-2</v>
      </c>
      <c r="CG125" s="3">
        <v>2.539904149122512E-5</v>
      </c>
      <c r="CH125" s="3">
        <f t="shared" si="72"/>
        <v>3.7820835615441223E-2</v>
      </c>
      <c r="CI125" s="3">
        <v>8.6550685875451394E-6</v>
      </c>
      <c r="CJ125" s="3">
        <f t="shared" si="73"/>
        <v>-7.0036228289469211E-11</v>
      </c>
      <c r="CK125" s="3">
        <f t="shared" si="74"/>
        <v>2.1983044616445821E-10</v>
      </c>
      <c r="CL125" s="3">
        <f t="shared" si="75"/>
        <v>1.0665960165766319E-5</v>
      </c>
    </row>
    <row r="126" spans="46:90" x14ac:dyDescent="0.2"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 s="3">
        <v>20</v>
      </c>
      <c r="BS126" s="3">
        <f t="shared" si="76"/>
        <v>4.8214813796981511E-2</v>
      </c>
      <c r="BT126" s="3">
        <v>-9.7496386255138852E-6</v>
      </c>
      <c r="BU126" s="3">
        <f t="shared" si="77"/>
        <v>4.822014677706439E-2</v>
      </c>
      <c r="BV126" s="3">
        <v>6.8743679373069536E-6</v>
      </c>
      <c r="BW126" s="3">
        <f t="shared" si="68"/>
        <v>4.8217480287022954E-2</v>
      </c>
      <c r="BX126" s="3">
        <v>-1.4373177843877462E-6</v>
      </c>
      <c r="BY126" s="3">
        <f t="shared" si="69"/>
        <v>1.4013328987804808E-11</v>
      </c>
      <c r="BZ126" s="3">
        <f t="shared" si="70"/>
        <v>-9.8806512927161919E-12</v>
      </c>
      <c r="CA126" s="3">
        <f t="shared" si="71"/>
        <v>5.3329800828796903E-6</v>
      </c>
      <c r="CB126"/>
      <c r="CC126" s="3">
        <v>20</v>
      </c>
      <c r="CD126" s="3">
        <f t="shared" si="78"/>
        <v>3.7815502635358343E-2</v>
      </c>
      <c r="CE126" s="3">
        <v>-8.0919322107109691E-6</v>
      </c>
      <c r="CF126" s="3">
        <f t="shared" si="79"/>
        <v>3.7820835615441223E-2</v>
      </c>
      <c r="CG126" s="3">
        <v>8.6550685875451394E-6</v>
      </c>
      <c r="CH126" s="3">
        <f t="shared" si="72"/>
        <v>3.7818169125399786E-2</v>
      </c>
      <c r="CI126" s="3">
        <v>2.8194675915325929E-7</v>
      </c>
      <c r="CJ126" s="3">
        <f t="shared" si="73"/>
        <v>-2.2814940620978268E-12</v>
      </c>
      <c r="CK126" s="3">
        <f t="shared" si="74"/>
        <v>2.4402685385075294E-12</v>
      </c>
      <c r="CL126" s="3">
        <f t="shared" si="75"/>
        <v>5.3329800828796903E-6</v>
      </c>
    </row>
    <row r="127" spans="46:90" x14ac:dyDescent="0.2"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 s="3">
        <v>21</v>
      </c>
      <c r="BS127" s="3">
        <f t="shared" si="76"/>
        <v>4.8217480287022954E-2</v>
      </c>
      <c r="BT127" s="3">
        <v>-1.4373177843877462E-6</v>
      </c>
      <c r="BU127" s="3">
        <f t="shared" si="77"/>
        <v>4.822014677706439E-2</v>
      </c>
      <c r="BV127" s="3">
        <v>6.8743679373069536E-6</v>
      </c>
      <c r="BW127" s="3">
        <f t="shared" si="68"/>
        <v>4.8218813532043672E-2</v>
      </c>
      <c r="BX127" s="3">
        <v>2.7186044598242858E-6</v>
      </c>
      <c r="BY127" s="3">
        <f t="shared" si="69"/>
        <v>-3.9074985388212878E-12</v>
      </c>
      <c r="BZ127" s="3">
        <f t="shared" si="70"/>
        <v>1.8688687332835759E-11</v>
      </c>
      <c r="CA127" s="3">
        <f t="shared" si="71"/>
        <v>2.6664900414363757E-6</v>
      </c>
      <c r="CB127"/>
      <c r="CC127" s="3">
        <v>21</v>
      </c>
      <c r="CD127" s="3">
        <f t="shared" si="78"/>
        <v>3.7815502635358343E-2</v>
      </c>
      <c r="CE127" s="3">
        <v>-8.0919322107109691E-6</v>
      </c>
      <c r="CF127" s="3">
        <f t="shared" si="79"/>
        <v>3.7818169125399786E-2</v>
      </c>
      <c r="CG127" s="3">
        <v>2.8194675915325929E-7</v>
      </c>
      <c r="CH127" s="3">
        <f t="shared" si="72"/>
        <v>3.7816835880379068E-2</v>
      </c>
      <c r="CI127" s="3">
        <v>-3.9048980725988128E-6</v>
      </c>
      <c r="CJ127" s="3">
        <f t="shared" si="73"/>
        <v>3.1598170493205513E-11</v>
      </c>
      <c r="CK127" s="3">
        <f t="shared" si="74"/>
        <v>-1.1009733563930439E-12</v>
      </c>
      <c r="CL127" s="3">
        <f t="shared" si="75"/>
        <v>2.6664900414433146E-6</v>
      </c>
    </row>
    <row r="128" spans="46:90" x14ac:dyDescent="0.2"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 s="3">
        <v>22</v>
      </c>
      <c r="BS128" s="3">
        <f t="shared" si="76"/>
        <v>4.8217480287022954E-2</v>
      </c>
      <c r="BT128" s="3">
        <v>-1.4373177843877462E-6</v>
      </c>
      <c r="BU128" s="3">
        <f t="shared" si="77"/>
        <v>4.8218813532043672E-2</v>
      </c>
      <c r="BV128" s="3">
        <v>2.7186044598242858E-6</v>
      </c>
      <c r="BW128" s="3">
        <f t="shared" si="68"/>
        <v>4.8218146909533313E-2</v>
      </c>
      <c r="BX128" s="3">
        <v>6.4066318438294606E-7</v>
      </c>
      <c r="BY128" s="3">
        <f t="shared" si="69"/>
        <v>-9.2083658871609423E-13</v>
      </c>
      <c r="BZ128" s="3">
        <f t="shared" si="70"/>
        <v>1.7417097903087058E-12</v>
      </c>
      <c r="CA128" s="3">
        <f t="shared" si="71"/>
        <v>1.3332450207181878E-6</v>
      </c>
      <c r="CB128"/>
      <c r="CC128" s="3">
        <v>22</v>
      </c>
      <c r="CD128" s="3">
        <f t="shared" si="78"/>
        <v>3.7816835880379068E-2</v>
      </c>
      <c r="CE128" s="3">
        <v>-3.9048980725988128E-6</v>
      </c>
      <c r="CF128" s="3">
        <f t="shared" si="79"/>
        <v>3.7818169125399786E-2</v>
      </c>
      <c r="CG128" s="3">
        <v>2.8194675915325929E-7</v>
      </c>
      <c r="CH128" s="3">
        <f t="shared" si="72"/>
        <v>3.7817502502889427E-2</v>
      </c>
      <c r="CI128" s="3">
        <v>-1.8114519947333083E-6</v>
      </c>
      <c r="CJ128" s="3">
        <f t="shared" si="73"/>
        <v>7.0735354028393701E-12</v>
      </c>
      <c r="CK128" s="3">
        <f t="shared" si="74"/>
        <v>-5.1073301927676321E-13</v>
      </c>
      <c r="CL128" s="3">
        <f t="shared" si="75"/>
        <v>1.3332450207181878E-6</v>
      </c>
    </row>
    <row r="129" spans="46:90" x14ac:dyDescent="0.2"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 s="3">
        <v>23</v>
      </c>
      <c r="BS129" s="3">
        <f t="shared" si="76"/>
        <v>4.8217480287022954E-2</v>
      </c>
      <c r="BT129" s="3">
        <v>-1.4373177843877462E-6</v>
      </c>
      <c r="BU129" s="3">
        <f t="shared" si="77"/>
        <v>4.8218146909533313E-2</v>
      </c>
      <c r="BV129" s="3">
        <v>6.4066318438294606E-7</v>
      </c>
      <c r="BW129" s="3">
        <f t="shared" si="68"/>
        <v>4.8217813598278134E-2</v>
      </c>
      <c r="BX129" s="3">
        <v>-3.9832233824114646E-7</v>
      </c>
      <c r="BY129" s="3">
        <f t="shared" si="69"/>
        <v>5.7251578067291102E-13</v>
      </c>
      <c r="BZ129" s="3">
        <f t="shared" si="70"/>
        <v>-2.5519045762843384E-13</v>
      </c>
      <c r="CA129" s="3">
        <f t="shared" si="71"/>
        <v>6.6662251035909392E-7</v>
      </c>
      <c r="CB129"/>
      <c r="CC129" s="3">
        <v>23</v>
      </c>
      <c r="CD129" s="3">
        <f t="shared" si="78"/>
        <v>3.7817502502889427E-2</v>
      </c>
      <c r="CE129" s="3">
        <v>-1.8114519947333083E-6</v>
      </c>
      <c r="CF129" s="3">
        <f t="shared" si="79"/>
        <v>3.7818169125399786E-2</v>
      </c>
      <c r="CG129" s="3">
        <v>2.8194675915325929E-7</v>
      </c>
      <c r="CH129" s="3">
        <f t="shared" si="72"/>
        <v>3.7817835814144607E-2</v>
      </c>
      <c r="CI129" s="3">
        <v>-7.6474670245843188E-7</v>
      </c>
      <c r="CJ129" s="3">
        <f t="shared" si="73"/>
        <v>1.3853019396340463E-12</v>
      </c>
      <c r="CK129" s="3">
        <f t="shared" si="74"/>
        <v>-2.1561785433129673E-13</v>
      </c>
      <c r="CL129" s="3">
        <f t="shared" si="75"/>
        <v>6.6662251035909392E-7</v>
      </c>
    </row>
    <row r="130" spans="46:90" x14ac:dyDescent="0.2"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 s="3">
        <v>24</v>
      </c>
      <c r="BS130" s="3">
        <f t="shared" si="76"/>
        <v>4.8217813598278134E-2</v>
      </c>
      <c r="BT130" s="3">
        <v>-3.9832233824114646E-7</v>
      </c>
      <c r="BU130" s="3">
        <f t="shared" si="77"/>
        <v>4.8218146909533313E-2</v>
      </c>
      <c r="BV130" s="3">
        <v>6.4066318438294606E-7</v>
      </c>
      <c r="BW130" s="3">
        <f t="shared" si="68"/>
        <v>4.8217980253905723E-2</v>
      </c>
      <c r="BX130" s="3">
        <v>1.2117166348990863E-7</v>
      </c>
      <c r="BY130" s="3">
        <f t="shared" si="69"/>
        <v>-4.8265380329869758E-14</v>
      </c>
      <c r="BZ130" s="3">
        <f t="shared" si="70"/>
        <v>7.7630223788423621E-14</v>
      </c>
      <c r="CA130" s="3">
        <f t="shared" si="71"/>
        <v>3.3331125517954696E-7</v>
      </c>
      <c r="CB130"/>
      <c r="CC130" s="3">
        <v>24</v>
      </c>
      <c r="CD130" s="3">
        <f t="shared" si="78"/>
        <v>3.7817835814144607E-2</v>
      </c>
      <c r="CE130" s="3">
        <v>-7.6474670245843188E-7</v>
      </c>
      <c r="CF130" s="3">
        <f t="shared" si="79"/>
        <v>3.7818169125399786E-2</v>
      </c>
      <c r="CG130" s="3">
        <v>2.8194675915325929E-7</v>
      </c>
      <c r="CH130" s="3">
        <f t="shared" si="72"/>
        <v>3.7818002469772197E-2</v>
      </c>
      <c r="CI130" s="3">
        <v>-2.4139849284310691E-7</v>
      </c>
      <c r="CJ130" s="3">
        <f t="shared" si="73"/>
        <v>1.8460870138020138E-13</v>
      </c>
      <c r="CK130" s="3">
        <f t="shared" si="74"/>
        <v>-6.8061522721595247E-14</v>
      </c>
      <c r="CL130" s="3">
        <f t="shared" si="75"/>
        <v>3.3331125517954696E-7</v>
      </c>
    </row>
    <row r="131" spans="46:90" x14ac:dyDescent="0.2"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 s="3">
        <v>25</v>
      </c>
      <c r="BS131" s="3">
        <f t="shared" si="76"/>
        <v>4.8217813598278134E-2</v>
      </c>
      <c r="BT131" s="3">
        <v>-3.9832233824114646E-7</v>
      </c>
      <c r="BU131" s="3">
        <f t="shared" si="77"/>
        <v>4.8217980253905723E-2</v>
      </c>
      <c r="BV131" s="3">
        <v>1.2117166348990863E-7</v>
      </c>
      <c r="BW131" s="3">
        <f t="shared" si="68"/>
        <v>4.8217896926091929E-2</v>
      </c>
      <c r="BX131" s="3">
        <v>-1.3857502725086318E-7</v>
      </c>
      <c r="BY131" s="3">
        <f t="shared" si="69"/>
        <v>5.5197528876394411E-14</v>
      </c>
      <c r="BZ131" s="3">
        <f t="shared" si="70"/>
        <v>-1.6791366570146512E-14</v>
      </c>
      <c r="CA131" s="3">
        <f t="shared" si="71"/>
        <v>1.6665562758977348E-7</v>
      </c>
      <c r="CB131"/>
      <c r="CC131" s="3">
        <v>25</v>
      </c>
      <c r="CD131" s="3">
        <f t="shared" si="78"/>
        <v>3.7818002469772197E-2</v>
      </c>
      <c r="CE131" s="3">
        <v>-2.4139849284310691E-7</v>
      </c>
      <c r="CF131" s="3">
        <f t="shared" si="79"/>
        <v>3.7818169125399786E-2</v>
      </c>
      <c r="CG131" s="3">
        <v>2.8194675915325929E-7</v>
      </c>
      <c r="CH131" s="3">
        <f t="shared" si="72"/>
        <v>3.7818085797585992E-2</v>
      </c>
      <c r="CI131" s="3">
        <v>2.0274502851320292E-8</v>
      </c>
      <c r="CJ131" s="3">
        <f t="shared" si="73"/>
        <v>-4.8942344314519922E-15</v>
      </c>
      <c r="CK131" s="3">
        <f t="shared" si="74"/>
        <v>5.7163303723732709E-15</v>
      </c>
      <c r="CL131" s="3">
        <f t="shared" si="75"/>
        <v>1.6665562758977348E-7</v>
      </c>
    </row>
    <row r="132" spans="46:90" x14ac:dyDescent="0.2">
      <c r="AT132"/>
      <c r="AU132"/>
      <c r="AV132"/>
      <c r="AW132"/>
      <c r="BI132"/>
      <c r="BJ132"/>
      <c r="BK132"/>
      <c r="BL132"/>
      <c r="BM132"/>
      <c r="BN132"/>
      <c r="BO132"/>
      <c r="BP132"/>
      <c r="BQ132"/>
      <c r="BR132" s="3">
        <v>26</v>
      </c>
      <c r="BS132" s="3">
        <f t="shared" si="76"/>
        <v>4.8217896926091929E-2</v>
      </c>
      <c r="BT132" s="3">
        <v>-1.3857502725086318E-7</v>
      </c>
      <c r="BU132" s="3">
        <f t="shared" si="77"/>
        <v>4.8217980253905723E-2</v>
      </c>
      <c r="BV132" s="3">
        <v>1.2117166348990863E-7</v>
      </c>
      <c r="BW132" s="3">
        <f t="shared" si="68"/>
        <v>4.8217938589998829E-2</v>
      </c>
      <c r="BX132" s="3">
        <v>-8.7016043576366997E-9</v>
      </c>
      <c r="BY132" s="3">
        <f t="shared" si="69"/>
        <v>1.2058250609857356E-15</v>
      </c>
      <c r="BZ132" s="3">
        <f t="shared" si="70"/>
        <v>-1.0543878750458767E-15</v>
      </c>
      <c r="CA132" s="3">
        <f t="shared" si="71"/>
        <v>8.332781379488674E-8</v>
      </c>
      <c r="CB132"/>
      <c r="CC132" s="3">
        <v>26</v>
      </c>
      <c r="CD132" s="3">
        <f t="shared" si="78"/>
        <v>3.7818002469772197E-2</v>
      </c>
      <c r="CE132" s="3">
        <v>-2.4139849284310691E-7</v>
      </c>
      <c r="CF132" s="3">
        <f t="shared" si="79"/>
        <v>3.7818085797585992E-2</v>
      </c>
      <c r="CG132" s="3">
        <v>2.0274502851320292E-8</v>
      </c>
      <c r="CH132" s="3">
        <f t="shared" si="72"/>
        <v>3.7818044133679091E-2</v>
      </c>
      <c r="CI132" s="3">
        <v>-1.1056190256982651E-7</v>
      </c>
      <c r="CJ132" s="3">
        <f t="shared" si="73"/>
        <v>2.6689476646222548E-14</v>
      </c>
      <c r="CK132" s="3">
        <f t="shared" si="74"/>
        <v>-2.241587608899344E-15</v>
      </c>
      <c r="CL132" s="3">
        <f t="shared" si="75"/>
        <v>8.332781379488674E-8</v>
      </c>
    </row>
    <row r="133" spans="46:90" x14ac:dyDescent="0.2">
      <c r="AT133"/>
      <c r="AU133"/>
      <c r="AV133"/>
      <c r="AW133"/>
      <c r="BI133"/>
      <c r="BJ133"/>
      <c r="BK133"/>
      <c r="BL133"/>
      <c r="BM133"/>
      <c r="BN133"/>
      <c r="BO133"/>
      <c r="BP133"/>
      <c r="BQ133"/>
      <c r="BR133" s="3">
        <v>27</v>
      </c>
      <c r="BS133" s="3">
        <f t="shared" si="76"/>
        <v>4.8217938589998829E-2</v>
      </c>
      <c r="BT133" s="3">
        <v>-8.7016043576366997E-9</v>
      </c>
      <c r="BU133" s="3">
        <f t="shared" si="77"/>
        <v>4.8217980253905723E-2</v>
      </c>
      <c r="BV133" s="3">
        <v>1.2117166348990863E-7</v>
      </c>
      <c r="BW133" s="3">
        <f t="shared" si="68"/>
        <v>4.8217959421952276E-2</v>
      </c>
      <c r="BX133" s="3">
        <v>5.6235048959477063E-8</v>
      </c>
      <c r="BY133" s="3">
        <f t="shared" si="69"/>
        <v>-4.8933514707769876E-16</v>
      </c>
      <c r="BZ133" s="3">
        <f t="shared" si="70"/>
        <v>6.8140944288562908E-15</v>
      </c>
      <c r="CA133" s="3">
        <f t="shared" si="71"/>
        <v>4.1663906893973923E-8</v>
      </c>
      <c r="CB133"/>
      <c r="CC133" s="3">
        <v>27</v>
      </c>
      <c r="CD133" s="3">
        <f t="shared" si="78"/>
        <v>3.7818044133679091E-2</v>
      </c>
      <c r="CE133" s="3">
        <v>-1.1056190256982651E-7</v>
      </c>
      <c r="CF133" s="3">
        <f t="shared" si="79"/>
        <v>3.7818085797585992E-2</v>
      </c>
      <c r="CG133" s="3">
        <v>2.0274502851320292E-8</v>
      </c>
      <c r="CH133" s="3">
        <f t="shared" si="72"/>
        <v>3.7818064965632545E-2</v>
      </c>
      <c r="CI133" s="3">
        <v>-4.5143676746014355E-8</v>
      </c>
      <c r="CJ133" s="3">
        <f t="shared" si="73"/>
        <v>4.9911707900365819E-15</v>
      </c>
      <c r="CK133" s="3">
        <f t="shared" si="74"/>
        <v>-9.1526560290614956E-16</v>
      </c>
      <c r="CL133" s="3">
        <f t="shared" si="75"/>
        <v>4.1663906900912817E-8</v>
      </c>
    </row>
    <row r="134" spans="46:90" x14ac:dyDescent="0.2">
      <c r="AT134"/>
      <c r="AU134"/>
      <c r="AV134"/>
      <c r="AW134"/>
      <c r="BI134"/>
      <c r="BJ134"/>
      <c r="BK134"/>
      <c r="BL134"/>
      <c r="BM134"/>
      <c r="BN134"/>
      <c r="BO134"/>
      <c r="BP134"/>
      <c r="BQ134"/>
      <c r="BR134" s="3">
        <v>28</v>
      </c>
      <c r="BS134" s="3">
        <f t="shared" si="76"/>
        <v>4.8217938589998829E-2</v>
      </c>
      <c r="BT134" s="3">
        <v>-8.7016043576366997E-9</v>
      </c>
      <c r="BU134" s="3">
        <f t="shared" si="77"/>
        <v>4.8217959421952276E-2</v>
      </c>
      <c r="BV134" s="3">
        <v>5.6235048959477063E-8</v>
      </c>
      <c r="BW134" s="3">
        <f t="shared" si="68"/>
        <v>4.8217949005975549E-2</v>
      </c>
      <c r="BX134" s="3">
        <v>2.3766727142316563E-8</v>
      </c>
      <c r="BY134" s="3">
        <f t="shared" si="69"/>
        <v>-2.0680865646834422E-16</v>
      </c>
      <c r="BZ134" s="3">
        <f t="shared" si="70"/>
        <v>1.3365230644547043E-15</v>
      </c>
      <c r="CA134" s="3">
        <f t="shared" si="71"/>
        <v>2.0831953446986962E-8</v>
      </c>
      <c r="CB134"/>
      <c r="CC134" s="3">
        <v>28</v>
      </c>
      <c r="CD134" s="3">
        <f t="shared" si="78"/>
        <v>3.7818064965632545E-2</v>
      </c>
      <c r="CE134" s="3">
        <v>-4.5143676746014355E-8</v>
      </c>
      <c r="CF134" s="3">
        <f t="shared" si="79"/>
        <v>3.7818085797585992E-2</v>
      </c>
      <c r="CG134" s="3">
        <v>2.0274502851320292E-8</v>
      </c>
      <c r="CH134" s="3">
        <f t="shared" si="72"/>
        <v>3.7818075381609265E-2</v>
      </c>
      <c r="CI134" s="3">
        <v>-1.2434581162911601E-8</v>
      </c>
      <c r="CJ134" s="3">
        <f t="shared" si="73"/>
        <v>5.6134271249056056E-16</v>
      </c>
      <c r="CK134" s="3">
        <f t="shared" si="74"/>
        <v>-2.5210495124242485E-16</v>
      </c>
      <c r="CL134" s="3">
        <f t="shared" si="75"/>
        <v>2.0831953446986962E-8</v>
      </c>
    </row>
    <row r="135" spans="46:90" x14ac:dyDescent="0.2">
      <c r="AT135"/>
      <c r="AU135"/>
      <c r="AV135"/>
      <c r="AW135"/>
      <c r="BI135"/>
      <c r="BJ135"/>
      <c r="BK135"/>
      <c r="BL135"/>
      <c r="BM135"/>
      <c r="BN135"/>
      <c r="BO135"/>
      <c r="BP135"/>
      <c r="BQ135"/>
      <c r="BR135" s="3">
        <v>29</v>
      </c>
      <c r="BS135" s="3">
        <f t="shared" si="76"/>
        <v>4.8217938589998829E-2</v>
      </c>
      <c r="BT135" s="3">
        <v>-8.7016043576366997E-9</v>
      </c>
      <c r="BU135" s="3">
        <f t="shared" si="77"/>
        <v>4.8217949005975549E-2</v>
      </c>
      <c r="BV135" s="3">
        <v>2.3766727142316563E-8</v>
      </c>
      <c r="BW135" s="3">
        <f t="shared" si="68"/>
        <v>4.8217943797987189E-2</v>
      </c>
      <c r="BX135" s="3">
        <v>7.5325626027432369E-9</v>
      </c>
      <c r="BY135" s="3">
        <f t="shared" si="69"/>
        <v>-6.5545379568201792E-17</v>
      </c>
      <c r="BZ135" s="3">
        <f t="shared" si="70"/>
        <v>1.7902436006181638E-16</v>
      </c>
      <c r="CA135" s="3">
        <f t="shared" si="71"/>
        <v>1.0415976720024034E-8</v>
      </c>
      <c r="CB135"/>
      <c r="CC135" s="3">
        <v>29</v>
      </c>
      <c r="CD135" s="3">
        <f t="shared" si="78"/>
        <v>3.7818075381609265E-2</v>
      </c>
      <c r="CE135" s="3">
        <v>-1.2434581162911601E-8</v>
      </c>
      <c r="CF135" s="3">
        <f t="shared" si="79"/>
        <v>3.7818085797585992E-2</v>
      </c>
      <c r="CG135" s="3">
        <v>2.0274502851320292E-8</v>
      </c>
      <c r="CH135" s="3">
        <f t="shared" si="72"/>
        <v>3.7818080589597625E-2</v>
      </c>
      <c r="CI135" s="3">
        <v>3.9199622675449575E-9</v>
      </c>
      <c r="CJ135" s="3">
        <f t="shared" si="73"/>
        <v>-4.8743088971338774E-17</v>
      </c>
      <c r="CK135" s="3">
        <f t="shared" si="74"/>
        <v>7.9475286170408197E-17</v>
      </c>
      <c r="CL135" s="3">
        <f t="shared" si="75"/>
        <v>1.0415976726962928E-8</v>
      </c>
    </row>
    <row r="136" spans="46:90" x14ac:dyDescent="0.2">
      <c r="AT136"/>
      <c r="AU136"/>
      <c r="AV136"/>
      <c r="AW136"/>
      <c r="BI136"/>
      <c r="BJ136"/>
      <c r="BK136"/>
      <c r="BL136"/>
      <c r="BM136"/>
      <c r="BN136"/>
      <c r="BO136"/>
      <c r="BP136"/>
      <c r="BQ136"/>
      <c r="BR136" s="3">
        <v>30</v>
      </c>
      <c r="BS136" s="3">
        <f t="shared" si="76"/>
        <v>4.8217938589998829E-2</v>
      </c>
      <c r="BT136" s="3">
        <v>-8.7016043576366997E-9</v>
      </c>
      <c r="BU136" s="3">
        <f t="shared" si="77"/>
        <v>4.8217943797987189E-2</v>
      </c>
      <c r="BV136" s="3">
        <v>7.5325626027432369E-9</v>
      </c>
      <c r="BW136" s="6">
        <f t="shared" si="68"/>
        <v>4.8217941193993009E-2</v>
      </c>
      <c r="BX136" s="3">
        <v>-5.8452058341110225E-10</v>
      </c>
      <c r="BY136" s="3">
        <f t="shared" si="69"/>
        <v>5.0862668557383935E-18</v>
      </c>
      <c r="BZ136" s="3">
        <f t="shared" si="70"/>
        <v>-4.4029378871361278E-18</v>
      </c>
      <c r="CA136" s="3">
        <f t="shared" si="71"/>
        <v>5.2079883600120169E-9</v>
      </c>
      <c r="CB136"/>
      <c r="CC136" s="3">
        <v>30</v>
      </c>
      <c r="CD136" s="3">
        <f t="shared" si="78"/>
        <v>3.7818075381609265E-2</v>
      </c>
      <c r="CE136" s="3">
        <v>-1.2434581162911601E-8</v>
      </c>
      <c r="CF136" s="3">
        <f t="shared" si="79"/>
        <v>3.7818080589597625E-2</v>
      </c>
      <c r="CG136" s="3">
        <v>3.9199622675449575E-9</v>
      </c>
      <c r="CH136" s="6">
        <f t="shared" si="72"/>
        <v>3.7818077985603445E-2</v>
      </c>
      <c r="CI136" s="3">
        <v>-4.2573090820903492E-9</v>
      </c>
      <c r="CJ136" s="3">
        <f t="shared" si="73"/>
        <v>5.2937855316853133E-17</v>
      </c>
      <c r="CK136" s="3">
        <f t="shared" si="74"/>
        <v>-1.6688490963070628E-17</v>
      </c>
      <c r="CL136" s="3">
        <f t="shared" si="75"/>
        <v>5.2079883600120169E-9</v>
      </c>
    </row>
  </sheetData>
  <mergeCells count="116">
    <mergeCell ref="AY29:AZ29"/>
    <mergeCell ref="BN41:BP41"/>
    <mergeCell ref="AT44:AV44"/>
    <mergeCell ref="BJ41:BL41"/>
    <mergeCell ref="BR36:CA36"/>
    <mergeCell ref="BB42:BE42"/>
    <mergeCell ref="BF42:BH42"/>
    <mergeCell ref="BB43:BC43"/>
    <mergeCell ref="AY41:AZ41"/>
    <mergeCell ref="O47:P47"/>
    <mergeCell ref="Q47:R47"/>
    <mergeCell ref="O35:P35"/>
    <mergeCell ref="Q35:R35"/>
    <mergeCell ref="CC104:CL104"/>
    <mergeCell ref="AI47:AL47"/>
    <mergeCell ref="BR104:CA104"/>
    <mergeCell ref="BJ60:BL60"/>
    <mergeCell ref="BR70:CA70"/>
    <mergeCell ref="CC70:CL70"/>
    <mergeCell ref="AT35:AT42"/>
    <mergeCell ref="AY42:BA42"/>
    <mergeCell ref="BN60:BP60"/>
    <mergeCell ref="CC36:CL36"/>
    <mergeCell ref="AY30:AZ30"/>
    <mergeCell ref="BB30:BD30"/>
    <mergeCell ref="AY27:AZ27"/>
    <mergeCell ref="AY28:AZ28"/>
    <mergeCell ref="AT7:AV7"/>
    <mergeCell ref="AX9:AZ9"/>
    <mergeCell ref="BB12:BD12"/>
    <mergeCell ref="BF12:BH12"/>
    <mergeCell ref="BB21:BD21"/>
    <mergeCell ref="BF21:BH21"/>
    <mergeCell ref="AT11:AT18"/>
    <mergeCell ref="AT19:AT26"/>
    <mergeCell ref="BN22:BP22"/>
    <mergeCell ref="AX23:AX29"/>
    <mergeCell ref="AY23:AZ23"/>
    <mergeCell ref="AY24:AZ24"/>
    <mergeCell ref="AX14:AZ14"/>
    <mergeCell ref="AX22:AZ22"/>
    <mergeCell ref="BJ22:BL22"/>
    <mergeCell ref="AY25:AZ25"/>
    <mergeCell ref="AY26:AZ26"/>
    <mergeCell ref="BF30:BH30"/>
    <mergeCell ref="AT27:AT34"/>
    <mergeCell ref="CC2:CL2"/>
    <mergeCell ref="BB3:BD3"/>
    <mergeCell ref="BF3:BH3"/>
    <mergeCell ref="BJ3:BL3"/>
    <mergeCell ref="AT2:AV2"/>
    <mergeCell ref="AX2:AZ2"/>
    <mergeCell ref="BB2:BH2"/>
    <mergeCell ref="BJ2:BP2"/>
    <mergeCell ref="BR2:CA2"/>
    <mergeCell ref="BN3:BP3"/>
    <mergeCell ref="R13:T13"/>
    <mergeCell ref="R3:T3"/>
    <mergeCell ref="N17:P17"/>
    <mergeCell ref="R17:T17"/>
    <mergeCell ref="F20:H20"/>
    <mergeCell ref="F38:H38"/>
    <mergeCell ref="F50:H50"/>
    <mergeCell ref="B58:D58"/>
    <mergeCell ref="J30:L30"/>
    <mergeCell ref="B29:D29"/>
    <mergeCell ref="B35:D35"/>
    <mergeCell ref="J38:L38"/>
    <mergeCell ref="B40:D40"/>
    <mergeCell ref="F45:H45"/>
    <mergeCell ref="F57:H57"/>
    <mergeCell ref="B46:D46"/>
    <mergeCell ref="B52:D52"/>
    <mergeCell ref="O44:P44"/>
    <mergeCell ref="Q44:R44"/>
    <mergeCell ref="Q32:R32"/>
    <mergeCell ref="Q34:R34"/>
    <mergeCell ref="Q40:R40"/>
    <mergeCell ref="Q41:R41"/>
    <mergeCell ref="Q42:R42"/>
    <mergeCell ref="B1:D1"/>
    <mergeCell ref="B3:D3"/>
    <mergeCell ref="F8:H8"/>
    <mergeCell ref="J3:L3"/>
    <mergeCell ref="N3:P3"/>
    <mergeCell ref="F3:H3"/>
    <mergeCell ref="F25:H25"/>
    <mergeCell ref="B24:D24"/>
    <mergeCell ref="J7:L7"/>
    <mergeCell ref="J11:L11"/>
    <mergeCell ref="B13:D13"/>
    <mergeCell ref="B18:D18"/>
    <mergeCell ref="N13:P13"/>
    <mergeCell ref="O31:P31"/>
    <mergeCell ref="Q31:R31"/>
    <mergeCell ref="O32:P32"/>
    <mergeCell ref="O34:P34"/>
    <mergeCell ref="O40:P40"/>
    <mergeCell ref="O46:P46"/>
    <mergeCell ref="Q46:R46"/>
    <mergeCell ref="O33:P33"/>
    <mergeCell ref="O36:P36"/>
    <mergeCell ref="O37:P37"/>
    <mergeCell ref="O38:P38"/>
    <mergeCell ref="O39:P39"/>
    <mergeCell ref="Q33:R33"/>
    <mergeCell ref="Q36:R36"/>
    <mergeCell ref="Q37:R37"/>
    <mergeCell ref="Q38:R38"/>
    <mergeCell ref="Q39:R39"/>
    <mergeCell ref="O43:P43"/>
    <mergeCell ref="O45:P45"/>
    <mergeCell ref="Q43:R43"/>
    <mergeCell ref="Q45:R45"/>
    <mergeCell ref="O41:P41"/>
    <mergeCell ref="O42:P42"/>
  </mergeCells>
  <conditionalFormatting sqref="G17">
    <cfRule type="containsText" dxfId="23" priority="1" operator="containsText" text="FALSE">
      <formula>NOT(ISERROR(SEARCH("FALSE",G17)))</formula>
    </cfRule>
    <cfRule type="containsText" dxfId="22" priority="2" operator="containsText" text="TRUE">
      <formula>NOT(ISERROR(SEARCH("TRUE",G17)))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NOT(ISERROR(SEARCH("YES",G17)))</formula>
    </cfRule>
    <cfRule type="cellIs" dxfId="18" priority="6" operator="equal">
      <formula>"""YES"""</formula>
    </cfRule>
  </conditionalFormatting>
  <conditionalFormatting sqref="K28">
    <cfRule type="containsText" dxfId="17" priority="13" operator="containsText" text="FALSE">
      <formula>NOT(ISERROR(SEARCH("FALSE",K28)))</formula>
    </cfRule>
    <cfRule type="containsText" dxfId="16" priority="14" operator="containsText" text="TRUE">
      <formula>NOT(ISERROR(SEARCH("TRUE",K28)))</formula>
    </cfRule>
    <cfRule type="cellIs" dxfId="15" priority="15" operator="equal">
      <formula>1</formula>
    </cfRule>
    <cfRule type="cellIs" dxfId="14" priority="16" operator="equal">
      <formula>TRUE</formula>
    </cfRule>
    <cfRule type="containsText" dxfId="13" priority="17" operator="containsText" text="YES">
      <formula>NOT(ISERROR(SEARCH("YES",K28)))</formula>
    </cfRule>
    <cfRule type="cellIs" dxfId="12" priority="18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P136"/>
  <sheetViews>
    <sheetView workbookViewId="0">
      <selection activeCell="C35" sqref="C35"/>
    </sheetView>
  </sheetViews>
  <sheetFormatPr baseColWidth="10" defaultRowHeight="16" x14ac:dyDescent="0.2"/>
  <cols>
    <col min="1" max="1" width="4.1640625" style="7" customWidth="1"/>
    <col min="2" max="2" width="20.5" style="7" customWidth="1"/>
    <col min="3" max="3" width="12.1640625" style="7" bestFit="1" customWidth="1"/>
    <col min="4" max="4" width="7.1640625" style="7" customWidth="1"/>
    <col min="5" max="5" width="5.6640625" style="7" customWidth="1"/>
    <col min="6" max="6" width="20.33203125" style="7" customWidth="1"/>
    <col min="7" max="7" width="13.1640625" style="7" customWidth="1"/>
    <col min="8" max="8" width="4.1640625" style="7" customWidth="1"/>
    <col min="9" max="9" width="6" style="7" customWidth="1"/>
    <col min="10" max="10" width="18.1640625" style="7" customWidth="1"/>
    <col min="11" max="11" width="14.33203125" style="7" customWidth="1"/>
    <col min="12" max="12" width="5" style="7" customWidth="1"/>
    <col min="13" max="13" width="6" style="7" customWidth="1"/>
    <col min="14" max="14" width="13.83203125" style="7" customWidth="1"/>
    <col min="15" max="15" width="11" style="7" customWidth="1"/>
    <col min="16" max="16" width="6.6640625" style="7" customWidth="1"/>
    <col min="17" max="17" width="6" style="7" customWidth="1"/>
    <col min="18" max="18" width="14" style="7" customWidth="1"/>
    <col min="19" max="19" width="11" style="7" bestFit="1" customWidth="1"/>
    <col min="20" max="20" width="6.33203125" style="7" customWidth="1"/>
    <col min="21" max="21" width="8.1640625" style="7" customWidth="1"/>
    <col min="22" max="22" width="14" style="7" customWidth="1"/>
    <col min="23" max="23" width="11.5" style="7" customWidth="1"/>
    <col min="24" max="24" width="6.33203125" style="7" customWidth="1"/>
    <col min="25" max="25" width="4" style="7" customWidth="1"/>
    <col min="26" max="27" width="3.83203125" style="7" customWidth="1"/>
    <col min="28" max="28" width="5.5" style="7" customWidth="1"/>
    <col min="29" max="30" width="6.1640625" style="7" customWidth="1"/>
    <col min="31" max="31" width="6.6640625" style="7" customWidth="1"/>
    <col min="32" max="32" width="7" style="7" customWidth="1"/>
    <col min="33" max="33" width="14.6640625" style="7" customWidth="1"/>
    <col min="34" max="34" width="7.83203125" style="7" customWidth="1"/>
    <col min="35" max="35" width="10" style="7" customWidth="1"/>
    <col min="36" max="36" width="9.5" style="7" customWidth="1"/>
    <col min="37" max="37" width="13.6640625" style="7" customWidth="1"/>
    <col min="38" max="49" width="10.83203125" style="7"/>
    <col min="50" max="50" width="12" style="7" customWidth="1"/>
    <col min="51" max="51" width="11.33203125" style="7" customWidth="1"/>
    <col min="52" max="52" width="6.6640625" style="7" customWidth="1"/>
    <col min="53" max="53" width="11" style="7" bestFit="1" customWidth="1"/>
    <col min="54" max="54" width="13.1640625" style="7" bestFit="1" customWidth="1"/>
    <col min="55" max="55" width="18.33203125" style="7" customWidth="1"/>
    <col min="56" max="59" width="11" style="7" bestFit="1" customWidth="1"/>
    <col min="60" max="16384" width="10.83203125" style="7"/>
  </cols>
  <sheetData>
    <row r="1" spans="2:94" x14ac:dyDescent="0.2">
      <c r="B1" s="52" t="s">
        <v>0</v>
      </c>
      <c r="C1" s="52"/>
      <c r="D1" s="52"/>
    </row>
    <row r="2" spans="2:94" x14ac:dyDescent="0.2">
      <c r="AB2" s="17" t="s">
        <v>109</v>
      </c>
      <c r="AM2" s="17" t="s">
        <v>247</v>
      </c>
      <c r="AX2" s="61" t="s">
        <v>158</v>
      </c>
      <c r="AY2" s="61"/>
      <c r="AZ2" s="61"/>
      <c r="BB2" s="61" t="s">
        <v>159</v>
      </c>
      <c r="BC2" s="61"/>
      <c r="BD2" s="61"/>
      <c r="BF2" s="61" t="s">
        <v>160</v>
      </c>
      <c r="BG2" s="61"/>
      <c r="BH2" s="61"/>
      <c r="BI2" s="61"/>
      <c r="BJ2" s="61"/>
      <c r="BK2" s="61"/>
      <c r="BL2" s="61"/>
      <c r="BN2" s="61" t="s">
        <v>161</v>
      </c>
      <c r="BO2" s="61"/>
      <c r="BP2" s="61"/>
      <c r="BQ2" s="61"/>
      <c r="BR2" s="61"/>
      <c r="BS2" s="61"/>
      <c r="BT2" s="61"/>
      <c r="BV2" s="61" t="s">
        <v>162</v>
      </c>
      <c r="BW2" s="61"/>
      <c r="BX2" s="61"/>
      <c r="BY2" s="61"/>
      <c r="BZ2" s="61"/>
      <c r="CA2" s="61"/>
      <c r="CB2" s="61"/>
      <c r="CC2" s="61"/>
      <c r="CD2" s="61"/>
      <c r="CE2" s="61"/>
      <c r="CG2" s="61" t="s">
        <v>163</v>
      </c>
      <c r="CH2" s="61"/>
      <c r="CI2" s="61"/>
      <c r="CJ2" s="61"/>
      <c r="CK2" s="61"/>
      <c r="CL2" s="61"/>
      <c r="CM2" s="61"/>
      <c r="CN2" s="61"/>
      <c r="CO2" s="61"/>
      <c r="CP2" s="61"/>
    </row>
    <row r="3" spans="2:94" x14ac:dyDescent="0.2">
      <c r="B3" s="55" t="s">
        <v>147</v>
      </c>
      <c r="C3" s="60"/>
      <c r="D3" s="60"/>
      <c r="F3" s="53" t="s">
        <v>85</v>
      </c>
      <c r="G3" s="54"/>
      <c r="H3" s="54"/>
      <c r="J3" s="55" t="s">
        <v>120</v>
      </c>
      <c r="K3" s="55"/>
      <c r="L3" s="55"/>
      <c r="N3" s="55" t="s">
        <v>108</v>
      </c>
      <c r="O3" s="55"/>
      <c r="P3" s="55"/>
      <c r="R3" s="55" t="s">
        <v>107</v>
      </c>
      <c r="S3" s="55"/>
      <c r="T3" s="55"/>
      <c r="V3" s="55" t="s">
        <v>113</v>
      </c>
      <c r="W3" s="55"/>
      <c r="X3" s="55"/>
      <c r="AB3" s="8" t="s">
        <v>45</v>
      </c>
      <c r="AC3" s="8" t="s">
        <v>46</v>
      </c>
      <c r="AD3" s="8" t="s">
        <v>47</v>
      </c>
      <c r="AE3" s="8" t="s">
        <v>48</v>
      </c>
      <c r="AF3" s="8" t="s">
        <v>49</v>
      </c>
      <c r="AG3" s="8" t="s">
        <v>50</v>
      </c>
      <c r="AH3" s="8" t="s">
        <v>51</v>
      </c>
      <c r="AI3" s="8" t="s">
        <v>52</v>
      </c>
      <c r="AJ3" s="8" t="s">
        <v>53</v>
      </c>
      <c r="AK3" s="8" t="s">
        <v>54</v>
      </c>
      <c r="AM3" s="8" t="s">
        <v>45</v>
      </c>
      <c r="AN3" s="8" t="s">
        <v>46</v>
      </c>
      <c r="AO3" s="8" t="s">
        <v>47</v>
      </c>
      <c r="AP3" s="8" t="s">
        <v>48</v>
      </c>
      <c r="AQ3" s="8" t="s">
        <v>49</v>
      </c>
      <c r="AR3" s="8" t="s">
        <v>50</v>
      </c>
      <c r="AS3" s="8" t="s">
        <v>51</v>
      </c>
      <c r="AT3" s="8" t="s">
        <v>52</v>
      </c>
      <c r="AU3" s="8" t="s">
        <v>53</v>
      </c>
      <c r="AV3" s="8" t="s">
        <v>54</v>
      </c>
      <c r="AX3" s="3" t="s">
        <v>165</v>
      </c>
      <c r="AY3" s="3">
        <f>$G$4</f>
        <v>2.54</v>
      </c>
      <c r="AZ3" s="27" t="s">
        <v>10</v>
      </c>
      <c r="BB3" s="3" t="s">
        <v>166</v>
      </c>
      <c r="BC3" s="3">
        <f>0.5*AY9</f>
        <v>1</v>
      </c>
      <c r="BD3" s="27" t="s">
        <v>8</v>
      </c>
      <c r="BF3" s="62" t="s">
        <v>167</v>
      </c>
      <c r="BG3" s="62"/>
      <c r="BH3" s="62"/>
      <c r="BJ3" s="62" t="s">
        <v>168</v>
      </c>
      <c r="BK3" s="62"/>
      <c r="BL3" s="62"/>
      <c r="BN3" s="62" t="s">
        <v>167</v>
      </c>
      <c r="BO3" s="62"/>
      <c r="BP3" s="62"/>
      <c r="BQ3" s="3"/>
      <c r="BR3" s="62" t="s">
        <v>168</v>
      </c>
      <c r="BS3" s="62"/>
      <c r="BT3" s="62"/>
      <c r="BV3" s="8" t="s">
        <v>45</v>
      </c>
      <c r="BW3" s="8" t="s">
        <v>46</v>
      </c>
      <c r="BX3" s="8" t="s">
        <v>47</v>
      </c>
      <c r="BY3" s="8" t="s">
        <v>48</v>
      </c>
      <c r="BZ3" s="8" t="s">
        <v>49</v>
      </c>
      <c r="CA3" s="8" t="s">
        <v>50</v>
      </c>
      <c r="CB3" s="8" t="s">
        <v>51</v>
      </c>
      <c r="CC3" s="8" t="s">
        <v>52</v>
      </c>
      <c r="CD3" s="8" t="s">
        <v>53</v>
      </c>
      <c r="CE3" s="8" t="s">
        <v>54</v>
      </c>
      <c r="CG3" s="8" t="s">
        <v>45</v>
      </c>
      <c r="CH3" s="8" t="s">
        <v>46</v>
      </c>
      <c r="CI3" s="8" t="s">
        <v>47</v>
      </c>
      <c r="CJ3" s="8" t="s">
        <v>48</v>
      </c>
      <c r="CK3" s="8" t="s">
        <v>49</v>
      </c>
      <c r="CL3" s="8" t="s">
        <v>50</v>
      </c>
      <c r="CM3" s="8" t="s">
        <v>51</v>
      </c>
      <c r="CN3" s="8" t="s">
        <v>52</v>
      </c>
      <c r="CO3" s="8" t="s">
        <v>53</v>
      </c>
      <c r="CP3" s="8" t="s">
        <v>54</v>
      </c>
    </row>
    <row r="4" spans="2:94" x14ac:dyDescent="0.2">
      <c r="B4" s="7" t="s">
        <v>40</v>
      </c>
      <c r="C4" s="4" t="s">
        <v>248</v>
      </c>
      <c r="F4" s="7" t="s">
        <v>89</v>
      </c>
      <c r="G4" s="18">
        <v>2.54</v>
      </c>
      <c r="H4" s="7" t="s">
        <v>10</v>
      </c>
      <c r="J4" s="7" t="s">
        <v>121</v>
      </c>
      <c r="K4" s="7">
        <f>MAX(G13,G53)</f>
        <v>210.12389720851098</v>
      </c>
      <c r="L4" s="7" t="s">
        <v>123</v>
      </c>
      <c r="N4" s="7" t="s">
        <v>249</v>
      </c>
      <c r="O4" s="7">
        <f>$C$5*$C$68*COS(G24/180*PI())</f>
        <v>10668.678147579711</v>
      </c>
      <c r="P4" s="7" t="s">
        <v>23</v>
      </c>
      <c r="R4" s="7" t="s">
        <v>249</v>
      </c>
      <c r="S4" s="7">
        <f xml:space="preserve"> $C$5 * $C$68</f>
        <v>10682.470857629924</v>
      </c>
      <c r="T4" s="7" t="s">
        <v>23</v>
      </c>
      <c r="V4" s="7" t="s">
        <v>249</v>
      </c>
      <c r="W4" s="7">
        <f>$C$5*$C$68*COS(G44/180*PI())</f>
        <v>10677.507534505618</v>
      </c>
      <c r="X4" s="7" t="s">
        <v>23</v>
      </c>
      <c r="AB4" s="3">
        <v>0</v>
      </c>
      <c r="AC4" s="4">
        <v>0</v>
      </c>
      <c r="AD4" s="3">
        <f t="shared" ref="AD4:AD34" si="0" xml:space="preserve"> $S$22 * TAN($S$19/180*PI()) + $S$23 / (2 * SQRT($S$22^2 + AC4^2)) - AC4</f>
        <v>0.49882244505640283</v>
      </c>
      <c r="AE4" s="4">
        <v>1</v>
      </c>
      <c r="AF4" s="3">
        <f t="shared" ref="AF4:AF34" si="1" xml:space="preserve"> $S$22 * TAN($S$19/180*PI()) + $S$23 / (2 * SQRT($S$22^2 + AE4^2)) - AE4</f>
        <v>-0.67786183852806214</v>
      </c>
      <c r="AG4" s="3">
        <f xml:space="preserve"> (AC4 + AE4)/2</f>
        <v>0.5</v>
      </c>
      <c r="AH4" s="3">
        <f t="shared" ref="AH4:AH34" si="2" xml:space="preserve"> $S$22 * TAN($S$19/180*PI()) + $S$23 / (2 * SQRT($S$22^2 + AG4^2)) - AG4</f>
        <v>-0.17283390501343093</v>
      </c>
      <c r="AI4" s="3">
        <f>AD4*AH4</f>
        <v>-8.6213431087445697E-2</v>
      </c>
      <c r="AJ4" s="3">
        <f>AF4*AH4</f>
        <v>0.11715750861238874</v>
      </c>
      <c r="AK4" s="3">
        <f>AE4-AC4</f>
        <v>1</v>
      </c>
      <c r="AM4" s="3">
        <v>0</v>
      </c>
      <c r="AN4" s="3"/>
      <c r="AO4" s="3">
        <f>K32</f>
        <v>-8.6651516539859585E-6</v>
      </c>
      <c r="AP4" s="3"/>
      <c r="AQ4" s="3">
        <f>K32</f>
        <v>-8.6651516539859585E-6</v>
      </c>
      <c r="AR4" s="3"/>
      <c r="AS4" s="3">
        <f>K32</f>
        <v>-8.6651516539859585E-6</v>
      </c>
      <c r="AT4" s="3"/>
      <c r="AU4" s="3"/>
      <c r="AV4" s="3"/>
      <c r="AX4" s="3" t="s">
        <v>172</v>
      </c>
      <c r="AY4" s="3">
        <f>$C$6</f>
        <v>967.59338118135929</v>
      </c>
      <c r="AZ4" s="27" t="s">
        <v>154</v>
      </c>
      <c r="BB4" s="3" t="s">
        <v>173</v>
      </c>
      <c r="BC4" s="3">
        <f>PI()*BC3^2</f>
        <v>3.1415926535897931</v>
      </c>
      <c r="BD4" s="27" t="s">
        <v>11</v>
      </c>
      <c r="BF4" s="3" t="s">
        <v>174</v>
      </c>
      <c r="BG4" s="3">
        <f>2*($AY$19 - $AY$10)</f>
        <v>9.875000000000006E-2</v>
      </c>
      <c r="BH4" s="27" t="s">
        <v>8</v>
      </c>
      <c r="BJ4" s="3" t="s">
        <v>174</v>
      </c>
      <c r="BK4" s="3">
        <f>$AY$20-$AY$19</f>
        <v>9.8750000000000004E-2</v>
      </c>
      <c r="BL4" s="27" t="s">
        <v>8</v>
      </c>
      <c r="BN4" s="29" t="s">
        <v>175</v>
      </c>
      <c r="BO4" s="30">
        <f>CA34</f>
        <v>0.4312897127950085</v>
      </c>
      <c r="BP4" s="6" t="s">
        <v>176</v>
      </c>
      <c r="BQ4" s="3"/>
      <c r="BR4" s="29" t="s">
        <v>175</v>
      </c>
      <c r="BS4" s="30">
        <f>CL34</f>
        <v>0.36767249703850435</v>
      </c>
      <c r="BT4" s="6" t="s">
        <v>176</v>
      </c>
      <c r="BV4" s="31">
        <v>0</v>
      </c>
      <c r="BW4" s="31"/>
      <c r="BX4" s="31">
        <f>$BO$20</f>
        <v>-1.4332617509493772E-8</v>
      </c>
      <c r="BY4" s="31"/>
      <c r="BZ4" s="31">
        <f>$BO$20</f>
        <v>-1.4332617509493772E-8</v>
      </c>
      <c r="CA4" s="31"/>
      <c r="CB4" s="31">
        <f>$BO$20</f>
        <v>-1.4332617509493772E-8</v>
      </c>
      <c r="CC4" s="31"/>
      <c r="CD4" s="31"/>
      <c r="CE4" s="31"/>
      <c r="CG4" s="31">
        <v>0</v>
      </c>
      <c r="CH4" s="31"/>
      <c r="CI4" s="31">
        <f>$BS$20</f>
        <v>-1.3172811126616057E-7</v>
      </c>
      <c r="CJ4" s="31"/>
      <c r="CK4" s="31">
        <f>$BS$20</f>
        <v>-1.3172811126616057E-7</v>
      </c>
      <c r="CL4" s="31"/>
      <c r="CM4" s="31">
        <f>$BS$20</f>
        <v>-1.3172811126616057E-7</v>
      </c>
      <c r="CN4" s="31"/>
      <c r="CO4" s="31"/>
      <c r="CP4" s="31"/>
    </row>
    <row r="5" spans="2:94" x14ac:dyDescent="0.2">
      <c r="B5" s="11" t="s">
        <v>41</v>
      </c>
      <c r="C5" s="11">
        <f>AR44</f>
        <v>1089.3088728189468</v>
      </c>
      <c r="D5" s="11" t="s">
        <v>7</v>
      </c>
      <c r="F5" s="7" t="s">
        <v>92</v>
      </c>
      <c r="G5" s="18">
        <v>152.4</v>
      </c>
      <c r="H5" s="7" t="s">
        <v>8</v>
      </c>
      <c r="J5" s="7" t="s">
        <v>122</v>
      </c>
      <c r="K5" s="7">
        <f>K4/$C$21</f>
        <v>26.265487151063873</v>
      </c>
      <c r="L5" s="7" t="s">
        <v>123</v>
      </c>
      <c r="N5" s="7" t="s">
        <v>26</v>
      </c>
      <c r="O5" s="7">
        <f>0.5*$C$65*$G$16^2</f>
        <v>1531.25</v>
      </c>
      <c r="P5" s="7" t="s">
        <v>27</v>
      </c>
      <c r="R5" s="7" t="s">
        <v>26</v>
      </c>
      <c r="S5" s="7">
        <f xml:space="preserve"> 0.5 * $C$65 * $C$13^2</f>
        <v>1531.25</v>
      </c>
      <c r="T5" s="7" t="s">
        <v>27</v>
      </c>
      <c r="V5" s="7" t="s">
        <v>26</v>
      </c>
      <c r="W5" s="7">
        <f>0.5*$C$65*$G$36^2</f>
        <v>1531.25</v>
      </c>
      <c r="X5" s="7" t="s">
        <v>27</v>
      </c>
      <c r="AB5" s="3">
        <v>1</v>
      </c>
      <c r="AC5" s="3">
        <f>IF(AI4&gt;0, AG4, AC4)</f>
        <v>0</v>
      </c>
      <c r="AD5" s="3">
        <f t="shared" si="0"/>
        <v>0.49882244505640283</v>
      </c>
      <c r="AE5" s="3">
        <f>IF(AJ4&gt;0, AG4, AE4)</f>
        <v>0.5</v>
      </c>
      <c r="AF5" s="3">
        <f t="shared" si="1"/>
        <v>-0.17283390501343093</v>
      </c>
      <c r="AG5" s="3">
        <f t="shared" ref="AG5:AG34" si="3" xml:space="preserve"> (AC5 + AE5)/2</f>
        <v>0.25</v>
      </c>
      <c r="AH5" s="3">
        <f t="shared" si="2"/>
        <v>8.7141508660736777E-2</v>
      </c>
      <c r="AI5" s="3">
        <f t="shared" ref="AI5:AI34" si="4">AD5*AH5</f>
        <v>4.3468140416052424E-2</v>
      </c>
      <c r="AJ5" s="3">
        <f t="shared" ref="AJ5:AJ34" si="5">AF5*AH5</f>
        <v>-1.5061007230596848E-2</v>
      </c>
      <c r="AK5" s="3">
        <f t="shared" ref="AK5:AK34" si="6">AE5-AC5</f>
        <v>0.5</v>
      </c>
      <c r="AM5" s="3">
        <v>1</v>
      </c>
      <c r="AN5" s="4">
        <v>500</v>
      </c>
      <c r="AO5" s="3">
        <f t="dataTable" ref="AO5:AO44" dt2D="0" dtr="0" r1="C5" ca="1"/>
        <v>-396.54491676641999</v>
      </c>
      <c r="AP5" s="4">
        <v>2500</v>
      </c>
      <c r="AQ5" s="3">
        <f t="dataTable" ref="AQ5:AQ44" dt2D="0" dtr="0" r1="C5" ca="1"/>
        <v>775.12553477685537</v>
      </c>
      <c r="AR5" s="3">
        <f>(AN5+AP5)/2</f>
        <v>1500</v>
      </c>
      <c r="AS5" s="3">
        <f t="dataTable" ref="AS5:AS44" dt2D="0" dtr="0" r1="C5"/>
        <v>244.9583338134571</v>
      </c>
      <c r="AT5" s="3">
        <f>AO5*AS5</f>
        <v>-97136.982093298269</v>
      </c>
      <c r="AU5" s="3">
        <f>AQ5*AS5</f>
        <v>189873.45949520339</v>
      </c>
      <c r="AV5" s="3">
        <f>AP5-AN5</f>
        <v>2000</v>
      </c>
      <c r="AX5" s="3" t="s">
        <v>178</v>
      </c>
      <c r="AY5" s="4">
        <v>20</v>
      </c>
      <c r="AZ5" s="27" t="s">
        <v>44</v>
      </c>
      <c r="BB5" s="3" t="s">
        <v>30</v>
      </c>
      <c r="BC5" s="3">
        <f>AY4*2*PI()/60</f>
        <v>101.32614193271556</v>
      </c>
      <c r="BD5" s="27" t="s">
        <v>31</v>
      </c>
      <c r="BF5" s="3" t="s">
        <v>179</v>
      </c>
      <c r="BG5" s="3">
        <f>(1+$BO$18)*$AY$3</f>
        <v>10.402912081360224</v>
      </c>
      <c r="BH5" s="27" t="s">
        <v>10</v>
      </c>
      <c r="BJ5" s="3" t="s">
        <v>179</v>
      </c>
      <c r="BK5" s="3">
        <f>(1+$BS$18)*$AY$3</f>
        <v>12.480255631898464</v>
      </c>
      <c r="BL5" s="27" t="s">
        <v>10</v>
      </c>
      <c r="BN5" s="3" t="s">
        <v>180</v>
      </c>
      <c r="BO5" s="3">
        <f>($AY$35+$AY$5)/180*PI()</f>
        <v>0.47751117503782359</v>
      </c>
      <c r="BP5" s="3" t="s">
        <v>176</v>
      </c>
      <c r="BQ5" s="3"/>
      <c r="BR5" s="3" t="s">
        <v>180</v>
      </c>
      <c r="BS5" s="3">
        <f>($AY$36+$AY$5)/180*PI()</f>
        <v>0.45165848549265758</v>
      </c>
      <c r="BT5" s="3" t="s">
        <v>176</v>
      </c>
      <c r="BV5" s="3">
        <v>1</v>
      </c>
      <c r="BW5" s="4">
        <f>0.01*PI()</f>
        <v>3.1415926535897934E-2</v>
      </c>
      <c r="BX5" s="3">
        <f t="dataTable" ref="BX5:BX34" dt2D="0" dtr="0" r1="BO4" ca="1"/>
        <v>-3.3374177478246043</v>
      </c>
      <c r="BY5" s="4">
        <f>0.9*PI()</f>
        <v>2.8274333882308138</v>
      </c>
      <c r="BZ5" s="3">
        <f t="dataTable" ref="BZ5:BZ34" dt2D="0" dtr="0" r1="BO4" ca="1"/>
        <v>0.54782246849517247</v>
      </c>
      <c r="CA5" s="3">
        <f t="shared" ref="CA5:CA34" si="7">(BW5+BY5)/2</f>
        <v>1.4294246573833558</v>
      </c>
      <c r="CB5" s="3">
        <f t="dataTable" ref="CB5:CB34" dt2D="0" dtr="0" r1="BO4" ca="1"/>
        <v>1.4216548300730671</v>
      </c>
      <c r="CC5" s="3">
        <f t="shared" ref="CC5:CC34" si="8">BX5*CB5</f>
        <v>-4.7446560611664266</v>
      </c>
      <c r="CD5" s="3">
        <f t="shared" ref="CD5:CD34" si="9">BZ5*CB5</f>
        <v>0.77881445835871255</v>
      </c>
      <c r="CE5" s="3">
        <f t="shared" ref="CE5:CE34" si="10">BY5-BW5</f>
        <v>2.7960174616949161</v>
      </c>
      <c r="CG5" s="3">
        <v>1</v>
      </c>
      <c r="CH5" s="4">
        <f>0.01*PI()</f>
        <v>3.1415926535897934E-2</v>
      </c>
      <c r="CI5" s="3">
        <f t="dataTable" ref="CI5:CI34" dt2D="0" dtr="0" r1="BS4" ca="1"/>
        <v>-2.8621240283586689</v>
      </c>
      <c r="CJ5" s="4">
        <f>0.9*PI()</f>
        <v>2.8274333882308138</v>
      </c>
      <c r="CK5" s="3">
        <f t="dataTable" ref="CK5:CK34" dt2D="0" dtr="0" r1="BS4" ca="1"/>
        <v>0.43721065545909288</v>
      </c>
      <c r="CL5" s="3">
        <f t="shared" ref="CL5:CL34" si="11">(CH5+CJ5)/2</f>
        <v>1.4294246573833558</v>
      </c>
      <c r="CM5" s="3">
        <f t="dataTable" ref="CM5:CM34" dt2D="0" dtr="0" r1="BS4" ca="1"/>
        <v>1.2204746035797023</v>
      </c>
      <c r="CN5" s="3">
        <f t="shared" ref="CN5:CN34" si="12">CI5*CM5</f>
        <v>-3.4931496889069868</v>
      </c>
      <c r="CO5" s="3">
        <f t="shared" ref="CO5:CO34" si="13">CK5*CM5</f>
        <v>0.53360450140225812</v>
      </c>
      <c r="CP5" s="3">
        <f t="shared" ref="CP5:CP34" si="14">CJ5-CH5</f>
        <v>2.7960174616949161</v>
      </c>
    </row>
    <row r="6" spans="2:94" x14ac:dyDescent="0.2">
      <c r="B6" s="11" t="s">
        <v>155</v>
      </c>
      <c r="C6" s="11">
        <f>AR79</f>
        <v>967.59338118135929</v>
      </c>
      <c r="D6" s="11" t="s">
        <v>154</v>
      </c>
      <c r="F6" s="7" t="s">
        <v>93</v>
      </c>
      <c r="G6" s="7">
        <f xml:space="preserve"> $G$5/$G$4</f>
        <v>60</v>
      </c>
      <c r="H6" s="7" t="s">
        <v>14</v>
      </c>
      <c r="J6" s="7" t="s">
        <v>250</v>
      </c>
      <c r="K6" s="7">
        <f>MAX(G26,G33,G46)</f>
        <v>93.678108528175343</v>
      </c>
      <c r="L6" s="7" t="s">
        <v>123</v>
      </c>
      <c r="N6" s="7" t="s">
        <v>139</v>
      </c>
      <c r="O6" s="7">
        <f xml:space="preserve"> 0.4 * ($C$5 *2.20462/1000)^(2/3) * 0.3048^2</f>
        <v>6.6641757111894157E-2</v>
      </c>
      <c r="P6" s="7" t="s">
        <v>140</v>
      </c>
      <c r="R6" s="7" t="s">
        <v>139</v>
      </c>
      <c r="S6" s="7">
        <f xml:space="preserve"> 0.4 * ($C$5 *2.20462/1000)^(2/3) * 0.3048^2</f>
        <v>6.6641757111894157E-2</v>
      </c>
      <c r="T6" s="7" t="s">
        <v>140</v>
      </c>
      <c r="V6" s="7" t="s">
        <v>139</v>
      </c>
      <c r="W6" s="7">
        <f xml:space="preserve"> 0.4 * ($C$5 *2.20462/1000)^(2/3) * 0.3048^2</f>
        <v>6.6641757111894157E-2</v>
      </c>
      <c r="X6" s="7" t="s">
        <v>140</v>
      </c>
      <c r="AB6" s="3">
        <v>2</v>
      </c>
      <c r="AC6" s="3">
        <f t="shared" ref="AC6:AC34" si="15">IF(AI5&gt;0, AG5, AC5)</f>
        <v>0.25</v>
      </c>
      <c r="AD6" s="3">
        <f t="shared" si="0"/>
        <v>8.7141508660736777E-2</v>
      </c>
      <c r="AE6" s="3">
        <f t="shared" ref="AE6:AE34" si="16">IF(AJ5&gt;0, AG5, AE5)</f>
        <v>0.5</v>
      </c>
      <c r="AF6" s="3">
        <f t="shared" si="1"/>
        <v>-0.17283390501343093</v>
      </c>
      <c r="AG6" s="3">
        <f t="shared" si="3"/>
        <v>0.375</v>
      </c>
      <c r="AH6" s="3">
        <f t="shared" si="2"/>
        <v>-4.449407317323284E-2</v>
      </c>
      <c r="AI6" s="3">
        <f t="shared" si="4"/>
        <v>-3.8772806627767253E-3</v>
      </c>
      <c r="AJ6" s="3">
        <f t="shared" si="5"/>
        <v>7.6900844164831698E-3</v>
      </c>
      <c r="AK6" s="3">
        <f t="shared" si="6"/>
        <v>0.25</v>
      </c>
      <c r="AM6" s="3">
        <v>2</v>
      </c>
      <c r="AN6" s="3">
        <f>IF(AT5&gt;0,AR5,AN5)</f>
        <v>500</v>
      </c>
      <c r="AO6" s="3">
        <v>-396.54491676641999</v>
      </c>
      <c r="AP6" s="3">
        <f>IF(AU5&gt;0,AR5,AP5)</f>
        <v>1500</v>
      </c>
      <c r="AQ6" s="3">
        <v>244.9583338134571</v>
      </c>
      <c r="AR6" s="3">
        <f t="shared" ref="AR6:AR44" si="17">(AN6+AP6)/2</f>
        <v>1000</v>
      </c>
      <c r="AS6" s="3">
        <v>-60.345035256476649</v>
      </c>
      <c r="AT6" s="3">
        <f t="shared" ref="AT6:AT44" si="18">AO6*AS6</f>
        <v>23929.516983046211</v>
      </c>
      <c r="AU6" s="3">
        <f t="shared" ref="AU6:AU44" si="19">AQ6*AS6</f>
        <v>-14782.019290340844</v>
      </c>
      <c r="AV6" s="3">
        <f t="shared" ref="AV6:AV44" si="20">AP6-AN6</f>
        <v>1000</v>
      </c>
      <c r="AX6" s="3"/>
      <c r="AY6" s="3"/>
      <c r="AZ6" s="27"/>
      <c r="BB6" s="3" t="s">
        <v>182</v>
      </c>
      <c r="BC6" s="3">
        <f>$AY$4/60</f>
        <v>16.126556353022654</v>
      </c>
      <c r="BD6" s="27" t="s">
        <v>183</v>
      </c>
      <c r="BF6" s="3" t="s">
        <v>184</v>
      </c>
      <c r="BG6" s="3">
        <f>(1-$BO$19)*$BC$5*$AY$19</f>
        <v>22.606033235309265</v>
      </c>
      <c r="BH6" s="27" t="s">
        <v>10</v>
      </c>
      <c r="BJ6" s="3" t="s">
        <v>184</v>
      </c>
      <c r="BK6" s="3">
        <f>(1-$BS$19)*$BC$5*$AY$20</f>
        <v>32.400374900394887</v>
      </c>
      <c r="BL6" s="27" t="s">
        <v>10</v>
      </c>
      <c r="BN6" s="3" t="s">
        <v>29</v>
      </c>
      <c r="BO6" s="3">
        <f>BO5-BO4</f>
        <v>4.6221462242815092E-2</v>
      </c>
      <c r="BP6" s="3" t="s">
        <v>176</v>
      </c>
      <c r="BQ6" s="3"/>
      <c r="BR6" s="3" t="s">
        <v>29</v>
      </c>
      <c r="BS6" s="3">
        <f>BS5-BS4</f>
        <v>8.3985988454153226E-2</v>
      </c>
      <c r="BT6" s="3" t="s">
        <v>176</v>
      </c>
      <c r="BV6" s="3">
        <v>2</v>
      </c>
      <c r="BW6" s="3">
        <f t="shared" ref="BW6:BW34" si="21">IF(CC5&gt;0,CA5,BW5)</f>
        <v>3.1415926535897934E-2</v>
      </c>
      <c r="BX6" s="3">
        <v>-3.3374177478246043</v>
      </c>
      <c r="BY6" s="3">
        <f t="shared" ref="BY6:BY34" si="22">IF(CD5&gt;0,CA5,BY5)</f>
        <v>1.4294246573833558</v>
      </c>
      <c r="BZ6" s="3">
        <v>1.4216548300730671</v>
      </c>
      <c r="CA6" s="3">
        <f t="shared" si="7"/>
        <v>0.73042029195962688</v>
      </c>
      <c r="CB6" s="3">
        <v>0.87519081484788219</v>
      </c>
      <c r="CC6" s="3">
        <f t="shared" si="8"/>
        <v>-2.9208773582063992</v>
      </c>
      <c r="CD6" s="3">
        <f t="shared" si="9"/>
        <v>1.2442192491640751</v>
      </c>
      <c r="CE6" s="3">
        <f t="shared" si="10"/>
        <v>1.3980087308474578</v>
      </c>
      <c r="CG6" s="3">
        <v>2</v>
      </c>
      <c r="CH6" s="3">
        <f t="shared" ref="CH6:CH34" si="23">IF(CN5&gt;0,CL5,CH5)</f>
        <v>3.1415926535897934E-2</v>
      </c>
      <c r="CI6" s="3">
        <v>-2.8621240283586689</v>
      </c>
      <c r="CJ6" s="3">
        <f t="shared" ref="CJ6:CJ34" si="24">IF(CO5&gt;0,CL5,CJ5)</f>
        <v>1.4294246573833558</v>
      </c>
      <c r="CK6" s="3">
        <v>1.2204746035797023</v>
      </c>
      <c r="CL6" s="3">
        <f t="shared" si="11"/>
        <v>0.73042029195962688</v>
      </c>
      <c r="CM6" s="3">
        <v>0.76355087603288929</v>
      </c>
      <c r="CN6" s="3">
        <f t="shared" si="12"/>
        <v>-2.1853773091680435</v>
      </c>
      <c r="CO6" s="3">
        <f t="shared" si="13"/>
        <v>0.93189445273917493</v>
      </c>
      <c r="CP6" s="3">
        <f t="shared" si="14"/>
        <v>1.3980087308474578</v>
      </c>
    </row>
    <row r="7" spans="2:94" x14ac:dyDescent="0.2">
      <c r="B7" s="7" t="s">
        <v>112</v>
      </c>
      <c r="C7" s="18">
        <v>1</v>
      </c>
      <c r="D7" s="7" t="s">
        <v>8</v>
      </c>
      <c r="F7" s="7" t="s">
        <v>150</v>
      </c>
      <c r="G7" s="7">
        <f>$C$6*2*PI()*$C$7/60</f>
        <v>101.32614193271556</v>
      </c>
      <c r="H7" s="7" t="s">
        <v>10</v>
      </c>
      <c r="J7" s="7" t="s">
        <v>251</v>
      </c>
      <c r="K7" s="7">
        <f>K6/$C$28</f>
        <v>93.678108528175343</v>
      </c>
      <c r="L7" s="7" t="s">
        <v>123</v>
      </c>
      <c r="N7" s="7" t="s">
        <v>141</v>
      </c>
      <c r="O7" s="7">
        <f xml:space="preserve"> O6 / $C$11</f>
        <v>4.1136887106107507E-3</v>
      </c>
      <c r="R7" s="7" t="s">
        <v>141</v>
      </c>
      <c r="S7" s="7">
        <f xml:space="preserve"> S6 / $C$11</f>
        <v>4.1136887106107507E-3</v>
      </c>
      <c r="V7" s="7" t="s">
        <v>141</v>
      </c>
      <c r="W7" s="7">
        <f xml:space="preserve"> W6 / $C$11</f>
        <v>4.1136887106107507E-3</v>
      </c>
      <c r="AB7" s="3">
        <v>3</v>
      </c>
      <c r="AC7" s="3">
        <f t="shared" si="15"/>
        <v>0.25</v>
      </c>
      <c r="AD7" s="3">
        <f t="shared" si="0"/>
        <v>8.7141508660736777E-2</v>
      </c>
      <c r="AE7" s="3">
        <f t="shared" si="16"/>
        <v>0.375</v>
      </c>
      <c r="AF7" s="3">
        <f t="shared" si="1"/>
        <v>-4.449407317323284E-2</v>
      </c>
      <c r="AG7" s="3">
        <f t="shared" si="3"/>
        <v>0.3125</v>
      </c>
      <c r="AH7" s="3">
        <f t="shared" si="2"/>
        <v>2.0668155952988043E-2</v>
      </c>
      <c r="AI7" s="3">
        <f t="shared" si="4"/>
        <v>1.8010542909787659E-3</v>
      </c>
      <c r="AJ7" s="3">
        <f t="shared" si="5"/>
        <v>-9.1961044332803787E-4</v>
      </c>
      <c r="AK7" s="3">
        <f t="shared" si="6"/>
        <v>0.125</v>
      </c>
      <c r="AM7" s="3">
        <v>3</v>
      </c>
      <c r="AN7" s="3">
        <f t="shared" ref="AN7:AN44" si="25">IF(AT6&gt;0,AR6,AN6)</f>
        <v>1000</v>
      </c>
      <c r="AO7" s="3">
        <v>-60.345035256476649</v>
      </c>
      <c r="AP7" s="3">
        <f t="shared" ref="AP7:AP44" si="26">IF(AU6&gt;0,AR6,AP6)</f>
        <v>1500</v>
      </c>
      <c r="AQ7" s="3">
        <v>244.9583338134571</v>
      </c>
      <c r="AR7" s="3">
        <f t="shared" si="17"/>
        <v>1250</v>
      </c>
      <c r="AS7" s="3">
        <v>101.54752917883752</v>
      </c>
      <c r="AT7" s="3">
        <f t="shared" si="18"/>
        <v>-6127.8892285050415</v>
      </c>
      <c r="AU7" s="3">
        <f t="shared" si="19"/>
        <v>24874.913550521458</v>
      </c>
      <c r="AV7" s="3">
        <f t="shared" si="20"/>
        <v>500</v>
      </c>
      <c r="AX7" s="61" t="s">
        <v>186</v>
      </c>
      <c r="AY7" s="61"/>
      <c r="AZ7" s="61"/>
      <c r="BB7" s="3" t="s">
        <v>187</v>
      </c>
      <c r="BC7" s="3">
        <f>$AY$3/(BC6*AY9)</f>
        <v>7.8752088927029965E-2</v>
      </c>
      <c r="BF7" s="3" t="s">
        <v>188</v>
      </c>
      <c r="BG7" s="3">
        <f>SQRT(BG5^2 + BG6^2)</f>
        <v>24.884800951754016</v>
      </c>
      <c r="BH7" s="27" t="s">
        <v>10</v>
      </c>
      <c r="BJ7" s="3" t="s">
        <v>188</v>
      </c>
      <c r="BK7" s="3">
        <f>SQRT(BK5^2 + BK6^2)</f>
        <v>34.720902556294128</v>
      </c>
      <c r="BL7" s="27" t="s">
        <v>10</v>
      </c>
      <c r="BN7" s="3" t="s">
        <v>189</v>
      </c>
      <c r="BO7" s="3">
        <f>BO6/PI()*180</f>
        <v>2.648294709436593</v>
      </c>
      <c r="BP7" s="3" t="s">
        <v>44</v>
      </c>
      <c r="BQ7" s="3"/>
      <c r="BR7" s="3" t="s">
        <v>189</v>
      </c>
      <c r="BS7" s="3">
        <f>BS6/PI()*180</f>
        <v>4.8120426766574411</v>
      </c>
      <c r="BT7" s="3" t="s">
        <v>44</v>
      </c>
      <c r="BV7" s="3">
        <v>3</v>
      </c>
      <c r="BW7" s="3">
        <f t="shared" si="21"/>
        <v>3.1415926535897934E-2</v>
      </c>
      <c r="BX7" s="3">
        <v>-3.3374177478246043</v>
      </c>
      <c r="BY7" s="3">
        <f t="shared" si="22"/>
        <v>0.73042029195962688</v>
      </c>
      <c r="BZ7" s="3">
        <v>0.87519081484788219</v>
      </c>
      <c r="CA7" s="3">
        <f t="shared" si="7"/>
        <v>0.38091810924776243</v>
      </c>
      <c r="CB7" s="3">
        <v>-0.32488646780676123</v>
      </c>
      <c r="CC7" s="3">
        <f t="shared" si="8"/>
        <v>1.0842818636863318</v>
      </c>
      <c r="CD7" s="3">
        <f t="shared" si="9"/>
        <v>-0.28433765249284959</v>
      </c>
      <c r="CE7" s="3">
        <f t="shared" si="10"/>
        <v>0.6990043654237289</v>
      </c>
      <c r="CG7" s="3">
        <v>3</v>
      </c>
      <c r="CH7" s="3">
        <f t="shared" si="23"/>
        <v>3.1415926535897934E-2</v>
      </c>
      <c r="CI7" s="3">
        <v>-2.8621240283586689</v>
      </c>
      <c r="CJ7" s="3">
        <f t="shared" si="24"/>
        <v>0.73042029195962688</v>
      </c>
      <c r="CK7" s="3">
        <v>0.76355087603288929</v>
      </c>
      <c r="CL7" s="3">
        <f t="shared" si="11"/>
        <v>0.38091810924776243</v>
      </c>
      <c r="CM7" s="3">
        <v>5.4340813604868726E-2</v>
      </c>
      <c r="CN7" s="3">
        <f t="shared" si="12"/>
        <v>-0.15553014833905443</v>
      </c>
      <c r="CO7" s="3">
        <f t="shared" si="13"/>
        <v>4.1491975832337463E-2</v>
      </c>
      <c r="CP7" s="3">
        <f t="shared" si="14"/>
        <v>0.6990043654237289</v>
      </c>
    </row>
    <row r="8" spans="2:94" x14ac:dyDescent="0.2">
      <c r="B8" s="7" t="s">
        <v>245</v>
      </c>
      <c r="C8" s="18">
        <f>(0.548288+0.530863+0.513438+0.496013+0.478588+0.461163+0.443738+0.426313)/8</f>
        <v>0.48730050000000003</v>
      </c>
      <c r="D8" s="7" t="s">
        <v>8</v>
      </c>
      <c r="F8" s="7" t="s">
        <v>153</v>
      </c>
      <c r="G8" s="7">
        <f>G7/$C$67</f>
        <v>0.29765387623588657</v>
      </c>
      <c r="H8" s="7" t="s">
        <v>151</v>
      </c>
      <c r="N8" s="7" t="s">
        <v>143</v>
      </c>
      <c r="O8" s="18">
        <v>2.476619E-2</v>
      </c>
      <c r="R8" s="7" t="s">
        <v>143</v>
      </c>
      <c r="S8" s="18">
        <v>2.476619E-2</v>
      </c>
      <c r="V8" s="7" t="s">
        <v>143</v>
      </c>
      <c r="W8" s="18">
        <v>2.476619E-2</v>
      </c>
      <c r="AB8" s="3">
        <v>4</v>
      </c>
      <c r="AC8" s="3">
        <f t="shared" si="15"/>
        <v>0.3125</v>
      </c>
      <c r="AD8" s="3">
        <f t="shared" si="0"/>
        <v>2.0668155952988043E-2</v>
      </c>
      <c r="AE8" s="3">
        <f t="shared" si="16"/>
        <v>0.375</v>
      </c>
      <c r="AF8" s="3">
        <f t="shared" si="1"/>
        <v>-4.449407317323284E-2</v>
      </c>
      <c r="AG8" s="3">
        <f t="shared" si="3"/>
        <v>0.34375</v>
      </c>
      <c r="AH8" s="3">
        <f t="shared" si="2"/>
        <v>-1.20327879379451E-2</v>
      </c>
      <c r="AI8" s="3">
        <f t="shared" si="4"/>
        <v>-2.4869553765068271E-4</v>
      </c>
      <c r="AJ8" s="3">
        <f t="shared" si="5"/>
        <v>5.3538774698892277E-4</v>
      </c>
      <c r="AK8" s="3">
        <f t="shared" si="6"/>
        <v>6.25E-2</v>
      </c>
      <c r="AM8" s="3">
        <v>4</v>
      </c>
      <c r="AN8" s="3">
        <f t="shared" si="25"/>
        <v>1000</v>
      </c>
      <c r="AO8" s="3">
        <v>-60.345035256476649</v>
      </c>
      <c r="AP8" s="3">
        <f t="shared" si="26"/>
        <v>1250</v>
      </c>
      <c r="AQ8" s="3">
        <v>101.54752917883752</v>
      </c>
      <c r="AR8" s="3">
        <f t="shared" si="17"/>
        <v>1125</v>
      </c>
      <c r="AS8" s="3">
        <v>24.089233214539263</v>
      </c>
      <c r="AT8" s="3">
        <f t="shared" si="18"/>
        <v>-1453.6656276328602</v>
      </c>
      <c r="AU8" s="3">
        <f t="shared" si="19"/>
        <v>2446.2021127492476</v>
      </c>
      <c r="AV8" s="3">
        <f t="shared" si="20"/>
        <v>250</v>
      </c>
      <c r="AX8" s="3" t="s">
        <v>190</v>
      </c>
      <c r="AY8" s="3">
        <f>$C$22</f>
        <v>2</v>
      </c>
      <c r="AZ8" s="27"/>
      <c r="BF8" s="3" t="s">
        <v>191</v>
      </c>
      <c r="BG8" s="38">
        <f>$AY$45*BG7*$AY$27/$AY$46</f>
        <v>934063.39845462434</v>
      </c>
      <c r="BH8" s="27"/>
      <c r="BJ8" s="3" t="s">
        <v>191</v>
      </c>
      <c r="BK8" s="38">
        <f>$AY$45*BK7*$AY$27/$AY$46</f>
        <v>1303266.3713895606</v>
      </c>
      <c r="BL8" s="27"/>
      <c r="BN8" s="3" t="s">
        <v>192</v>
      </c>
      <c r="BO8" s="3">
        <f xml:space="preserve"> $AY$8*$AY$27 / (2*PI()*$AY$19)</f>
        <v>0.67286936241325579</v>
      </c>
      <c r="BP8" s="3"/>
      <c r="BQ8" s="3"/>
      <c r="BR8" s="3" t="s">
        <v>192</v>
      </c>
      <c r="BS8" s="3">
        <f xml:space="preserve"> $AY$8*$AY$28 / (2*PI()*$AY$20)</f>
        <v>0.47184346557538748</v>
      </c>
      <c r="BT8" s="3"/>
      <c r="BV8" s="3">
        <v>4</v>
      </c>
      <c r="BW8" s="3">
        <f t="shared" si="21"/>
        <v>0.38091810924776243</v>
      </c>
      <c r="BX8" s="3">
        <v>-0.32488646780676123</v>
      </c>
      <c r="BY8" s="3">
        <f t="shared" si="22"/>
        <v>0.73042029195962688</v>
      </c>
      <c r="BZ8" s="3">
        <v>0.87519081484788219</v>
      </c>
      <c r="CA8" s="3">
        <f t="shared" si="7"/>
        <v>0.55566920060369462</v>
      </c>
      <c r="CB8" s="3">
        <v>0.61922332611127795</v>
      </c>
      <c r="CC8" s="3">
        <f t="shared" si="8"/>
        <v>-0.20117727920384731</v>
      </c>
      <c r="CD8" s="3">
        <f t="shared" si="9"/>
        <v>0.54193856735214518</v>
      </c>
      <c r="CE8" s="3">
        <f t="shared" si="10"/>
        <v>0.34950218271186445</v>
      </c>
      <c r="CG8" s="3">
        <v>4</v>
      </c>
      <c r="CH8" s="3">
        <f t="shared" si="23"/>
        <v>3.1415926535897934E-2</v>
      </c>
      <c r="CI8" s="3">
        <v>-2.8621240283586689</v>
      </c>
      <c r="CJ8" s="3">
        <f t="shared" si="24"/>
        <v>0.38091810924776243</v>
      </c>
      <c r="CK8" s="3">
        <v>5.4340813604868726E-2</v>
      </c>
      <c r="CL8" s="3">
        <f t="shared" si="11"/>
        <v>0.20616701789183017</v>
      </c>
      <c r="CM8" s="3">
        <v>-0.77385791869580733</v>
      </c>
      <c r="CN8" s="3">
        <f t="shared" si="12"/>
        <v>2.2148773436348992</v>
      </c>
      <c r="CO8" s="3">
        <f t="shared" si="13"/>
        <v>-4.2052068916500526E-2</v>
      </c>
      <c r="CP8" s="3">
        <f t="shared" si="14"/>
        <v>0.34950218271186451</v>
      </c>
    </row>
    <row r="9" spans="2:94" x14ac:dyDescent="0.2">
      <c r="B9" s="7" t="s">
        <v>252</v>
      </c>
      <c r="C9" s="18">
        <v>1</v>
      </c>
      <c r="D9" s="7" t="s">
        <v>8</v>
      </c>
      <c r="F9" s="7" t="s">
        <v>22</v>
      </c>
      <c r="G9" s="7">
        <f xml:space="preserve"> $C$5 * $C$68 / $C$21</f>
        <v>1335.3088572037404</v>
      </c>
      <c r="H9" s="7" t="s">
        <v>23</v>
      </c>
      <c r="N9" s="7" t="s">
        <v>142</v>
      </c>
      <c r="O9" s="7">
        <f>$O$8 + O7</f>
        <v>2.8879878710610752E-2</v>
      </c>
      <c r="R9" s="7" t="s">
        <v>142</v>
      </c>
      <c r="S9" s="7">
        <f xml:space="preserve"> $S$8 + S7</f>
        <v>2.8879878710610752E-2</v>
      </c>
      <c r="V9" s="7" t="s">
        <v>142</v>
      </c>
      <c r="W9" s="7">
        <f xml:space="preserve"> $W$8 + W7</f>
        <v>2.8879878710610752E-2</v>
      </c>
      <c r="AB9" s="3">
        <v>5</v>
      </c>
      <c r="AC9" s="3">
        <f t="shared" si="15"/>
        <v>0.3125</v>
      </c>
      <c r="AD9" s="3">
        <f t="shared" si="0"/>
        <v>2.0668155952988043E-2</v>
      </c>
      <c r="AE9" s="3">
        <f t="shared" si="16"/>
        <v>0.34375</v>
      </c>
      <c r="AF9" s="3">
        <f t="shared" si="1"/>
        <v>-1.20327879379451E-2</v>
      </c>
      <c r="AG9" s="3">
        <f t="shared" si="3"/>
        <v>0.328125</v>
      </c>
      <c r="AH9" s="3">
        <f t="shared" si="2"/>
        <v>4.2835060760849641E-3</v>
      </c>
      <c r="AI9" s="3">
        <f t="shared" si="4"/>
        <v>8.8532171606095909E-5</v>
      </c>
      <c r="AJ9" s="3">
        <f t="shared" si="5"/>
        <v>-5.1542520244429698E-5</v>
      </c>
      <c r="AK9" s="3">
        <f t="shared" si="6"/>
        <v>3.125E-2</v>
      </c>
      <c r="AM9" s="3">
        <v>5</v>
      </c>
      <c r="AN9" s="3">
        <f t="shared" si="25"/>
        <v>1000</v>
      </c>
      <c r="AO9" s="3">
        <v>-60.345035256476649</v>
      </c>
      <c r="AP9" s="3">
        <f t="shared" si="26"/>
        <v>1125</v>
      </c>
      <c r="AQ9" s="3">
        <v>24.089233214539263</v>
      </c>
      <c r="AR9" s="3">
        <f t="shared" si="17"/>
        <v>1062.5</v>
      </c>
      <c r="AS9" s="3">
        <v>-18.105617141194216</v>
      </c>
      <c r="AT9" s="3">
        <f t="shared" si="18"/>
        <v>1092.5841047256329</v>
      </c>
      <c r="AU9" s="3">
        <f t="shared" si="19"/>
        <v>-436.15043380738712</v>
      </c>
      <c r="AV9" s="3">
        <f t="shared" si="20"/>
        <v>125</v>
      </c>
      <c r="AX9" s="3" t="s">
        <v>193</v>
      </c>
      <c r="AY9" s="3">
        <f>2*$C$7</f>
        <v>2</v>
      </c>
      <c r="AZ9" s="27" t="s">
        <v>8</v>
      </c>
      <c r="BB9" s="61" t="s">
        <v>194</v>
      </c>
      <c r="BC9" s="61"/>
      <c r="BD9" s="61"/>
      <c r="BF9" s="3" t="s">
        <v>195</v>
      </c>
      <c r="BG9" s="3">
        <f xml:space="preserve"> $BO$8 * PI() * $AY$45 * BG7^2 *$BO$14 * $AY$19 * BG4</f>
        <v>18.13364005862455</v>
      </c>
      <c r="BH9" s="27" t="s">
        <v>23</v>
      </c>
      <c r="BJ9" s="3" t="s">
        <v>195</v>
      </c>
      <c r="BK9" s="3">
        <f xml:space="preserve"> $BS$8 * PI() * $AY$45 * BK7^2 * $BS$14 * $AY$20 * BK4</f>
        <v>53.460678439635778</v>
      </c>
      <c r="BL9" s="27" t="s">
        <v>23</v>
      </c>
      <c r="BN9" s="3" t="s">
        <v>196</v>
      </c>
      <c r="BO9" s="3">
        <f>IF(-$AY$8*($BC$3-$AY$19)/(2*$AY$19*SIN(BO4))&gt;500, 1, 2*ACOS(MIN(1, EXP(-$AY$8*($BC$3-$AY$19)/(2*$AY$19*SIN(BO4)))))/PI() )</f>
        <v>0.99931221628436906</v>
      </c>
      <c r="BP9" s="3"/>
      <c r="BQ9" s="3"/>
      <c r="BR9" s="3" t="s">
        <v>196</v>
      </c>
      <c r="BS9" s="3">
        <f>IF(-$AY$8*($BC$3-$AY$20)/(2*$AY$20*SIN(BS4))&gt;500, 1, 2*ACOS(MIN(1, EXP(-$AY$8*($BC$3-$AY$20)/(2*$AY$20*SIN(BS4)))))/PI() )</f>
        <v>0.99565156597589888</v>
      </c>
      <c r="BT9" s="3"/>
      <c r="BV9" s="3">
        <v>5</v>
      </c>
      <c r="BW9" s="3">
        <f t="shared" si="21"/>
        <v>0.38091810924776243</v>
      </c>
      <c r="BX9" s="3">
        <v>-0.32488646780676123</v>
      </c>
      <c r="BY9" s="3">
        <f t="shared" si="22"/>
        <v>0.55566920060369462</v>
      </c>
      <c r="BZ9" s="3">
        <v>0.61922332611127795</v>
      </c>
      <c r="CA9" s="3">
        <f t="shared" si="7"/>
        <v>0.4682936549257285</v>
      </c>
      <c r="CB9" s="3">
        <v>0.21555204209313367</v>
      </c>
      <c r="CC9" s="3">
        <f t="shared" si="8"/>
        <v>-7.0029941584172514E-2</v>
      </c>
      <c r="CD9" s="3">
        <f t="shared" si="9"/>
        <v>0.13347485245498841</v>
      </c>
      <c r="CE9" s="3">
        <f t="shared" si="10"/>
        <v>0.1747510913559322</v>
      </c>
      <c r="CG9" s="3">
        <v>5</v>
      </c>
      <c r="CH9" s="3">
        <f t="shared" si="23"/>
        <v>0.20616701789183017</v>
      </c>
      <c r="CI9" s="3">
        <v>-0.77385791869580733</v>
      </c>
      <c r="CJ9" s="3">
        <f t="shared" si="24"/>
        <v>0.38091810924776243</v>
      </c>
      <c r="CK9" s="3">
        <v>5.4340813604868726E-2</v>
      </c>
      <c r="CL9" s="3">
        <f t="shared" si="11"/>
        <v>0.2935425635697963</v>
      </c>
      <c r="CM9" s="3">
        <v>-0.3313310850748814</v>
      </c>
      <c r="CN9" s="3">
        <f t="shared" si="12"/>
        <v>0.25640318389527117</v>
      </c>
      <c r="CO9" s="3">
        <f t="shared" si="13"/>
        <v>-1.8004800735553033E-2</v>
      </c>
      <c r="CP9" s="3">
        <f t="shared" si="14"/>
        <v>0.17475109135593225</v>
      </c>
    </row>
    <row r="10" spans="2:94" x14ac:dyDescent="0.2">
      <c r="B10" s="7" t="s">
        <v>284</v>
      </c>
      <c r="C10" s="18">
        <f>(0.500656+0.484769+0.468881+0.452994+0.437106+0.421219+0.405331+0.389444)/8</f>
        <v>0.44505</v>
      </c>
      <c r="D10" s="7" t="s">
        <v>8</v>
      </c>
      <c r="F10" s="49" t="s">
        <v>236</v>
      </c>
      <c r="G10" s="7">
        <f>BC10</f>
        <v>1335.308852808846</v>
      </c>
      <c r="H10" s="7" t="s">
        <v>23</v>
      </c>
      <c r="J10" s="55" t="s">
        <v>24</v>
      </c>
      <c r="K10" s="55"/>
      <c r="L10" s="55"/>
      <c r="N10" s="7" t="s">
        <v>42</v>
      </c>
      <c r="O10" s="7">
        <f xml:space="preserve"> O5 * $C$11 * O9</f>
        <v>716.401491265088</v>
      </c>
      <c r="P10" s="7" t="s">
        <v>23</v>
      </c>
      <c r="R10" s="7" t="s">
        <v>42</v>
      </c>
      <c r="S10" s="7">
        <f xml:space="preserve"> S5 * $C$11 * S9</f>
        <v>716.401491265088</v>
      </c>
      <c r="T10" s="7" t="s">
        <v>23</v>
      </c>
      <c r="V10" s="7" t="s">
        <v>42</v>
      </c>
      <c r="W10" s="7">
        <f xml:space="preserve"> W5*W9*$C$11</f>
        <v>716.401491265088</v>
      </c>
      <c r="X10" s="7" t="s">
        <v>23</v>
      </c>
      <c r="AB10" s="3">
        <v>6</v>
      </c>
      <c r="AC10" s="3">
        <f t="shared" si="15"/>
        <v>0.328125</v>
      </c>
      <c r="AD10" s="3">
        <f t="shared" si="0"/>
        <v>4.2835060760849641E-3</v>
      </c>
      <c r="AE10" s="3">
        <f t="shared" si="16"/>
        <v>0.34375</v>
      </c>
      <c r="AF10" s="3">
        <f t="shared" si="1"/>
        <v>-1.20327879379451E-2</v>
      </c>
      <c r="AG10" s="3">
        <f t="shared" si="3"/>
        <v>0.3359375</v>
      </c>
      <c r="AH10" s="3">
        <f t="shared" si="2"/>
        <v>-3.8825975311618244E-3</v>
      </c>
      <c r="AI10" s="3">
        <f t="shared" si="4"/>
        <v>-1.6631130115724155E-5</v>
      </c>
      <c r="AJ10" s="3">
        <f t="shared" si="5"/>
        <v>4.6718472740859421E-5</v>
      </c>
      <c r="AK10" s="3">
        <f t="shared" si="6"/>
        <v>1.5625E-2</v>
      </c>
      <c r="AM10" s="3">
        <v>6</v>
      </c>
      <c r="AN10" s="3">
        <f t="shared" si="25"/>
        <v>1062.5</v>
      </c>
      <c r="AO10" s="3">
        <v>-18.105617141194216</v>
      </c>
      <c r="AP10" s="3">
        <f t="shared" si="26"/>
        <v>1125</v>
      </c>
      <c r="AQ10" s="3">
        <v>24.089233214539263</v>
      </c>
      <c r="AR10" s="3">
        <f t="shared" si="17"/>
        <v>1093.75</v>
      </c>
      <c r="AS10" s="3">
        <v>2.9984560360192063</v>
      </c>
      <c r="AT10" s="3">
        <f t="shared" si="18"/>
        <v>-54.288897002866605</v>
      </c>
      <c r="AU10" s="3">
        <f t="shared" si="19"/>
        <v>72.230506735209602</v>
      </c>
      <c r="AV10" s="3">
        <f t="shared" si="20"/>
        <v>62.5</v>
      </c>
      <c r="AX10" s="3" t="s">
        <v>197</v>
      </c>
      <c r="AY10" s="4">
        <f>0.21*($AY$9/2)</f>
        <v>0.21</v>
      </c>
      <c r="AZ10" s="27" t="s">
        <v>8</v>
      </c>
      <c r="BB10" s="5" t="s">
        <v>198</v>
      </c>
      <c r="BC10" s="39">
        <f>BG9+BK9+BG18+BK18+BG27+BK27+BG36+BK36</f>
        <v>1335.308852808846</v>
      </c>
      <c r="BD10" s="27" t="s">
        <v>23</v>
      </c>
      <c r="BF10" s="3" t="s">
        <v>199</v>
      </c>
      <c r="BG10" s="3">
        <f xml:space="preserve"> $BO$8 * PI() * $AY$45 * BG7^2 * $BO$15 * $AY$19^2 * BG4</f>
        <v>2.1985607619653438</v>
      </c>
      <c r="BH10" s="27" t="s">
        <v>200</v>
      </c>
      <c r="BJ10" s="3" t="s">
        <v>199</v>
      </c>
      <c r="BK10" s="3">
        <f xml:space="preserve"> $BS$8 * PI() * $AY$45 * BK7^2 * $BS$15 * $AY$20^2 * BK4</f>
        <v>7.4867343807740188</v>
      </c>
      <c r="BL10" s="27" t="s">
        <v>200</v>
      </c>
      <c r="BN10" s="3" t="s">
        <v>201</v>
      </c>
      <c r="BO10" s="3">
        <f>IF(-$AY$8*($AY$19-$AY$10)/(2*$AY$19*SIN(BO4))&gt;500, 1, 2*ACOS(MIN(1, EXP(-$AY$8*($AY$19-$AY$10)/(2*$AY$19*SIN(BO4)))))/PI() )</f>
        <v>0.56264488652519995</v>
      </c>
      <c r="BP10" s="3"/>
      <c r="BQ10" s="3"/>
      <c r="BR10" s="3" t="s">
        <v>201</v>
      </c>
      <c r="BS10" s="3">
        <f>IF(-$AY$8*($AY$20-$AY$10)/(2*$AY$20*SIN(BS4))&gt;500, 1, 2*ACOS(MIN(1, EXP(-$AY$8*($AY$20-$AY$10)/(2*$AY$20*SIN(BS4)))))/PI() )</f>
        <v>0.79504134857976805</v>
      </c>
      <c r="BT10" s="3"/>
      <c r="BV10" s="3">
        <v>6</v>
      </c>
      <c r="BW10" s="3">
        <f t="shared" si="21"/>
        <v>0.38091810924776243</v>
      </c>
      <c r="BX10" s="3">
        <v>-0.32488646780676123</v>
      </c>
      <c r="BY10" s="3">
        <f t="shared" si="22"/>
        <v>0.4682936549257285</v>
      </c>
      <c r="BZ10" s="3">
        <v>0.21555204209313367</v>
      </c>
      <c r="CA10" s="3">
        <f t="shared" si="7"/>
        <v>0.42460588208674543</v>
      </c>
      <c r="CB10" s="3">
        <v>-4.1235085093021283E-2</v>
      </c>
      <c r="CC10" s="3">
        <f t="shared" si="8"/>
        <v>1.3396721145582919E-2</v>
      </c>
      <c r="CD10" s="3">
        <f t="shared" si="9"/>
        <v>-8.8883067976848716E-3</v>
      </c>
      <c r="CE10" s="3">
        <f t="shared" si="10"/>
        <v>8.7375545677966071E-2</v>
      </c>
      <c r="CG10" s="3">
        <v>6</v>
      </c>
      <c r="CH10" s="3">
        <f t="shared" si="23"/>
        <v>0.2935425635697963</v>
      </c>
      <c r="CI10" s="3">
        <v>-0.3313310850748814</v>
      </c>
      <c r="CJ10" s="3">
        <f t="shared" si="24"/>
        <v>0.38091810924776243</v>
      </c>
      <c r="CK10" s="3">
        <v>5.4340813604868726E-2</v>
      </c>
      <c r="CL10" s="3">
        <f t="shared" si="11"/>
        <v>0.33723033640877936</v>
      </c>
      <c r="CM10" s="3">
        <v>-0.130729899372168</v>
      </c>
      <c r="CN10" s="3">
        <f t="shared" si="12"/>
        <v>4.331487941071048E-2</v>
      </c>
      <c r="CO10" s="3">
        <f t="shared" si="13"/>
        <v>-7.1039690943662265E-3</v>
      </c>
      <c r="CP10" s="3">
        <f t="shared" si="14"/>
        <v>8.7375545677966127E-2</v>
      </c>
    </row>
    <row r="11" spans="2:94" x14ac:dyDescent="0.2">
      <c r="B11" s="7" t="s">
        <v>253</v>
      </c>
      <c r="C11" s="18">
        <v>16.2</v>
      </c>
      <c r="D11" s="7" t="s">
        <v>11</v>
      </c>
      <c r="F11" s="49" t="s">
        <v>237</v>
      </c>
      <c r="G11" s="7">
        <f>G9-G10</f>
        <v>4.3948944039584603E-6</v>
      </c>
      <c r="H11" s="7" t="s">
        <v>23</v>
      </c>
      <c r="J11" s="7" t="s">
        <v>116</v>
      </c>
      <c r="K11" s="7">
        <f xml:space="preserve"> (G13*G6 + G26*G19 + G33*G29 + G46*G39 + G53*G51)/3600</f>
        <v>42.372047370615867</v>
      </c>
      <c r="L11" s="7" t="s">
        <v>124</v>
      </c>
      <c r="N11" s="7" t="s">
        <v>255</v>
      </c>
      <c r="O11" s="7">
        <f xml:space="preserve"> 1.78 * (1 - 0.045 * $C$12^0.68) - 0.64</f>
        <v>0.82990122458567595</v>
      </c>
      <c r="R11" s="7" t="s">
        <v>255</v>
      </c>
      <c r="S11" s="7">
        <f xml:space="preserve"> 1.78 * (1 - 0.045 * $C$12^0.68) - 0.64</f>
        <v>0.82990122458567595</v>
      </c>
      <c r="V11" s="7" t="s">
        <v>255</v>
      </c>
      <c r="W11" s="7">
        <f xml:space="preserve"> 1.78 * (1 - 0.045 * $C$12^0.68) - 0.64</f>
        <v>0.82990122458567595</v>
      </c>
      <c r="AB11" s="3">
        <v>7</v>
      </c>
      <c r="AC11" s="3">
        <f t="shared" si="15"/>
        <v>0.328125</v>
      </c>
      <c r="AD11" s="3">
        <f t="shared" si="0"/>
        <v>4.2835060760849641E-3</v>
      </c>
      <c r="AE11" s="3">
        <f t="shared" si="16"/>
        <v>0.3359375</v>
      </c>
      <c r="AF11" s="3">
        <f t="shared" si="1"/>
        <v>-3.8825975311618244E-3</v>
      </c>
      <c r="AG11" s="3">
        <f t="shared" si="3"/>
        <v>0.33203125</v>
      </c>
      <c r="AH11" s="3">
        <f t="shared" si="2"/>
        <v>1.9839588398640196E-4</v>
      </c>
      <c r="AI11" s="3">
        <f t="shared" si="4"/>
        <v>8.4982997452600046E-7</v>
      </c>
      <c r="AJ11" s="3">
        <f t="shared" si="5"/>
        <v>-7.7029136935827195E-7</v>
      </c>
      <c r="AK11" s="3">
        <f t="shared" si="6"/>
        <v>7.8125E-3</v>
      </c>
      <c r="AM11" s="3">
        <v>7</v>
      </c>
      <c r="AN11" s="3">
        <f t="shared" si="25"/>
        <v>1062.5</v>
      </c>
      <c r="AO11" s="3">
        <v>-18.105617141194216</v>
      </c>
      <c r="AP11" s="3">
        <f t="shared" si="26"/>
        <v>1093.75</v>
      </c>
      <c r="AQ11" s="3">
        <v>2.9984560360192063</v>
      </c>
      <c r="AR11" s="3">
        <f t="shared" si="17"/>
        <v>1078.125</v>
      </c>
      <c r="AS11" s="3">
        <v>-7.5520469273325261</v>
      </c>
      <c r="AT11" s="3">
        <f t="shared" si="18"/>
        <v>136.73447029861489</v>
      </c>
      <c r="AU11" s="3">
        <f t="shared" si="19"/>
        <v>-22.644480693560514</v>
      </c>
      <c r="AV11" s="3">
        <f t="shared" si="20"/>
        <v>31.25</v>
      </c>
      <c r="AX11" s="51" t="s">
        <v>202</v>
      </c>
      <c r="AY11" s="4" t="s">
        <v>240</v>
      </c>
      <c r="AZ11" s="27"/>
      <c r="BB11" s="5" t="s">
        <v>203</v>
      </c>
      <c r="BC11" s="39">
        <f>BG10+BK10+BG19+BK19+BG28+BK28+BG37+BK37</f>
        <v>259.2172824314693</v>
      </c>
      <c r="BD11" s="27" t="s">
        <v>200</v>
      </c>
      <c r="BG11" s="3"/>
      <c r="BN11" s="3" t="s">
        <v>204</v>
      </c>
      <c r="BO11" s="3">
        <f>IF(BO4=0,1,BO9*BO10)</f>
        <v>0.56225790853456492</v>
      </c>
      <c r="BP11" s="3"/>
      <c r="BQ11" s="3"/>
      <c r="BR11" s="3" t="s">
        <v>204</v>
      </c>
      <c r="BS11" s="3">
        <f>IF(BS4=0,1,BS9*BS10)</f>
        <v>0.79158416372903651</v>
      </c>
      <c r="BT11" s="3"/>
      <c r="BV11" s="3">
        <v>7</v>
      </c>
      <c r="BW11" s="3">
        <f t="shared" si="21"/>
        <v>0.42460588208674543</v>
      </c>
      <c r="BX11" s="3">
        <v>-4.1235085093021283E-2</v>
      </c>
      <c r="BY11" s="3">
        <f t="shared" si="22"/>
        <v>0.4682936549257285</v>
      </c>
      <c r="BZ11" s="3">
        <v>0.21555204209313367</v>
      </c>
      <c r="CA11" s="3">
        <f t="shared" si="7"/>
        <v>0.44644976850623697</v>
      </c>
      <c r="CB11" s="3">
        <v>9.103121271510492E-2</v>
      </c>
      <c r="CC11" s="3">
        <f t="shared" si="8"/>
        <v>-3.7536798024282725E-3</v>
      </c>
      <c r="CD11" s="3">
        <f t="shared" si="9"/>
        <v>1.9621963794955299E-2</v>
      </c>
      <c r="CE11" s="3">
        <f t="shared" si="10"/>
        <v>4.3687772838983063E-2</v>
      </c>
      <c r="CG11" s="3">
        <v>7</v>
      </c>
      <c r="CH11" s="3">
        <f t="shared" si="23"/>
        <v>0.33723033640877936</v>
      </c>
      <c r="CI11" s="3">
        <v>-0.130729899372168</v>
      </c>
      <c r="CJ11" s="3">
        <f t="shared" si="24"/>
        <v>0.38091810924776243</v>
      </c>
      <c r="CK11" s="3">
        <v>5.4340813604868726E-2</v>
      </c>
      <c r="CL11" s="3">
        <f t="shared" si="11"/>
        <v>0.35907422282827089</v>
      </c>
      <c r="CM11" s="3">
        <v>-3.6118579817569732E-2</v>
      </c>
      <c r="CN11" s="3">
        <f t="shared" si="12"/>
        <v>4.7217783050165088E-3</v>
      </c>
      <c r="CO11" s="3">
        <f t="shared" si="13"/>
        <v>-1.9627130135391304E-3</v>
      </c>
      <c r="CP11" s="3">
        <f t="shared" si="14"/>
        <v>4.3687772838983063E-2</v>
      </c>
    </row>
    <row r="12" spans="2:94" x14ac:dyDescent="0.2">
      <c r="B12" s="7" t="s">
        <v>254</v>
      </c>
      <c r="C12" s="18">
        <v>7.32</v>
      </c>
      <c r="F12" s="49" t="s">
        <v>238</v>
      </c>
      <c r="G12" s="5" t="str">
        <f>IF(ABS(G11)&lt;0.001, "TRUE", "FALSE")</f>
        <v>TRUE</v>
      </c>
      <c r="J12" s="7" t="s">
        <v>25</v>
      </c>
      <c r="K12" s="7">
        <f xml:space="preserve"> (G6 + G19 + G29 + G39 +G51)/60</f>
        <v>34.67079771753523</v>
      </c>
      <c r="L12" s="7" t="s">
        <v>125</v>
      </c>
      <c r="N12" s="7" t="s">
        <v>256</v>
      </c>
      <c r="O12" s="7">
        <f>O4/(O5*$C$11)</f>
        <v>0.43008024782382304</v>
      </c>
      <c r="R12" s="7" t="s">
        <v>256</v>
      </c>
      <c r="S12" s="7">
        <f xml:space="preserve"> S4 / (S5 * $C$11)</f>
        <v>0.43063626536175048</v>
      </c>
      <c r="V12" s="7" t="s">
        <v>256</v>
      </c>
      <c r="W12" s="7">
        <f>W4 / ( W5 * $C$11)</f>
        <v>0.43043618178909016</v>
      </c>
      <c r="AB12" s="3">
        <v>8</v>
      </c>
      <c r="AC12" s="3">
        <f t="shared" si="15"/>
        <v>0.33203125</v>
      </c>
      <c r="AD12" s="3">
        <f t="shared" si="0"/>
        <v>1.9839588398640196E-4</v>
      </c>
      <c r="AE12" s="3">
        <f t="shared" si="16"/>
        <v>0.3359375</v>
      </c>
      <c r="AF12" s="3">
        <f t="shared" si="1"/>
        <v>-3.8825975311618244E-3</v>
      </c>
      <c r="AG12" s="3">
        <f t="shared" si="3"/>
        <v>0.333984375</v>
      </c>
      <c r="AH12" s="3">
        <f t="shared" si="2"/>
        <v>-1.8426065171887052E-3</v>
      </c>
      <c r="AI12" s="3">
        <f t="shared" si="4"/>
        <v>-3.6556554881675851E-7</v>
      </c>
      <c r="AJ12" s="3">
        <f t="shared" si="5"/>
        <v>7.1540995145395545E-6</v>
      </c>
      <c r="AK12" s="3">
        <f t="shared" si="6"/>
        <v>3.90625E-3</v>
      </c>
      <c r="AM12" s="3">
        <v>8</v>
      </c>
      <c r="AN12" s="3">
        <f t="shared" si="25"/>
        <v>1078.125</v>
      </c>
      <c r="AO12" s="3">
        <v>-7.5520469273325261</v>
      </c>
      <c r="AP12" s="3">
        <f t="shared" si="26"/>
        <v>1093.75</v>
      </c>
      <c r="AQ12" s="3">
        <v>2.9984560360192063</v>
      </c>
      <c r="AR12" s="3">
        <f t="shared" si="17"/>
        <v>1085.9375</v>
      </c>
      <c r="AS12" s="3">
        <v>-2.2763956314583993</v>
      </c>
      <c r="AT12" s="3">
        <f t="shared" si="18"/>
        <v>17.191446633948591</v>
      </c>
      <c r="AU12" s="3">
        <f t="shared" si="19"/>
        <v>-6.8256722215141901</v>
      </c>
      <c r="AV12" s="3">
        <f t="shared" si="20"/>
        <v>15.625</v>
      </c>
      <c r="AX12" s="51"/>
      <c r="AY12" s="4" t="s">
        <v>240</v>
      </c>
      <c r="AZ12" s="27"/>
      <c r="BB12" s="5" t="s">
        <v>205</v>
      </c>
      <c r="BC12" s="39">
        <f>BC11*BC5/1000</f>
        <v>26.265487151063873</v>
      </c>
      <c r="BD12" s="27" t="s">
        <v>123</v>
      </c>
      <c r="BF12" s="62" t="s">
        <v>206</v>
      </c>
      <c r="BG12" s="62"/>
      <c r="BH12" s="62"/>
      <c r="BJ12" s="62" t="s">
        <v>207</v>
      </c>
      <c r="BK12" s="62"/>
      <c r="BL12" s="62"/>
      <c r="BN12" s="3" t="s">
        <v>208</v>
      </c>
      <c r="BO12" s="3">
        <f>IF(BO7&lt;$BH$43, $BC$44*BO7^2 + $BD$44*BO7 + $BE$44, IF(BO7&gt;$BI$43, $BJ$44*BO7^2 + $BK$44*BO7 + $BL$44, $BF$44*BO7^3 + $BG$44*BO7^2 + $BH$44*BO7 + $BI$44))</f>
        <v>0.48734854511931724</v>
      </c>
      <c r="BP12" s="3"/>
      <c r="BQ12" s="3"/>
      <c r="BR12" s="3" t="s">
        <v>208</v>
      </c>
      <c r="BS12" s="3">
        <f>IF(BS7&lt;$BH$43, $BC$44*BS7^2 + $BD$44*BS7 + $BE$44, IF(BS7&gt;$BI$43, $BJ$44*BS7^2 + $BK$44*BS7 + $BL$44, $BF$44*BS7^3 + $BG$44*BS7^2 + $BH$44*BS7 + $BI$44))</f>
        <v>0.74146319685943296</v>
      </c>
      <c r="BT12" s="3"/>
      <c r="BV12" s="3">
        <v>8</v>
      </c>
      <c r="BW12" s="3">
        <f t="shared" si="21"/>
        <v>0.42460588208674543</v>
      </c>
      <c r="BX12" s="3">
        <v>-4.1235085093021283E-2</v>
      </c>
      <c r="BY12" s="3">
        <f t="shared" si="22"/>
        <v>0.44644976850623697</v>
      </c>
      <c r="BZ12" s="3">
        <v>9.103121271510492E-2</v>
      </c>
      <c r="CA12" s="3">
        <f t="shared" si="7"/>
        <v>0.4355278252964912</v>
      </c>
      <c r="CB12" s="3">
        <v>2.580565329298716E-2</v>
      </c>
      <c r="CC12" s="3">
        <f t="shared" si="8"/>
        <v>-1.0640983094173304E-3</v>
      </c>
      <c r="CD12" s="3">
        <f t="shared" si="9"/>
        <v>2.3491199141661618E-3</v>
      </c>
      <c r="CE12" s="3">
        <f t="shared" si="10"/>
        <v>2.1843886419491532E-2</v>
      </c>
      <c r="CG12" s="3">
        <v>8</v>
      </c>
      <c r="CH12" s="3">
        <f t="shared" si="23"/>
        <v>0.35907422282827089</v>
      </c>
      <c r="CI12" s="3">
        <v>-3.6118579817569732E-2</v>
      </c>
      <c r="CJ12" s="3">
        <f t="shared" si="24"/>
        <v>0.38091810924776243</v>
      </c>
      <c r="CK12" s="3">
        <v>5.4340813604868726E-2</v>
      </c>
      <c r="CL12" s="3">
        <f t="shared" si="11"/>
        <v>0.36999616603801666</v>
      </c>
      <c r="CM12" s="3">
        <v>9.6481445412160138E-3</v>
      </c>
      <c r="CN12" s="3">
        <f t="shared" si="12"/>
        <v>-3.4847727870336028E-4</v>
      </c>
      <c r="CO12" s="3">
        <f t="shared" si="13"/>
        <v>5.2428802414705114E-4</v>
      </c>
      <c r="CP12" s="3">
        <f t="shared" si="14"/>
        <v>2.1843886419491532E-2</v>
      </c>
    </row>
    <row r="13" spans="2:94" x14ac:dyDescent="0.2">
      <c r="B13" s="7" t="s">
        <v>9</v>
      </c>
      <c r="C13" s="18">
        <v>50</v>
      </c>
      <c r="D13" s="7" t="s">
        <v>10</v>
      </c>
      <c r="F13" s="44" t="s">
        <v>87</v>
      </c>
      <c r="G13" s="44">
        <f xml:space="preserve"> $C$21 * BC12</f>
        <v>210.12389720851098</v>
      </c>
      <c r="H13" s="44" t="s">
        <v>123</v>
      </c>
      <c r="N13" s="7" t="s">
        <v>257</v>
      </c>
      <c r="O13" s="7">
        <f>O9+O12^2/(PI()*O11*$C$12)</f>
        <v>3.8571839208825023E-2</v>
      </c>
      <c r="R13" s="7" t="s">
        <v>257</v>
      </c>
      <c r="S13" s="7">
        <f xml:space="preserve"> S9 + S12^2 / ( PI() * S11 * $C$12 )</f>
        <v>3.8596915382341557E-2</v>
      </c>
      <c r="V13" s="7" t="s">
        <v>257</v>
      </c>
      <c r="W13" s="7">
        <f xml:space="preserve"> W9 + W12^2 / (PI() * W11 * $C$12)</f>
        <v>3.8587887959875611E-2</v>
      </c>
      <c r="AB13" s="3">
        <v>9</v>
      </c>
      <c r="AC13" s="3">
        <f t="shared" si="15"/>
        <v>0.33203125</v>
      </c>
      <c r="AD13" s="3">
        <f t="shared" si="0"/>
        <v>1.9839588398640196E-4</v>
      </c>
      <c r="AE13" s="3">
        <f t="shared" si="16"/>
        <v>0.333984375</v>
      </c>
      <c r="AF13" s="3">
        <f t="shared" si="1"/>
        <v>-1.8426065171887052E-3</v>
      </c>
      <c r="AG13" s="3">
        <f t="shared" si="3"/>
        <v>0.3330078125</v>
      </c>
      <c r="AH13" s="3">
        <f t="shared" si="2"/>
        <v>-8.2223283690541216E-4</v>
      </c>
      <c r="AI13" s="3">
        <f t="shared" si="4"/>
        <v>-1.6312761052049631E-7</v>
      </c>
      <c r="AJ13" s="3">
        <f t="shared" si="5"/>
        <v>1.5150515839284702E-6</v>
      </c>
      <c r="AK13" s="3">
        <f t="shared" si="6"/>
        <v>1.953125E-3</v>
      </c>
      <c r="AM13" s="3">
        <v>9</v>
      </c>
      <c r="AN13" s="3">
        <f t="shared" si="25"/>
        <v>1085.9375</v>
      </c>
      <c r="AO13" s="3">
        <v>-2.2763956314583993</v>
      </c>
      <c r="AP13" s="3">
        <f t="shared" si="26"/>
        <v>1093.75</v>
      </c>
      <c r="AQ13" s="3">
        <v>2.9984560360192063</v>
      </c>
      <c r="AR13" s="3">
        <f t="shared" si="17"/>
        <v>1089.84375</v>
      </c>
      <c r="AS13" s="3">
        <v>0.3611322600273752</v>
      </c>
      <c r="AT13" s="3">
        <f t="shared" si="18"/>
        <v>-0.82207989910501555</v>
      </c>
      <c r="AU13" s="3">
        <f t="shared" si="19"/>
        <v>1.0828392048803408</v>
      </c>
      <c r="AV13" s="3">
        <f t="shared" si="20"/>
        <v>7.8125</v>
      </c>
      <c r="AX13" s="51"/>
      <c r="AY13" s="4" t="s">
        <v>240</v>
      </c>
      <c r="AZ13" s="27"/>
      <c r="BF13" s="3" t="s">
        <v>174</v>
      </c>
      <c r="BG13" s="3">
        <f>$AY$21-$AY$20</f>
        <v>9.8749999999999949E-2</v>
      </c>
      <c r="BH13" s="27" t="s">
        <v>8</v>
      </c>
      <c r="BJ13" s="3" t="s">
        <v>174</v>
      </c>
      <c r="BK13" s="3">
        <f>$AY$22-$AY$21</f>
        <v>9.875000000000006E-2</v>
      </c>
      <c r="BL13" s="27" t="s">
        <v>8</v>
      </c>
      <c r="BN13" s="3" t="s">
        <v>209</v>
      </c>
      <c r="BO13" s="3">
        <f>IF(BO7&lt;$BH$43, $BC$45*BO7^2 + $BD$45*BO7 + $BE$45, IF(BO7&gt;$BI$43, $BJ$45*BO7^2 + $BK$45*BO7 + $BL$45, $BF$45*BO7^3 + $BG$45*BO7^2 + $BH$45*BO7 + $BI$45))</f>
        <v>2.9104063765874023E-3</v>
      </c>
      <c r="BP13" s="3"/>
      <c r="BQ13" s="3"/>
      <c r="BR13" s="3" t="s">
        <v>209</v>
      </c>
      <c r="BS13" s="3">
        <f>IF(BS7&lt;$BH$43, $BC$45*BS7^2 + $BD$45*BS7 + $BE$45, IF(BS7&gt;$BI$43, $BJ$45*BS7^2 + $BK$45*BS7 + $BL$45, $BF$45*BS7^3 + $BG$45*BS7^2 + $BH$45*BS7 + $BI$45))</f>
        <v>3.7723202450901955E-3</v>
      </c>
      <c r="BT13" s="3"/>
      <c r="BV13" s="3">
        <v>9</v>
      </c>
      <c r="BW13" s="3">
        <f t="shared" si="21"/>
        <v>0.42460588208674543</v>
      </c>
      <c r="BX13" s="3">
        <v>-4.1235085093021283E-2</v>
      </c>
      <c r="BY13" s="3">
        <f t="shared" si="22"/>
        <v>0.4355278252964912</v>
      </c>
      <c r="BZ13" s="3">
        <v>2.580565329298716E-2</v>
      </c>
      <c r="CA13" s="3">
        <f t="shared" si="7"/>
        <v>0.43006685369161834</v>
      </c>
      <c r="CB13" s="3">
        <v>-7.4957117827338937E-3</v>
      </c>
      <c r="CC13" s="3">
        <f t="shared" si="8"/>
        <v>3.0908631319379439E-4</v>
      </c>
      <c r="CD13" s="3">
        <f t="shared" si="9"/>
        <v>-1.9343173944938956E-4</v>
      </c>
      <c r="CE13" s="3">
        <f t="shared" si="10"/>
        <v>1.0921943209745766E-2</v>
      </c>
      <c r="CG13" s="3">
        <v>9</v>
      </c>
      <c r="CH13" s="3">
        <f t="shared" si="23"/>
        <v>0.35907422282827089</v>
      </c>
      <c r="CI13" s="3">
        <v>-3.6118579817569732E-2</v>
      </c>
      <c r="CJ13" s="3">
        <f t="shared" si="24"/>
        <v>0.36999616603801666</v>
      </c>
      <c r="CK13" s="3">
        <v>9.6481445412160138E-3</v>
      </c>
      <c r="CL13" s="3">
        <f t="shared" si="11"/>
        <v>0.36453519443314375</v>
      </c>
      <c r="CM13" s="3">
        <v>-1.3103247453833601E-2</v>
      </c>
      <c r="CN13" s="3">
        <f t="shared" si="12"/>
        <v>4.7327068903065629E-4</v>
      </c>
      <c r="CO13" s="3">
        <f t="shared" si="13"/>
        <v>-1.264220253939073E-4</v>
      </c>
      <c r="CP13" s="3">
        <f t="shared" si="14"/>
        <v>1.0921943209745766E-2</v>
      </c>
    </row>
    <row r="14" spans="2:94" x14ac:dyDescent="0.2">
      <c r="B14" s="7" t="s">
        <v>258</v>
      </c>
      <c r="C14" s="18">
        <v>1</v>
      </c>
      <c r="N14" s="7" t="s">
        <v>259</v>
      </c>
      <c r="O14" s="7">
        <f>O5*O13*$C$11</f>
        <v>956.82268637391576</v>
      </c>
      <c r="P14" s="7" t="s">
        <v>23</v>
      </c>
      <c r="R14" s="7" t="s">
        <v>43</v>
      </c>
      <c r="S14" s="7">
        <f xml:space="preserve"> S5 * S13 * $C$11</f>
        <v>957.44473220321015</v>
      </c>
      <c r="T14" s="7" t="s">
        <v>23</v>
      </c>
      <c r="V14" s="7" t="s">
        <v>259</v>
      </c>
      <c r="W14" s="7">
        <f xml:space="preserve"> W5 * $C$11 * W13</f>
        <v>957.2207957046644</v>
      </c>
      <c r="X14" s="7" t="s">
        <v>23</v>
      </c>
      <c r="AB14" s="3">
        <v>10</v>
      </c>
      <c r="AC14" s="3">
        <f t="shared" si="15"/>
        <v>0.33203125</v>
      </c>
      <c r="AD14" s="3">
        <f t="shared" si="0"/>
        <v>1.9839588398640196E-4</v>
      </c>
      <c r="AE14" s="3">
        <f t="shared" si="16"/>
        <v>0.3330078125</v>
      </c>
      <c r="AF14" s="3">
        <f t="shared" si="1"/>
        <v>-8.2223283690541216E-4</v>
      </c>
      <c r="AG14" s="3">
        <f t="shared" si="3"/>
        <v>0.33251953125</v>
      </c>
      <c r="AH14" s="3">
        <f t="shared" si="2"/>
        <v>-3.1195049503351946E-4</v>
      </c>
      <c r="AI14" s="3">
        <f t="shared" si="4"/>
        <v>-6.1889694222170782E-8</v>
      </c>
      <c r="AJ14" s="3">
        <f t="shared" si="5"/>
        <v>2.5649594050545838E-7</v>
      </c>
      <c r="AK14" s="3">
        <f t="shared" si="6"/>
        <v>9.765625E-4</v>
      </c>
      <c r="AM14" s="3">
        <v>10</v>
      </c>
      <c r="AN14" s="3">
        <f t="shared" si="25"/>
        <v>1085.9375</v>
      </c>
      <c r="AO14" s="3">
        <v>-2.2763956314583993</v>
      </c>
      <c r="AP14" s="3">
        <f t="shared" si="26"/>
        <v>1089.84375</v>
      </c>
      <c r="AQ14" s="3">
        <v>0.3611322600273752</v>
      </c>
      <c r="AR14" s="3">
        <f t="shared" si="17"/>
        <v>1087.890625</v>
      </c>
      <c r="AS14" s="3">
        <v>-0.95760646398821336</v>
      </c>
      <c r="AT14" s="3">
        <f t="shared" si="18"/>
        <v>2.179891171279094</v>
      </c>
      <c r="AU14" s="3">
        <f t="shared" si="19"/>
        <v>-0.34582258655688675</v>
      </c>
      <c r="AV14" s="3">
        <f t="shared" si="20"/>
        <v>3.90625</v>
      </c>
      <c r="AX14" s="51"/>
      <c r="AY14" s="4" t="s">
        <v>240</v>
      </c>
      <c r="AZ14" s="27"/>
      <c r="BB14" s="61" t="s">
        <v>210</v>
      </c>
      <c r="BC14" s="61"/>
      <c r="BD14" s="61"/>
      <c r="BF14" s="3" t="s">
        <v>179</v>
      </c>
      <c r="BG14" s="3">
        <f>(1+$BO$37)*$AY$3</f>
        <v>14.208284574819999</v>
      </c>
      <c r="BH14" s="27" t="s">
        <v>10</v>
      </c>
      <c r="BJ14" s="3" t="s">
        <v>179</v>
      </c>
      <c r="BK14" s="3">
        <f>(1+$BS$37)*$AY$3</f>
        <v>15.642859365343741</v>
      </c>
      <c r="BL14" s="27" t="s">
        <v>10</v>
      </c>
      <c r="BN14" s="3" t="s">
        <v>211</v>
      </c>
      <c r="BO14" s="3">
        <f xml:space="preserve"> BO12*COS(BO4) - BO13*SIN(BO4)</f>
        <v>0.44150407317513468</v>
      </c>
      <c r="BP14" s="3"/>
      <c r="BQ14" s="3"/>
      <c r="BR14" s="3" t="s">
        <v>211</v>
      </c>
      <c r="BS14" s="3">
        <f xml:space="preserve"> BS12*COS(BS4) - BS13*SIN(BS4)</f>
        <v>0.69055266222214562</v>
      </c>
      <c r="BT14" s="3"/>
      <c r="BV14" s="3">
        <v>10</v>
      </c>
      <c r="BW14" s="3">
        <f t="shared" si="21"/>
        <v>0.43006685369161834</v>
      </c>
      <c r="BX14" s="3">
        <v>-7.4957117827338937E-3</v>
      </c>
      <c r="BY14" s="3">
        <f t="shared" si="22"/>
        <v>0.4355278252964912</v>
      </c>
      <c r="BZ14" s="3">
        <v>2.580565329298716E-2</v>
      </c>
      <c r="CA14" s="3">
        <f t="shared" si="7"/>
        <v>0.43279733949405474</v>
      </c>
      <c r="CB14" s="3">
        <v>9.2107229365033239E-3</v>
      </c>
      <c r="CC14" s="3">
        <f t="shared" si="8"/>
        <v>-6.9040924442645294E-5</v>
      </c>
      <c r="CD14" s="3">
        <f t="shared" si="9"/>
        <v>2.3768872267716936E-4</v>
      </c>
      <c r="CE14" s="3">
        <f t="shared" si="10"/>
        <v>5.4609716048728552E-3</v>
      </c>
      <c r="CG14" s="3">
        <v>10</v>
      </c>
      <c r="CH14" s="3">
        <f t="shared" si="23"/>
        <v>0.36453519443314375</v>
      </c>
      <c r="CI14" s="3">
        <v>-1.3103247453833601E-2</v>
      </c>
      <c r="CJ14" s="3">
        <f t="shared" si="24"/>
        <v>0.36999616603801666</v>
      </c>
      <c r="CK14" s="3">
        <v>9.6481445412160138E-3</v>
      </c>
      <c r="CL14" s="3">
        <f t="shared" si="11"/>
        <v>0.36726568023558021</v>
      </c>
      <c r="CM14" s="3">
        <v>-1.6942746255563801E-3</v>
      </c>
      <c r="CN14" s="3">
        <f t="shared" si="12"/>
        <v>2.2200499673416515E-5</v>
      </c>
      <c r="CO14" s="3">
        <f t="shared" si="13"/>
        <v>-1.6346606479882593E-5</v>
      </c>
      <c r="CP14" s="3">
        <f t="shared" si="14"/>
        <v>5.4609716048729107E-3</v>
      </c>
    </row>
    <row r="15" spans="2:94" x14ac:dyDescent="0.2">
      <c r="F15" s="53" t="s">
        <v>97</v>
      </c>
      <c r="G15" s="54"/>
      <c r="H15" s="54"/>
      <c r="J15" s="47" t="s">
        <v>55</v>
      </c>
      <c r="K15" s="47"/>
      <c r="L15" s="47"/>
      <c r="N15" s="7" t="s">
        <v>260</v>
      </c>
      <c r="O15" s="7">
        <f>O4/O14</f>
        <v>11.150109941488688</v>
      </c>
      <c r="R15" s="7" t="s">
        <v>260</v>
      </c>
      <c r="S15" s="7">
        <f>S4/S14</f>
        <v>11.157271535713722</v>
      </c>
      <c r="V15" s="7" t="s">
        <v>260</v>
      </c>
      <c r="W15" s="7">
        <f>W4/W14</f>
        <v>11.154696578280355</v>
      </c>
      <c r="AB15" s="3">
        <v>11</v>
      </c>
      <c r="AC15" s="3">
        <f t="shared" si="15"/>
        <v>0.33203125</v>
      </c>
      <c r="AD15" s="3">
        <f t="shared" si="0"/>
        <v>1.9839588398640196E-4</v>
      </c>
      <c r="AE15" s="3">
        <f t="shared" si="16"/>
        <v>0.33251953125</v>
      </c>
      <c r="AF15" s="3">
        <f t="shared" si="1"/>
        <v>-3.1195049503351946E-4</v>
      </c>
      <c r="AG15" s="3">
        <f t="shared" si="3"/>
        <v>0.332275390625</v>
      </c>
      <c r="AH15" s="3">
        <f t="shared" si="2"/>
        <v>-5.6785327566810651E-5</v>
      </c>
      <c r="AI15" s="3">
        <f t="shared" si="4"/>
        <v>-1.1265975260074799E-8</v>
      </c>
      <c r="AJ15" s="3">
        <f t="shared" si="5"/>
        <v>1.7714211045107142E-8</v>
      </c>
      <c r="AK15" s="3">
        <f t="shared" si="6"/>
        <v>4.8828125E-4</v>
      </c>
      <c r="AM15" s="3">
        <v>11</v>
      </c>
      <c r="AN15" s="3">
        <f t="shared" si="25"/>
        <v>1087.890625</v>
      </c>
      <c r="AO15" s="3">
        <v>-0.95760646398821336</v>
      </c>
      <c r="AP15" s="3">
        <f t="shared" si="26"/>
        <v>1089.84375</v>
      </c>
      <c r="AQ15" s="3">
        <v>0.3611322600273752</v>
      </c>
      <c r="AR15" s="3">
        <f t="shared" si="17"/>
        <v>1088.8671875</v>
      </c>
      <c r="AS15" s="3">
        <v>-0.29823079491791304</v>
      </c>
      <c r="AT15" s="3">
        <f t="shared" si="18"/>
        <v>0.28558773697373674</v>
      </c>
      <c r="AU15" s="3">
        <f t="shared" si="19"/>
        <v>-0.10770076097846658</v>
      </c>
      <c r="AV15" s="3">
        <f t="shared" si="20"/>
        <v>1.953125</v>
      </c>
      <c r="AX15" s="51"/>
      <c r="AY15" s="4" t="s">
        <v>240</v>
      </c>
      <c r="AZ15" s="27"/>
      <c r="BB15" s="3" t="s">
        <v>212</v>
      </c>
      <c r="BC15" s="3">
        <f>BC10*(AY3/2 + SQRT( (AY3/2)^2 + BC10/(2*AY45*PI()*BC3^2) ) )/1000</f>
        <v>19.365335711019522</v>
      </c>
      <c r="BD15" s="27" t="s">
        <v>123</v>
      </c>
      <c r="BF15" s="3" t="s">
        <v>184</v>
      </c>
      <c r="BG15" s="3">
        <f>(1-$BO$38)*$BC$5*$AY$21</f>
        <v>42.29422240370819</v>
      </c>
      <c r="BH15" s="27" t="s">
        <v>10</v>
      </c>
      <c r="BJ15" s="3" t="s">
        <v>184</v>
      </c>
      <c r="BK15" s="3">
        <f>(1-$BS$38)*$BC$5*$AY$22</f>
        <v>52.283654007534402</v>
      </c>
      <c r="BL15" s="27" t="s">
        <v>10</v>
      </c>
      <c r="BN15" s="3" t="s">
        <v>213</v>
      </c>
      <c r="BO15" s="3">
        <f xml:space="preserve"> BO12*SIN(BO4) + BO13*COS(BO4)</f>
        <v>0.20637642371394413</v>
      </c>
      <c r="BP15" s="3"/>
      <c r="BQ15" s="3"/>
      <c r="BR15" s="3" t="s">
        <v>213</v>
      </c>
      <c r="BS15" s="3">
        <f xml:space="preserve"> BS12*SIN(BS4) + BS13*COS(BS4)</f>
        <v>0.27003504105013648</v>
      </c>
      <c r="BT15" s="3"/>
      <c r="BV15" s="3">
        <v>11</v>
      </c>
      <c r="BW15" s="3">
        <f t="shared" si="21"/>
        <v>0.43006685369161834</v>
      </c>
      <c r="BX15" s="3">
        <v>-7.4957117827338937E-3</v>
      </c>
      <c r="BY15" s="3">
        <f t="shared" si="22"/>
        <v>0.43279733949405474</v>
      </c>
      <c r="BZ15" s="3">
        <v>9.2107229365033239E-3</v>
      </c>
      <c r="CA15" s="3">
        <f t="shared" si="7"/>
        <v>0.43143209659283654</v>
      </c>
      <c r="CB15" s="3">
        <v>8.7131939131031289E-4</v>
      </c>
      <c r="CC15" s="3">
        <f t="shared" si="8"/>
        <v>-6.5311590279692369E-6</v>
      </c>
      <c r="CD15" s="3">
        <f t="shared" si="9"/>
        <v>8.0254815025620145E-6</v>
      </c>
      <c r="CE15" s="3">
        <f t="shared" si="10"/>
        <v>2.7304858024363998E-3</v>
      </c>
      <c r="CG15" s="3">
        <v>11</v>
      </c>
      <c r="CH15" s="3">
        <f t="shared" si="23"/>
        <v>0.36726568023558021</v>
      </c>
      <c r="CI15" s="3">
        <v>-1.6942746255563801E-3</v>
      </c>
      <c r="CJ15" s="3">
        <f t="shared" si="24"/>
        <v>0.36999616603801666</v>
      </c>
      <c r="CK15" s="3">
        <v>9.6481445412160138E-3</v>
      </c>
      <c r="CL15" s="3">
        <f t="shared" si="11"/>
        <v>0.36863092313679846</v>
      </c>
      <c r="CM15" s="3">
        <v>3.985289851988788E-3</v>
      </c>
      <c r="CN15" s="3">
        <f t="shared" si="12"/>
        <v>-6.7521754717119456E-6</v>
      </c>
      <c r="CO15" s="3">
        <f t="shared" si="13"/>
        <v>3.84506525306292E-5</v>
      </c>
      <c r="CP15" s="3">
        <f t="shared" si="14"/>
        <v>2.7304858024364553E-3</v>
      </c>
    </row>
    <row r="16" spans="2:94" x14ac:dyDescent="0.2">
      <c r="B16" s="55" t="s">
        <v>12</v>
      </c>
      <c r="C16" s="55"/>
      <c r="D16" s="55"/>
      <c r="F16" s="10" t="s">
        <v>117</v>
      </c>
      <c r="G16" s="18">
        <f>$C$13</f>
        <v>50</v>
      </c>
      <c r="H16" s="7" t="s">
        <v>10</v>
      </c>
      <c r="J16" s="11" t="s">
        <v>84</v>
      </c>
      <c r="K16" s="19">
        <f>C5</f>
        <v>1089.3088728189468</v>
      </c>
      <c r="L16" s="7" t="s">
        <v>7</v>
      </c>
      <c r="N16" s="7" t="s">
        <v>138</v>
      </c>
      <c r="O16" s="7">
        <f>(O13*$C$11)/(0.3048^2)/($C$5*2.20462/1000)^(2/3)</f>
        <v>3.7505841518181717</v>
      </c>
      <c r="R16" s="7" t="s">
        <v>138</v>
      </c>
      <c r="S16" s="7">
        <f>(S13*$C$11)/(0.3048^2)/($C$5*2.20462/1000)^(2/3)</f>
        <v>3.7530224669441421</v>
      </c>
      <c r="V16" s="7" t="s">
        <v>138</v>
      </c>
      <c r="W16" s="7">
        <f>(W13*$C$11)/(0.3048^2)/($C$5*2.20462/1000)^(2/3)</f>
        <v>3.7521446734987931</v>
      </c>
      <c r="AB16" s="3">
        <v>12</v>
      </c>
      <c r="AC16" s="3">
        <f t="shared" si="15"/>
        <v>0.33203125</v>
      </c>
      <c r="AD16" s="3">
        <f t="shared" si="0"/>
        <v>1.9839588398640196E-4</v>
      </c>
      <c r="AE16" s="3">
        <f t="shared" si="16"/>
        <v>0.332275390625</v>
      </c>
      <c r="AF16" s="3">
        <f t="shared" si="1"/>
        <v>-5.6785327566810651E-5</v>
      </c>
      <c r="AG16" s="3">
        <f t="shared" si="3"/>
        <v>0.3321533203125</v>
      </c>
      <c r="AH16" s="3">
        <f t="shared" si="2"/>
        <v>7.0803270518504657E-5</v>
      </c>
      <c r="AI16" s="3">
        <f t="shared" si="4"/>
        <v>1.4047077443647083E-8</v>
      </c>
      <c r="AJ16" s="3">
        <f t="shared" si="5"/>
        <v>-4.020586909194794E-9</v>
      </c>
      <c r="AK16" s="3">
        <f t="shared" si="6"/>
        <v>2.44140625E-4</v>
      </c>
      <c r="AM16" s="3">
        <v>12</v>
      </c>
      <c r="AN16" s="3">
        <f t="shared" si="25"/>
        <v>1088.8671875</v>
      </c>
      <c r="AO16" s="3">
        <v>-0.29823079491791304</v>
      </c>
      <c r="AP16" s="3">
        <f t="shared" si="26"/>
        <v>1089.84375</v>
      </c>
      <c r="AQ16" s="3">
        <v>0.3611322600273752</v>
      </c>
      <c r="AR16" s="3">
        <f t="shared" si="17"/>
        <v>1089.35546875</v>
      </c>
      <c r="AS16" s="3">
        <v>3.1452363693688312E-2</v>
      </c>
      <c r="AT16" s="3">
        <f t="shared" si="18"/>
        <v>-9.380063426415973E-3</v>
      </c>
      <c r="AU16" s="3">
        <f t="shared" si="19"/>
        <v>1.1358463183904623E-2</v>
      </c>
      <c r="AV16" s="3">
        <f t="shared" si="20"/>
        <v>0.9765625</v>
      </c>
      <c r="AX16" s="51"/>
      <c r="AY16" s="4" t="s">
        <v>240</v>
      </c>
      <c r="AZ16" s="27"/>
      <c r="BB16" s="3" t="s">
        <v>214</v>
      </c>
      <c r="BC16" s="3">
        <f>BC15/BC12</f>
        <v>0.73729208217770048</v>
      </c>
      <c r="BD16" s="27"/>
      <c r="BF16" s="3" t="s">
        <v>188</v>
      </c>
      <c r="BG16" s="3">
        <f>SQRT(BG14^2 + BG15^2)</f>
        <v>44.616998994703799</v>
      </c>
      <c r="BH16" s="27" t="s">
        <v>10</v>
      </c>
      <c r="BJ16" s="3" t="s">
        <v>188</v>
      </c>
      <c r="BK16" s="3">
        <f>SQRT(BK14^2 + BK15^2)</f>
        <v>54.573615653569178</v>
      </c>
      <c r="BL16" s="27" t="s">
        <v>10</v>
      </c>
      <c r="BN16" s="3" t="s">
        <v>39</v>
      </c>
      <c r="BO16" s="3">
        <f xml:space="preserve"> 4*BO11*SIN(BO4)*SIN(BO4) / (BO8*BO14)</f>
        <v>1.3230355336188115</v>
      </c>
      <c r="BP16" s="3"/>
      <c r="BQ16" s="3"/>
      <c r="BR16" s="3" t="s">
        <v>39</v>
      </c>
      <c r="BS16" s="3">
        <f xml:space="preserve"> 4*BS11*SIN(BS4)*SIN(BS4) / (BS8*BS14)</f>
        <v>1.2555266276904482</v>
      </c>
      <c r="BT16" s="3"/>
      <c r="BV16" s="3">
        <v>12</v>
      </c>
      <c r="BW16" s="3">
        <f t="shared" si="21"/>
        <v>0.43006685369161834</v>
      </c>
      <c r="BX16" s="3">
        <v>-7.4957117827338937E-3</v>
      </c>
      <c r="BY16" s="3">
        <f t="shared" si="22"/>
        <v>0.43143209659283654</v>
      </c>
      <c r="BZ16" s="3">
        <v>8.7131939131031289E-4</v>
      </c>
      <c r="CA16" s="3">
        <f t="shared" si="7"/>
        <v>0.43074947514222744</v>
      </c>
      <c r="CB16" s="3">
        <v>-3.3087583506042351E-3</v>
      </c>
      <c r="CC16" s="3">
        <f t="shared" si="8"/>
        <v>2.4801498954843329E-5</v>
      </c>
      <c r="CD16" s="3">
        <f t="shared" si="9"/>
        <v>-2.8829853120413969E-6</v>
      </c>
      <c r="CE16" s="3">
        <f t="shared" si="10"/>
        <v>1.3652429012181999E-3</v>
      </c>
      <c r="CG16" s="3">
        <v>12</v>
      </c>
      <c r="CH16" s="3">
        <f t="shared" si="23"/>
        <v>0.36726568023558021</v>
      </c>
      <c r="CI16" s="3">
        <v>-1.6942746255563801E-3</v>
      </c>
      <c r="CJ16" s="3">
        <f t="shared" si="24"/>
        <v>0.36863092313679846</v>
      </c>
      <c r="CK16" s="3">
        <v>3.985289851988788E-3</v>
      </c>
      <c r="CL16" s="3">
        <f t="shared" si="11"/>
        <v>0.36794830168618931</v>
      </c>
      <c r="CM16" s="3">
        <v>1.1475918697024939E-3</v>
      </c>
      <c r="CN16" s="3">
        <f t="shared" si="12"/>
        <v>-1.944335785331739E-6</v>
      </c>
      <c r="CO16" s="3">
        <f t="shared" si="13"/>
        <v>4.5734862325501889E-6</v>
      </c>
      <c r="CP16" s="3">
        <f t="shared" si="14"/>
        <v>1.3652429012182554E-3</v>
      </c>
    </row>
    <row r="17" spans="2:94" x14ac:dyDescent="0.2">
      <c r="B17" s="7" t="s">
        <v>72</v>
      </c>
      <c r="C17" s="7">
        <f>C35*100</f>
        <v>400</v>
      </c>
      <c r="D17" s="7" t="s">
        <v>7</v>
      </c>
      <c r="F17" s="7" t="s">
        <v>99</v>
      </c>
      <c r="G17" s="18">
        <v>2.54</v>
      </c>
      <c r="H17" s="7" t="s">
        <v>10</v>
      </c>
      <c r="J17" s="12" t="s">
        <v>56</v>
      </c>
      <c r="K17" s="7">
        <f xml:space="preserve"> 1000 * K11 / ($C$60 * $C$61 * $C$62)</f>
        <v>105.93011842653966</v>
      </c>
      <c r="L17" s="7" t="s">
        <v>7</v>
      </c>
      <c r="AB17" s="3">
        <v>13</v>
      </c>
      <c r="AC17" s="3">
        <f t="shared" si="15"/>
        <v>0.3321533203125</v>
      </c>
      <c r="AD17" s="3">
        <f t="shared" si="0"/>
        <v>7.0803270518504657E-5</v>
      </c>
      <c r="AE17" s="3">
        <f t="shared" si="16"/>
        <v>0.332275390625</v>
      </c>
      <c r="AF17" s="3">
        <f t="shared" si="1"/>
        <v>-5.6785327566810651E-5</v>
      </c>
      <c r="AG17" s="3">
        <f t="shared" si="3"/>
        <v>0.33221435546875</v>
      </c>
      <c r="AH17" s="3">
        <f t="shared" si="2"/>
        <v>7.0084698258199296E-6</v>
      </c>
      <c r="AI17" s="3">
        <f t="shared" si="4"/>
        <v>4.9622258499830573E-10</v>
      </c>
      <c r="AJ17" s="3">
        <f t="shared" si="5"/>
        <v>-3.9797825480129311E-10</v>
      </c>
      <c r="AK17" s="3">
        <f t="shared" si="6"/>
        <v>1.220703125E-4</v>
      </c>
      <c r="AM17" s="3">
        <v>13</v>
      </c>
      <c r="AN17" s="3">
        <f t="shared" si="25"/>
        <v>1088.8671875</v>
      </c>
      <c r="AO17" s="3">
        <v>-0.29823079491791304</v>
      </c>
      <c r="AP17" s="3">
        <f t="shared" si="26"/>
        <v>1089.35546875</v>
      </c>
      <c r="AQ17" s="3">
        <v>3.1452363693688312E-2</v>
      </c>
      <c r="AR17" s="3">
        <f t="shared" si="17"/>
        <v>1089.111328125</v>
      </c>
      <c r="AS17" s="3">
        <v>-0.13338891249031803</v>
      </c>
      <c r="AT17" s="3">
        <f t="shared" si="18"/>
        <v>3.9780681405223485E-2</v>
      </c>
      <c r="AU17" s="3">
        <f t="shared" si="19"/>
        <v>-4.1953965883510464E-3</v>
      </c>
      <c r="AV17" s="3">
        <f t="shared" si="20"/>
        <v>0.48828125</v>
      </c>
      <c r="AX17" s="51"/>
      <c r="AY17" s="4" t="s">
        <v>240</v>
      </c>
      <c r="AZ17" s="27"/>
      <c r="BB17" s="3" t="s">
        <v>211</v>
      </c>
      <c r="BC17" s="3">
        <f>BC10/($AY$45*BC6^2*AY9^4)</f>
        <v>0.26196446247658234</v>
      </c>
      <c r="BD17" s="3"/>
      <c r="BF17" s="3" t="s">
        <v>191</v>
      </c>
      <c r="BG17" s="38">
        <f>$AY$45*BG16*$AY$27/$AY$46</f>
        <v>1674721.2802962803</v>
      </c>
      <c r="BH17" s="27"/>
      <c r="BJ17" s="3" t="s">
        <v>191</v>
      </c>
      <c r="BK17" s="38">
        <f>$AY$45*BK16*$AY$27/$AY$46</f>
        <v>2048447.8458219813</v>
      </c>
      <c r="BL17" s="27"/>
      <c r="BN17" s="3" t="s">
        <v>215</v>
      </c>
      <c r="BO17" s="3">
        <f xml:space="preserve"> 4*BO11*SIN(BO4)*COS(BO4) / (BO8*BO15)</f>
        <v>6.1505738205685487</v>
      </c>
      <c r="BP17" s="3"/>
      <c r="BQ17" s="3"/>
      <c r="BR17" s="3" t="s">
        <v>215</v>
      </c>
      <c r="BS17" s="3">
        <f xml:space="preserve"> 4*BS11*SIN(BS4)*COS(BS4) / (BS8*BS15)</f>
        <v>8.3354671470451773</v>
      </c>
      <c r="BT17" s="3"/>
      <c r="BV17" s="3">
        <v>13</v>
      </c>
      <c r="BW17" s="3">
        <f t="shared" si="21"/>
        <v>0.43074947514222744</v>
      </c>
      <c r="BX17" s="3">
        <v>-3.3087583506042351E-3</v>
      </c>
      <c r="BY17" s="3">
        <f t="shared" si="22"/>
        <v>0.43143209659283654</v>
      </c>
      <c r="BZ17" s="3">
        <v>8.7131939131031289E-4</v>
      </c>
      <c r="CA17" s="3">
        <f t="shared" si="7"/>
        <v>0.43109078586753202</v>
      </c>
      <c r="CB17" s="3">
        <v>-1.2178580637441788E-3</v>
      </c>
      <c r="CC17" s="3">
        <f t="shared" si="8"/>
        <v>4.0295980382642567E-6</v>
      </c>
      <c r="CD17" s="3">
        <f t="shared" si="9"/>
        <v>-1.0611433468039342E-6</v>
      </c>
      <c r="CE17" s="3">
        <f t="shared" si="10"/>
        <v>6.8262145060909996E-4</v>
      </c>
      <c r="CG17" s="3">
        <v>13</v>
      </c>
      <c r="CH17" s="3">
        <f t="shared" si="23"/>
        <v>0.36726568023558021</v>
      </c>
      <c r="CI17" s="3">
        <v>-1.6942746255563801E-3</v>
      </c>
      <c r="CJ17" s="3">
        <f t="shared" si="24"/>
        <v>0.36794830168618931</v>
      </c>
      <c r="CK17" s="3">
        <v>1.1475918697024939E-3</v>
      </c>
      <c r="CL17" s="3">
        <f t="shared" si="11"/>
        <v>0.36760699096088478</v>
      </c>
      <c r="CM17" s="3">
        <v>-2.7282087165506064E-4</v>
      </c>
      <c r="CN17" s="3">
        <f t="shared" si="12"/>
        <v>4.6223348016734311E-7</v>
      </c>
      <c r="CO17" s="3">
        <f t="shared" si="13"/>
        <v>-3.1308701419649515E-7</v>
      </c>
      <c r="CP17" s="3">
        <f t="shared" si="14"/>
        <v>6.8262145060909996E-4</v>
      </c>
    </row>
    <row r="18" spans="2:94" x14ac:dyDescent="0.2">
      <c r="B18" s="7" t="s">
        <v>13</v>
      </c>
      <c r="C18" s="18">
        <v>96000</v>
      </c>
      <c r="D18" s="7" t="s">
        <v>8</v>
      </c>
      <c r="F18" s="7" t="s">
        <v>98</v>
      </c>
      <c r="G18" s="18">
        <v>304.8</v>
      </c>
      <c r="H18" s="7" t="s">
        <v>8</v>
      </c>
      <c r="J18" s="13" t="s">
        <v>156</v>
      </c>
      <c r="K18" s="7">
        <f xml:space="preserve"> $C$21 * (0.0095 * MAX(G9,G52) - 1.9275) + $C$28 * (0.0095 * MAX(O20,S20,W20) - 1.9275)</f>
        <v>98.381149103928678</v>
      </c>
      <c r="L18" s="7" t="s">
        <v>7</v>
      </c>
      <c r="N18" s="53" t="s">
        <v>261</v>
      </c>
      <c r="O18" s="59"/>
      <c r="P18" s="59"/>
      <c r="R18" s="53" t="s">
        <v>262</v>
      </c>
      <c r="S18" s="59"/>
      <c r="T18" s="59"/>
      <c r="V18" s="53" t="s">
        <v>263</v>
      </c>
      <c r="W18" s="59"/>
      <c r="X18" s="59"/>
      <c r="AB18" s="3">
        <v>14</v>
      </c>
      <c r="AC18" s="3">
        <f t="shared" si="15"/>
        <v>0.33221435546875</v>
      </c>
      <c r="AD18" s="3">
        <f t="shared" si="0"/>
        <v>7.0084698258199296E-6</v>
      </c>
      <c r="AE18" s="3">
        <f t="shared" si="16"/>
        <v>0.332275390625</v>
      </c>
      <c r="AF18" s="3">
        <f t="shared" si="1"/>
        <v>-5.6785327566810651E-5</v>
      </c>
      <c r="AG18" s="3">
        <f t="shared" si="3"/>
        <v>0.332244873046875</v>
      </c>
      <c r="AH18" s="3">
        <f t="shared" si="2"/>
        <v>-2.4888554248925221E-5</v>
      </c>
      <c r="AI18" s="3">
        <f t="shared" si="4"/>
        <v>-1.7443068146187481E-10</v>
      </c>
      <c r="AJ18" s="3">
        <f t="shared" si="5"/>
        <v>1.4133047056895558E-9</v>
      </c>
      <c r="AK18" s="3">
        <f t="shared" si="6"/>
        <v>6.103515625E-5</v>
      </c>
      <c r="AM18" s="3">
        <v>14</v>
      </c>
      <c r="AN18" s="3">
        <f t="shared" si="25"/>
        <v>1089.111328125</v>
      </c>
      <c r="AO18" s="3">
        <v>-0.13338891249031803</v>
      </c>
      <c r="AP18" s="3">
        <f t="shared" si="26"/>
        <v>1089.35546875</v>
      </c>
      <c r="AQ18" s="3">
        <v>3.1452363693688312E-2</v>
      </c>
      <c r="AR18" s="3">
        <f t="shared" si="17"/>
        <v>1089.2333984375</v>
      </c>
      <c r="AS18" s="3">
        <v>-5.0968142824558527E-2</v>
      </c>
      <c r="AT18" s="3">
        <f t="shared" si="18"/>
        <v>6.7985851430190682E-3</v>
      </c>
      <c r="AU18" s="3">
        <f t="shared" si="19"/>
        <v>-1.603068564909865E-3</v>
      </c>
      <c r="AV18" s="3">
        <f t="shared" si="20"/>
        <v>0.244140625</v>
      </c>
      <c r="AX18" s="51"/>
      <c r="AY18" s="4" t="s">
        <v>240</v>
      </c>
      <c r="BB18" s="3" t="s">
        <v>213</v>
      </c>
      <c r="BC18" s="3">
        <f>BC11/($AY$45*BC6^2*AY9^5)</f>
        <v>2.5426969915596453E-2</v>
      </c>
      <c r="BD18" s="27"/>
      <c r="BF18" s="3" t="s">
        <v>195</v>
      </c>
      <c r="BG18" s="3">
        <f xml:space="preserve"> $BO$27 * PI() * $AY$45 * BG16^2 *$BO$33 * $AY$21 * BG13</f>
        <v>100.08320365181838</v>
      </c>
      <c r="BH18" s="27" t="s">
        <v>23</v>
      </c>
      <c r="BJ18" s="3" t="s">
        <v>195</v>
      </c>
      <c r="BK18" s="3">
        <f xml:space="preserve"> $BS$27 * PI() * $AY$45 * BK16^2 * $BS$33 * $AY$22 * BK13</f>
        <v>154.23162917138444</v>
      </c>
      <c r="BL18" s="27" t="s">
        <v>23</v>
      </c>
      <c r="BN18" s="3" t="s">
        <v>46</v>
      </c>
      <c r="BO18" s="3">
        <f>1/(BO16-1)</f>
        <v>3.0956346777008754</v>
      </c>
      <c r="BP18" s="3"/>
      <c r="BQ18" s="3"/>
      <c r="BR18" s="3" t="s">
        <v>46</v>
      </c>
      <c r="BS18" s="3">
        <f>1/(BS16-1)</f>
        <v>3.9134864692513642</v>
      </c>
      <c r="BT18" s="3"/>
      <c r="BV18" s="3">
        <v>14</v>
      </c>
      <c r="BW18" s="3">
        <f t="shared" si="21"/>
        <v>0.43109078586753202</v>
      </c>
      <c r="BX18" s="3">
        <v>-1.2178580637441788E-3</v>
      </c>
      <c r="BY18" s="3">
        <f t="shared" si="22"/>
        <v>0.43143209659283654</v>
      </c>
      <c r="BZ18" s="3">
        <v>8.7131939131031289E-4</v>
      </c>
      <c r="CA18" s="3">
        <f t="shared" si="7"/>
        <v>0.43126144123018428</v>
      </c>
      <c r="CB18" s="3">
        <v>-1.7305373822502912E-4</v>
      </c>
      <c r="CC18" s="3">
        <f t="shared" si="8"/>
        <v>2.1075489055842596E-7</v>
      </c>
      <c r="CD18" s="3">
        <f t="shared" si="9"/>
        <v>-1.507850778542066E-7</v>
      </c>
      <c r="CE18" s="3">
        <f t="shared" si="10"/>
        <v>3.4131072530452222E-4</v>
      </c>
      <c r="CG18" s="3">
        <v>14</v>
      </c>
      <c r="CH18" s="3">
        <f t="shared" si="23"/>
        <v>0.36760699096088478</v>
      </c>
      <c r="CI18" s="3">
        <v>-2.7282087165506064E-4</v>
      </c>
      <c r="CJ18" s="3">
        <f t="shared" si="24"/>
        <v>0.36794830168618931</v>
      </c>
      <c r="CK18" s="3">
        <v>1.1475918697024939E-3</v>
      </c>
      <c r="CL18" s="3">
        <f t="shared" si="11"/>
        <v>0.36777764632353704</v>
      </c>
      <c r="CM18" s="3">
        <v>4.3751569529876244E-4</v>
      </c>
      <c r="CN18" s="3">
        <f t="shared" si="12"/>
        <v>-1.1936341335417827E-7</v>
      </c>
      <c r="CO18" s="3">
        <f t="shared" si="13"/>
        <v>5.0208945479209343E-7</v>
      </c>
      <c r="CP18" s="3">
        <f t="shared" si="14"/>
        <v>3.4131072530452222E-4</v>
      </c>
    </row>
    <row r="19" spans="2:94" x14ac:dyDescent="0.2">
      <c r="F19" s="7" t="s">
        <v>103</v>
      </c>
      <c r="G19" s="7">
        <f>$G$18/$G$17</f>
        <v>120</v>
      </c>
      <c r="H19" s="7" t="s">
        <v>14</v>
      </c>
      <c r="J19" s="13" t="s">
        <v>157</v>
      </c>
      <c r="K19" s="7">
        <v>0</v>
      </c>
      <c r="L19" s="7" t="s">
        <v>7</v>
      </c>
      <c r="N19" s="7" t="s">
        <v>29</v>
      </c>
      <c r="O19" s="7">
        <f xml:space="preserve"> 90 - $C$69</f>
        <v>85</v>
      </c>
      <c r="P19" s="7" t="s">
        <v>44</v>
      </c>
      <c r="R19" s="7" t="s">
        <v>29</v>
      </c>
      <c r="S19" s="7">
        <f xml:space="preserve"> 90 - $C$69</f>
        <v>85</v>
      </c>
      <c r="T19" s="7" t="s">
        <v>44</v>
      </c>
      <c r="V19" s="7" t="s">
        <v>29</v>
      </c>
      <c r="W19" s="7">
        <f xml:space="preserve"> 90 - $C$69</f>
        <v>85</v>
      </c>
      <c r="X19" s="7" t="s">
        <v>44</v>
      </c>
      <c r="AB19" s="3">
        <v>15</v>
      </c>
      <c r="AC19" s="3">
        <f t="shared" si="15"/>
        <v>0.33221435546875</v>
      </c>
      <c r="AD19" s="3">
        <f t="shared" si="0"/>
        <v>7.0084698258199296E-6</v>
      </c>
      <c r="AE19" s="3">
        <f t="shared" si="16"/>
        <v>0.332244873046875</v>
      </c>
      <c r="AF19" s="3">
        <f t="shared" si="1"/>
        <v>-2.4888554248925221E-5</v>
      </c>
      <c r="AG19" s="3">
        <f t="shared" si="3"/>
        <v>0.3322296142578125</v>
      </c>
      <c r="AH19" s="3">
        <f t="shared" si="2"/>
        <v>-8.9400735603928361E-6</v>
      </c>
      <c r="AI19" s="3">
        <f t="shared" si="4"/>
        <v>-6.2656235788623732E-11</v>
      </c>
      <c r="AJ19" s="3">
        <f t="shared" si="5"/>
        <v>2.2250550579721915E-10</v>
      </c>
      <c r="AK19" s="3">
        <f t="shared" si="6"/>
        <v>3.0517578125E-5</v>
      </c>
      <c r="AM19" s="3">
        <v>15</v>
      </c>
      <c r="AN19" s="3">
        <f t="shared" si="25"/>
        <v>1089.2333984375</v>
      </c>
      <c r="AO19" s="3">
        <v>-5.0968142824558527E-2</v>
      </c>
      <c r="AP19" s="3">
        <f t="shared" si="26"/>
        <v>1089.35546875</v>
      </c>
      <c r="AQ19" s="3">
        <v>3.1452363693688312E-2</v>
      </c>
      <c r="AR19" s="3">
        <f t="shared" si="17"/>
        <v>1089.29443359375</v>
      </c>
      <c r="AS19" s="3">
        <v>-9.7578604320460727E-3</v>
      </c>
      <c r="AT19" s="3">
        <f t="shared" si="18"/>
        <v>4.9734002416263259E-4</v>
      </c>
      <c r="AU19" s="3">
        <f t="shared" si="19"/>
        <v>-3.0690777518096367E-4</v>
      </c>
      <c r="AV19" s="3">
        <f t="shared" si="20"/>
        <v>0.1220703125</v>
      </c>
      <c r="AX19" s="51" t="s">
        <v>216</v>
      </c>
      <c r="AY19" s="4">
        <f>0.259375*($AY$9/2)</f>
        <v>0.25937500000000002</v>
      </c>
      <c r="AZ19" s="27" t="s">
        <v>8</v>
      </c>
      <c r="BB19" s="3" t="s">
        <v>217</v>
      </c>
      <c r="BC19" s="3">
        <f>2*PI()*BC18</f>
        <v>0.15976236377977299</v>
      </c>
      <c r="BD19" s="27"/>
      <c r="BF19" s="3" t="s">
        <v>199</v>
      </c>
      <c r="BG19" s="3">
        <f xml:space="preserve"> $BO$27 * PI() * $AY$45 * BG16^2 * $BO$34 * $AY$21^2 * BG13</f>
        <v>15.671851408476337</v>
      </c>
      <c r="BH19" s="27" t="s">
        <v>200</v>
      </c>
      <c r="BJ19" s="3" t="s">
        <v>199</v>
      </c>
      <c r="BK19" s="3">
        <f xml:space="preserve"> $BS$27 * PI() * $AY$45 * BK16^2 * $BS$34 * $AY$22^2 * BK13</f>
        <v>26.263259842411909</v>
      </c>
      <c r="BL19" s="27" t="s">
        <v>200</v>
      </c>
      <c r="BN19" s="3" t="s">
        <v>218</v>
      </c>
      <c r="BO19" s="3">
        <f>1/(BO17+1)</f>
        <v>0.13984891633780644</v>
      </c>
      <c r="BP19" s="3"/>
      <c r="BQ19" s="3"/>
      <c r="BR19" s="3" t="s">
        <v>218</v>
      </c>
      <c r="BS19" s="3">
        <f>1/(BS17+1)</f>
        <v>0.10711836743129836</v>
      </c>
      <c r="BT19" s="3"/>
      <c r="BV19" s="3">
        <v>15</v>
      </c>
      <c r="BW19" s="3">
        <f t="shared" si="21"/>
        <v>0.43126144123018428</v>
      </c>
      <c r="BX19" s="3">
        <v>-1.7305373822502912E-4</v>
      </c>
      <c r="BY19" s="3">
        <f t="shared" si="22"/>
        <v>0.43143209659283654</v>
      </c>
      <c r="BZ19" s="3">
        <v>8.7131939131031289E-4</v>
      </c>
      <c r="CA19" s="3">
        <f t="shared" si="7"/>
        <v>0.43134676891151041</v>
      </c>
      <c r="CB19" s="3">
        <v>3.4918675652298448E-4</v>
      </c>
      <c r="CC19" s="3">
        <f t="shared" si="8"/>
        <v>-6.0428073554975541E-8</v>
      </c>
      <c r="CD19" s="3">
        <f t="shared" si="9"/>
        <v>3.0425319214722928E-7</v>
      </c>
      <c r="CE19" s="3">
        <f t="shared" si="10"/>
        <v>1.7065536265226111E-4</v>
      </c>
      <c r="CG19" s="3">
        <v>15</v>
      </c>
      <c r="CH19" s="3">
        <f t="shared" si="23"/>
        <v>0.36760699096088478</v>
      </c>
      <c r="CI19" s="3">
        <v>-2.7282087165506064E-4</v>
      </c>
      <c r="CJ19" s="3">
        <f t="shared" si="24"/>
        <v>0.36777764632353704</v>
      </c>
      <c r="CK19" s="3">
        <v>4.3751569529876244E-4</v>
      </c>
      <c r="CL19" s="3">
        <f t="shared" si="11"/>
        <v>0.36769231864221091</v>
      </c>
      <c r="CM19" s="3">
        <v>8.2379952175734572E-5</v>
      </c>
      <c r="CN19" s="3">
        <f t="shared" si="12"/>
        <v>-2.2474970359486115E-8</v>
      </c>
      <c r="CO19" s="3">
        <f t="shared" si="13"/>
        <v>3.6042522054845311E-8</v>
      </c>
      <c r="CP19" s="3">
        <f t="shared" si="14"/>
        <v>1.7065536265226111E-4</v>
      </c>
    </row>
    <row r="20" spans="2:94" x14ac:dyDescent="0.2">
      <c r="B20" s="55" t="s">
        <v>134</v>
      </c>
      <c r="C20" s="55"/>
      <c r="D20" s="55"/>
      <c r="F20" s="7" t="s">
        <v>264</v>
      </c>
      <c r="G20" s="7">
        <f>O21*$C$9</f>
        <v>157.07963267948966</v>
      </c>
      <c r="H20" s="7" t="s">
        <v>10</v>
      </c>
      <c r="J20" s="14" t="s">
        <v>57</v>
      </c>
      <c r="K20" s="7">
        <f xml:space="preserve"> 0.2138 * K4 + 0.2138 * K6</f>
        <v>64.952868826503533</v>
      </c>
      <c r="L20" s="7" t="s">
        <v>7</v>
      </c>
      <c r="N20" s="7" t="s">
        <v>22</v>
      </c>
      <c r="O20" s="7">
        <f>(O14+$C$5*$C$68*SIN(G24/180*PI()))/$C$28</f>
        <v>1499.492205941516</v>
      </c>
      <c r="P20" s="7" t="s">
        <v>23</v>
      </c>
      <c r="R20" s="7" t="s">
        <v>22</v>
      </c>
      <c r="S20" s="7">
        <f xml:space="preserve"> S14 / $C$28</f>
        <v>957.44473220321015</v>
      </c>
      <c r="T20" s="7" t="s">
        <v>23</v>
      </c>
      <c r="V20" s="7" t="s">
        <v>22</v>
      </c>
      <c r="W20" s="7">
        <f>(W14-$C$5*$C$68*SIN(G44/180*PI()))/$C$28</f>
        <v>631.61908396410422</v>
      </c>
      <c r="X20" s="7" t="s">
        <v>23</v>
      </c>
      <c r="AB20" s="3">
        <v>16</v>
      </c>
      <c r="AC20" s="3">
        <f t="shared" si="15"/>
        <v>0.33221435546875</v>
      </c>
      <c r="AD20" s="3">
        <f t="shared" si="0"/>
        <v>7.0084698258199296E-6</v>
      </c>
      <c r="AE20" s="3">
        <f t="shared" si="16"/>
        <v>0.3322296142578125</v>
      </c>
      <c r="AF20" s="3">
        <f t="shared" si="1"/>
        <v>-8.9400735603928361E-6</v>
      </c>
      <c r="AG20" s="3">
        <f t="shared" si="3"/>
        <v>0.33222198486328125</v>
      </c>
      <c r="AH20" s="3">
        <f t="shared" si="2"/>
        <v>-9.6580970504467345E-7</v>
      </c>
      <c r="AI20" s="3">
        <f t="shared" si="4"/>
        <v>-6.7688481752896404E-12</v>
      </c>
      <c r="AJ20" s="3">
        <f t="shared" si="5"/>
        <v>8.6344098084406879E-12</v>
      </c>
      <c r="AK20" s="3">
        <f t="shared" si="6"/>
        <v>1.52587890625E-5</v>
      </c>
      <c r="AM20" s="3">
        <v>16</v>
      </c>
      <c r="AN20" s="3">
        <f t="shared" si="25"/>
        <v>1089.29443359375</v>
      </c>
      <c r="AO20" s="3">
        <v>-9.7578604320460727E-3</v>
      </c>
      <c r="AP20" s="3">
        <f t="shared" si="26"/>
        <v>1089.35546875</v>
      </c>
      <c r="AQ20" s="3">
        <v>3.1452363693688312E-2</v>
      </c>
      <c r="AR20" s="3">
        <f t="shared" si="17"/>
        <v>1089.324951171875</v>
      </c>
      <c r="AS20" s="3">
        <v>1.084720509845738E-2</v>
      </c>
      <c r="AT20" s="3">
        <f t="shared" si="18"/>
        <v>-1.0584551342852569E-4</v>
      </c>
      <c r="AU20" s="3">
        <f t="shared" si="19"/>
        <v>3.4117023981671164E-4</v>
      </c>
      <c r="AV20" s="3">
        <f t="shared" si="20"/>
        <v>6.103515625E-2</v>
      </c>
      <c r="AX20" s="51"/>
      <c r="AY20" s="4">
        <f>0.358125*($AY$9/2)</f>
        <v>0.35812500000000003</v>
      </c>
      <c r="AZ20" s="27" t="s">
        <v>8</v>
      </c>
      <c r="BB20" s="3" t="s">
        <v>219</v>
      </c>
      <c r="BC20" s="3">
        <f>BC17/BC19*BC7</f>
        <v>0.12913084256261703</v>
      </c>
      <c r="BD20" s="27"/>
      <c r="BN20" s="8" t="s">
        <v>220</v>
      </c>
      <c r="BO20" s="41">
        <f>SIN(BO4)/(1+BO18) - $AY$3*COS(BO4)/($BC$5*$AY$19*(1-BO19))</f>
        <v>-1.4332617509493772E-8</v>
      </c>
      <c r="BP20" s="41"/>
      <c r="BQ20" s="3"/>
      <c r="BR20" s="8" t="s">
        <v>220</v>
      </c>
      <c r="BS20" s="41">
        <f>SIN(BS4)/(1+BS18) - $AY$3*COS(BS4)/($BC$5*$AY$20*(1-BS19))</f>
        <v>-1.3172811126616057E-7</v>
      </c>
      <c r="BT20" s="41"/>
      <c r="BV20" s="3">
        <v>16</v>
      </c>
      <c r="BW20" s="3">
        <f t="shared" si="21"/>
        <v>0.43126144123018428</v>
      </c>
      <c r="BX20" s="3">
        <v>-1.7305373822502912E-4</v>
      </c>
      <c r="BY20" s="3">
        <f t="shared" si="22"/>
        <v>0.43134676891151041</v>
      </c>
      <c r="BZ20" s="3">
        <v>3.4918675652298448E-4</v>
      </c>
      <c r="CA20" s="3">
        <f t="shared" si="7"/>
        <v>0.43130410507084738</v>
      </c>
      <c r="CB20" s="3">
        <v>8.8079987834846496E-5</v>
      </c>
      <c r="CC20" s="3">
        <f t="shared" si="8"/>
        <v>-1.5242571157635275E-8</v>
      </c>
      <c r="CD20" s="3">
        <f t="shared" si="9"/>
        <v>3.0756365266633976E-8</v>
      </c>
      <c r="CE20" s="3">
        <f t="shared" si="10"/>
        <v>8.5327681326130556E-5</v>
      </c>
      <c r="CG20" s="3">
        <v>16</v>
      </c>
      <c r="CH20" s="3">
        <f t="shared" si="23"/>
        <v>0.36760699096088478</v>
      </c>
      <c r="CI20" s="3">
        <v>-2.7282087165506064E-4</v>
      </c>
      <c r="CJ20" s="3">
        <f t="shared" si="24"/>
        <v>0.36769231864221091</v>
      </c>
      <c r="CK20" s="3">
        <v>8.2379952175734572E-5</v>
      </c>
      <c r="CL20" s="3">
        <f t="shared" si="11"/>
        <v>0.36764965480154788</v>
      </c>
      <c r="CM20" s="3">
        <v>-9.5212325740390291E-5</v>
      </c>
      <c r="CN20" s="3">
        <f t="shared" si="12"/>
        <v>2.5975909700798845E-8</v>
      </c>
      <c r="CO20" s="3">
        <f t="shared" si="13"/>
        <v>-7.8435868410338142E-9</v>
      </c>
      <c r="CP20" s="3">
        <f t="shared" si="14"/>
        <v>8.5327681326130556E-5</v>
      </c>
    </row>
    <row r="21" spans="2:94" x14ac:dyDescent="0.2">
      <c r="B21" s="7" t="s">
        <v>111</v>
      </c>
      <c r="C21" s="18">
        <v>8</v>
      </c>
      <c r="F21" s="7" t="s">
        <v>265</v>
      </c>
      <c r="G21" s="7">
        <f>G20/$C$67</f>
        <v>0.46143434115755327</v>
      </c>
      <c r="H21" s="7" t="s">
        <v>151</v>
      </c>
      <c r="J21" s="14" t="s">
        <v>82</v>
      </c>
      <c r="K21" s="7">
        <f xml:space="preserve"> 0.1149 * K4 + 0.1149 * K6</f>
        <v>34.906850459145261</v>
      </c>
      <c r="L21" s="7" t="s">
        <v>7</v>
      </c>
      <c r="N21" s="7" t="s">
        <v>30</v>
      </c>
      <c r="O21" s="7">
        <f xml:space="preserve"> PI() * $G$16 / ($C$9 * $C$14)</f>
        <v>157.07963267948966</v>
      </c>
      <c r="P21" s="7" t="s">
        <v>31</v>
      </c>
      <c r="R21" s="7" t="s">
        <v>30</v>
      </c>
      <c r="S21" s="7">
        <f xml:space="preserve"> PI() * $C$13 / ($C$9 * $C$14)</f>
        <v>157.07963267948966</v>
      </c>
      <c r="T21" s="7" t="s">
        <v>31</v>
      </c>
      <c r="V21" s="7" t="s">
        <v>30</v>
      </c>
      <c r="W21" s="7">
        <f xml:space="preserve"> PI() * $G$36 / ($C$9 * $C$14)</f>
        <v>157.07963267948966</v>
      </c>
      <c r="X21" s="7" t="s">
        <v>31</v>
      </c>
      <c r="AB21" s="3">
        <v>17</v>
      </c>
      <c r="AC21" s="3">
        <f t="shared" si="15"/>
        <v>0.33221435546875</v>
      </c>
      <c r="AD21" s="3">
        <f t="shared" si="0"/>
        <v>7.0084698258199296E-6</v>
      </c>
      <c r="AE21" s="3">
        <f t="shared" si="16"/>
        <v>0.33222198486328125</v>
      </c>
      <c r="AF21" s="3">
        <f t="shared" si="1"/>
        <v>-9.6580970504467345E-7</v>
      </c>
      <c r="AG21" s="3">
        <f t="shared" si="3"/>
        <v>0.33221817016601562</v>
      </c>
      <c r="AH21" s="3">
        <f t="shared" si="2"/>
        <v>3.0213281009272563E-6</v>
      </c>
      <c r="AI21" s="3">
        <f t="shared" si="4"/>
        <v>2.1174886829250505E-11</v>
      </c>
      <c r="AJ21" s="3">
        <f t="shared" si="5"/>
        <v>-2.9180280019997369E-12</v>
      </c>
      <c r="AK21" s="3">
        <f t="shared" si="6"/>
        <v>7.62939453125E-6</v>
      </c>
      <c r="AM21" s="3">
        <v>17</v>
      </c>
      <c r="AN21" s="3">
        <f t="shared" si="25"/>
        <v>1089.29443359375</v>
      </c>
      <c r="AO21" s="3">
        <v>-9.7578604320460727E-3</v>
      </c>
      <c r="AP21" s="3">
        <f t="shared" si="26"/>
        <v>1089.324951171875</v>
      </c>
      <c r="AQ21" s="3">
        <v>1.084720509845738E-2</v>
      </c>
      <c r="AR21" s="3">
        <f t="shared" si="17"/>
        <v>1089.3096923828125</v>
      </c>
      <c r="AS21" s="3">
        <v>5.4461434274344356E-4</v>
      </c>
      <c r="AT21" s="3">
        <f t="shared" si="18"/>
        <v>-5.3142707457810264E-6</v>
      </c>
      <c r="AU21" s="3">
        <f t="shared" si="19"/>
        <v>5.9075434752996955E-6</v>
      </c>
      <c r="AV21" s="3">
        <f t="shared" si="20"/>
        <v>3.0517578125E-2</v>
      </c>
      <c r="AX21" s="51"/>
      <c r="AY21" s="4">
        <f>0.456875*($AY$9/2)</f>
        <v>0.45687499999999998</v>
      </c>
      <c r="AZ21" s="27" t="s">
        <v>8</v>
      </c>
      <c r="BD21" s="27"/>
      <c r="BF21" s="62" t="s">
        <v>221</v>
      </c>
      <c r="BG21" s="62"/>
      <c r="BH21" s="62"/>
      <c r="BJ21" s="62" t="s">
        <v>222</v>
      </c>
      <c r="BK21" s="62"/>
      <c r="BL21" s="62"/>
      <c r="BN21" s="3"/>
      <c r="BO21" s="3"/>
      <c r="BP21" s="3"/>
      <c r="BQ21" s="3"/>
      <c r="BR21" s="3"/>
      <c r="BS21" s="3"/>
      <c r="BT21" s="3"/>
      <c r="BV21" s="3">
        <v>17</v>
      </c>
      <c r="BW21" s="3">
        <f t="shared" si="21"/>
        <v>0.43126144123018428</v>
      </c>
      <c r="BX21" s="3">
        <v>-1.7305373822502912E-4</v>
      </c>
      <c r="BY21" s="3">
        <f t="shared" si="22"/>
        <v>0.43130410507084738</v>
      </c>
      <c r="BZ21" s="3">
        <v>8.8079987834846496E-5</v>
      </c>
      <c r="CA21" s="3">
        <f t="shared" si="7"/>
        <v>0.43128277315051583</v>
      </c>
      <c r="CB21" s="3">
        <v>-4.2483505999862947E-5</v>
      </c>
      <c r="CC21" s="3">
        <f t="shared" si="8"/>
        <v>7.3519295261817364E-9</v>
      </c>
      <c r="CD21" s="3">
        <f t="shared" si="9"/>
        <v>-3.7419466916495564E-9</v>
      </c>
      <c r="CE21" s="3">
        <f t="shared" si="10"/>
        <v>4.2663840663093033E-5</v>
      </c>
      <c r="CG21" s="3">
        <v>17</v>
      </c>
      <c r="CH21" s="3">
        <f t="shared" si="23"/>
        <v>0.36764965480154788</v>
      </c>
      <c r="CI21" s="3">
        <v>-9.5212325740390291E-5</v>
      </c>
      <c r="CJ21" s="3">
        <f t="shared" si="24"/>
        <v>0.36769231864221091</v>
      </c>
      <c r="CK21" s="3">
        <v>8.2379952175734572E-5</v>
      </c>
      <c r="CL21" s="3">
        <f t="shared" si="11"/>
        <v>0.36767098672187937</v>
      </c>
      <c r="CM21" s="3">
        <v>-6.41415314643623E-6</v>
      </c>
      <c r="CN21" s="3">
        <f t="shared" si="12"/>
        <v>6.1070643872723561E-10</v>
      </c>
      <c r="CO21" s="3">
        <f t="shared" si="13"/>
        <v>-5.2839762945125401E-10</v>
      </c>
      <c r="CP21" s="3">
        <f t="shared" si="14"/>
        <v>4.2663840663037522E-5</v>
      </c>
    </row>
    <row r="22" spans="2:94" x14ac:dyDescent="0.2">
      <c r="B22" s="7" t="s">
        <v>133</v>
      </c>
      <c r="C22" s="18">
        <v>2</v>
      </c>
      <c r="F22" s="7" t="s">
        <v>100</v>
      </c>
      <c r="G22" s="7">
        <f>SQRT($G$16^2-$G$17^2)</f>
        <v>49.935442323063484</v>
      </c>
      <c r="H22" s="7" t="s">
        <v>10</v>
      </c>
      <c r="J22" s="15" t="s">
        <v>64</v>
      </c>
      <c r="K22" s="7">
        <f xml:space="preserve"> $C$70 * (14.86 * ($C$5*2.20462)^0.144 * ($C$36/(PI()*$C$37))^0.778 * ($C$36*3.28084)^0.383 * $C$35^0.455 * 0.453592)</f>
        <v>163.1603040049292</v>
      </c>
      <c r="L22" s="7" t="s">
        <v>7</v>
      </c>
      <c r="N22" s="7" t="s">
        <v>32</v>
      </c>
      <c r="O22" s="7">
        <f xml:space="preserve"> $G$16 * COS(O19/180*PI()) / (O21 * $C$9)</f>
        <v>2.7742534554270868E-2</v>
      </c>
      <c r="R22" s="7" t="s">
        <v>32</v>
      </c>
      <c r="S22" s="7">
        <f xml:space="preserve"> $C$13 * COS(S19/180*PI()) / (S21 * $C$9)</f>
        <v>2.7742534554270868E-2</v>
      </c>
      <c r="V22" s="7" t="s">
        <v>32</v>
      </c>
      <c r="W22" s="7">
        <f xml:space="preserve"> $G$36 * COS(W19/180*PI()) / (W21 * $C$9)</f>
        <v>2.7742534554270868E-2</v>
      </c>
      <c r="AB22" s="3">
        <v>18</v>
      </c>
      <c r="AC22" s="3">
        <f t="shared" si="15"/>
        <v>0.33221817016601562</v>
      </c>
      <c r="AD22" s="3">
        <f t="shared" si="0"/>
        <v>3.0213281009272563E-6</v>
      </c>
      <c r="AE22" s="3">
        <f t="shared" si="16"/>
        <v>0.33222198486328125</v>
      </c>
      <c r="AF22" s="3">
        <f t="shared" si="1"/>
        <v>-9.6580970504467345E-7</v>
      </c>
      <c r="AG22" s="3">
        <f t="shared" si="3"/>
        <v>0.33222007751464844</v>
      </c>
      <c r="AH22" s="3">
        <f t="shared" si="2"/>
        <v>1.0277587080831374E-6</v>
      </c>
      <c r="AI22" s="3">
        <f t="shared" si="4"/>
        <v>3.105196265704276E-12</v>
      </c>
      <c r="AJ22" s="3">
        <f t="shared" si="5"/>
        <v>-9.9261933471086964E-13</v>
      </c>
      <c r="AK22" s="3">
        <f t="shared" si="6"/>
        <v>3.814697265625E-6</v>
      </c>
      <c r="AM22" s="3">
        <v>18</v>
      </c>
      <c r="AN22" s="3">
        <f t="shared" si="25"/>
        <v>1089.29443359375</v>
      </c>
      <c r="AO22" s="3">
        <v>-9.7578604320460727E-3</v>
      </c>
      <c r="AP22" s="3">
        <f t="shared" si="26"/>
        <v>1089.3096923828125</v>
      </c>
      <c r="AQ22" s="3">
        <v>5.4461434274344356E-4</v>
      </c>
      <c r="AR22" s="3">
        <f t="shared" si="17"/>
        <v>1089.3020629882812</v>
      </c>
      <c r="AS22" s="3">
        <v>-4.6067048256190901E-3</v>
      </c>
      <c r="AT22" s="3">
        <f t="shared" si="18"/>
        <v>4.4951582740024221E-5</v>
      </c>
      <c r="AU22" s="3">
        <f t="shared" si="19"/>
        <v>-2.5088775208175905E-6</v>
      </c>
      <c r="AV22" s="3">
        <f t="shared" si="20"/>
        <v>1.52587890625E-2</v>
      </c>
      <c r="AX22" s="51"/>
      <c r="AY22" s="4">
        <f>0.555625*($AY$9/2)</f>
        <v>0.55562500000000004</v>
      </c>
      <c r="AZ22" s="27" t="s">
        <v>8</v>
      </c>
      <c r="BB22" s="61" t="s">
        <v>223</v>
      </c>
      <c r="BC22" s="61"/>
      <c r="BD22" s="61"/>
      <c r="BF22" s="3" t="s">
        <v>174</v>
      </c>
      <c r="BG22" s="3">
        <f>$AY$23-$AY$22</f>
        <v>9.8750000000000004E-2</v>
      </c>
      <c r="BH22" s="27" t="s">
        <v>8</v>
      </c>
      <c r="BJ22" s="3" t="s">
        <v>174</v>
      </c>
      <c r="BK22" s="3">
        <f>$AY$24-$AY$23</f>
        <v>9.8750000000000004E-2</v>
      </c>
      <c r="BL22" s="27" t="s">
        <v>8</v>
      </c>
      <c r="BN22" s="62" t="s">
        <v>206</v>
      </c>
      <c r="BO22" s="62"/>
      <c r="BP22" s="62"/>
      <c r="BQ22" s="3"/>
      <c r="BR22" s="62" t="s">
        <v>207</v>
      </c>
      <c r="BS22" s="62"/>
      <c r="BT22" s="62"/>
      <c r="BV22" s="3">
        <v>18</v>
      </c>
      <c r="BW22" s="3">
        <f t="shared" si="21"/>
        <v>0.43128277315051583</v>
      </c>
      <c r="BX22" s="3">
        <v>-4.2483505999862947E-5</v>
      </c>
      <c r="BY22" s="3">
        <f t="shared" si="22"/>
        <v>0.43130410507084738</v>
      </c>
      <c r="BZ22" s="3">
        <v>8.8079987834846496E-5</v>
      </c>
      <c r="CA22" s="3">
        <f t="shared" si="7"/>
        <v>0.43129343911068163</v>
      </c>
      <c r="CB22" s="3">
        <v>2.2799083275876209E-5</v>
      </c>
      <c r="CC22" s="3">
        <f t="shared" si="8"/>
        <v>-9.6858499114206188E-10</v>
      </c>
      <c r="CD22" s="3">
        <f t="shared" si="9"/>
        <v>2.0081429775848288E-9</v>
      </c>
      <c r="CE22" s="3">
        <f t="shared" si="10"/>
        <v>2.1331920331546517E-5</v>
      </c>
      <c r="CG22" s="3">
        <v>18</v>
      </c>
      <c r="CH22" s="3">
        <f t="shared" si="23"/>
        <v>0.36767098672187937</v>
      </c>
      <c r="CI22" s="3">
        <v>-6.41415314643623E-6</v>
      </c>
      <c r="CJ22" s="3">
        <f t="shared" si="24"/>
        <v>0.36769231864221091</v>
      </c>
      <c r="CK22" s="3">
        <v>8.2379952175734572E-5</v>
      </c>
      <c r="CL22" s="3">
        <f t="shared" si="11"/>
        <v>0.36768165268204511</v>
      </c>
      <c r="CM22" s="3">
        <v>3.7983407940533898E-5</v>
      </c>
      <c r="CN22" s="3">
        <f t="shared" si="12"/>
        <v>-2.4363139555414636E-10</v>
      </c>
      <c r="CO22" s="3">
        <f t="shared" si="13"/>
        <v>3.1290713296125992E-9</v>
      </c>
      <c r="CP22" s="3">
        <f t="shared" si="14"/>
        <v>2.1331920331546517E-5</v>
      </c>
    </row>
    <row r="23" spans="2:94" x14ac:dyDescent="0.2">
      <c r="B23" s="7" t="s">
        <v>148</v>
      </c>
      <c r="C23" s="7">
        <f>$C$22*$C$8/PI()</f>
        <v>0.31022513338460861</v>
      </c>
      <c r="F23" s="7" t="s">
        <v>101</v>
      </c>
      <c r="G23" s="7">
        <f>$G$22 * ($G$18/$G$17)</f>
        <v>5992.2530787676178</v>
      </c>
      <c r="H23" s="7" t="s">
        <v>8</v>
      </c>
      <c r="J23" s="15" t="s">
        <v>65</v>
      </c>
      <c r="K23" s="7">
        <f xml:space="preserve"> $C$70 * C41 * $C$5</f>
        <v>28.322030693292621</v>
      </c>
      <c r="L23" s="7" t="s">
        <v>7</v>
      </c>
      <c r="N23" s="7" t="s">
        <v>33</v>
      </c>
      <c r="O23" s="7">
        <f xml:space="preserve"> O20 / ( $C$65 * PI() * $C$9^2 * O21^2 * $C$9^2)</f>
        <v>1.5791322289710061E-2</v>
      </c>
      <c r="R23" s="7" t="s">
        <v>33</v>
      </c>
      <c r="S23" s="7">
        <f xml:space="preserve"> S20 / ( $C$65 * PI() * $C$9^2 * S21^2 * $C$9^2)</f>
        <v>1.0082958938297892E-2</v>
      </c>
      <c r="V23" s="7" t="s">
        <v>33</v>
      </c>
      <c r="W23" s="7">
        <f xml:space="preserve"> W20 / ( $C$65 * PI() * $C$9^2 * W21^2 * $C$9^2)</f>
        <v>6.6516521257581141E-3</v>
      </c>
      <c r="AB23" s="3">
        <v>19</v>
      </c>
      <c r="AC23" s="3">
        <f t="shared" si="15"/>
        <v>0.33222007751464844</v>
      </c>
      <c r="AD23" s="3">
        <f t="shared" si="0"/>
        <v>1.0277587080831374E-6</v>
      </c>
      <c r="AE23" s="3">
        <f t="shared" si="16"/>
        <v>0.33222198486328125</v>
      </c>
      <c r="AF23" s="3">
        <f t="shared" si="1"/>
        <v>-9.6580970504467345E-7</v>
      </c>
      <c r="AG23" s="3">
        <f t="shared" si="3"/>
        <v>0.33222103118896484</v>
      </c>
      <c r="AH23" s="3">
        <f t="shared" si="2"/>
        <v>3.0974379061632362E-8</v>
      </c>
      <c r="AI23" s="3">
        <f t="shared" si="4"/>
        <v>3.1834187808060661E-14</v>
      </c>
      <c r="AJ23" s="3">
        <f t="shared" si="5"/>
        <v>-2.9915355905457062E-14</v>
      </c>
      <c r="AK23" s="3">
        <f t="shared" si="6"/>
        <v>1.9073486328125E-6</v>
      </c>
      <c r="AM23" s="3">
        <v>19</v>
      </c>
      <c r="AN23" s="3">
        <f t="shared" si="25"/>
        <v>1089.3020629882812</v>
      </c>
      <c r="AO23" s="3">
        <v>-4.6067048256190901E-3</v>
      </c>
      <c r="AP23" s="3">
        <f t="shared" si="26"/>
        <v>1089.3096923828125</v>
      </c>
      <c r="AQ23" s="3">
        <v>5.4461434274344356E-4</v>
      </c>
      <c r="AR23" s="3">
        <f t="shared" si="17"/>
        <v>1089.3058776855469</v>
      </c>
      <c r="AS23" s="3">
        <v>-2.0310005645569618E-3</v>
      </c>
      <c r="AT23" s="3">
        <f t="shared" si="18"/>
        <v>9.356220101579652E-6</v>
      </c>
      <c r="AU23" s="3">
        <f t="shared" si="19"/>
        <v>-1.1061120375777525E-6</v>
      </c>
      <c r="AV23" s="3">
        <f t="shared" si="20"/>
        <v>7.62939453125E-3</v>
      </c>
      <c r="AX23" s="51"/>
      <c r="AY23" s="4">
        <f>0.654375*($AY$9/2)</f>
        <v>0.65437500000000004</v>
      </c>
      <c r="AZ23" s="27" t="s">
        <v>8</v>
      </c>
      <c r="BB23" s="63" t="s">
        <v>224</v>
      </c>
      <c r="BC23" s="51">
        <f>BO20</f>
        <v>-1.4332617509493772E-8</v>
      </c>
      <c r="BD23" s="51"/>
      <c r="BF23" s="3" t="s">
        <v>179</v>
      </c>
      <c r="BG23" s="3">
        <f>(1+$BO$56)*$AY$3</f>
        <v>16.88865549129325</v>
      </c>
      <c r="BH23" s="27" t="s">
        <v>10</v>
      </c>
      <c r="BJ23" s="3" t="s">
        <v>179</v>
      </c>
      <c r="BK23" s="3">
        <f>(1+$BS$56)*$AY$3</f>
        <v>18.091138994527256</v>
      </c>
      <c r="BL23" s="27" t="s">
        <v>10</v>
      </c>
      <c r="BN23" s="29" t="s">
        <v>175</v>
      </c>
      <c r="BO23" s="30">
        <f>CA68</f>
        <v>0.3240938810315987</v>
      </c>
      <c r="BP23" s="6" t="s">
        <v>176</v>
      </c>
      <c r="BQ23" s="3"/>
      <c r="BR23" s="29" t="s">
        <v>175</v>
      </c>
      <c r="BS23" s="30">
        <f>CL68</f>
        <v>0.29071549301918881</v>
      </c>
      <c r="BT23" s="6" t="s">
        <v>176</v>
      </c>
      <c r="BV23" s="3">
        <v>19</v>
      </c>
      <c r="BW23" s="3">
        <f t="shared" si="21"/>
        <v>0.43128277315051583</v>
      </c>
      <c r="BX23" s="3">
        <v>-4.2483505999862947E-5</v>
      </c>
      <c r="BY23" s="3">
        <f t="shared" si="22"/>
        <v>0.43129343911068163</v>
      </c>
      <c r="BZ23" s="3">
        <v>2.2799083275876209E-5</v>
      </c>
      <c r="CA23" s="3">
        <f t="shared" si="7"/>
        <v>0.43128810613059876</v>
      </c>
      <c r="CB23" s="3">
        <v>-9.8420007796085063E-6</v>
      </c>
      <c r="CC23" s="3">
        <f t="shared" si="8"/>
        <v>4.1812269917115379E-10</v>
      </c>
      <c r="CD23" s="3">
        <f t="shared" si="9"/>
        <v>-2.243885953755329E-10</v>
      </c>
      <c r="CE23" s="3">
        <f t="shared" si="10"/>
        <v>1.0665960165801014E-5</v>
      </c>
      <c r="CG23" s="3">
        <v>19</v>
      </c>
      <c r="CH23" s="3">
        <f t="shared" si="23"/>
        <v>0.36767098672187937</v>
      </c>
      <c r="CI23" s="3">
        <v>-6.41415314643623E-6</v>
      </c>
      <c r="CJ23" s="3">
        <f t="shared" si="24"/>
        <v>0.36768165268204511</v>
      </c>
      <c r="CK23" s="3">
        <v>3.7983407940533898E-5</v>
      </c>
      <c r="CL23" s="3">
        <f t="shared" si="11"/>
        <v>0.36767631970196224</v>
      </c>
      <c r="CM23" s="3">
        <v>1.5784754501424469E-5</v>
      </c>
      <c r="CN23" s="3">
        <f t="shared" si="12"/>
        <v>-1.0124583275103521E-10</v>
      </c>
      <c r="CO23" s="3">
        <f t="shared" si="13"/>
        <v>5.9955876946878435E-10</v>
      </c>
      <c r="CP23" s="3">
        <f t="shared" si="14"/>
        <v>1.0665960165745503E-5</v>
      </c>
    </row>
    <row r="24" spans="2:94" x14ac:dyDescent="0.2">
      <c r="B24" s="7" t="s">
        <v>267</v>
      </c>
      <c r="C24" s="18">
        <v>0.75</v>
      </c>
      <c r="F24" s="7" t="s">
        <v>115</v>
      </c>
      <c r="G24" s="7">
        <f>ATAN(G17/G22)/PI()*180</f>
        <v>2.9118789347687013</v>
      </c>
      <c r="H24" s="7" t="s">
        <v>44</v>
      </c>
      <c r="J24" s="15" t="s">
        <v>266</v>
      </c>
      <c r="K24" s="7">
        <f xml:space="preserve"> $C$70 * (0.04674 * ($C$5*2.20462)^0.397 * ($C$11*3.28084^2)^0.36 * $C$46^0.397 * $C$12^1.712 * 0.453592)</f>
        <v>111.6583720474419</v>
      </c>
      <c r="L24" s="7" t="s">
        <v>7</v>
      </c>
      <c r="N24" s="7" t="s">
        <v>1</v>
      </c>
      <c r="O24" s="18">
        <v>1.2E-2</v>
      </c>
      <c r="R24" s="7" t="s">
        <v>1</v>
      </c>
      <c r="S24" s="18">
        <v>1.2E-2</v>
      </c>
      <c r="V24" s="7" t="s">
        <v>1</v>
      </c>
      <c r="W24" s="18">
        <v>1.2E-2</v>
      </c>
      <c r="AB24" s="3">
        <v>20</v>
      </c>
      <c r="AC24" s="3">
        <f t="shared" si="15"/>
        <v>0.33222103118896484</v>
      </c>
      <c r="AD24" s="3">
        <f t="shared" si="0"/>
        <v>3.0974379061632362E-8</v>
      </c>
      <c r="AE24" s="3">
        <f t="shared" si="16"/>
        <v>0.33222198486328125</v>
      </c>
      <c r="AF24" s="3">
        <f t="shared" si="1"/>
        <v>-9.6580970504467345E-7</v>
      </c>
      <c r="AG24" s="3">
        <f t="shared" si="3"/>
        <v>0.33222150802612305</v>
      </c>
      <c r="AH24" s="3">
        <f t="shared" si="2"/>
        <v>-4.6741769360592045E-7</v>
      </c>
      <c r="AI24" s="3">
        <f t="shared" si="4"/>
        <v>-1.4477972821863713E-14</v>
      </c>
      <c r="AJ24" s="3">
        <f t="shared" si="5"/>
        <v>4.5143654479419558E-13</v>
      </c>
      <c r="AK24" s="3">
        <f t="shared" si="6"/>
        <v>9.5367431640625E-7</v>
      </c>
      <c r="AM24" s="3">
        <v>20</v>
      </c>
      <c r="AN24" s="3">
        <f t="shared" si="25"/>
        <v>1089.3058776855469</v>
      </c>
      <c r="AO24" s="3">
        <v>-2.0310005645569618E-3</v>
      </c>
      <c r="AP24" s="3">
        <f t="shared" si="26"/>
        <v>1089.3096923828125</v>
      </c>
      <c r="AQ24" s="3">
        <v>5.4461434274344356E-4</v>
      </c>
      <c r="AR24" s="3">
        <f t="shared" si="17"/>
        <v>1089.3077850341797</v>
      </c>
      <c r="AS24" s="3">
        <v>-7.4309620970325341E-4</v>
      </c>
      <c r="AT24" s="3">
        <f t="shared" si="18"/>
        <v>1.5092288214274462E-6</v>
      </c>
      <c r="AU24" s="3">
        <f t="shared" si="19"/>
        <v>-4.0470085384268146E-7</v>
      </c>
      <c r="AV24" s="3">
        <f t="shared" si="20"/>
        <v>3.814697265625E-3</v>
      </c>
      <c r="AX24" s="51"/>
      <c r="AY24" s="4">
        <f>0.753125*($AY$9/2)</f>
        <v>0.75312500000000004</v>
      </c>
      <c r="AZ24" s="27" t="s">
        <v>8</v>
      </c>
      <c r="BB24" s="63"/>
      <c r="BC24" s="51">
        <f>BS20</f>
        <v>-1.3172811126616057E-7</v>
      </c>
      <c r="BD24" s="51"/>
      <c r="BF24" s="3" t="s">
        <v>184</v>
      </c>
      <c r="BG24" s="3">
        <f>(1-$BO$57)*$BC$5*$AY$23</f>
        <v>62.313238938152736</v>
      </c>
      <c r="BH24" s="27" t="s">
        <v>10</v>
      </c>
      <c r="BJ24" s="3" t="s">
        <v>184</v>
      </c>
      <c r="BK24" s="3">
        <f>(1-$BS$57)*$BC$5*$AY$24</f>
        <v>72.318407002970957</v>
      </c>
      <c r="BL24" s="27" t="s">
        <v>10</v>
      </c>
      <c r="BN24" s="3" t="s">
        <v>180</v>
      </c>
      <c r="BO24" s="3">
        <f>($AY$37+$AY$5)/180*PI()</f>
        <v>0.42580579594749163</v>
      </c>
      <c r="BP24" s="3" t="s">
        <v>176</v>
      </c>
      <c r="BQ24" s="3"/>
      <c r="BR24" s="3" t="s">
        <v>180</v>
      </c>
      <c r="BS24" s="3">
        <f>($AY$38+$AY$5)/180*PI()</f>
        <v>0.39995310640232556</v>
      </c>
      <c r="BT24" s="3" t="s">
        <v>176</v>
      </c>
      <c r="BV24" s="3">
        <v>20</v>
      </c>
      <c r="BW24" s="3">
        <f t="shared" si="21"/>
        <v>0.43128810613059876</v>
      </c>
      <c r="BX24" s="3">
        <v>-9.8420007796085063E-6</v>
      </c>
      <c r="BY24" s="3">
        <f t="shared" si="22"/>
        <v>0.43129343911068163</v>
      </c>
      <c r="BZ24" s="3">
        <v>2.2799083275876209E-5</v>
      </c>
      <c r="CA24" s="3">
        <f t="shared" si="7"/>
        <v>0.43129077262064019</v>
      </c>
      <c r="CB24" s="3">
        <v>6.4785938945211008E-6</v>
      </c>
      <c r="CC24" s="3">
        <f t="shared" si="8"/>
        <v>-6.3762326160643587E-11</v>
      </c>
      <c r="CD24" s="3">
        <f t="shared" si="9"/>
        <v>1.4770600171176975E-10</v>
      </c>
      <c r="CE24" s="3">
        <f t="shared" si="10"/>
        <v>5.3329800828727514E-6</v>
      </c>
      <c r="CG24" s="3">
        <v>20</v>
      </c>
      <c r="CH24" s="3">
        <f t="shared" si="23"/>
        <v>0.36767098672187937</v>
      </c>
      <c r="CI24" s="3">
        <v>-6.41415314643623E-6</v>
      </c>
      <c r="CJ24" s="3">
        <f t="shared" si="24"/>
        <v>0.36767631970196224</v>
      </c>
      <c r="CK24" s="3">
        <v>1.5784754501424469E-5</v>
      </c>
      <c r="CL24" s="3">
        <f t="shared" si="11"/>
        <v>0.3676736532119208</v>
      </c>
      <c r="CM24" s="3">
        <v>4.6853324533469021E-6</v>
      </c>
      <c r="CN24" s="3">
        <f t="shared" si="12"/>
        <v>-3.005243989773481E-11</v>
      </c>
      <c r="CO24" s="3">
        <f t="shared" si="13"/>
        <v>7.3956822533637668E-11</v>
      </c>
      <c r="CP24" s="3">
        <f t="shared" si="14"/>
        <v>5.3329800828727514E-6</v>
      </c>
    </row>
    <row r="25" spans="2:94" x14ac:dyDescent="0.2">
      <c r="B25" s="7" t="s">
        <v>135</v>
      </c>
      <c r="C25" s="18">
        <v>0.14399999999999999</v>
      </c>
      <c r="F25" s="7" t="s">
        <v>118</v>
      </c>
      <c r="G25" s="7">
        <f xml:space="preserve"> 1/1000 * (O25 + O20 * (O30 * O27 + $G$16 * SIN(O19/180*PI())))</f>
        <v>93.678108528175343</v>
      </c>
      <c r="H25" s="7" t="s">
        <v>123</v>
      </c>
      <c r="J25" s="15" t="s">
        <v>66</v>
      </c>
      <c r="K25" s="7">
        <f xml:space="preserve"> $C$70 * (3.184 * ($C$5*2.20462)^0.887 * ($C$50*3.28084*3.28084)^0.101 * ($C$49)^0.138 ) / ( 174.04 * ($C$51*3.28084)^0.223 ) * 0.453592</f>
        <v>11.061157096236627</v>
      </c>
      <c r="L25" s="7" t="s">
        <v>7</v>
      </c>
      <c r="N25" s="7" t="s">
        <v>34</v>
      </c>
      <c r="O25" s="7">
        <f xml:space="preserve"> ($C$30 * $O$24 / 8) * (1 + 4.65 * O22^2) * ( PI() * $C$65 * O21^3 * $C$9^ 5)</f>
        <v>12723.520148485653</v>
      </c>
      <c r="P25" s="7" t="s">
        <v>21</v>
      </c>
      <c r="R25" s="7" t="s">
        <v>34</v>
      </c>
      <c r="S25" s="7">
        <f xml:space="preserve"> ($C$30 * $S$24 / 8) * (1 + 4.65 * S22^2) * ( PI() * $C$65 * S21^3 * $C$9^5)</f>
        <v>12723.520148485653</v>
      </c>
      <c r="T25" s="7" t="s">
        <v>21</v>
      </c>
      <c r="V25" s="7" t="s">
        <v>34</v>
      </c>
      <c r="W25" s="7">
        <f xml:space="preserve"> ($C$30 * $W$24 / 8) * (1 + 4.65 * W22^2) * ( PI() * $C$65 * W21^3 * $C$9^ 5)</f>
        <v>12723.520148485653</v>
      </c>
      <c r="X25" s="7" t="s">
        <v>21</v>
      </c>
      <c r="AB25" s="3">
        <v>21</v>
      </c>
      <c r="AC25" s="3">
        <f t="shared" si="15"/>
        <v>0.33222103118896484</v>
      </c>
      <c r="AD25" s="3">
        <f t="shared" si="0"/>
        <v>3.0974379061632362E-8</v>
      </c>
      <c r="AE25" s="3">
        <f t="shared" si="16"/>
        <v>0.33222150802612305</v>
      </c>
      <c r="AF25" s="3">
        <f t="shared" si="1"/>
        <v>-4.6741769360592045E-7</v>
      </c>
      <c r="AG25" s="3">
        <f t="shared" si="3"/>
        <v>0.33222126960754395</v>
      </c>
      <c r="AH25" s="3">
        <f t="shared" si="2"/>
        <v>-2.1822166496043849E-7</v>
      </c>
      <c r="AI25" s="3">
        <f t="shared" si="4"/>
        <v>-6.7592805699451587E-15</v>
      </c>
      <c r="AJ25" s="3">
        <f t="shared" si="5"/>
        <v>1.0200066733065207E-13</v>
      </c>
      <c r="AK25" s="3">
        <f t="shared" si="6"/>
        <v>4.76837158203125E-7</v>
      </c>
      <c r="AM25" s="3">
        <v>21</v>
      </c>
      <c r="AN25" s="3">
        <f t="shared" si="25"/>
        <v>1089.3077850341797</v>
      </c>
      <c r="AO25" s="3">
        <v>-7.4309620970325341E-4</v>
      </c>
      <c r="AP25" s="3">
        <f t="shared" si="26"/>
        <v>1089.3096923828125</v>
      </c>
      <c r="AQ25" s="3">
        <v>5.4461434274344356E-4</v>
      </c>
      <c r="AR25" s="3">
        <f t="shared" si="17"/>
        <v>1089.3087387084961</v>
      </c>
      <c r="AS25" s="3">
        <v>-9.9233549235577811E-5</v>
      </c>
      <c r="AT25" s="3">
        <f t="shared" si="18"/>
        <v>7.3740074312359057E-8</v>
      </c>
      <c r="AU25" s="3">
        <f t="shared" si="19"/>
        <v>-5.4044014195033355E-8</v>
      </c>
      <c r="AV25" s="3">
        <f t="shared" si="20"/>
        <v>1.9073486328125E-3</v>
      </c>
      <c r="AX25" s="51"/>
      <c r="AY25" s="4">
        <f>0.851875*($AY$9/2)</f>
        <v>0.85187500000000005</v>
      </c>
      <c r="AZ25" s="27" t="s">
        <v>8</v>
      </c>
      <c r="BB25" s="63"/>
      <c r="BC25" s="51">
        <f>BO39</f>
        <v>-1.1401832908375376E-8</v>
      </c>
      <c r="BD25" s="51"/>
      <c r="BF25" s="3" t="s">
        <v>188</v>
      </c>
      <c r="BG25" s="3">
        <f>SQRT(BG23^2 + BG24^2)</f>
        <v>64.561338518240959</v>
      </c>
      <c r="BH25" s="27" t="s">
        <v>10</v>
      </c>
      <c r="BJ25" s="3" t="s">
        <v>188</v>
      </c>
      <c r="BK25" s="3">
        <f>SQRT(BK23^2 + BK24^2)</f>
        <v>74.546906720310417</v>
      </c>
      <c r="BL25" s="27" t="s">
        <v>10</v>
      </c>
      <c r="BN25" s="3" t="s">
        <v>29</v>
      </c>
      <c r="BO25" s="3">
        <f>BO24-BO23</f>
        <v>0.10171191491589293</v>
      </c>
      <c r="BP25" s="3" t="s">
        <v>176</v>
      </c>
      <c r="BQ25" s="3"/>
      <c r="BR25" s="3" t="s">
        <v>29</v>
      </c>
      <c r="BS25" s="3">
        <f>BS24-BS23</f>
        <v>0.10923761338313676</v>
      </c>
      <c r="BT25" s="3" t="s">
        <v>176</v>
      </c>
      <c r="BV25" s="3">
        <v>21</v>
      </c>
      <c r="BW25" s="3">
        <f t="shared" si="21"/>
        <v>0.43128810613059876</v>
      </c>
      <c r="BX25" s="3">
        <v>-9.8420007796085063E-6</v>
      </c>
      <c r="BY25" s="3">
        <f t="shared" si="22"/>
        <v>0.43129077262064019</v>
      </c>
      <c r="BZ25" s="3">
        <v>6.4785938945211008E-6</v>
      </c>
      <c r="CA25" s="3">
        <f t="shared" si="7"/>
        <v>0.43128943937561948</v>
      </c>
      <c r="CB25" s="3">
        <v>-1.6816902811273016E-6</v>
      </c>
      <c r="CC25" s="3">
        <f t="shared" si="8"/>
        <v>1.655119705791495E-11</v>
      </c>
      <c r="CD25" s="3">
        <f t="shared" si="9"/>
        <v>-1.0894988387786809E-11</v>
      </c>
      <c r="CE25" s="3">
        <f t="shared" si="10"/>
        <v>2.6664900414363757E-6</v>
      </c>
      <c r="CG25" s="3">
        <v>21</v>
      </c>
      <c r="CH25" s="3">
        <f t="shared" si="23"/>
        <v>0.36767098672187937</v>
      </c>
      <c r="CI25" s="3">
        <v>-6.41415314643623E-6</v>
      </c>
      <c r="CJ25" s="3">
        <f t="shared" si="24"/>
        <v>0.3676736532119208</v>
      </c>
      <c r="CK25" s="3">
        <v>4.6853324533469021E-6</v>
      </c>
      <c r="CL25" s="3">
        <f t="shared" si="11"/>
        <v>0.36767231996690009</v>
      </c>
      <c r="CM25" s="3">
        <v>-8.6440240260055035E-7</v>
      </c>
      <c r="CN25" s="3">
        <f t="shared" si="12"/>
        <v>5.5444093904273565E-12</v>
      </c>
      <c r="CO25" s="3">
        <f t="shared" si="13"/>
        <v>-4.0500126296553934E-12</v>
      </c>
      <c r="CP25" s="3">
        <f t="shared" si="14"/>
        <v>2.6664900414363757E-6</v>
      </c>
    </row>
    <row r="26" spans="2:94" x14ac:dyDescent="0.2">
      <c r="F26" s="44" t="s">
        <v>102</v>
      </c>
      <c r="G26" s="44">
        <f>$C$28*G25</f>
        <v>93.678108528175343</v>
      </c>
      <c r="H26" s="44" t="s">
        <v>123</v>
      </c>
      <c r="J26" s="15" t="s">
        <v>67</v>
      </c>
      <c r="K26" s="7">
        <f xml:space="preserve"> $C$70 * ( 1.68 * ($C$5*2.20462)^0.567 * ($C$55*3.28084*3.28084)^1.249 * ($C$54)^0.482 ) / (639.95 * ($C$56*3.28084)^0.747 * (COS($C$57/180*PI()))^0.882 ) * 0.453592</f>
        <v>5.635842572772277</v>
      </c>
      <c r="L26" s="7" t="s">
        <v>7</v>
      </c>
      <c r="N26" s="7" t="s">
        <v>35</v>
      </c>
      <c r="O26" s="19">
        <f>AG69</f>
        <v>0.3402287713252008</v>
      </c>
      <c r="R26" s="7" t="s">
        <v>35</v>
      </c>
      <c r="S26" s="19">
        <f>AG34</f>
        <v>0.33222106052562594</v>
      </c>
      <c r="V26" s="7" t="s">
        <v>35</v>
      </c>
      <c r="W26" s="19">
        <f>AG104</f>
        <v>0.32722598733380437</v>
      </c>
      <c r="AB26" s="3">
        <v>22</v>
      </c>
      <c r="AC26" s="3">
        <f t="shared" si="15"/>
        <v>0.33222103118896484</v>
      </c>
      <c r="AD26" s="3">
        <f t="shared" si="0"/>
        <v>3.0974379061632362E-8</v>
      </c>
      <c r="AE26" s="3">
        <f t="shared" si="16"/>
        <v>0.33222126960754395</v>
      </c>
      <c r="AF26" s="3">
        <f t="shared" si="1"/>
        <v>-2.1822166496043849E-7</v>
      </c>
      <c r="AG26" s="3">
        <f t="shared" si="3"/>
        <v>0.33222115039825439</v>
      </c>
      <c r="AH26" s="3">
        <f t="shared" si="2"/>
        <v>-9.3623644836782205E-8</v>
      </c>
      <c r="AI26" s="3">
        <f t="shared" si="4"/>
        <v>-2.8999342643061315E-15</v>
      </c>
      <c r="AJ26" s="3">
        <f t="shared" si="5"/>
        <v>2.0430707655947372E-14</v>
      </c>
      <c r="AK26" s="3">
        <f t="shared" si="6"/>
        <v>2.384185791015625E-7</v>
      </c>
      <c r="AM26" s="3">
        <v>22</v>
      </c>
      <c r="AN26" s="3">
        <f t="shared" si="25"/>
        <v>1089.3087387084961</v>
      </c>
      <c r="AO26" s="3">
        <v>-9.9233549235577811E-5</v>
      </c>
      <c r="AP26" s="3">
        <f t="shared" si="26"/>
        <v>1089.3096923828125</v>
      </c>
      <c r="AQ26" s="3">
        <v>5.4461434274344356E-4</v>
      </c>
      <c r="AR26" s="3">
        <f t="shared" si="17"/>
        <v>1089.3092155456543</v>
      </c>
      <c r="AS26" s="3">
        <v>2.2274236960129201E-4</v>
      </c>
      <c r="AT26" s="3">
        <f t="shared" si="18"/>
        <v>-2.2103515900679082E-8</v>
      </c>
      <c r="AU26" s="3">
        <f t="shared" si="19"/>
        <v>1.2130868922152482E-7</v>
      </c>
      <c r="AV26" s="3">
        <f t="shared" si="20"/>
        <v>9.5367431640625E-4</v>
      </c>
      <c r="AX26" s="51"/>
      <c r="AY26" s="4">
        <f>0.950625*($AY$9/2)</f>
        <v>0.95062500000000005</v>
      </c>
      <c r="AZ26" s="7" t="s">
        <v>8</v>
      </c>
      <c r="BB26" s="63"/>
      <c r="BC26" s="51">
        <f>BS39</f>
        <v>1.721123313314088E-10</v>
      </c>
      <c r="BD26" s="51"/>
      <c r="BF26" s="3" t="s">
        <v>191</v>
      </c>
      <c r="BG26" s="38">
        <f>$AY$45*BG25*$AY$27/$AY$46</f>
        <v>2423341.998276141</v>
      </c>
      <c r="BH26" s="27"/>
      <c r="BJ26" s="3" t="s">
        <v>191</v>
      </c>
      <c r="BK26" s="38">
        <f>$AY$45*BK25*$AY$27/$AY$46</f>
        <v>2798155.2743963185</v>
      </c>
      <c r="BL26" s="27"/>
      <c r="BN26" s="3" t="s">
        <v>189</v>
      </c>
      <c r="BO26" s="3">
        <f>BO25/PI()*180</f>
        <v>5.8276634508743905</v>
      </c>
      <c r="BP26" s="3" t="s">
        <v>44</v>
      </c>
      <c r="BQ26" s="3"/>
      <c r="BR26" s="3" t="s">
        <v>189</v>
      </c>
      <c r="BS26" s="3">
        <f>BS25/PI()*180</f>
        <v>6.2588542109355352</v>
      </c>
      <c r="BT26" s="3" t="s">
        <v>44</v>
      </c>
      <c r="BV26" s="3">
        <v>22</v>
      </c>
      <c r="BW26" s="3">
        <f t="shared" si="21"/>
        <v>0.43128943937561948</v>
      </c>
      <c r="BX26" s="3">
        <v>-1.6816902811273016E-6</v>
      </c>
      <c r="BY26" s="3">
        <f t="shared" si="22"/>
        <v>0.43129077262064019</v>
      </c>
      <c r="BZ26" s="3">
        <v>6.4785938945211008E-6</v>
      </c>
      <c r="CA26" s="3">
        <f t="shared" si="7"/>
        <v>0.43129010599812984</v>
      </c>
      <c r="CB26" s="3">
        <v>2.3984550971828389E-6</v>
      </c>
      <c r="CC26" s="3">
        <f t="shared" si="8"/>
        <v>-4.0334586266526181E-12</v>
      </c>
      <c r="CD26" s="3">
        <f t="shared" si="9"/>
        <v>1.5538616548891752E-11</v>
      </c>
      <c r="CE26" s="3">
        <f t="shared" si="10"/>
        <v>1.3332450207181878E-6</v>
      </c>
      <c r="CG26" s="3">
        <v>22</v>
      </c>
      <c r="CH26" s="3">
        <f t="shared" si="23"/>
        <v>0.36767231996690009</v>
      </c>
      <c r="CI26" s="3">
        <v>-8.6440240260055035E-7</v>
      </c>
      <c r="CJ26" s="3">
        <f t="shared" si="24"/>
        <v>0.3676736532119208</v>
      </c>
      <c r="CK26" s="3">
        <v>4.6853324533469021E-6</v>
      </c>
      <c r="CL26" s="3">
        <f t="shared" si="11"/>
        <v>0.36767298658941044</v>
      </c>
      <c r="CM26" s="3">
        <v>1.9104670112984889E-6</v>
      </c>
      <c r="CN26" s="3">
        <f t="shared" si="12"/>
        <v>-1.6514122746555066E-12</v>
      </c>
      <c r="CO26" s="3">
        <f t="shared" si="13"/>
        <v>8.9511730890854737E-12</v>
      </c>
      <c r="CP26" s="3">
        <f t="shared" si="14"/>
        <v>1.3332450207181878E-6</v>
      </c>
    </row>
    <row r="27" spans="2:94" x14ac:dyDescent="0.2">
      <c r="B27" s="55" t="s">
        <v>268</v>
      </c>
      <c r="C27" s="55"/>
      <c r="D27" s="55"/>
      <c r="J27" s="15" t="s">
        <v>137</v>
      </c>
      <c r="K27" s="7">
        <f>$C$70*(0.14*$G$13*1000/745.7)*0.453592</f>
        <v>14.315110773302301</v>
      </c>
      <c r="L27" s="7" t="s">
        <v>7</v>
      </c>
      <c r="N27" s="7" t="s">
        <v>36</v>
      </c>
      <c r="O27" s="7">
        <f xml:space="preserve"> O21 * $C$9 * O26 - $G$16 * SIN(O19/180*PI())</f>
        <v>3.6332755221693489</v>
      </c>
      <c r="P27" s="7" t="s">
        <v>10</v>
      </c>
      <c r="R27" s="7" t="s">
        <v>36</v>
      </c>
      <c r="S27" s="7">
        <f xml:space="preserve"> S21 * $C$9 * S26 - $C$13 * SIN(S19/180*PI())</f>
        <v>2.3754272511685457</v>
      </c>
      <c r="T27" s="7" t="s">
        <v>10</v>
      </c>
      <c r="V27" s="7" t="s">
        <v>36</v>
      </c>
      <c r="W27" s="7">
        <f xml:space="preserve"> W21 * $C$9 * W26 - $G$36 * SIN(W19/180*PI())</f>
        <v>1.590802988990049</v>
      </c>
      <c r="X27" s="7" t="s">
        <v>10</v>
      </c>
      <c r="AB27" s="3">
        <v>23</v>
      </c>
      <c r="AC27" s="3">
        <f t="shared" si="15"/>
        <v>0.33222103118896484</v>
      </c>
      <c r="AD27" s="3">
        <f t="shared" si="0"/>
        <v>3.0974379061632362E-8</v>
      </c>
      <c r="AE27" s="3">
        <f t="shared" si="16"/>
        <v>0.33222115039825439</v>
      </c>
      <c r="AF27" s="3">
        <f t="shared" si="1"/>
        <v>-9.3623644836782205E-8</v>
      </c>
      <c r="AG27" s="3">
        <f t="shared" si="3"/>
        <v>0.33222109079360962</v>
      </c>
      <c r="AH27" s="3">
        <f t="shared" si="2"/>
        <v>-3.1324633387175282E-8</v>
      </c>
      <c r="AI27" s="3">
        <f t="shared" si="4"/>
        <v>-9.7026106850103206E-16</v>
      </c>
      <c r="AJ27" s="3">
        <f t="shared" si="5"/>
        <v>2.9327263508833086E-15</v>
      </c>
      <c r="AK27" s="3">
        <f t="shared" si="6"/>
        <v>1.1920928955078125E-7</v>
      </c>
      <c r="AM27" s="3">
        <v>23</v>
      </c>
      <c r="AN27" s="3">
        <f t="shared" si="25"/>
        <v>1089.3087387084961</v>
      </c>
      <c r="AO27" s="3">
        <v>-9.9233549235577811E-5</v>
      </c>
      <c r="AP27" s="3">
        <f t="shared" si="26"/>
        <v>1089.3092155456543</v>
      </c>
      <c r="AQ27" s="3">
        <v>2.2274236960129201E-4</v>
      </c>
      <c r="AR27" s="3">
        <f t="shared" si="17"/>
        <v>1089.3089771270752</v>
      </c>
      <c r="AS27" s="3">
        <v>6.180638195019128E-5</v>
      </c>
      <c r="AT27" s="3">
        <f t="shared" si="18"/>
        <v>-6.1332666463272346E-9</v>
      </c>
      <c r="AU27" s="3">
        <f t="shared" si="19"/>
        <v>1.3766899972068129E-8</v>
      </c>
      <c r="AV27" s="3">
        <f t="shared" si="20"/>
        <v>4.76837158203125E-4</v>
      </c>
      <c r="AX27" s="51" t="s">
        <v>225</v>
      </c>
      <c r="AY27" s="4">
        <f>0.548288*($AY$9/2)</f>
        <v>0.548288</v>
      </c>
      <c r="AZ27" s="27" t="s">
        <v>8</v>
      </c>
      <c r="BB27" s="63"/>
      <c r="BC27" s="51">
        <f>BO58</f>
        <v>-9.3825720942630753E-9</v>
      </c>
      <c r="BD27" s="51"/>
      <c r="BF27" s="3" t="s">
        <v>195</v>
      </c>
      <c r="BG27" s="3">
        <f xml:space="preserve"> $BO$46 * PI() * $AY$45 * BG25^2 * $BO$52 * $AY$23 * BG22</f>
        <v>210.13509375892943</v>
      </c>
      <c r="BH27" s="27" t="s">
        <v>23</v>
      </c>
      <c r="BJ27" s="3" t="s">
        <v>195</v>
      </c>
      <c r="BK27" s="3">
        <f xml:space="preserve"> $BS$46 * PI() * $AY$45 * BK25^2 * $BS$52 * $AY$24 * BK22</f>
        <v>259.60623415169562</v>
      </c>
      <c r="BL27" s="27" t="s">
        <v>23</v>
      </c>
      <c r="BN27" s="3" t="s">
        <v>192</v>
      </c>
      <c r="BO27" s="3">
        <f xml:space="preserve"> $AY$8*$AY$29 / (2*PI()*$AY$21)</f>
        <v>0.35771795642666615</v>
      </c>
      <c r="BP27" s="3"/>
      <c r="BQ27" s="3"/>
      <c r="BR27" s="3" t="s">
        <v>192</v>
      </c>
      <c r="BS27" s="3">
        <f xml:space="preserve"> $AY$8*$AY$30 / (2*PI()*$AY$22)</f>
        <v>0.28415899496185476</v>
      </c>
      <c r="BT27" s="3"/>
      <c r="BV27" s="3">
        <v>23</v>
      </c>
      <c r="BW27" s="3">
        <f t="shared" si="21"/>
        <v>0.43128943937561948</v>
      </c>
      <c r="BX27" s="3">
        <v>-1.6816902811273016E-6</v>
      </c>
      <c r="BY27" s="3">
        <f t="shared" si="22"/>
        <v>0.43129010599812984</v>
      </c>
      <c r="BZ27" s="3">
        <v>2.3984550971828389E-6</v>
      </c>
      <c r="CA27" s="3">
        <f t="shared" si="7"/>
        <v>0.43128977268687463</v>
      </c>
      <c r="CB27" s="3">
        <v>3.5838323059200761E-7</v>
      </c>
      <c r="CC27" s="3">
        <f t="shared" si="8"/>
        <v>-6.0268959580558381E-13</v>
      </c>
      <c r="CD27" s="3">
        <f t="shared" si="9"/>
        <v>8.5956608615825338E-13</v>
      </c>
      <c r="CE27" s="3">
        <f t="shared" si="10"/>
        <v>6.6662251035909392E-7</v>
      </c>
      <c r="CG27" s="3">
        <v>23</v>
      </c>
      <c r="CH27" s="3">
        <f t="shared" si="23"/>
        <v>0.36767231996690009</v>
      </c>
      <c r="CI27" s="3">
        <v>-8.6440240260055035E-7</v>
      </c>
      <c r="CJ27" s="3">
        <f t="shared" si="24"/>
        <v>0.36767298658941044</v>
      </c>
      <c r="CK27" s="3">
        <v>1.9104670112984889E-6</v>
      </c>
      <c r="CL27" s="3">
        <f t="shared" si="11"/>
        <v>0.36767265327815524</v>
      </c>
      <c r="CM27" s="3">
        <v>5.2303280073662251E-7</v>
      </c>
      <c r="CN27" s="3">
        <f t="shared" si="12"/>
        <v>-4.5211080959563139E-13</v>
      </c>
      <c r="CO27" s="3">
        <f t="shared" si="13"/>
        <v>9.9923691163437339E-13</v>
      </c>
      <c r="CP27" s="3">
        <f t="shared" si="14"/>
        <v>6.6662251035909392E-7</v>
      </c>
    </row>
    <row r="28" spans="2:94" x14ac:dyDescent="0.2">
      <c r="B28" s="7" t="s">
        <v>269</v>
      </c>
      <c r="C28" s="18">
        <v>1</v>
      </c>
      <c r="F28" s="53" t="s">
        <v>91</v>
      </c>
      <c r="G28" s="54"/>
      <c r="H28" s="54"/>
      <c r="J28" s="16" t="s">
        <v>68</v>
      </c>
      <c r="K28" s="7">
        <f xml:space="preserve"> $C$70 * (0.0268 * $C$5)</f>
        <v>23.354782233238222</v>
      </c>
      <c r="L28" s="7" t="s">
        <v>7</v>
      </c>
      <c r="N28" s="7" t="s">
        <v>37</v>
      </c>
      <c r="O28" s="7">
        <f xml:space="preserve"> 1/$C$31 - O25 * SQRT( (2*$C$65*PI()*$C$9^2) / O20^3 )</f>
        <v>0.72540982011755384</v>
      </c>
      <c r="R28" s="7" t="s">
        <v>37</v>
      </c>
      <c r="S28" s="7">
        <f xml:space="preserve"> 1/$C$31 - S25 * SQRT( (2*$C$65*PI()*$C$9^2) / S20^3 )</f>
        <v>0.14183157013913394</v>
      </c>
      <c r="V28" s="7" t="s">
        <v>37</v>
      </c>
      <c r="W28" s="7">
        <f xml:space="preserve"> 1/$C$31 - W25 * SQRT( (2*$C$65*PI()*$C$9^2) / W20^3 )</f>
        <v>-0.89039840809759574</v>
      </c>
      <c r="AB28" s="3">
        <v>24</v>
      </c>
      <c r="AC28" s="3">
        <f t="shared" si="15"/>
        <v>0.33222103118896484</v>
      </c>
      <c r="AD28" s="3">
        <f t="shared" si="0"/>
        <v>3.0974379061632362E-8</v>
      </c>
      <c r="AE28" s="3">
        <f t="shared" si="16"/>
        <v>0.33222109079360962</v>
      </c>
      <c r="AF28" s="3">
        <f t="shared" si="1"/>
        <v>-3.1324633387175282E-8</v>
      </c>
      <c r="AG28" s="3">
        <f t="shared" si="3"/>
        <v>0.33222106099128723</v>
      </c>
      <c r="AH28" s="3">
        <f t="shared" si="2"/>
        <v>-1.751273015493382E-10</v>
      </c>
      <c r="AI28" s="3">
        <f t="shared" si="4"/>
        <v>-5.4244594222299979E-18</v>
      </c>
      <c r="AJ28" s="3">
        <f t="shared" si="5"/>
        <v>5.4857985171183129E-18</v>
      </c>
      <c r="AK28" s="3">
        <f t="shared" si="6"/>
        <v>5.9604644775390625E-8</v>
      </c>
      <c r="AM28" s="3">
        <v>24</v>
      </c>
      <c r="AN28" s="3">
        <f t="shared" si="25"/>
        <v>1089.3087387084961</v>
      </c>
      <c r="AO28" s="3">
        <v>-9.9233549235577811E-5</v>
      </c>
      <c r="AP28" s="3">
        <f t="shared" si="26"/>
        <v>1089.3089771270752</v>
      </c>
      <c r="AQ28" s="3">
        <v>6.180638195019128E-5</v>
      </c>
      <c r="AR28" s="3">
        <f t="shared" si="17"/>
        <v>1089.3088579177856</v>
      </c>
      <c r="AS28" s="3">
        <v>-1.8772934026856092E-5</v>
      </c>
      <c r="AT28" s="3">
        <f t="shared" si="18"/>
        <v>1.862904873050278E-9</v>
      </c>
      <c r="AU28" s="3">
        <f t="shared" si="19"/>
        <v>-1.16028713078961E-9</v>
      </c>
      <c r="AV28" s="3">
        <f t="shared" si="20"/>
        <v>2.384185791015625E-4</v>
      </c>
      <c r="AX28" s="51"/>
      <c r="AY28" s="4">
        <f>0.530863*($AY$9/2)</f>
        <v>0.53086299999999997</v>
      </c>
      <c r="AZ28" s="27" t="s">
        <v>8</v>
      </c>
      <c r="BB28" s="63"/>
      <c r="BC28" s="51">
        <f>BS58</f>
        <v>-4.1780725684725795E-9</v>
      </c>
      <c r="BD28" s="51"/>
      <c r="BF28" s="3" t="s">
        <v>199</v>
      </c>
      <c r="BG28" s="3">
        <f xml:space="preserve"> $BO$46 * PI() * $AY$45 * BG25^2 * $BO$53 * $AY$23^2 * BG22</f>
        <v>38.256983090560972</v>
      </c>
      <c r="BH28" s="27" t="s">
        <v>200</v>
      </c>
      <c r="BJ28" s="3" t="s">
        <v>199</v>
      </c>
      <c r="BK28" s="3">
        <f xml:space="preserve"> $BS$46 * PI() * $AY$45 * BK25^2 * $BS$53 * $AY$24^2 * BK22</f>
        <v>50.199840276389054</v>
      </c>
      <c r="BL28" s="27" t="s">
        <v>200</v>
      </c>
      <c r="BN28" s="3" t="s">
        <v>196</v>
      </c>
      <c r="BO28" s="3">
        <f>IF(-$AY$8*($BC$3-$AY$21)/(2*$AY$21*SIN(BO23))&gt;500, 1, 2*ACOS(MIN(1, EXP(-$AY$8*($BC$3-$AY$21)/(2*$AY$21*SIN(BO23)))))/PI() )</f>
        <v>0.98477040640746816</v>
      </c>
      <c r="BP28" s="3"/>
      <c r="BQ28" s="3"/>
      <c r="BR28" s="3" t="s">
        <v>196</v>
      </c>
      <c r="BS28" s="3">
        <f>IF(-$AY$8*($BC$3-$AY$22)/(2*$AY$22*SIN(BS23))&gt;500, 1, 2*ACOS(MIN(1, EXP(-$AY$8*($BC$3-$AY$22)/(2*$AY$22*SIN(BS23)))))/PI() )</f>
        <v>0.96088101881700649</v>
      </c>
      <c r="BT28" s="3"/>
      <c r="BV28" s="3">
        <v>24</v>
      </c>
      <c r="BW28" s="3">
        <f t="shared" si="21"/>
        <v>0.43128943937561948</v>
      </c>
      <c r="BX28" s="3">
        <v>-1.6816902811273016E-6</v>
      </c>
      <c r="BY28" s="3">
        <f t="shared" si="22"/>
        <v>0.43128977268687463</v>
      </c>
      <c r="BZ28" s="3">
        <v>3.5838323059200761E-7</v>
      </c>
      <c r="CA28" s="3">
        <f t="shared" si="7"/>
        <v>0.43128960603124705</v>
      </c>
      <c r="CB28" s="3">
        <v>-6.6165331973067065E-7</v>
      </c>
      <c r="CC28" s="3">
        <f t="shared" si="8"/>
        <v>1.1126959572666839E-12</v>
      </c>
      <c r="CD28" s="3">
        <f t="shared" si="9"/>
        <v>-2.3712545425700426E-13</v>
      </c>
      <c r="CE28" s="3">
        <f t="shared" si="10"/>
        <v>3.3331125515179139E-7</v>
      </c>
      <c r="CG28" s="3">
        <v>24</v>
      </c>
      <c r="CH28" s="3">
        <f t="shared" si="23"/>
        <v>0.36767231996690009</v>
      </c>
      <c r="CI28" s="3">
        <v>-8.6440240260055035E-7</v>
      </c>
      <c r="CJ28" s="3">
        <f t="shared" si="24"/>
        <v>0.36767265327815524</v>
      </c>
      <c r="CK28" s="3">
        <v>5.2303280073662251E-7</v>
      </c>
      <c r="CL28" s="3">
        <f t="shared" si="11"/>
        <v>0.36767248662252766</v>
      </c>
      <c r="CM28" s="3">
        <v>-1.7068467683678534E-7</v>
      </c>
      <c r="CN28" s="3">
        <f t="shared" si="12"/>
        <v>1.4754024474481576E-13</v>
      </c>
      <c r="CO28" s="3">
        <f t="shared" si="13"/>
        <v>-8.9273684568769155E-14</v>
      </c>
      <c r="CP28" s="3">
        <f t="shared" si="14"/>
        <v>3.3331125515179139E-7</v>
      </c>
    </row>
    <row r="29" spans="2:94" x14ac:dyDescent="0.2">
      <c r="B29" s="7" t="s">
        <v>270</v>
      </c>
      <c r="C29" s="18">
        <v>4</v>
      </c>
      <c r="F29" s="10" t="s">
        <v>94</v>
      </c>
      <c r="G29" s="7">
        <f xml:space="preserve"> ($C$18-G23-G43)/$C$13</f>
        <v>1600.2478630521136</v>
      </c>
      <c r="H29" s="7" t="s">
        <v>14</v>
      </c>
      <c r="J29" s="16" t="s">
        <v>69</v>
      </c>
      <c r="K29" s="7">
        <f xml:space="preserve"> $C$70 * (11.5 * ($C$5*2.20462/1000)^0.4 * 0.453592)</f>
        <v>5.9244375688512241</v>
      </c>
      <c r="L29" s="7" t="s">
        <v>7</v>
      </c>
      <c r="N29" s="7" t="s">
        <v>38</v>
      </c>
      <c r="O29" s="18">
        <v>1.1499999999999999</v>
      </c>
      <c r="R29" s="7" t="s">
        <v>38</v>
      </c>
      <c r="S29" s="18">
        <v>1.1499999999999999</v>
      </c>
      <c r="V29" s="7" t="s">
        <v>38</v>
      </c>
      <c r="W29" s="18">
        <v>1.1499999999999999</v>
      </c>
      <c r="AB29" s="3">
        <v>25</v>
      </c>
      <c r="AC29" s="3">
        <f t="shared" si="15"/>
        <v>0.33222103118896484</v>
      </c>
      <c r="AD29" s="3">
        <f t="shared" si="0"/>
        <v>3.0974379061632362E-8</v>
      </c>
      <c r="AE29" s="3">
        <f t="shared" si="16"/>
        <v>0.33222106099128723</v>
      </c>
      <c r="AF29" s="3">
        <f t="shared" si="1"/>
        <v>-1.751273015493382E-10</v>
      </c>
      <c r="AG29" s="3">
        <f t="shared" si="3"/>
        <v>0.33222104609012604</v>
      </c>
      <c r="AH29" s="3">
        <f t="shared" si="2"/>
        <v>1.5399625852285936E-8</v>
      </c>
      <c r="AI29" s="3">
        <f t="shared" si="4"/>
        <v>4.769938485560179E-16</v>
      </c>
      <c r="AJ29" s="3">
        <f t="shared" si="5"/>
        <v>-2.6968949203802635E-18</v>
      </c>
      <c r="AK29" s="3">
        <f t="shared" si="6"/>
        <v>2.9802322387695312E-8</v>
      </c>
      <c r="AM29" s="3">
        <v>25</v>
      </c>
      <c r="AN29" s="3">
        <f t="shared" si="25"/>
        <v>1089.3088579177856</v>
      </c>
      <c r="AO29" s="3">
        <v>-1.8772934026856092E-5</v>
      </c>
      <c r="AP29" s="3">
        <f t="shared" si="26"/>
        <v>1089.3089771270752</v>
      </c>
      <c r="AQ29" s="3">
        <v>6.180638195019128E-5</v>
      </c>
      <c r="AR29" s="3">
        <f t="shared" si="17"/>
        <v>1089.3089175224304</v>
      </c>
      <c r="AS29" s="3">
        <v>2.1479194515450217E-5</v>
      </c>
      <c r="AT29" s="3">
        <f t="shared" si="18"/>
        <v>-4.032275015885561E-10</v>
      </c>
      <c r="AU29" s="3">
        <f t="shared" si="19"/>
        <v>1.3275513002043699E-9</v>
      </c>
      <c r="AV29" s="3">
        <f t="shared" si="20"/>
        <v>1.1920928955078125E-4</v>
      </c>
      <c r="AX29" s="51"/>
      <c r="AY29" s="4">
        <f>0.513438*($AY$9/2)</f>
        <v>0.51343799999999995</v>
      </c>
      <c r="AZ29" s="27" t="s">
        <v>8</v>
      </c>
      <c r="BB29" s="63"/>
      <c r="BC29" s="51">
        <f>BO77</f>
        <v>-2.1643554726225034E-9</v>
      </c>
      <c r="BD29" s="51"/>
      <c r="BN29" s="3" t="s">
        <v>201</v>
      </c>
      <c r="BO29" s="3">
        <f>IF(-$AY$8*($AY$21-$AY$10)/(2*$AY$21*SIN(BO23))&gt;500, 1, 2*ACOS(MIN(1, EXP(-$AY$8*($AY$21-$AY$10)/(2*$AY$21*SIN(BO23)))))/PI() )</f>
        <v>0.88266774213672339</v>
      </c>
      <c r="BP29" s="3"/>
      <c r="BQ29" s="3"/>
      <c r="BR29" s="3" t="s">
        <v>201</v>
      </c>
      <c r="BS29" s="3">
        <f>IF(-$AY$8*($AY$22-$AY$10)/(2*$AY$22*SIN(BS23))&gt;500, 1, 2*ACOS(MIN(1, EXP(-$AY$8*($AY$22-$AY$10)/(2*$AY$22*SIN(BS23)))))/PI() )</f>
        <v>0.92716445337763953</v>
      </c>
      <c r="BT29" s="3"/>
      <c r="BV29" s="3">
        <v>25</v>
      </c>
      <c r="BW29" s="3">
        <f t="shared" si="21"/>
        <v>0.43128960603124705</v>
      </c>
      <c r="BX29" s="3">
        <v>-6.6165331973067065E-7</v>
      </c>
      <c r="BY29" s="3">
        <f t="shared" si="22"/>
        <v>0.43128977268687463</v>
      </c>
      <c r="BZ29" s="3">
        <v>3.5838323059200761E-7</v>
      </c>
      <c r="CA29" s="3">
        <f t="shared" si="7"/>
        <v>0.43128968935906087</v>
      </c>
      <c r="CB29" s="3">
        <v>-1.5163499304804429E-7</v>
      </c>
      <c r="CC29" s="3">
        <f t="shared" si="8"/>
        <v>1.0032979653757566E-13</v>
      </c>
      <c r="CD29" s="3">
        <f t="shared" si="9"/>
        <v>-5.4343438679354729E-14</v>
      </c>
      <c r="CE29" s="3">
        <f t="shared" si="10"/>
        <v>1.6665562757589569E-7</v>
      </c>
      <c r="CG29" s="3">
        <v>25</v>
      </c>
      <c r="CH29" s="3">
        <f t="shared" si="23"/>
        <v>0.36767248662252766</v>
      </c>
      <c r="CI29" s="3">
        <v>-1.7068467683678534E-7</v>
      </c>
      <c r="CJ29" s="3">
        <f t="shared" si="24"/>
        <v>0.36767265327815524</v>
      </c>
      <c r="CK29" s="3">
        <v>5.2303280073662251E-7</v>
      </c>
      <c r="CL29" s="3">
        <f t="shared" si="11"/>
        <v>0.36767256995034148</v>
      </c>
      <c r="CM29" s="3">
        <v>1.7617409307779663E-7</v>
      </c>
      <c r="CN29" s="3">
        <f t="shared" si="12"/>
        <v>-3.0070218143997461E-14</v>
      </c>
      <c r="CO29" s="3">
        <f t="shared" si="13"/>
        <v>9.2144829319714389E-14</v>
      </c>
      <c r="CP29" s="3">
        <f t="shared" si="14"/>
        <v>1.6665562757589569E-7</v>
      </c>
    </row>
    <row r="30" spans="2:94" x14ac:dyDescent="0.2">
      <c r="B30" s="7" t="s">
        <v>271</v>
      </c>
      <c r="C30" s="7">
        <f>$C$29*$C$10/PI()</f>
        <v>0.56665525938438421</v>
      </c>
      <c r="F30" s="7" t="s">
        <v>264</v>
      </c>
      <c r="G30" s="7">
        <f>S21*$C$9</f>
        <v>157.07963267948966</v>
      </c>
      <c r="H30" s="7" t="s">
        <v>10</v>
      </c>
      <c r="J30" s="16" t="s">
        <v>70</v>
      </c>
      <c r="K30" s="7">
        <f xml:space="preserve"> $C$70 * (8 * ($C$5/1000))</f>
        <v>6.9715767860412603</v>
      </c>
      <c r="L30" s="7" t="s">
        <v>7</v>
      </c>
      <c r="N30" s="7" t="s">
        <v>39</v>
      </c>
      <c r="O30" s="7">
        <f xml:space="preserve"> 1/$C$73 * LN( EXP($C$73 * O28) + EXP($C$73 * O29) )</f>
        <v>1.1500000979406408</v>
      </c>
      <c r="R30" s="7" t="s">
        <v>39</v>
      </c>
      <c r="S30" s="7">
        <f xml:space="preserve"> 1/$C$73 * LN( EXP($C$73 * S28) + EXP($C$73 * S29) )</f>
        <v>1.1500000000000024</v>
      </c>
      <c r="V30" s="7" t="s">
        <v>39</v>
      </c>
      <c r="W30" s="7">
        <f xml:space="preserve"> 1/$C$73 * LN( EXP($C$73 * W28) + EXP($C$73 * W29) )</f>
        <v>1.1499999999999999</v>
      </c>
      <c r="AB30" s="3">
        <v>26</v>
      </c>
      <c r="AC30" s="3">
        <f>IF(AI29&gt;0, AG29, AC29)</f>
        <v>0.33222104609012604</v>
      </c>
      <c r="AD30" s="3">
        <f t="shared" si="0"/>
        <v>1.5399625852285936E-8</v>
      </c>
      <c r="AE30" s="3">
        <f t="shared" si="16"/>
        <v>0.33222106099128723</v>
      </c>
      <c r="AF30" s="3">
        <f t="shared" si="1"/>
        <v>-1.751273015493382E-10</v>
      </c>
      <c r="AG30" s="3">
        <f t="shared" si="3"/>
        <v>0.33222105354070663</v>
      </c>
      <c r="AH30" s="3">
        <f t="shared" si="2"/>
        <v>7.6122492753682991E-9</v>
      </c>
      <c r="AI30" s="3">
        <f t="shared" si="4"/>
        <v>1.1722579073500656E-16</v>
      </c>
      <c r="AJ30" s="3">
        <f t="shared" si="5"/>
        <v>-1.3331126743161553E-18</v>
      </c>
      <c r="AK30" s="3">
        <f t="shared" si="6"/>
        <v>1.4901161193847656E-8</v>
      </c>
      <c r="AM30" s="3">
        <v>26</v>
      </c>
      <c r="AN30" s="3">
        <f t="shared" si="25"/>
        <v>1089.3088579177856</v>
      </c>
      <c r="AO30" s="3">
        <v>-1.8772934026856092E-5</v>
      </c>
      <c r="AP30" s="3">
        <f t="shared" si="26"/>
        <v>1089.3089175224304</v>
      </c>
      <c r="AQ30" s="3">
        <v>2.1479194515450217E-5</v>
      </c>
      <c r="AR30" s="3">
        <f t="shared" si="17"/>
        <v>1089.308887720108</v>
      </c>
      <c r="AS30" s="3">
        <v>1.4426308325710124E-6</v>
      </c>
      <c r="AT30" s="3">
        <f t="shared" si="18"/>
        <v>-2.7082413444964093E-11</v>
      </c>
      <c r="AU30" s="3">
        <f t="shared" si="19"/>
        <v>3.0986548266778671E-11</v>
      </c>
      <c r="AV30" s="3">
        <f t="shared" si="20"/>
        <v>5.9604644775390625E-5</v>
      </c>
      <c r="AX30" s="51"/>
      <c r="AY30" s="4">
        <f>0.496013*($AY$9/2)</f>
        <v>0.49601299999999998</v>
      </c>
      <c r="AZ30" s="27" t="s">
        <v>8</v>
      </c>
      <c r="BB30" s="39" t="s">
        <v>226</v>
      </c>
      <c r="BC30" s="51" t="b">
        <f>IF(BC23&lt;0.00001,IF(BC24&lt;0.00001,IF(BC25&lt;0.00001,IF(BC26&lt;0.00001,IF(BC27&lt;0.00001,IF(BC28&lt;0.00001,IF(BC29&lt;0.00001,TRUE,FALSE),FALSE),FALSE),FALSE),FALSE),FALSE),FALSE)</f>
        <v>1</v>
      </c>
      <c r="BD30" s="51"/>
      <c r="BF30" s="62" t="s">
        <v>227</v>
      </c>
      <c r="BG30" s="62"/>
      <c r="BH30" s="62"/>
      <c r="BJ30" s="62" t="s">
        <v>241</v>
      </c>
      <c r="BK30" s="62"/>
      <c r="BL30" s="62"/>
      <c r="BN30" s="3" t="s">
        <v>204</v>
      </c>
      <c r="BO30" s="3">
        <f>IF(BO23=0,1,BO28*BO29)</f>
        <v>0.86922507114674341</v>
      </c>
      <c r="BP30" s="3"/>
      <c r="BQ30" s="3"/>
      <c r="BR30" s="3" t="s">
        <v>204</v>
      </c>
      <c r="BS30" s="3">
        <f>IF(BS23=0,1,BS28*BS29)</f>
        <v>0.89089472457241914</v>
      </c>
      <c r="BT30" s="3"/>
      <c r="BV30" s="3">
        <v>26</v>
      </c>
      <c r="BW30" s="3">
        <f t="shared" si="21"/>
        <v>0.43128968935906087</v>
      </c>
      <c r="BX30" s="3">
        <v>-1.5163499304804429E-7</v>
      </c>
      <c r="BY30" s="3">
        <f t="shared" si="22"/>
        <v>0.43128977268687463</v>
      </c>
      <c r="BZ30" s="3">
        <v>3.5838323059200761E-7</v>
      </c>
      <c r="CA30" s="3">
        <f t="shared" si="7"/>
        <v>0.43128973102296775</v>
      </c>
      <c r="CB30" s="3">
        <v>1.0337413144934082E-7</v>
      </c>
      <c r="CC30" s="3">
        <f t="shared" si="8"/>
        <v>-1.5675135703668412E-14</v>
      </c>
      <c r="CD30" s="3">
        <f t="shared" si="9"/>
        <v>3.7047555188457617E-14</v>
      </c>
      <c r="CE30" s="3">
        <f t="shared" si="10"/>
        <v>8.3327813760192271E-8</v>
      </c>
      <c r="CG30" s="3">
        <v>26</v>
      </c>
      <c r="CH30" s="3">
        <f t="shared" si="23"/>
        <v>0.36767248662252766</v>
      </c>
      <c r="CI30" s="3">
        <v>-1.7068467683678534E-7</v>
      </c>
      <c r="CJ30" s="3">
        <f t="shared" si="24"/>
        <v>0.36767256995034148</v>
      </c>
      <c r="CK30" s="3">
        <v>1.7617409307779663E-7</v>
      </c>
      <c r="CL30" s="3">
        <f t="shared" si="11"/>
        <v>0.3676725282864346</v>
      </c>
      <c r="CM30" s="3">
        <v>2.7447159406390753E-9</v>
      </c>
      <c r="CN30" s="3">
        <f t="shared" si="12"/>
        <v>-4.6848095333675383E-16</v>
      </c>
      <c r="CO30" s="3">
        <f t="shared" si="13"/>
        <v>4.8354784159826063E-16</v>
      </c>
      <c r="CP30" s="3">
        <f t="shared" si="14"/>
        <v>8.3327813815703422E-8</v>
      </c>
    </row>
    <row r="31" spans="2:94" x14ac:dyDescent="0.2">
      <c r="B31" s="7" t="s">
        <v>272</v>
      </c>
      <c r="C31" s="18">
        <v>0.75</v>
      </c>
      <c r="F31" s="7" t="s">
        <v>265</v>
      </c>
      <c r="G31" s="7">
        <f>G30/$C$67</f>
        <v>0.46143434115755327</v>
      </c>
      <c r="H31" s="7" t="s">
        <v>151</v>
      </c>
      <c r="J31" s="16" t="s">
        <v>71</v>
      </c>
      <c r="K31" s="7">
        <f xml:space="preserve"> $C$70 * (13 * ($C$5*2.20462/1000)^1.3 * 0.453592)</f>
        <v>14.734280891875636</v>
      </c>
      <c r="L31" s="7" t="s">
        <v>7</v>
      </c>
      <c r="AB31" s="3">
        <v>27</v>
      </c>
      <c r="AC31" s="3">
        <f t="shared" si="15"/>
        <v>0.33222105354070663</v>
      </c>
      <c r="AD31" s="3">
        <f t="shared" si="0"/>
        <v>7.6122492753682991E-9</v>
      </c>
      <c r="AE31" s="3">
        <f t="shared" si="16"/>
        <v>0.33222106099128723</v>
      </c>
      <c r="AF31" s="3">
        <f t="shared" si="1"/>
        <v>-1.751273015493382E-10</v>
      </c>
      <c r="AG31" s="3">
        <f t="shared" si="3"/>
        <v>0.33222105726599693</v>
      </c>
      <c r="AH31" s="3">
        <f t="shared" si="2"/>
        <v>3.7185610146650561E-9</v>
      </c>
      <c r="AI31" s="3">
        <f t="shared" si="4"/>
        <v>2.830661338929688E-17</v>
      </c>
      <c r="AJ31" s="3">
        <f t="shared" si="5"/>
        <v>-6.512215561448603E-19</v>
      </c>
      <c r="AK31" s="3">
        <f t="shared" si="6"/>
        <v>7.4505805969238281E-9</v>
      </c>
      <c r="AM31" s="3">
        <v>27</v>
      </c>
      <c r="AN31" s="3">
        <f t="shared" si="25"/>
        <v>1089.3088579177856</v>
      </c>
      <c r="AO31" s="3">
        <v>1.4426308325710124E-6</v>
      </c>
      <c r="AP31" s="3">
        <f t="shared" si="26"/>
        <v>1089.308887720108</v>
      </c>
      <c r="AQ31" s="3">
        <v>2.1479194515450217E-5</v>
      </c>
      <c r="AR31" s="3">
        <f t="shared" si="17"/>
        <v>1089.3088728189468</v>
      </c>
      <c r="AS31" s="3">
        <v>1.1371412369953759E-5</v>
      </c>
      <c r="AT31" s="3">
        <f t="shared" si="18"/>
        <v>1.6404750094774702E-11</v>
      </c>
      <c r="AU31" s="3">
        <f t="shared" si="19"/>
        <v>2.4424877820963354E-10</v>
      </c>
      <c r="AV31" s="3">
        <f t="shared" si="20"/>
        <v>2.9802322387695312E-5</v>
      </c>
      <c r="AX31" s="51"/>
      <c r="AY31" s="4">
        <f>0.478588*($AY$9/2)</f>
        <v>0.47858800000000001</v>
      </c>
      <c r="AZ31" s="27" t="s">
        <v>8</v>
      </c>
      <c r="BF31" s="3" t="s">
        <v>174</v>
      </c>
      <c r="BG31" s="3">
        <f>$AY$25-$AY$24</f>
        <v>9.8750000000000004E-2</v>
      </c>
      <c r="BH31" s="27" t="s">
        <v>8</v>
      </c>
      <c r="BJ31" s="3" t="s">
        <v>174</v>
      </c>
      <c r="BK31" s="3">
        <f>2*($AY$9/2 - $AY$26)</f>
        <v>9.8749999999999893E-2</v>
      </c>
      <c r="BL31" s="27" t="s">
        <v>8</v>
      </c>
      <c r="BN31" s="3" t="s">
        <v>208</v>
      </c>
      <c r="BO31" s="3">
        <f>IF(BO26&lt;$BH$43, $BC$44*BO26^2 + $BD$44*BO26 + $BE$44, IF(BO26&gt;$BI$43, $BJ$44*BO26^2 + $BK$44*BO26 + $BL$44, $BF$44*BO26^3 + $BG$44*BO26^2 + $BH$44*BO26 + $BI$44))</f>
        <v>0.85567524058204869</v>
      </c>
      <c r="BP31" s="3"/>
      <c r="BQ31" s="3"/>
      <c r="BR31" s="3" t="s">
        <v>208</v>
      </c>
      <c r="BS31" s="3">
        <f>IF(BS26&lt;$BH$43, $BC$44*BS26^2 + $BD$44*BS26 + $BE$44, IF(BS26&gt;$BI$43, $BJ$44*BS26^2 + $BK$44*BS26 + $BL$44, $BF$44*BS26^3 + $BG$44*BS26^2 + $BH$44*BS26 + $BI$44))</f>
        <v>0.9026639372603229</v>
      </c>
      <c r="BT31" s="3"/>
      <c r="BV31" s="3">
        <v>27</v>
      </c>
      <c r="BW31" s="3">
        <f t="shared" si="21"/>
        <v>0.43128968935906087</v>
      </c>
      <c r="BX31" s="3">
        <v>-1.5163499304804429E-7</v>
      </c>
      <c r="BY31" s="3">
        <f t="shared" si="22"/>
        <v>0.43128973102296775</v>
      </c>
      <c r="BZ31" s="3">
        <v>1.0337413144934082E-7</v>
      </c>
      <c r="CA31" s="3">
        <f t="shared" si="7"/>
        <v>0.43128971019101431</v>
      </c>
      <c r="CB31" s="3">
        <v>-2.4130427545010491E-8</v>
      </c>
      <c r="CC31" s="3">
        <f t="shared" si="8"/>
        <v>3.6590172130340022E-15</v>
      </c>
      <c r="CD31" s="3">
        <f t="shared" si="9"/>
        <v>-2.4944619889667089E-15</v>
      </c>
      <c r="CE31" s="3">
        <f t="shared" si="10"/>
        <v>4.1663906880096135E-8</v>
      </c>
      <c r="CG31" s="3">
        <v>27</v>
      </c>
      <c r="CH31" s="3">
        <f t="shared" si="23"/>
        <v>0.36767248662252766</v>
      </c>
      <c r="CI31" s="3">
        <v>-1.7068467683678534E-7</v>
      </c>
      <c r="CJ31" s="3">
        <f t="shared" si="24"/>
        <v>0.3676725282864346</v>
      </c>
      <c r="CK31" s="3">
        <v>2.7447159406390753E-9</v>
      </c>
      <c r="CL31" s="3">
        <f t="shared" si="11"/>
        <v>0.3676725074544811</v>
      </c>
      <c r="CM31" s="3">
        <v>8.9459406354963633E-8</v>
      </c>
      <c r="CN31" s="3">
        <f t="shared" si="12"/>
        <v>-1.5269349863707628E-14</v>
      </c>
      <c r="CO31" s="3">
        <f t="shared" si="13"/>
        <v>2.4554065866257727E-16</v>
      </c>
      <c r="CP31" s="3">
        <f t="shared" si="14"/>
        <v>4.1663906935607287E-8</v>
      </c>
    </row>
    <row r="32" spans="2:94" x14ac:dyDescent="0.2">
      <c r="B32" s="7" t="s">
        <v>135</v>
      </c>
      <c r="C32" s="18">
        <v>0.14399999999999999</v>
      </c>
      <c r="F32" s="10" t="s">
        <v>118</v>
      </c>
      <c r="G32" s="7">
        <f xml:space="preserve"> 1/1000 * (S25 + S20 * (S30 * S27 + $C$13 * SIN(S19/180*PI())))</f>
        <v>63.029079799938884</v>
      </c>
      <c r="H32" s="7" t="s">
        <v>123</v>
      </c>
      <c r="J32" s="11" t="s">
        <v>58</v>
      </c>
      <c r="K32" s="11">
        <f>$C$5 - $C$17 - SUM(K17:K31)</f>
        <v>-8.6651516539859585E-6</v>
      </c>
      <c r="L32" s="11" t="s">
        <v>7</v>
      </c>
      <c r="AB32" s="3">
        <v>28</v>
      </c>
      <c r="AC32" s="3">
        <f t="shared" si="15"/>
        <v>0.33222105726599693</v>
      </c>
      <c r="AD32" s="3">
        <f t="shared" si="0"/>
        <v>3.7185610146650561E-9</v>
      </c>
      <c r="AE32" s="3">
        <f t="shared" si="16"/>
        <v>0.33222106099128723</v>
      </c>
      <c r="AF32" s="3">
        <f t="shared" si="1"/>
        <v>-1.751273015493382E-10</v>
      </c>
      <c r="AG32" s="3">
        <f t="shared" si="3"/>
        <v>0.33222105912864208</v>
      </c>
      <c r="AH32" s="3">
        <f t="shared" si="2"/>
        <v>1.7717168843134345E-9</v>
      </c>
      <c r="AI32" s="3">
        <f t="shared" si="4"/>
        <v>6.5882373350317769E-18</v>
      </c>
      <c r="AJ32" s="3">
        <f t="shared" si="5"/>
        <v>-3.1027599705921279E-19</v>
      </c>
      <c r="AK32" s="3">
        <f t="shared" si="6"/>
        <v>3.7252902984619141E-9</v>
      </c>
      <c r="AM32" s="3">
        <v>28</v>
      </c>
      <c r="AN32" s="3">
        <f t="shared" si="25"/>
        <v>1089.3088728189468</v>
      </c>
      <c r="AO32" s="3">
        <v>1.1371412369953759E-5</v>
      </c>
      <c r="AP32" s="3">
        <f t="shared" si="26"/>
        <v>1089.3088728189468</v>
      </c>
      <c r="AQ32" s="3">
        <v>2.1479194515450217E-5</v>
      </c>
      <c r="AR32" s="3">
        <f t="shared" si="17"/>
        <v>1089.3088728189468</v>
      </c>
      <c r="AS32" s="3">
        <v>1.1371412369953759E-5</v>
      </c>
      <c r="AT32" s="3">
        <f t="shared" si="18"/>
        <v>1.2930901928753736E-10</v>
      </c>
      <c r="AU32" s="3">
        <f t="shared" si="19"/>
        <v>2.4424877820963354E-10</v>
      </c>
      <c r="AV32" s="3">
        <f t="shared" si="20"/>
        <v>0</v>
      </c>
      <c r="AX32" s="51"/>
      <c r="AY32" s="4">
        <f>0.461163*($AY$9/2)</f>
        <v>0.46116299999999999</v>
      </c>
      <c r="AZ32" s="27" t="s">
        <v>8</v>
      </c>
      <c r="BF32" s="3" t="s">
        <v>179</v>
      </c>
      <c r="BG32" s="3">
        <f>(1+$BO$75)*$AY$3</f>
        <v>19.532913115436248</v>
      </c>
      <c r="BH32" s="27" t="s">
        <v>10</v>
      </c>
      <c r="BJ32" s="3" t="s">
        <v>179</v>
      </c>
      <c r="BK32" s="3">
        <f>(1+$BS$75)*$AY$3</f>
        <v>22.236268795260241</v>
      </c>
      <c r="BL32" s="27" t="s">
        <v>10</v>
      </c>
      <c r="BN32" s="3" t="s">
        <v>209</v>
      </c>
      <c r="BO32" s="3">
        <f>IF(BO26&lt;$BH$43, $BC$45*BO26^2 + $BD$45*BO26 + $BE$45, IF(BO26&gt;$BI$43, $BJ$45*BO26^2 + $BK$45*BO26 + $BL$45, $BF$45*BO26^3 + $BG$45*BO26^2 + $BH$45*BO26 + $BI$45))</f>
        <v>5.2166663044226538E-3</v>
      </c>
      <c r="BP32" s="3"/>
      <c r="BQ32" s="3"/>
      <c r="BR32" s="3" t="s">
        <v>209</v>
      </c>
      <c r="BS32" s="3">
        <f>IF(BS26&lt;$BH$43, $BC$45*BS26^2 + $BD$45*BS26 + $BE$45, IF(BS26&gt;$BI$43, $BJ$45*BS26^2 + $BK$45*BS26 + $BL$45, $BF$45*BS26^3 + $BG$45*BS26^2 + $BH$45*BS26 + $BI$45))</f>
        <v>6.0208292996308151E-3</v>
      </c>
      <c r="BT32" s="3"/>
      <c r="BV32" s="3">
        <v>28</v>
      </c>
      <c r="BW32" s="3">
        <f t="shared" si="21"/>
        <v>0.43128971019101431</v>
      </c>
      <c r="BX32" s="3">
        <v>-2.4130427545010491E-8</v>
      </c>
      <c r="BY32" s="3">
        <f t="shared" si="22"/>
        <v>0.43128973102296775</v>
      </c>
      <c r="BZ32" s="3">
        <v>1.0337413144934082E-7</v>
      </c>
      <c r="CA32" s="3">
        <f t="shared" si="7"/>
        <v>0.431289720606991</v>
      </c>
      <c r="CB32" s="3">
        <v>3.9621852590543405E-8</v>
      </c>
      <c r="CC32" s="3">
        <f t="shared" si="8"/>
        <v>-9.5609224313519387E-16</v>
      </c>
      <c r="CD32" s="3">
        <f t="shared" si="9"/>
        <v>4.0958745979612395E-15</v>
      </c>
      <c r="CE32" s="3">
        <f t="shared" si="10"/>
        <v>2.0831953440048068E-8</v>
      </c>
      <c r="CG32" s="3">
        <v>28</v>
      </c>
      <c r="CH32" s="3">
        <f t="shared" si="23"/>
        <v>0.36767248662252766</v>
      </c>
      <c r="CI32" s="3">
        <v>-8.3969978678655188E-8</v>
      </c>
      <c r="CJ32" s="3">
        <f t="shared" si="24"/>
        <v>0.3676725074544811</v>
      </c>
      <c r="CK32" s="3">
        <v>-8.3969978678655188E-8</v>
      </c>
      <c r="CL32" s="3">
        <f t="shared" si="11"/>
        <v>0.36767249703850435</v>
      </c>
      <c r="CM32" s="3">
        <v>8.9459406354963633E-8</v>
      </c>
      <c r="CN32" s="3">
        <f t="shared" si="12"/>
        <v>-7.5119044442314472E-15</v>
      </c>
      <c r="CO32" s="3">
        <f t="shared" si="13"/>
        <v>-7.5119044442314472E-15</v>
      </c>
      <c r="CP32" s="3">
        <f t="shared" si="14"/>
        <v>2.0831953440048068E-8</v>
      </c>
    </row>
    <row r="33" spans="2:94" x14ac:dyDescent="0.2">
      <c r="F33" s="45" t="s">
        <v>246</v>
      </c>
      <c r="G33" s="44">
        <f xml:space="preserve"> $C$28 * G32</f>
        <v>63.029079799938884</v>
      </c>
      <c r="H33" s="44" t="s">
        <v>123</v>
      </c>
      <c r="J33" s="7" t="s">
        <v>59</v>
      </c>
      <c r="K33" s="5" t="str">
        <f>IF(ABS(K32)&lt;0.00001, "TRUE", "FALSE")</f>
        <v>TRUE</v>
      </c>
      <c r="AB33" s="3">
        <v>29</v>
      </c>
      <c r="AC33" s="3">
        <f t="shared" si="15"/>
        <v>0.33222105912864208</v>
      </c>
      <c r="AD33" s="3">
        <f t="shared" si="0"/>
        <v>1.7717168843134345E-9</v>
      </c>
      <c r="AE33" s="3">
        <f t="shared" si="16"/>
        <v>0.33222106099128723</v>
      </c>
      <c r="AF33" s="3">
        <f t="shared" si="1"/>
        <v>-1.751273015493382E-10</v>
      </c>
      <c r="AG33" s="3">
        <f t="shared" si="3"/>
        <v>0.33222106005996466</v>
      </c>
      <c r="AH33" s="3">
        <f t="shared" si="2"/>
        <v>7.9829476362647256E-10</v>
      </c>
      <c r="AI33" s="3">
        <f t="shared" si="4"/>
        <v>1.4143523113760237E-18</v>
      </c>
      <c r="AJ33" s="3">
        <f t="shared" si="5"/>
        <v>-1.3980320779487092E-19</v>
      </c>
      <c r="AK33" s="3">
        <f t="shared" si="6"/>
        <v>1.862645149230957E-9</v>
      </c>
      <c r="AM33" s="3">
        <v>29</v>
      </c>
      <c r="AN33" s="3">
        <f t="shared" si="25"/>
        <v>1089.3088728189468</v>
      </c>
      <c r="AO33" s="3">
        <v>1.6425303442701988E-5</v>
      </c>
      <c r="AP33" s="3">
        <f t="shared" si="26"/>
        <v>1089.3088728189468</v>
      </c>
      <c r="AQ33" s="3">
        <v>1.1371412369953759E-5</v>
      </c>
      <c r="AR33" s="3">
        <f t="shared" si="17"/>
        <v>1089.3088728189468</v>
      </c>
      <c r="AS33" s="3">
        <v>1.1371412369953759E-5</v>
      </c>
      <c r="AT33" s="3">
        <f t="shared" si="18"/>
        <v>1.8677889874858545E-10</v>
      </c>
      <c r="AU33" s="3">
        <f t="shared" si="19"/>
        <v>1.2930901928753736E-10</v>
      </c>
      <c r="AV33" s="3">
        <f t="shared" si="20"/>
        <v>0</v>
      </c>
      <c r="AX33" s="51"/>
      <c r="AY33" s="4">
        <f>0.443738*($AY$9/2)</f>
        <v>0.44373800000000002</v>
      </c>
      <c r="AZ33" s="27" t="s">
        <v>8</v>
      </c>
      <c r="BF33" s="3" t="s">
        <v>184</v>
      </c>
      <c r="BG33" s="3">
        <f>(1-$BO$76)*$BC$5*$AY$25</f>
        <v>82.182790173350668</v>
      </c>
      <c r="BH33" s="27" t="s">
        <v>10</v>
      </c>
      <c r="BJ33" s="3" t="s">
        <v>184</v>
      </c>
      <c r="BK33" s="3">
        <f>(1-$BS$76)*$BC$5*$AY$26</f>
        <v>91.428111518471084</v>
      </c>
      <c r="BL33" s="27" t="s">
        <v>10</v>
      </c>
      <c r="BN33" s="3" t="s">
        <v>211</v>
      </c>
      <c r="BO33" s="3">
        <f xml:space="preserve"> BO31*COS(BO23) - BO32*SIN(BO23)</f>
        <v>0.80946725717276502</v>
      </c>
      <c r="BP33" s="3"/>
      <c r="BR33" s="3" t="s">
        <v>211</v>
      </c>
      <c r="BS33" s="3">
        <f xml:space="preserve"> BS31*COS(BS23) - BS32*SIN(BS23)</f>
        <v>0.86306148889113365</v>
      </c>
      <c r="BT33" s="3"/>
      <c r="BV33" s="3">
        <v>29</v>
      </c>
      <c r="BW33" s="3">
        <f t="shared" si="21"/>
        <v>0.43128971019101431</v>
      </c>
      <c r="BX33" s="3">
        <v>-2.4130427545010491E-8</v>
      </c>
      <c r="BY33" s="3">
        <f t="shared" si="22"/>
        <v>0.431289720606991</v>
      </c>
      <c r="BZ33" s="3">
        <v>3.9621852590543405E-8</v>
      </c>
      <c r="CA33" s="3">
        <f t="shared" si="7"/>
        <v>0.43128971539900263</v>
      </c>
      <c r="CB33" s="3">
        <v>7.7457126407276533E-9</v>
      </c>
      <c r="CC33" s="3">
        <f t="shared" si="8"/>
        <v>-1.8690735766155053E-16</v>
      </c>
      <c r="CD33" s="3">
        <f t="shared" si="9"/>
        <v>3.0689948445961979E-16</v>
      </c>
      <c r="CE33" s="3">
        <f t="shared" si="10"/>
        <v>1.0415976692268458E-8</v>
      </c>
      <c r="CG33" s="3">
        <v>29</v>
      </c>
      <c r="CH33" s="3">
        <f t="shared" si="23"/>
        <v>0.36767248662252766</v>
      </c>
      <c r="CI33" s="3">
        <v>-8.3969978678655188E-8</v>
      </c>
      <c r="CJ33" s="3">
        <f t="shared" si="24"/>
        <v>0.3676725074544811</v>
      </c>
      <c r="CK33" s="3">
        <v>-1.2732732734832553E-7</v>
      </c>
      <c r="CL33" s="3">
        <f t="shared" si="11"/>
        <v>0.36767249703850435</v>
      </c>
      <c r="CM33" s="3">
        <v>8.9459406354963633E-8</v>
      </c>
      <c r="CN33" s="3">
        <f t="shared" si="12"/>
        <v>-7.5119044442314472E-15</v>
      </c>
      <c r="CO33" s="3">
        <f t="shared" si="13"/>
        <v>-1.1390627117345327E-14</v>
      </c>
      <c r="CP33" s="3">
        <f t="shared" si="14"/>
        <v>2.0831953440048068E-8</v>
      </c>
    </row>
    <row r="34" spans="2:94" x14ac:dyDescent="0.2">
      <c r="B34" s="55" t="s">
        <v>126</v>
      </c>
      <c r="C34" s="55"/>
      <c r="D34" s="55"/>
      <c r="AB34" s="3">
        <v>30</v>
      </c>
      <c r="AC34" s="3">
        <f t="shared" si="15"/>
        <v>0.33222106005996466</v>
      </c>
      <c r="AD34" s="3">
        <f t="shared" si="0"/>
        <v>7.9829476362647256E-10</v>
      </c>
      <c r="AE34" s="3">
        <f t="shared" si="16"/>
        <v>0.33222106099128723</v>
      </c>
      <c r="AF34" s="3">
        <f t="shared" si="1"/>
        <v>-1.751273015493382E-10</v>
      </c>
      <c r="AG34" s="3">
        <f t="shared" si="3"/>
        <v>0.33222106052562594</v>
      </c>
      <c r="AH34" s="3">
        <f t="shared" si="2"/>
        <v>3.115837587941428E-10</v>
      </c>
      <c r="AI34" s="3">
        <f t="shared" si="4"/>
        <v>2.4873568307641806E-19</v>
      </c>
      <c r="AJ34" s="3">
        <f t="shared" si="5"/>
        <v>-5.4566822884218103E-20</v>
      </c>
      <c r="AK34" s="3">
        <f t="shared" si="6"/>
        <v>9.3132257461547852E-10</v>
      </c>
      <c r="AM34" s="3">
        <v>30</v>
      </c>
      <c r="AN34" s="3">
        <f t="shared" si="25"/>
        <v>1089.3088728189468</v>
      </c>
      <c r="AO34" s="3">
        <v>1.6425303442701988E-5</v>
      </c>
      <c r="AP34" s="3">
        <f t="shared" si="26"/>
        <v>1089.3088728189468</v>
      </c>
      <c r="AQ34" s="3">
        <v>6.317520728771342E-6</v>
      </c>
      <c r="AR34" s="3">
        <f t="shared" si="17"/>
        <v>1089.3088728189468</v>
      </c>
      <c r="AS34" s="3">
        <v>1.1371412369953759E-5</v>
      </c>
      <c r="AT34" s="3">
        <f t="shared" si="18"/>
        <v>1.8677889874858545E-10</v>
      </c>
      <c r="AU34" s="3">
        <f t="shared" si="19"/>
        <v>7.1839133362589727E-11</v>
      </c>
      <c r="AV34" s="3">
        <f t="shared" si="20"/>
        <v>0</v>
      </c>
      <c r="AX34" s="51"/>
      <c r="AY34" s="4">
        <f>0.426313*($AY$9/2)</f>
        <v>0.426313</v>
      </c>
      <c r="AZ34" s="27" t="s">
        <v>8</v>
      </c>
      <c r="BF34" s="3" t="s">
        <v>188</v>
      </c>
      <c r="BG34" s="3">
        <f>SQRT(BG32^2 + BG33^2)</f>
        <v>84.472159291994927</v>
      </c>
      <c r="BH34" s="27" t="s">
        <v>10</v>
      </c>
      <c r="BJ34" s="3" t="s">
        <v>188</v>
      </c>
      <c r="BK34" s="3">
        <f>SQRT(BK32^2 + BK33^2)</f>
        <v>94.093311270084712</v>
      </c>
      <c r="BL34" s="27" t="s">
        <v>10</v>
      </c>
      <c r="BN34" s="3" t="s">
        <v>213</v>
      </c>
      <c r="BO34" s="3">
        <f xml:space="preserve"> BO31*SIN(BO23) + BO32*COS(BO23)</f>
        <v>0.27743484012949671</v>
      </c>
      <c r="BP34" s="3"/>
      <c r="BR34" s="3" t="s">
        <v>213</v>
      </c>
      <c r="BS34" s="3">
        <f xml:space="preserve"> BS31*SIN(BS23) + BS32*COS(BS23)</f>
        <v>0.26450576630535455</v>
      </c>
      <c r="BT34" s="3"/>
      <c r="BV34" s="3">
        <v>30</v>
      </c>
      <c r="BW34" s="3">
        <f t="shared" si="21"/>
        <v>0.43128971019101431</v>
      </c>
      <c r="BX34" s="3">
        <v>-2.4130427545010491E-8</v>
      </c>
      <c r="BY34" s="3">
        <f t="shared" si="22"/>
        <v>0.43128971539900263</v>
      </c>
      <c r="BZ34" s="3">
        <v>7.7457126407276533E-9</v>
      </c>
      <c r="CA34" s="6">
        <f t="shared" si="7"/>
        <v>0.4312897127950085</v>
      </c>
      <c r="CB34" s="3">
        <v>-8.1923571398911932E-9</v>
      </c>
      <c r="CC34" s="3">
        <f t="shared" si="8"/>
        <v>1.9768508038699382E-16</v>
      </c>
      <c r="CD34" s="3">
        <f t="shared" si="9"/>
        <v>-6.3455644255810656E-17</v>
      </c>
      <c r="CE34" s="3">
        <f t="shared" si="10"/>
        <v>5.2079883183786535E-9</v>
      </c>
      <c r="CG34" s="3">
        <v>30</v>
      </c>
      <c r="CH34" s="3">
        <f t="shared" si="23"/>
        <v>0.36767248662252766</v>
      </c>
      <c r="CI34" s="3">
        <v>-8.3969978678655188E-8</v>
      </c>
      <c r="CJ34" s="3">
        <f t="shared" si="24"/>
        <v>0.3676725074544811</v>
      </c>
      <c r="CK34" s="3">
        <v>-1.4900600218969995E-7</v>
      </c>
      <c r="CL34" s="6">
        <f t="shared" si="11"/>
        <v>0.36767249703850435</v>
      </c>
      <c r="CM34" s="3">
        <v>8.9459406354963633E-8</v>
      </c>
      <c r="CN34" s="3">
        <f t="shared" si="12"/>
        <v>-7.5119044442314472E-15</v>
      </c>
      <c r="CO34" s="3">
        <f t="shared" si="13"/>
        <v>-1.3329988499216969E-14</v>
      </c>
      <c r="CP34" s="3">
        <f t="shared" si="14"/>
        <v>2.0831953440048068E-8</v>
      </c>
    </row>
    <row r="35" spans="2:94" x14ac:dyDescent="0.2">
      <c r="B35" s="7" t="s">
        <v>127</v>
      </c>
      <c r="C35" s="18">
        <v>4</v>
      </c>
      <c r="F35" s="53" t="s">
        <v>104</v>
      </c>
      <c r="G35" s="54"/>
      <c r="H35" s="54"/>
      <c r="J35" s="48" t="s">
        <v>60</v>
      </c>
      <c r="K35" s="48"/>
      <c r="L35" s="48"/>
      <c r="AM35" s="3">
        <v>31</v>
      </c>
      <c r="AN35" s="3">
        <f t="shared" si="25"/>
        <v>1089.3088728189468</v>
      </c>
      <c r="AO35" s="7">
        <v>1.6425303442701988E-5</v>
      </c>
      <c r="AP35" s="3">
        <f t="shared" si="26"/>
        <v>1089.3088728189468</v>
      </c>
      <c r="AQ35" s="7">
        <v>3.9695767100056401E-6</v>
      </c>
      <c r="AR35" s="3">
        <f t="shared" si="17"/>
        <v>1089.3088728189468</v>
      </c>
      <c r="AS35" s="7">
        <v>1.1371412369953759E-5</v>
      </c>
      <c r="AT35" s="3">
        <f t="shared" si="18"/>
        <v>1.8677889874858545E-10</v>
      </c>
      <c r="AU35" s="3">
        <f t="shared" si="19"/>
        <v>4.5139693703638483E-11</v>
      </c>
      <c r="AV35" s="3">
        <f t="shared" si="20"/>
        <v>0</v>
      </c>
      <c r="AX35" s="51" t="s">
        <v>244</v>
      </c>
      <c r="AY35" s="4">
        <v>7.359375</v>
      </c>
      <c r="AZ35" s="27" t="s">
        <v>44</v>
      </c>
      <c r="BF35" s="3" t="s">
        <v>191</v>
      </c>
      <c r="BG35" s="38">
        <f>$AY$45*BG34*$AY$27/$AY$46</f>
        <v>3170704.5732877231</v>
      </c>
      <c r="BH35" s="27"/>
      <c r="BJ35" s="3" t="s">
        <v>191</v>
      </c>
      <c r="BK35" s="38">
        <f>$AY$45*BK34*$AY$27/$AY$46</f>
        <v>3531839.3049307964</v>
      </c>
      <c r="BL35" s="27"/>
      <c r="BN35" s="3" t="s">
        <v>39</v>
      </c>
      <c r="BO35" s="3">
        <f xml:space="preserve"> 4*BO30*SIN(BO23)*SIN(BO23) / (BO27*BO33)</f>
        <v>1.2176840977534338</v>
      </c>
      <c r="BP35" s="3"/>
      <c r="BR35" s="3" t="s">
        <v>39</v>
      </c>
      <c r="BS35" s="3">
        <f xml:space="preserve"> 4*BS30*SIN(BS23)*SIN(BS23) / (BS27*BS33)</f>
        <v>1.1938508175336251</v>
      </c>
      <c r="BT35" s="3"/>
      <c r="BV35" s="3"/>
      <c r="BW35" s="3"/>
      <c r="BX35" s="3"/>
      <c r="BY35" s="3"/>
      <c r="BZ35" s="3"/>
      <c r="CA35" s="3"/>
      <c r="CB35" s="3"/>
      <c r="CC35" s="3"/>
      <c r="CD35" s="3"/>
      <c r="CE35" s="3"/>
    </row>
    <row r="36" spans="2:94" x14ac:dyDescent="0.2">
      <c r="B36" s="7" t="s">
        <v>128</v>
      </c>
      <c r="C36" s="18">
        <v>9</v>
      </c>
      <c r="D36" s="7" t="s">
        <v>8</v>
      </c>
      <c r="F36" s="10" t="s">
        <v>117</v>
      </c>
      <c r="G36" s="18">
        <f>$C$13</f>
        <v>50</v>
      </c>
      <c r="H36" s="7" t="s">
        <v>10</v>
      </c>
      <c r="J36" s="7" t="s">
        <v>61</v>
      </c>
      <c r="K36" s="7">
        <f>ROUND($C$17/$C$5 * 100, 2)</f>
        <v>36.72</v>
      </c>
      <c r="L36" s="7" t="s">
        <v>62</v>
      </c>
      <c r="AM36" s="3">
        <v>32</v>
      </c>
      <c r="AN36" s="3">
        <f t="shared" si="25"/>
        <v>1089.3088728189468</v>
      </c>
      <c r="AO36" s="7">
        <v>1.6425303442701988E-5</v>
      </c>
      <c r="AP36" s="3">
        <f t="shared" si="26"/>
        <v>1089.3088728189468</v>
      </c>
      <c r="AQ36" s="7">
        <v>2.7061037144449074E-6</v>
      </c>
      <c r="AR36" s="3">
        <f t="shared" si="17"/>
        <v>1089.3088728189468</v>
      </c>
      <c r="AS36" s="7">
        <v>1.1371412369953759E-5</v>
      </c>
      <c r="AT36" s="3">
        <f t="shared" si="18"/>
        <v>1.8677889874858545E-10</v>
      </c>
      <c r="AU36" s="3">
        <f t="shared" si="19"/>
        <v>3.0772221252816636E-11</v>
      </c>
      <c r="AV36" s="3">
        <f t="shared" si="20"/>
        <v>0</v>
      </c>
      <c r="AX36" s="51"/>
      <c r="AY36" s="4">
        <v>5.8781249999999998</v>
      </c>
      <c r="AZ36" s="27" t="s">
        <v>44</v>
      </c>
      <c r="BF36" s="3" t="s">
        <v>195</v>
      </c>
      <c r="BG36" s="3">
        <f xml:space="preserve"> $BO$65 * PI() * $AY$45 * BG34^2 * $BO$71 * $AY$25 * BG31</f>
        <v>288.25932308493145</v>
      </c>
      <c r="BH36" s="27" t="s">
        <v>23</v>
      </c>
      <c r="BJ36" s="3" t="s">
        <v>195</v>
      </c>
      <c r="BK36" s="3">
        <f xml:space="preserve"> $BS$65 * PI() * $AY$45 * BK34^2 * $BS$71 * $AY$26 * BK31</f>
        <v>251.3990504918265</v>
      </c>
      <c r="BL36" s="27" t="s">
        <v>23</v>
      </c>
      <c r="BN36" s="3" t="s">
        <v>215</v>
      </c>
      <c r="BO36" s="3">
        <f xml:space="preserve"> 4*BO30*SIN(BO23)*COS(BO23) / (BO27*BO34)</f>
        <v>10.575779973527091</v>
      </c>
      <c r="BP36" s="3"/>
      <c r="BR36" s="3" t="s">
        <v>215</v>
      </c>
      <c r="BS36" s="3">
        <f xml:space="preserve"> 4*BS30*SIN(BS23)*COS(BS23) / (BS27*BS34)</f>
        <v>13.019863905029618</v>
      </c>
      <c r="BT36" s="3"/>
      <c r="BV36" s="61" t="s">
        <v>228</v>
      </c>
      <c r="BW36" s="61"/>
      <c r="BX36" s="61"/>
      <c r="BY36" s="61"/>
      <c r="BZ36" s="61"/>
      <c r="CA36" s="61"/>
      <c r="CB36" s="61"/>
      <c r="CC36" s="61"/>
      <c r="CD36" s="61"/>
      <c r="CE36" s="61"/>
      <c r="CG36" s="61" t="s">
        <v>229</v>
      </c>
      <c r="CH36" s="61"/>
      <c r="CI36" s="61"/>
      <c r="CJ36" s="61"/>
      <c r="CK36" s="61"/>
      <c r="CL36" s="61"/>
      <c r="CM36" s="61"/>
      <c r="CN36" s="61"/>
      <c r="CO36" s="61"/>
      <c r="CP36" s="61"/>
    </row>
    <row r="37" spans="2:94" x14ac:dyDescent="0.2">
      <c r="B37" s="7" t="s">
        <v>129</v>
      </c>
      <c r="C37" s="18">
        <v>1.8</v>
      </c>
      <c r="D37" s="7" t="s">
        <v>8</v>
      </c>
      <c r="F37" s="7" t="s">
        <v>99</v>
      </c>
      <c r="G37" s="18">
        <v>1.524</v>
      </c>
      <c r="H37" s="7" t="s">
        <v>10</v>
      </c>
      <c r="J37" s="12" t="s">
        <v>56</v>
      </c>
      <c r="K37" s="7">
        <f>ROUND(K17/$C$5 * 100, 2)</f>
        <v>9.7200000000000006</v>
      </c>
      <c r="L37" s="7" t="s">
        <v>62</v>
      </c>
      <c r="AB37" s="17" t="s">
        <v>110</v>
      </c>
      <c r="AM37" s="3">
        <v>33</v>
      </c>
      <c r="AN37" s="3">
        <f t="shared" si="25"/>
        <v>1089.3088728189468</v>
      </c>
      <c r="AO37" s="7">
        <v>1.6425303442701988E-5</v>
      </c>
      <c r="AP37" s="3">
        <f t="shared" si="26"/>
        <v>1089.3088728189468</v>
      </c>
      <c r="AQ37" s="7">
        <v>2.0743674440382165E-6</v>
      </c>
      <c r="AR37" s="3">
        <f t="shared" si="17"/>
        <v>1089.3088728189468</v>
      </c>
      <c r="AS37" s="7">
        <v>1.1371412369953759E-5</v>
      </c>
      <c r="AT37" s="3">
        <f t="shared" si="18"/>
        <v>1.8677889874858545E-10</v>
      </c>
      <c r="AU37" s="3">
        <f t="shared" si="19"/>
        <v>2.3588487612965538E-11</v>
      </c>
      <c r="AV37" s="3">
        <f t="shared" si="20"/>
        <v>0</v>
      </c>
      <c r="AX37" s="51"/>
      <c r="AY37" s="4">
        <v>4.3968749999999996</v>
      </c>
      <c r="AZ37" s="27" t="s">
        <v>44</v>
      </c>
      <c r="BF37" s="3" t="s">
        <v>199</v>
      </c>
      <c r="BG37" s="3">
        <f xml:space="preserve"> $BO$65 * PI() * $AY$45 * BG34^2 * $BO$72 * $AY$25^2 * BG31</f>
        <v>59.74556963869567</v>
      </c>
      <c r="BH37" s="27" t="s">
        <v>200</v>
      </c>
      <c r="BJ37" s="3" t="s">
        <v>199</v>
      </c>
      <c r="BK37" s="3">
        <f xml:space="preserve"> $BS$65 * PI() * $AY$45 * BK34^2 * $BS$72 * $AY$26^2 * BK31</f>
        <v>59.394483032196035</v>
      </c>
      <c r="BL37" s="27" t="s">
        <v>200</v>
      </c>
      <c r="BN37" s="3" t="s">
        <v>46</v>
      </c>
      <c r="BO37" s="3">
        <f>1/(BO35-1)</f>
        <v>4.5938128247322831</v>
      </c>
      <c r="BP37" s="3"/>
      <c r="BR37" s="3" t="s">
        <v>46</v>
      </c>
      <c r="BS37" s="3">
        <f>1/(BS35-1)</f>
        <v>5.1586060493479291</v>
      </c>
      <c r="BT37" s="3"/>
      <c r="BV37" s="8" t="s">
        <v>45</v>
      </c>
      <c r="BW37" s="8" t="s">
        <v>46</v>
      </c>
      <c r="BX37" s="8" t="s">
        <v>47</v>
      </c>
      <c r="BY37" s="8" t="s">
        <v>48</v>
      </c>
      <c r="BZ37" s="8" t="s">
        <v>49</v>
      </c>
      <c r="CA37" s="8" t="s">
        <v>50</v>
      </c>
      <c r="CB37" s="8" t="s">
        <v>51</v>
      </c>
      <c r="CC37" s="8" t="s">
        <v>52</v>
      </c>
      <c r="CD37" s="8" t="s">
        <v>53</v>
      </c>
      <c r="CE37" s="8" t="s">
        <v>54</v>
      </c>
      <c r="CG37" s="8" t="s">
        <v>45</v>
      </c>
      <c r="CH37" s="8" t="s">
        <v>46</v>
      </c>
      <c r="CI37" s="8" t="s">
        <v>47</v>
      </c>
      <c r="CJ37" s="8" t="s">
        <v>48</v>
      </c>
      <c r="CK37" s="8" t="s">
        <v>49</v>
      </c>
      <c r="CL37" s="8" t="s">
        <v>50</v>
      </c>
      <c r="CM37" s="8" t="s">
        <v>51</v>
      </c>
      <c r="CN37" s="8" t="s">
        <v>52</v>
      </c>
      <c r="CO37" s="8" t="s">
        <v>53</v>
      </c>
      <c r="CP37" s="8" t="s">
        <v>54</v>
      </c>
    </row>
    <row r="38" spans="2:94" x14ac:dyDescent="0.2">
      <c r="F38" s="7" t="s">
        <v>98</v>
      </c>
      <c r="G38" s="18">
        <v>304.8</v>
      </c>
      <c r="H38" s="7" t="s">
        <v>8</v>
      </c>
      <c r="J38" s="20" t="s">
        <v>83</v>
      </c>
      <c r="K38" s="7">
        <f>ROUND(SUM(K18:K21)/$C$5 * 100, 2)</f>
        <v>18.2</v>
      </c>
      <c r="L38" s="7" t="s">
        <v>62</v>
      </c>
      <c r="AB38" s="8" t="s">
        <v>45</v>
      </c>
      <c r="AC38" s="8" t="s">
        <v>46</v>
      </c>
      <c r="AD38" s="8" t="s">
        <v>47</v>
      </c>
      <c r="AE38" s="8" t="s">
        <v>48</v>
      </c>
      <c r="AF38" s="8" t="s">
        <v>49</v>
      </c>
      <c r="AG38" s="8" t="s">
        <v>50</v>
      </c>
      <c r="AH38" s="8" t="s">
        <v>51</v>
      </c>
      <c r="AI38" s="8" t="s">
        <v>52</v>
      </c>
      <c r="AJ38" s="8" t="s">
        <v>53</v>
      </c>
      <c r="AK38" s="8" t="s">
        <v>54</v>
      </c>
      <c r="AM38" s="3">
        <v>34</v>
      </c>
      <c r="AN38" s="3">
        <f t="shared" si="25"/>
        <v>1089.3088728189468</v>
      </c>
      <c r="AO38" s="7">
        <v>1.6425303442701988E-5</v>
      </c>
      <c r="AP38" s="3">
        <f t="shared" si="26"/>
        <v>1089.3088728189468</v>
      </c>
      <c r="AQ38" s="7">
        <v>1.7584991383046145E-6</v>
      </c>
      <c r="AR38" s="3">
        <f t="shared" si="17"/>
        <v>1089.3088728189468</v>
      </c>
      <c r="AS38" s="7">
        <v>1.1371412369953759E-5</v>
      </c>
      <c r="AT38" s="3">
        <f t="shared" si="18"/>
        <v>1.8677889874858545E-10</v>
      </c>
      <c r="AU38" s="3">
        <f t="shared" si="19"/>
        <v>1.999661885387012E-11</v>
      </c>
      <c r="AV38" s="3">
        <f t="shared" si="20"/>
        <v>0</v>
      </c>
      <c r="AX38" s="51"/>
      <c r="AY38" s="4">
        <v>2.9156249999999999</v>
      </c>
      <c r="AZ38" s="27" t="s">
        <v>44</v>
      </c>
      <c r="BN38" s="3" t="s">
        <v>218</v>
      </c>
      <c r="BO38" s="3">
        <f>1/(BO36+1)</f>
        <v>8.6387267405472659E-2</v>
      </c>
      <c r="BP38" s="3"/>
      <c r="BR38" s="3" t="s">
        <v>218</v>
      </c>
      <c r="BS38" s="3">
        <f>1/(BS36+1)</f>
        <v>7.1327368566056523E-2</v>
      </c>
      <c r="BT38" s="3"/>
      <c r="BV38" s="31">
        <v>0</v>
      </c>
      <c r="BW38" s="31"/>
      <c r="BX38" s="31">
        <f>$BO$39</f>
        <v>-1.1401832908375376E-8</v>
      </c>
      <c r="BY38" s="31"/>
      <c r="BZ38" s="31">
        <f>$BO$39</f>
        <v>-1.1401832908375376E-8</v>
      </c>
      <c r="CA38" s="31"/>
      <c r="CB38" s="31">
        <f>$BO$39</f>
        <v>-1.1401832908375376E-8</v>
      </c>
      <c r="CC38" s="31"/>
      <c r="CD38" s="31"/>
      <c r="CE38" s="31"/>
      <c r="CG38" s="31">
        <v>0</v>
      </c>
      <c r="CH38" s="31"/>
      <c r="CI38" s="31">
        <f>$BS$39</f>
        <v>1.721123313314088E-10</v>
      </c>
      <c r="CJ38" s="31"/>
      <c r="CK38" s="31">
        <f>$BS$39</f>
        <v>1.721123313314088E-10</v>
      </c>
      <c r="CL38" s="31"/>
      <c r="CM38" s="31">
        <f>$BS$39</f>
        <v>1.721123313314088E-10</v>
      </c>
      <c r="CN38" s="31"/>
      <c r="CO38" s="31"/>
      <c r="CP38" s="31"/>
    </row>
    <row r="39" spans="2:94" x14ac:dyDescent="0.2">
      <c r="B39" s="55" t="s">
        <v>130</v>
      </c>
      <c r="C39" s="55"/>
      <c r="D39" s="55"/>
      <c r="F39" s="7" t="s">
        <v>105</v>
      </c>
      <c r="G39" s="7">
        <f>$G$38/$G$37</f>
        <v>200</v>
      </c>
      <c r="H39" s="7" t="s">
        <v>14</v>
      </c>
      <c r="J39" s="21" t="s">
        <v>73</v>
      </c>
      <c r="K39" s="7">
        <f>ROUND(SUM(K22:K27)/$C$5 * 100, 2)</f>
        <v>30.68</v>
      </c>
      <c r="L39" s="7" t="s">
        <v>62</v>
      </c>
      <c r="AB39" s="3">
        <v>0</v>
      </c>
      <c r="AC39" s="4">
        <v>0</v>
      </c>
      <c r="AD39" s="3">
        <f t="shared" ref="AD39:AD69" si="27" xml:space="preserve"> $O$22 * TAN($O$19/180*PI()) + $O$23 / (2 * SQRT($O$22^2 + AC39^2)) - AC39</f>
        <v>0.60170351636308683</v>
      </c>
      <c r="AE39" s="4">
        <v>1</v>
      </c>
      <c r="AF39" s="3">
        <f t="shared" ref="AF39:AF69" si="28" xml:space="preserve"> $O$22 * TAN($O$19/180*PI()) + $O$23 / (2 * SQRT($O$22^2 + AE39^2)) - AE39</f>
        <v>-0.67500875457667875</v>
      </c>
      <c r="AG39" s="3">
        <f xml:space="preserve"> (AC39 + AE39)/2</f>
        <v>0.5</v>
      </c>
      <c r="AH39" s="3">
        <f t="shared" ref="AH39:AH69" si="29" xml:space="preserve"> $O$22 * TAN($O$19/180*PI()) + $O$23 / (2 * SQRT($O$22^2 + AG39^2)) - AG39</f>
        <v>-0.16713430828897213</v>
      </c>
      <c r="AI39" s="3">
        <f>AD39*AH39</f>
        <v>-0.10056530100238674</v>
      </c>
      <c r="AJ39" s="3">
        <f>AF39*AH39</f>
        <v>0.11281712128517375</v>
      </c>
      <c r="AK39" s="3">
        <f>AE39-AC39</f>
        <v>1</v>
      </c>
      <c r="AM39" s="3">
        <v>35</v>
      </c>
      <c r="AN39" s="3">
        <f t="shared" si="25"/>
        <v>1089.3088728189468</v>
      </c>
      <c r="AO39" s="7">
        <v>1.6425303442701988E-5</v>
      </c>
      <c r="AP39" s="3">
        <f t="shared" si="26"/>
        <v>1089.3088728189468</v>
      </c>
      <c r="AQ39" s="7">
        <v>1.6005650422812323E-6</v>
      </c>
      <c r="AR39" s="3">
        <f t="shared" si="17"/>
        <v>1089.3088728189468</v>
      </c>
      <c r="AS39" s="7">
        <v>1.1371412369953759E-5</v>
      </c>
      <c r="AT39" s="3">
        <f t="shared" si="18"/>
        <v>1.8677889874858545E-10</v>
      </c>
      <c r="AU39" s="3">
        <f t="shared" si="19"/>
        <v>1.8200685120712367E-11</v>
      </c>
      <c r="AV39" s="3">
        <f t="shared" si="20"/>
        <v>0</v>
      </c>
      <c r="AX39" s="51"/>
      <c r="AY39" s="4">
        <v>1.434375</v>
      </c>
      <c r="AZ39" s="27" t="s">
        <v>44</v>
      </c>
      <c r="BN39" s="8" t="s">
        <v>220</v>
      </c>
      <c r="BO39" s="41">
        <f>SIN(BO23)/(1+BO37) - $AY$3*COS(BO23)/($BC$5*$AY$21*(1-BO38))</f>
        <v>-1.1401832908375376E-8</v>
      </c>
      <c r="BP39" s="41"/>
      <c r="BR39" s="8" t="s">
        <v>220</v>
      </c>
      <c r="BS39" s="41">
        <f>SIN(BS23)/(1+BS37) - $AY$3*COS(BS23)/($BC$5*$AY$22*(1-BS38))</f>
        <v>1.721123313314088E-10</v>
      </c>
      <c r="BT39" s="41"/>
      <c r="BV39" s="3">
        <v>1</v>
      </c>
      <c r="BW39" s="4">
        <f>0.01*PI()</f>
        <v>3.1415926535897934E-2</v>
      </c>
      <c r="BX39" s="3">
        <f t="dataTable" ref="BX39:BX68" dt2D="0" dtr="0" r1="BO23" ca="1"/>
        <v>-2.5910733481711015</v>
      </c>
      <c r="BY39" s="4">
        <f>0.9*PI()</f>
        <v>2.8274333882308138</v>
      </c>
      <c r="BZ39" s="3">
        <f t="dataTable" ref="BZ39:BZ68" dt2D="0" dtr="0" r1="BO23" ca="1"/>
        <v>0.39655329211122592</v>
      </c>
      <c r="CA39" s="3">
        <f t="shared" ref="CA39:CA68" si="30">(BW39+BY39)/2</f>
        <v>1.4294246573833558</v>
      </c>
      <c r="CB39" s="3">
        <f t="dataTable" ref="CB39:CB68" dt2D="0" dtr="0" r1="BO23" ca="1"/>
        <v>1.1660097612177018</v>
      </c>
      <c r="CC39" s="3">
        <f t="shared" ref="CC39:CC68" si="31">BX39*CB39</f>
        <v>-3.0212168159985371</v>
      </c>
      <c r="CD39" s="3">
        <f t="shared" ref="CD39:CD68" si="32">BZ39*CB39</f>
        <v>0.46238500944470412</v>
      </c>
      <c r="CE39" s="3">
        <f t="shared" ref="CE39:CE68" si="33">BY39-BW39</f>
        <v>2.7960174616949161</v>
      </c>
      <c r="CG39" s="3">
        <v>1</v>
      </c>
      <c r="CH39" s="4">
        <f>0.01*PI()</f>
        <v>3.1415926535897934E-2</v>
      </c>
      <c r="CI39" s="3">
        <f t="dataTable" ref="CI39:CI68" dt2D="0" dtr="0" r1="BS23" ca="1"/>
        <v>-2.4049146536928308</v>
      </c>
      <c r="CJ39" s="4">
        <f>0.9*PI()</f>
        <v>2.8274333882308138</v>
      </c>
      <c r="CK39" s="3">
        <f t="dataTable" ref="CK39:CK68" dt2D="0" dtr="0" r1="BS23" ca="1"/>
        <v>0.37442376453637533</v>
      </c>
      <c r="CL39" s="3">
        <f t="shared" ref="CL39:CL68" si="34">(CH39+CJ39)/2</f>
        <v>1.4294246573833558</v>
      </c>
      <c r="CM39" s="3">
        <f t="dataTable" ref="CM39:CM68" dt2D="0" dtr="0" r1="BS23" ca="1"/>
        <v>1.1433002097453417</v>
      </c>
      <c r="CN39" s="3">
        <f t="shared" ref="CN39:CN68" si="35">CI39*CM39</f>
        <v>-2.7495394279866594</v>
      </c>
      <c r="CO39" s="3">
        <f t="shared" ref="CO39:CO68" si="36">CK39*CM39</f>
        <v>0.42807876852807836</v>
      </c>
      <c r="CP39" s="3">
        <f t="shared" ref="CP39:CP68" si="37">CJ39-CH39</f>
        <v>2.7960174616949161</v>
      </c>
    </row>
    <row r="40" spans="2:94" x14ac:dyDescent="0.2">
      <c r="B40" s="7" t="s">
        <v>144</v>
      </c>
      <c r="C40" s="23" t="s">
        <v>145</v>
      </c>
      <c r="F40" s="7" t="s">
        <v>264</v>
      </c>
      <c r="G40" s="7">
        <f>W21*$C$9</f>
        <v>157.07963267948966</v>
      </c>
      <c r="H40" s="7" t="s">
        <v>10</v>
      </c>
      <c r="J40" s="16" t="s">
        <v>74</v>
      </c>
      <c r="K40" s="7">
        <f>ROUND(SUM(K28:K31)/$C$5*100, 2)</f>
        <v>4.68</v>
      </c>
      <c r="L40" s="7" t="s">
        <v>62</v>
      </c>
      <c r="AB40" s="3">
        <v>1</v>
      </c>
      <c r="AC40" s="3">
        <f>IF(AI39&gt;0, AG39, AC39)</f>
        <v>0</v>
      </c>
      <c r="AD40" s="3">
        <f t="shared" si="27"/>
        <v>0.60170351636308683</v>
      </c>
      <c r="AE40" s="3">
        <f>IF(AJ39&gt;0, AG39, AE39)</f>
        <v>0.5</v>
      </c>
      <c r="AF40" s="3">
        <f t="shared" si="28"/>
        <v>-0.16713430828897213</v>
      </c>
      <c r="AG40" s="3">
        <f t="shared" ref="AG40:AG69" si="38" xml:space="preserve"> (AC40 + AE40)/2</f>
        <v>0.25</v>
      </c>
      <c r="AH40" s="3">
        <f t="shared" si="29"/>
        <v>9.8488583093004956E-2</v>
      </c>
      <c r="AI40" s="3">
        <f t="shared" ref="AI40:AI69" si="39">AD40*AH40</f>
        <v>5.9260926768679147E-2</v>
      </c>
      <c r="AJ40" s="3">
        <f t="shared" ref="AJ40:AJ69" si="40">AF40*AH40</f>
        <v>-1.646082120961034E-2</v>
      </c>
      <c r="AK40" s="3">
        <f t="shared" ref="AK40:AK69" si="41">AE40-AC40</f>
        <v>0.5</v>
      </c>
      <c r="AM40" s="3">
        <v>36</v>
      </c>
      <c r="AN40" s="3">
        <f t="shared" si="25"/>
        <v>1089.3088728189468</v>
      </c>
      <c r="AO40" s="7">
        <v>1.6425303442701988E-5</v>
      </c>
      <c r="AP40" s="3">
        <f t="shared" si="26"/>
        <v>1089.3088728189468</v>
      </c>
      <c r="AQ40" s="7">
        <v>1.5215980511129601E-6</v>
      </c>
      <c r="AR40" s="3">
        <f t="shared" si="17"/>
        <v>1089.3088728189468</v>
      </c>
      <c r="AS40" s="7">
        <v>1.1371412369953759E-5</v>
      </c>
      <c r="AT40" s="3">
        <f t="shared" si="18"/>
        <v>1.8677889874858545E-10</v>
      </c>
      <c r="AU40" s="3">
        <f t="shared" si="19"/>
        <v>1.7302718900523447E-11</v>
      </c>
      <c r="AV40" s="3">
        <f t="shared" si="20"/>
        <v>0</v>
      </c>
      <c r="AX40" s="51"/>
      <c r="AY40" s="4">
        <v>-4.6875E-2</v>
      </c>
      <c r="AZ40" s="27" t="s">
        <v>44</v>
      </c>
      <c r="BV40" s="3">
        <v>2</v>
      </c>
      <c r="BW40" s="3">
        <f t="shared" ref="BW40:BW68" si="42">IF(CC39&gt;0,CA39,BW39)</f>
        <v>3.1415926535897934E-2</v>
      </c>
      <c r="BX40" s="3">
        <v>-2.5910733481711015</v>
      </c>
      <c r="BY40" s="3">
        <f t="shared" ref="BY40:BY68" si="43">IF(CD39&gt;0,CA39,BY39)</f>
        <v>1.4294246573833558</v>
      </c>
      <c r="BZ40" s="3">
        <v>1.1660097612177018</v>
      </c>
      <c r="CA40" s="3">
        <f t="shared" si="30"/>
        <v>0.73042029195962688</v>
      </c>
      <c r="CB40" s="3">
        <v>0.73768078883681798</v>
      </c>
      <c r="CC40" s="3">
        <f t="shared" si="31"/>
        <v>-1.9113850314129133</v>
      </c>
      <c r="CD40" s="3">
        <f t="shared" si="32"/>
        <v>0.86014300044650405</v>
      </c>
      <c r="CE40" s="3">
        <f t="shared" si="33"/>
        <v>1.3980087308474578</v>
      </c>
      <c r="CG40" s="3">
        <v>2</v>
      </c>
      <c r="CH40" s="3">
        <f t="shared" ref="CH40:CH68" si="44">IF(CN39&gt;0,CL39,CH39)</f>
        <v>3.1415926535897934E-2</v>
      </c>
      <c r="CI40" s="3">
        <v>-2.4049146536928308</v>
      </c>
      <c r="CJ40" s="3">
        <f t="shared" ref="CJ40:CJ68" si="45">IF(CO39&gt;0,CL39,CJ39)</f>
        <v>1.4294246573833558</v>
      </c>
      <c r="CK40" s="3">
        <v>1.1433002097453417</v>
      </c>
      <c r="CL40" s="3">
        <f t="shared" si="34"/>
        <v>0.73042029195962688</v>
      </c>
      <c r="CM40" s="3">
        <v>0.72900493143638512</v>
      </c>
      <c r="CN40" s="3">
        <f t="shared" si="35"/>
        <v>-1.7531946422256999</v>
      </c>
      <c r="CO40" s="3">
        <f t="shared" si="36"/>
        <v>0.83347149101660756</v>
      </c>
      <c r="CP40" s="3">
        <f t="shared" si="37"/>
        <v>1.3980087308474578</v>
      </c>
    </row>
    <row r="41" spans="2:94" x14ac:dyDescent="0.2">
      <c r="B41" s="7" t="s">
        <v>146</v>
      </c>
      <c r="C41" s="7">
        <f>IF(C40="wheeled",0.0325,0.014)</f>
        <v>3.2500000000000001E-2</v>
      </c>
      <c r="F41" s="7" t="s">
        <v>265</v>
      </c>
      <c r="G41" s="7">
        <f>G40/$C$67</f>
        <v>0.46143434115755327</v>
      </c>
      <c r="H41" s="7" t="s">
        <v>151</v>
      </c>
      <c r="J41" s="11" t="s">
        <v>63</v>
      </c>
      <c r="K41" s="11">
        <f>SUM(K36:K40)</f>
        <v>100</v>
      </c>
      <c r="L41" s="11" t="s">
        <v>62</v>
      </c>
      <c r="AB41" s="3">
        <v>2</v>
      </c>
      <c r="AC41" s="3">
        <f t="shared" ref="AC41:AC69" si="46">IF(AI40&gt;0, AG40, AC40)</f>
        <v>0.25</v>
      </c>
      <c r="AD41" s="3">
        <f t="shared" si="27"/>
        <v>9.8488583093004956E-2</v>
      </c>
      <c r="AE41" s="3">
        <f t="shared" ref="AE41:AE69" si="47">IF(AJ40&gt;0, AG40, AE40)</f>
        <v>0.5</v>
      </c>
      <c r="AF41" s="3">
        <f t="shared" si="28"/>
        <v>-0.16713430828897213</v>
      </c>
      <c r="AG41" s="3">
        <f t="shared" si="38"/>
        <v>0.375</v>
      </c>
      <c r="AH41" s="3">
        <f t="shared" si="29"/>
        <v>-3.6903665051729484E-2</v>
      </c>
      <c r="AI41" s="3">
        <f t="shared" si="39"/>
        <v>-3.6345896818836825E-3</v>
      </c>
      <c r="AJ41" s="3">
        <f t="shared" si="40"/>
        <v>6.1678685317487223E-3</v>
      </c>
      <c r="AK41" s="3">
        <f t="shared" si="41"/>
        <v>0.25</v>
      </c>
      <c r="AM41" s="3">
        <v>37</v>
      </c>
      <c r="AN41" s="3">
        <f t="shared" si="25"/>
        <v>1089.3088728189468</v>
      </c>
      <c r="AO41" s="7">
        <v>1.6425303442701988E-5</v>
      </c>
      <c r="AP41" s="3">
        <f t="shared" si="26"/>
        <v>1089.3088728189468</v>
      </c>
      <c r="AQ41" s="7">
        <v>1.4821147260590806E-6</v>
      </c>
      <c r="AR41" s="3">
        <f t="shared" si="17"/>
        <v>1089.3088728189468</v>
      </c>
      <c r="AS41" s="7">
        <v>1.1371412369953759E-5</v>
      </c>
      <c r="AT41" s="3">
        <f t="shared" si="18"/>
        <v>1.8677889874858545E-10</v>
      </c>
      <c r="AU41" s="3">
        <f t="shared" si="19"/>
        <v>1.6853737729598856E-11</v>
      </c>
      <c r="AV41" s="3">
        <f t="shared" si="20"/>
        <v>0</v>
      </c>
      <c r="AX41" s="51"/>
      <c r="AY41" s="4">
        <v>-1.528125</v>
      </c>
      <c r="AZ41" s="27" t="s">
        <v>44</v>
      </c>
      <c r="BB41" s="24" t="s">
        <v>164</v>
      </c>
      <c r="BC41" s="66" t="s">
        <v>239</v>
      </c>
      <c r="BD41" s="66"/>
      <c r="BE41" s="25"/>
      <c r="BF41" s="25"/>
      <c r="BG41" s="25"/>
      <c r="BH41" s="25"/>
      <c r="BI41" s="25"/>
      <c r="BJ41" s="25"/>
      <c r="BK41" s="25"/>
      <c r="BL41" s="26"/>
      <c r="BN41" s="62" t="s">
        <v>221</v>
      </c>
      <c r="BO41" s="62"/>
      <c r="BP41" s="62"/>
      <c r="BQ41" s="3"/>
      <c r="BR41" s="62" t="s">
        <v>222</v>
      </c>
      <c r="BS41" s="62"/>
      <c r="BT41" s="62"/>
      <c r="BV41" s="3">
        <v>3</v>
      </c>
      <c r="BW41" s="3">
        <f t="shared" si="42"/>
        <v>3.1415926535897934E-2</v>
      </c>
      <c r="BX41" s="3">
        <v>-2.5910733481711015</v>
      </c>
      <c r="BY41" s="3">
        <f t="shared" si="43"/>
        <v>0.73042029195962688</v>
      </c>
      <c r="BZ41" s="3">
        <v>0.73768078883681798</v>
      </c>
      <c r="CA41" s="3">
        <f t="shared" si="30"/>
        <v>0.38091810924776243</v>
      </c>
      <c r="CB41" s="3">
        <v>0.18925021405476961</v>
      </c>
      <c r="CC41" s="3">
        <f t="shared" si="31"/>
        <v>-0.49036118577298954</v>
      </c>
      <c r="CD41" s="3">
        <f t="shared" si="32"/>
        <v>0.13960624719145909</v>
      </c>
      <c r="CE41" s="3">
        <f t="shared" si="33"/>
        <v>0.6990043654237289</v>
      </c>
      <c r="CG41" s="3">
        <v>3</v>
      </c>
      <c r="CH41" s="3">
        <f t="shared" si="44"/>
        <v>3.1415926535897934E-2</v>
      </c>
      <c r="CI41" s="3">
        <v>-2.4049146536928308</v>
      </c>
      <c r="CJ41" s="3">
        <f t="shared" si="45"/>
        <v>0.73042029195962688</v>
      </c>
      <c r="CK41" s="3">
        <v>0.72900493143638512</v>
      </c>
      <c r="CL41" s="3">
        <f t="shared" si="34"/>
        <v>0.38091810924776243</v>
      </c>
      <c r="CM41" s="3">
        <v>0.26333130188886256</v>
      </c>
      <c r="CN41" s="3">
        <f t="shared" si="35"/>
        <v>-0.63328930668853611</v>
      </c>
      <c r="CO41" s="3">
        <f t="shared" si="36"/>
        <v>0.19196981767854429</v>
      </c>
      <c r="CP41" s="3">
        <f t="shared" si="37"/>
        <v>0.6990043654237289</v>
      </c>
    </row>
    <row r="42" spans="2:94" x14ac:dyDescent="0.2">
      <c r="B42" s="7" t="s">
        <v>131</v>
      </c>
      <c r="C42" s="18">
        <v>0.3</v>
      </c>
      <c r="D42" s="7" t="s">
        <v>8</v>
      </c>
      <c r="F42" s="7" t="s">
        <v>100</v>
      </c>
      <c r="G42" s="7">
        <f>SQRT($G$36^2-$G$37^2)</f>
        <v>49.976768843133506</v>
      </c>
      <c r="H42" s="7" t="s">
        <v>10</v>
      </c>
      <c r="AB42" s="3">
        <v>3</v>
      </c>
      <c r="AC42" s="3">
        <f>IF(AI41&gt;0, AG41, AC41)</f>
        <v>0.25</v>
      </c>
      <c r="AD42" s="3">
        <f t="shared" si="27"/>
        <v>9.8488583093004956E-2</v>
      </c>
      <c r="AE42" s="3">
        <f t="shared" si="47"/>
        <v>0.375</v>
      </c>
      <c r="AF42" s="3">
        <f t="shared" si="28"/>
        <v>-3.6903665051729484E-2</v>
      </c>
      <c r="AG42" s="3">
        <f t="shared" si="38"/>
        <v>0.3125</v>
      </c>
      <c r="AH42" s="3">
        <f t="shared" si="29"/>
        <v>2.9765757674126037E-2</v>
      </c>
      <c r="AI42" s="3">
        <f t="shared" si="39"/>
        <v>2.931587298014412E-3</v>
      </c>
      <c r="AJ42" s="3">
        <f t="shared" si="40"/>
        <v>-1.0984655512168936E-3</v>
      </c>
      <c r="AK42" s="3">
        <f t="shared" si="41"/>
        <v>0.125</v>
      </c>
      <c r="AM42" s="3">
        <v>38</v>
      </c>
      <c r="AN42" s="3">
        <f t="shared" si="25"/>
        <v>1089.3088728189468</v>
      </c>
      <c r="AO42" s="7">
        <v>1.6425303442701988E-5</v>
      </c>
      <c r="AP42" s="3">
        <f t="shared" si="26"/>
        <v>1089.3088728189468</v>
      </c>
      <c r="AQ42" s="7">
        <v>1.4623727793150465E-6</v>
      </c>
      <c r="AR42" s="3">
        <f t="shared" si="17"/>
        <v>1089.3088728189468</v>
      </c>
      <c r="AS42" s="7">
        <v>1.1371412369953759E-5</v>
      </c>
      <c r="AT42" s="3">
        <f t="shared" si="18"/>
        <v>1.8677889874858545E-10</v>
      </c>
      <c r="AU42" s="3">
        <f t="shared" si="19"/>
        <v>1.6629243912186779E-11</v>
      </c>
      <c r="AV42" s="3">
        <f t="shared" si="20"/>
        <v>0</v>
      </c>
      <c r="AX42" s="51"/>
      <c r="AY42" s="4">
        <v>-3.0093749999999999</v>
      </c>
      <c r="AZ42" s="27" t="s">
        <v>44</v>
      </c>
      <c r="BB42" s="28"/>
      <c r="BC42" s="63" t="s">
        <v>169</v>
      </c>
      <c r="BD42" s="63"/>
      <c r="BE42" s="63"/>
      <c r="BF42" s="63" t="s">
        <v>170</v>
      </c>
      <c r="BG42" s="63"/>
      <c r="BH42" s="63"/>
      <c r="BI42" s="63"/>
      <c r="BJ42" s="63" t="s">
        <v>171</v>
      </c>
      <c r="BK42" s="63"/>
      <c r="BL42" s="65"/>
      <c r="BN42" s="29" t="s">
        <v>175</v>
      </c>
      <c r="BO42" s="30">
        <f>CA102</f>
        <v>0.2646700203245928</v>
      </c>
      <c r="BP42" s="6" t="s">
        <v>176</v>
      </c>
      <c r="BQ42" s="3"/>
      <c r="BR42" s="29" t="s">
        <v>175</v>
      </c>
      <c r="BS42" s="30">
        <f>CL102</f>
        <v>0.24512877825559531</v>
      </c>
      <c r="BT42" s="6" t="s">
        <v>176</v>
      </c>
      <c r="BV42" s="3">
        <v>4</v>
      </c>
      <c r="BW42" s="3">
        <f t="shared" si="42"/>
        <v>3.1415926535897934E-2</v>
      </c>
      <c r="BX42" s="3">
        <v>-2.5910733481711015</v>
      </c>
      <c r="BY42" s="3">
        <f t="shared" si="43"/>
        <v>0.38091810924776243</v>
      </c>
      <c r="BZ42" s="3">
        <v>0.18925021405476961</v>
      </c>
      <c r="CA42" s="3">
        <f t="shared" si="30"/>
        <v>0.20616701789183017</v>
      </c>
      <c r="CB42" s="3">
        <v>-0.48803395710261332</v>
      </c>
      <c r="CC42" s="3">
        <f t="shared" si="31"/>
        <v>1.26453177925106</v>
      </c>
      <c r="CD42" s="3">
        <f t="shared" si="32"/>
        <v>-9.2360530847665823E-2</v>
      </c>
      <c r="CE42" s="3">
        <f t="shared" si="33"/>
        <v>0.34950218271186451</v>
      </c>
      <c r="CG42" s="3">
        <v>4</v>
      </c>
      <c r="CH42" s="3">
        <f t="shared" si="44"/>
        <v>3.1415926535897934E-2</v>
      </c>
      <c r="CI42" s="3">
        <v>-2.4049146536928308</v>
      </c>
      <c r="CJ42" s="3">
        <f t="shared" si="45"/>
        <v>0.38091810924776243</v>
      </c>
      <c r="CK42" s="3">
        <v>0.26333130188886256</v>
      </c>
      <c r="CL42" s="3">
        <f t="shared" si="34"/>
        <v>0.20616701789183017</v>
      </c>
      <c r="CM42" s="3">
        <v>-0.31527775512530082</v>
      </c>
      <c r="CN42" s="3">
        <f t="shared" si="35"/>
        <v>0.75821609328421591</v>
      </c>
      <c r="CO42" s="3">
        <f t="shared" si="36"/>
        <v>-8.302250171374348E-2</v>
      </c>
      <c r="CP42" s="3">
        <f t="shared" si="37"/>
        <v>0.34950218271186451</v>
      </c>
    </row>
    <row r="43" spans="2:94" x14ac:dyDescent="0.2">
      <c r="B43" s="7" t="s">
        <v>132</v>
      </c>
      <c r="C43" s="18">
        <v>5.7</v>
      </c>
      <c r="F43" s="7" t="s">
        <v>101</v>
      </c>
      <c r="G43" s="7">
        <f>$G$42 * ($G$38/$G$37)</f>
        <v>9995.3537686267009</v>
      </c>
      <c r="H43" s="7" t="s">
        <v>8</v>
      </c>
      <c r="J43" s="55" t="s">
        <v>136</v>
      </c>
      <c r="K43" s="55"/>
      <c r="L43" s="55"/>
      <c r="AB43" s="3">
        <v>4</v>
      </c>
      <c r="AC43" s="3">
        <f t="shared" si="46"/>
        <v>0.3125</v>
      </c>
      <c r="AD43" s="3">
        <f t="shared" si="27"/>
        <v>2.9765757674126037E-2</v>
      </c>
      <c r="AE43" s="3">
        <f t="shared" si="47"/>
        <v>0.375</v>
      </c>
      <c r="AF43" s="3">
        <f t="shared" si="28"/>
        <v>-3.6903665051729484E-2</v>
      </c>
      <c r="AG43" s="3">
        <f t="shared" si="38"/>
        <v>0.34375</v>
      </c>
      <c r="AH43" s="3">
        <f t="shared" si="29"/>
        <v>-3.7566231563644914E-3</v>
      </c>
      <c r="AI43" s="3">
        <f t="shared" si="39"/>
        <v>-1.1181873454535593E-4</v>
      </c>
      <c r="AJ43" s="3">
        <f t="shared" si="40"/>
        <v>1.3863316268804599E-4</v>
      </c>
      <c r="AK43" s="3">
        <f t="shared" si="41"/>
        <v>6.25E-2</v>
      </c>
      <c r="AM43" s="3">
        <v>39</v>
      </c>
      <c r="AN43" s="3">
        <f t="shared" si="25"/>
        <v>1089.3088728189468</v>
      </c>
      <c r="AO43" s="7">
        <v>1.6425303442701988E-5</v>
      </c>
      <c r="AP43" s="3">
        <f t="shared" si="26"/>
        <v>1089.3088728189468</v>
      </c>
      <c r="AQ43" s="7">
        <v>1.4525018059430295E-6</v>
      </c>
      <c r="AR43" s="3">
        <f t="shared" si="17"/>
        <v>1089.3088728189468</v>
      </c>
      <c r="AS43" s="7">
        <v>1.1371412369953759E-5</v>
      </c>
      <c r="AT43" s="3">
        <f t="shared" si="18"/>
        <v>1.8677889874858545E-10</v>
      </c>
      <c r="AU43" s="3">
        <f t="shared" si="19"/>
        <v>1.651699700348074E-11</v>
      </c>
      <c r="AV43" s="3">
        <f t="shared" si="20"/>
        <v>0</v>
      </c>
      <c r="AX43" s="3"/>
      <c r="AY43" s="3"/>
      <c r="AZ43" s="27"/>
      <c r="BB43" s="28"/>
      <c r="BC43" s="5" t="s">
        <v>177</v>
      </c>
      <c r="BD43" s="3">
        <v>-180</v>
      </c>
      <c r="BE43" s="3">
        <v>-9.5</v>
      </c>
      <c r="BF43" s="63" t="s">
        <v>177</v>
      </c>
      <c r="BG43" s="63"/>
      <c r="BH43" s="3">
        <v>-9.5</v>
      </c>
      <c r="BI43" s="3">
        <v>18.5</v>
      </c>
      <c r="BJ43" s="5" t="s">
        <v>177</v>
      </c>
      <c r="BK43" s="3">
        <v>18.5</v>
      </c>
      <c r="BL43" s="32">
        <v>180</v>
      </c>
      <c r="BN43" s="3" t="s">
        <v>180</v>
      </c>
      <c r="BO43" s="3">
        <f>($AY$39+$AY$5)/180*PI()</f>
        <v>0.37410041685715956</v>
      </c>
      <c r="BP43" s="3" t="s">
        <v>176</v>
      </c>
      <c r="BQ43" s="3"/>
      <c r="BR43" s="3" t="s">
        <v>180</v>
      </c>
      <c r="BS43" s="3">
        <f>($AY$40+$AY$5)/180*PI()</f>
        <v>0.34824772731199355</v>
      </c>
      <c r="BT43" s="3" t="s">
        <v>176</v>
      </c>
      <c r="BV43" s="3">
        <v>5</v>
      </c>
      <c r="BW43" s="3">
        <f t="shared" si="42"/>
        <v>0.20616701789183017</v>
      </c>
      <c r="BX43" s="3">
        <v>-0.48803395710261332</v>
      </c>
      <c r="BY43" s="3">
        <f t="shared" si="43"/>
        <v>0.38091810924776243</v>
      </c>
      <c r="BZ43" s="3">
        <v>0.18925021405476961</v>
      </c>
      <c r="CA43" s="3">
        <f t="shared" si="30"/>
        <v>0.2935425635697963</v>
      </c>
      <c r="CB43" s="3">
        <v>-0.1129555774987526</v>
      </c>
      <c r="CC43" s="3">
        <f t="shared" si="31"/>
        <v>5.5126157463527142E-2</v>
      </c>
      <c r="CD43" s="3">
        <f t="shared" si="32"/>
        <v>-2.1376867220319045E-2</v>
      </c>
      <c r="CE43" s="3">
        <f t="shared" si="33"/>
        <v>0.17475109135593225</v>
      </c>
      <c r="CG43" s="3">
        <v>5</v>
      </c>
      <c r="CH43" s="3">
        <f t="shared" si="44"/>
        <v>0.20616701789183017</v>
      </c>
      <c r="CI43" s="3">
        <v>-0.31527775512530082</v>
      </c>
      <c r="CJ43" s="3">
        <f t="shared" si="45"/>
        <v>0.38091810924776243</v>
      </c>
      <c r="CK43" s="3">
        <v>0.26333130188886256</v>
      </c>
      <c r="CL43" s="3">
        <f t="shared" si="34"/>
        <v>0.2935425635697963</v>
      </c>
      <c r="CM43" s="3">
        <v>9.2267416672985256E-3</v>
      </c>
      <c r="CN43" s="3">
        <f t="shared" si="35"/>
        <v>-2.9089863999869543E-3</v>
      </c>
      <c r="CO43" s="3">
        <f t="shared" si="36"/>
        <v>2.4296898954419351E-3</v>
      </c>
      <c r="CP43" s="3">
        <f t="shared" si="37"/>
        <v>0.17475109135593225</v>
      </c>
    </row>
    <row r="44" spans="2:94" x14ac:dyDescent="0.2">
      <c r="F44" s="7" t="s">
        <v>115</v>
      </c>
      <c r="G44" s="7">
        <f>ATAN(G37/G42)/PI()*180</f>
        <v>1.7466458786346903</v>
      </c>
      <c r="H44" s="7" t="s">
        <v>44</v>
      </c>
      <c r="J44" s="7" t="s">
        <v>61</v>
      </c>
      <c r="K44" s="7">
        <f>C17</f>
        <v>400</v>
      </c>
      <c r="L44" s="7" t="s">
        <v>7</v>
      </c>
      <c r="AB44" s="3">
        <v>5</v>
      </c>
      <c r="AC44" s="3">
        <f t="shared" si="46"/>
        <v>0.3125</v>
      </c>
      <c r="AD44" s="3">
        <f t="shared" si="27"/>
        <v>2.9765757674126037E-2</v>
      </c>
      <c r="AE44" s="3">
        <f t="shared" si="47"/>
        <v>0.34375</v>
      </c>
      <c r="AF44" s="3">
        <f t="shared" si="28"/>
        <v>-3.7566231563644914E-3</v>
      </c>
      <c r="AG44" s="3">
        <f t="shared" si="38"/>
        <v>0.328125</v>
      </c>
      <c r="AH44" s="3">
        <f t="shared" si="29"/>
        <v>1.2951039843584089E-2</v>
      </c>
      <c r="AI44" s="3">
        <f t="shared" si="39"/>
        <v>3.8549751361207518E-4</v>
      </c>
      <c r="AJ44" s="3">
        <f t="shared" si="40"/>
        <v>-4.865217617540715E-5</v>
      </c>
      <c r="AK44" s="3">
        <f t="shared" si="41"/>
        <v>3.125E-2</v>
      </c>
      <c r="AM44" s="3">
        <v>40</v>
      </c>
      <c r="AN44" s="3">
        <f t="shared" si="25"/>
        <v>1089.3088728189468</v>
      </c>
      <c r="AO44" s="7">
        <v>1.6425303442701988E-5</v>
      </c>
      <c r="AP44" s="3">
        <f t="shared" si="26"/>
        <v>1089.3088728189468</v>
      </c>
      <c r="AQ44" s="7">
        <v>1.4475664329438587E-6</v>
      </c>
      <c r="AR44" s="6">
        <f t="shared" si="17"/>
        <v>1089.3088728189468</v>
      </c>
      <c r="AS44" s="7">
        <v>1.1371412369953759E-5</v>
      </c>
      <c r="AT44" s="3">
        <f t="shared" si="18"/>
        <v>1.8677889874858545E-10</v>
      </c>
      <c r="AU44" s="3">
        <f t="shared" si="19"/>
        <v>1.6460874841907634E-11</v>
      </c>
      <c r="AV44" s="3">
        <f t="shared" si="20"/>
        <v>0</v>
      </c>
      <c r="AX44" s="61" t="s">
        <v>230</v>
      </c>
      <c r="AY44" s="61"/>
      <c r="AZ44" s="61"/>
      <c r="BB44" s="33" t="s">
        <v>181</v>
      </c>
      <c r="BC44" s="3">
        <v>-4.9719999999999998E-5</v>
      </c>
      <c r="BD44" s="3">
        <v>-9.4228200000000002E-3</v>
      </c>
      <c r="BE44" s="3">
        <v>-0.58952914000000001</v>
      </c>
      <c r="BF44" s="3">
        <v>-2.3201E-4</v>
      </c>
      <c r="BG44" s="3">
        <v>1.5145600000000001E-3</v>
      </c>
      <c r="BH44" s="3">
        <v>0.11609899</v>
      </c>
      <c r="BI44" s="3">
        <v>0.17357117999999999</v>
      </c>
      <c r="BJ44" s="3">
        <v>6.9132000000000004E-4</v>
      </c>
      <c r="BK44" s="3">
        <v>-0.13722607000000001</v>
      </c>
      <c r="BL44" s="32">
        <v>3.6431797299999999</v>
      </c>
      <c r="BN44" s="3" t="s">
        <v>29</v>
      </c>
      <c r="BO44" s="3">
        <f>BO43-BO42</f>
        <v>0.10943039653256675</v>
      </c>
      <c r="BP44" s="3" t="s">
        <v>176</v>
      </c>
      <c r="BQ44" s="3"/>
      <c r="BR44" s="3" t="s">
        <v>29</v>
      </c>
      <c r="BS44" s="3">
        <f>BS43-BS42</f>
        <v>0.10311894905639823</v>
      </c>
      <c r="BT44" s="3" t="s">
        <v>176</v>
      </c>
      <c r="BV44" s="3">
        <v>6</v>
      </c>
      <c r="BW44" s="3">
        <f t="shared" si="42"/>
        <v>0.2935425635697963</v>
      </c>
      <c r="BX44" s="3">
        <v>-0.1129555774987526</v>
      </c>
      <c r="BY44" s="3">
        <f t="shared" si="43"/>
        <v>0.38091810924776243</v>
      </c>
      <c r="BZ44" s="3">
        <v>0.18925021405476961</v>
      </c>
      <c r="CA44" s="3">
        <f t="shared" si="30"/>
        <v>0.33723033640877936</v>
      </c>
      <c r="CB44" s="3">
        <v>4.6126758701077478E-2</v>
      </c>
      <c r="CC44" s="3">
        <f t="shared" si="31"/>
        <v>-5.210274667225818E-3</v>
      </c>
      <c r="CD44" s="3">
        <f t="shared" si="32"/>
        <v>8.7294989578316183E-3</v>
      </c>
      <c r="CE44" s="3">
        <f t="shared" si="33"/>
        <v>8.7375545677966127E-2</v>
      </c>
      <c r="CG44" s="3">
        <v>6</v>
      </c>
      <c r="CH44" s="3">
        <f t="shared" si="44"/>
        <v>0.20616701789183017</v>
      </c>
      <c r="CI44" s="3">
        <v>-0.31527775512530082</v>
      </c>
      <c r="CJ44" s="3">
        <f t="shared" si="45"/>
        <v>0.2935425635697963</v>
      </c>
      <c r="CK44" s="3">
        <v>9.2267416672985256E-3</v>
      </c>
      <c r="CL44" s="3">
        <f t="shared" si="34"/>
        <v>0.24985479073081324</v>
      </c>
      <c r="CM44" s="3">
        <v>-0.14174461856280959</v>
      </c>
      <c r="CN44" s="3">
        <f t="shared" si="35"/>
        <v>4.4688925141574652E-2</v>
      </c>
      <c r="CO44" s="3">
        <f t="shared" si="36"/>
        <v>-1.3078409782088113E-3</v>
      </c>
      <c r="CP44" s="3">
        <f t="shared" si="37"/>
        <v>8.7375545677966127E-2</v>
      </c>
    </row>
    <row r="45" spans="2:94" x14ac:dyDescent="0.2">
      <c r="B45" s="55" t="s">
        <v>273</v>
      </c>
      <c r="C45" s="55"/>
      <c r="D45" s="55"/>
      <c r="F45" s="7" t="s">
        <v>118</v>
      </c>
      <c r="G45" s="7">
        <f>1/1000 * (W25 + W20 * (W30 * W27 + $G$36 * SIN(W19/180*PI())))</f>
        <v>45.339798037090176</v>
      </c>
      <c r="H45" s="7" t="s">
        <v>123</v>
      </c>
      <c r="J45" s="12" t="s">
        <v>56</v>
      </c>
      <c r="K45" s="7">
        <f>ROUND(K17, 2)</f>
        <v>105.93</v>
      </c>
      <c r="L45" s="7" t="s">
        <v>7</v>
      </c>
      <c r="AB45" s="3">
        <v>6</v>
      </c>
      <c r="AC45" s="3">
        <f t="shared" si="46"/>
        <v>0.328125</v>
      </c>
      <c r="AD45" s="3">
        <f t="shared" si="27"/>
        <v>1.2951039843584089E-2</v>
      </c>
      <c r="AE45" s="3">
        <f t="shared" si="47"/>
        <v>0.34375</v>
      </c>
      <c r="AF45" s="3">
        <f t="shared" si="28"/>
        <v>-3.7566231563644914E-3</v>
      </c>
      <c r="AG45" s="3">
        <f t="shared" si="38"/>
        <v>0.3359375</v>
      </c>
      <c r="AH45" s="3">
        <f t="shared" si="29"/>
        <v>4.5847471961074637E-3</v>
      </c>
      <c r="AI45" s="3">
        <f t="shared" si="39"/>
        <v>5.9377243609548194E-5</v>
      </c>
      <c r="AJ45" s="3">
        <f t="shared" si="40"/>
        <v>-1.7223167482974471E-5</v>
      </c>
      <c r="AK45" s="3">
        <f t="shared" si="41"/>
        <v>1.5625E-2</v>
      </c>
      <c r="AX45" s="3" t="s">
        <v>20</v>
      </c>
      <c r="AY45" s="3">
        <f>$C$65</f>
        <v>1.2250000000000001</v>
      </c>
      <c r="AZ45" s="27" t="s">
        <v>16</v>
      </c>
      <c r="BB45" s="35" t="s">
        <v>185</v>
      </c>
      <c r="BC45" s="36">
        <v>-1.4875000000000001E-4</v>
      </c>
      <c r="BD45" s="36">
        <v>-2.818766E-2</v>
      </c>
      <c r="BE45" s="36">
        <v>-0.15965826999999999</v>
      </c>
      <c r="BF45" s="36">
        <v>-4.4100000000000001E-6</v>
      </c>
      <c r="BG45" s="36">
        <v>3.8060999999999998E-4</v>
      </c>
      <c r="BH45" s="36">
        <v>-2.2518899999999999E-3</v>
      </c>
      <c r="BI45" s="36">
        <v>6.2865899999999999E-3</v>
      </c>
      <c r="BJ45" s="36">
        <v>-2.0911000000000001E-4</v>
      </c>
      <c r="BK45" s="36">
        <v>4.150877E-2</v>
      </c>
      <c r="BL45" s="37">
        <v>-0.59881362999999999</v>
      </c>
      <c r="BN45" s="3" t="s">
        <v>189</v>
      </c>
      <c r="BO45" s="3">
        <f>BO44/PI()*180</f>
        <v>6.2698998717591126</v>
      </c>
      <c r="BP45" s="3" t="s">
        <v>44</v>
      </c>
      <c r="BQ45" s="3"/>
      <c r="BR45" s="3" t="s">
        <v>189</v>
      </c>
      <c r="BS45" s="3">
        <f>BS44/PI()*180</f>
        <v>5.9082805687561626</v>
      </c>
      <c r="BT45" s="3" t="s">
        <v>44</v>
      </c>
      <c r="BV45" s="3">
        <v>7</v>
      </c>
      <c r="BW45" s="3">
        <f t="shared" si="42"/>
        <v>0.2935425635697963</v>
      </c>
      <c r="BX45" s="3">
        <v>-0.1129555774987526</v>
      </c>
      <c r="BY45" s="3">
        <f t="shared" si="43"/>
        <v>0.33723033640877936</v>
      </c>
      <c r="BZ45" s="3">
        <v>4.6126758701077478E-2</v>
      </c>
      <c r="CA45" s="3">
        <f t="shared" si="30"/>
        <v>0.31538644998928783</v>
      </c>
      <c r="CB45" s="3">
        <v>-3.1373787734076897E-2</v>
      </c>
      <c r="CC45" s="3">
        <f t="shared" si="31"/>
        <v>3.5438443118259366E-3</v>
      </c>
      <c r="CD45" s="3">
        <f t="shared" si="32"/>
        <v>-1.4471711363485892E-3</v>
      </c>
      <c r="CE45" s="3">
        <f t="shared" si="33"/>
        <v>4.3687772838983063E-2</v>
      </c>
      <c r="CG45" s="3">
        <v>7</v>
      </c>
      <c r="CH45" s="3">
        <f t="shared" si="44"/>
        <v>0.24985479073081324</v>
      </c>
      <c r="CI45" s="3">
        <v>-0.14174461856280959</v>
      </c>
      <c r="CJ45" s="3">
        <f t="shared" si="45"/>
        <v>0.2935425635697963</v>
      </c>
      <c r="CK45" s="3">
        <v>9.2267416672985256E-3</v>
      </c>
      <c r="CL45" s="3">
        <f t="shared" si="34"/>
        <v>0.27169867715030477</v>
      </c>
      <c r="CM45" s="3">
        <v>-6.3926893154321707E-2</v>
      </c>
      <c r="CN45" s="3">
        <f t="shared" si="35"/>
        <v>9.0612930860648148E-3</v>
      </c>
      <c r="CO45" s="3">
        <f t="shared" si="36"/>
        <v>-5.8983692872792101E-4</v>
      </c>
      <c r="CP45" s="3">
        <f t="shared" si="37"/>
        <v>4.3687772838983063E-2</v>
      </c>
    </row>
    <row r="46" spans="2:94" x14ac:dyDescent="0.2">
      <c r="B46" s="7" t="s">
        <v>132</v>
      </c>
      <c r="C46" s="18">
        <v>3</v>
      </c>
      <c r="F46" s="44" t="s">
        <v>106</v>
      </c>
      <c r="G46" s="44">
        <f>$C$28*G45</f>
        <v>45.339798037090176</v>
      </c>
      <c r="H46" s="44" t="s">
        <v>123</v>
      </c>
      <c r="J46" s="20" t="s">
        <v>83</v>
      </c>
      <c r="K46" s="7">
        <f>ROUND(SUM(K18:K21), 2)</f>
        <v>198.24</v>
      </c>
      <c r="L46" s="7" t="s">
        <v>7</v>
      </c>
      <c r="AB46" s="3">
        <v>7</v>
      </c>
      <c r="AC46" s="3">
        <f t="shared" si="46"/>
        <v>0.3359375</v>
      </c>
      <c r="AD46" s="3">
        <f t="shared" si="27"/>
        <v>4.5847471961074637E-3</v>
      </c>
      <c r="AE46" s="3">
        <f t="shared" si="47"/>
        <v>0.34375</v>
      </c>
      <c r="AF46" s="3">
        <f t="shared" si="28"/>
        <v>-3.7566231563644914E-3</v>
      </c>
      <c r="AG46" s="3">
        <f t="shared" si="38"/>
        <v>0.33984375</v>
      </c>
      <c r="AH46" s="3">
        <f t="shared" si="29"/>
        <v>4.1105271918817632E-4</v>
      </c>
      <c r="AI46" s="3">
        <f t="shared" si="39"/>
        <v>1.8845728017503399E-6</v>
      </c>
      <c r="AJ46" s="3">
        <f t="shared" si="40"/>
        <v>-1.5441701633888938E-6</v>
      </c>
      <c r="AK46" s="3">
        <f t="shared" si="41"/>
        <v>7.8125E-3</v>
      </c>
      <c r="AX46" s="3" t="s">
        <v>32</v>
      </c>
      <c r="AY46" s="38">
        <f>$C$66</f>
        <v>1.7893802780775801E-5</v>
      </c>
      <c r="AZ46" s="27" t="s">
        <v>231</v>
      </c>
      <c r="BN46" s="3" t="s">
        <v>192</v>
      </c>
      <c r="BO46" s="3">
        <f xml:space="preserve"> $AY$8*$AY$31 / (2*PI()*$AY$23)</f>
        <v>0.23280121002319465</v>
      </c>
      <c r="BP46" s="3"/>
      <c r="BQ46" s="3"/>
      <c r="BR46" s="3" t="s">
        <v>192</v>
      </c>
      <c r="BS46" s="3">
        <f xml:space="preserve"> $AY$8*$AY$32 / (2*PI()*$AY$24)</f>
        <v>0.1949115247033035</v>
      </c>
      <c r="BT46" s="3"/>
      <c r="BV46" s="3">
        <v>8</v>
      </c>
      <c r="BW46" s="3">
        <f t="shared" si="42"/>
        <v>0.31538644998928783</v>
      </c>
      <c r="BX46" s="3">
        <v>-3.1373787734076897E-2</v>
      </c>
      <c r="BY46" s="3">
        <f t="shared" si="43"/>
        <v>0.33723033640877936</v>
      </c>
      <c r="BZ46" s="3">
        <v>4.6126758701077478E-2</v>
      </c>
      <c r="CA46" s="3">
        <f t="shared" si="30"/>
        <v>0.3263083931990336</v>
      </c>
      <c r="CB46" s="3">
        <v>7.8770441529274829E-3</v>
      </c>
      <c r="CC46" s="3">
        <f t="shared" si="31"/>
        <v>-2.4713271122589838E-4</v>
      </c>
      <c r="CD46" s="3">
        <f t="shared" si="32"/>
        <v>3.6334251491981925E-4</v>
      </c>
      <c r="CE46" s="3">
        <f t="shared" si="33"/>
        <v>2.1843886419491532E-2</v>
      </c>
      <c r="CG46" s="3">
        <v>8</v>
      </c>
      <c r="CH46" s="3">
        <f t="shared" si="44"/>
        <v>0.27169867715030477</v>
      </c>
      <c r="CI46" s="3">
        <v>-6.3926893154321707E-2</v>
      </c>
      <c r="CJ46" s="3">
        <f t="shared" si="45"/>
        <v>0.2935425635697963</v>
      </c>
      <c r="CK46" s="3">
        <v>9.2267416672985256E-3</v>
      </c>
      <c r="CL46" s="3">
        <f t="shared" si="34"/>
        <v>0.28262062036005053</v>
      </c>
      <c r="CM46" s="3">
        <v>-2.6807515131458091E-2</v>
      </c>
      <c r="CN46" s="3">
        <f t="shared" si="35"/>
        <v>1.7137211555415838E-3</v>
      </c>
      <c r="CO46" s="3">
        <f t="shared" si="36"/>
        <v>-2.4734601686016009E-4</v>
      </c>
      <c r="CP46" s="3">
        <f t="shared" si="37"/>
        <v>2.1843886419491532E-2</v>
      </c>
    </row>
    <row r="47" spans="2:94" x14ac:dyDescent="0.2">
      <c r="J47" s="21" t="s">
        <v>73</v>
      </c>
      <c r="K47" s="7">
        <f>ROUND(SUM(K22:K27), 2)</f>
        <v>334.15</v>
      </c>
      <c r="L47" s="7" t="s">
        <v>7</v>
      </c>
      <c r="AB47" s="3">
        <v>8</v>
      </c>
      <c r="AC47" s="3">
        <f t="shared" si="46"/>
        <v>0.33984375</v>
      </c>
      <c r="AD47" s="3">
        <f t="shared" si="27"/>
        <v>4.1105271918817632E-4</v>
      </c>
      <c r="AE47" s="3">
        <f t="shared" si="47"/>
        <v>0.34375</v>
      </c>
      <c r="AF47" s="3">
        <f t="shared" si="28"/>
        <v>-3.7566231563644914E-3</v>
      </c>
      <c r="AG47" s="3">
        <f t="shared" si="38"/>
        <v>0.341796875</v>
      </c>
      <c r="AH47" s="3">
        <f t="shared" si="29"/>
        <v>-1.6735248165972716E-3</v>
      </c>
      <c r="AI47" s="3">
        <f t="shared" si="39"/>
        <v>-6.879069264912026E-7</v>
      </c>
      <c r="AJ47" s="3">
        <f t="shared" si="40"/>
        <v>6.2868020787799486E-6</v>
      </c>
      <c r="AK47" s="3">
        <f t="shared" si="41"/>
        <v>3.90625E-3</v>
      </c>
      <c r="AM47" s="64" t="s">
        <v>243</v>
      </c>
      <c r="AN47" s="64"/>
      <c r="AO47" s="64"/>
      <c r="AP47" s="64"/>
      <c r="AQ47" s="3"/>
      <c r="AR47" s="3"/>
      <c r="AS47" s="3"/>
      <c r="AT47" s="3"/>
      <c r="AU47" s="3"/>
      <c r="AV47" s="3"/>
      <c r="BN47" s="3" t="s">
        <v>196</v>
      </c>
      <c r="BO47" s="3">
        <f>IF(-$AY$8*($BC$3-$AY$23)/(2*$AY$23*SIN(BO42))&gt;500, 1, 2*ACOS(MIN(1, EXP(-$AY$8*($BC$3-$AY$23)/(2*$AY$23*SIN(BO42)))))/PI() )</f>
        <v>0.91522179237392809</v>
      </c>
      <c r="BP47" s="3"/>
      <c r="BQ47" s="3"/>
      <c r="BR47" s="3" t="s">
        <v>196</v>
      </c>
      <c r="BS47" s="3">
        <f>IF(-$AY$8*($BC$3-$AY$24)/(2*$AY$24*SIN(BS42))&gt;500, 1, 2*ACOS(MIN(1, EXP(-$AY$8*($BC$3-$AY$24)/(2*$AY$24*SIN(BS42)))))/PI() )</f>
        <v>0.83318319531953178</v>
      </c>
      <c r="BT47" s="3"/>
      <c r="BV47" s="3">
        <v>9</v>
      </c>
      <c r="BW47" s="3">
        <f t="shared" si="42"/>
        <v>0.31538644998928783</v>
      </c>
      <c r="BX47" s="3">
        <v>-3.1373787734076897E-2</v>
      </c>
      <c r="BY47" s="3">
        <f t="shared" si="43"/>
        <v>0.3263083931990336</v>
      </c>
      <c r="BZ47" s="3">
        <v>7.8770441529274829E-3</v>
      </c>
      <c r="CA47" s="3">
        <f t="shared" si="30"/>
        <v>0.32084742159416069</v>
      </c>
      <c r="CB47" s="3">
        <v>-1.1622319619590364E-2</v>
      </c>
      <c r="CC47" s="3">
        <f t="shared" si="31"/>
        <v>3.6463618872262541E-4</v>
      </c>
      <c r="CD47" s="3">
        <f t="shared" si="32"/>
        <v>-9.1549524802948644E-5</v>
      </c>
      <c r="CE47" s="3">
        <f t="shared" si="33"/>
        <v>1.0921943209745766E-2</v>
      </c>
      <c r="CG47" s="3">
        <v>9</v>
      </c>
      <c r="CH47" s="3">
        <f t="shared" si="44"/>
        <v>0.28262062036005053</v>
      </c>
      <c r="CI47" s="3">
        <v>-2.6807515131458091E-2</v>
      </c>
      <c r="CJ47" s="3">
        <f t="shared" si="45"/>
        <v>0.2935425635697963</v>
      </c>
      <c r="CK47" s="3">
        <v>9.2267416672985256E-3</v>
      </c>
      <c r="CL47" s="3">
        <f t="shared" si="34"/>
        <v>0.28808159196492344</v>
      </c>
      <c r="CM47" s="3">
        <v>-8.6588493656241453E-3</v>
      </c>
      <c r="CN47" s="3">
        <f t="shared" si="35"/>
        <v>2.3212223538998558E-4</v>
      </c>
      <c r="CO47" s="3">
        <f t="shared" si="36"/>
        <v>-7.989296623266571E-5</v>
      </c>
      <c r="CP47" s="3">
        <f t="shared" si="37"/>
        <v>1.0921943209745766E-2</v>
      </c>
    </row>
    <row r="48" spans="2:94" x14ac:dyDescent="0.2">
      <c r="B48" s="55" t="s">
        <v>274</v>
      </c>
      <c r="C48" s="55"/>
      <c r="D48" s="55"/>
      <c r="F48" s="55" t="s">
        <v>86</v>
      </c>
      <c r="G48" s="55"/>
      <c r="H48" s="55"/>
      <c r="J48" s="16" t="s">
        <v>74</v>
      </c>
      <c r="K48" s="7">
        <f>ROUND(SUM(K28:K31), 2)</f>
        <v>50.99</v>
      </c>
      <c r="L48" s="7" t="s">
        <v>7</v>
      </c>
      <c r="AB48" s="3">
        <v>9</v>
      </c>
      <c r="AC48" s="3">
        <f t="shared" si="46"/>
        <v>0.33984375</v>
      </c>
      <c r="AD48" s="3">
        <f t="shared" si="27"/>
        <v>4.1105271918817632E-4</v>
      </c>
      <c r="AE48" s="3">
        <f t="shared" si="47"/>
        <v>0.341796875</v>
      </c>
      <c r="AF48" s="3">
        <f t="shared" si="28"/>
        <v>-1.6735248165972716E-3</v>
      </c>
      <c r="AG48" s="3">
        <f t="shared" si="38"/>
        <v>0.3408203125</v>
      </c>
      <c r="AH48" s="3">
        <f t="shared" si="29"/>
        <v>-6.3142251668724114E-4</v>
      </c>
      <c r="AI48" s="3">
        <f t="shared" si="39"/>
        <v>-2.5954794244093212E-7</v>
      </c>
      <c r="AJ48" s="3">
        <f t="shared" si="40"/>
        <v>1.0567012514344029E-6</v>
      </c>
      <c r="AK48" s="3">
        <f t="shared" si="41"/>
        <v>1.953125E-3</v>
      </c>
      <c r="AM48" s="8" t="s">
        <v>45</v>
      </c>
      <c r="AN48" s="8" t="s">
        <v>46</v>
      </c>
      <c r="AO48" s="8" t="s">
        <v>47</v>
      </c>
      <c r="AP48" s="8" t="s">
        <v>48</v>
      </c>
      <c r="AQ48" s="8" t="s">
        <v>49</v>
      </c>
      <c r="AR48" s="8" t="s">
        <v>50</v>
      </c>
      <c r="AS48" s="8" t="s">
        <v>51</v>
      </c>
      <c r="AT48" s="8" t="s">
        <v>52</v>
      </c>
      <c r="AU48" s="8" t="s">
        <v>53</v>
      </c>
      <c r="AV48" s="8" t="s">
        <v>54</v>
      </c>
      <c r="BN48" s="3" t="s">
        <v>201</v>
      </c>
      <c r="BO48" s="3">
        <f>IF(-$AY$8*($AY$23-$AY$10)/(2*$AY$23*SIN(BO42))&gt;500, 1, 2*ACOS(MIN(1, EXP(-$AY$8*($AY$23-$AY$10)/(2*$AY$23*SIN(BO42)))))/PI() )</f>
        <v>0.95248114525644201</v>
      </c>
      <c r="BP48" s="3"/>
      <c r="BQ48" s="3"/>
      <c r="BR48" s="3" t="s">
        <v>201</v>
      </c>
      <c r="BS48" s="3">
        <f>IF(-$AY$8*($AY$24-$AY$10)/(2*$AY$24*SIN(BS42))&gt;500, 1, 2*ACOS(MIN(1, EXP(-$AY$8*($AY$24-$AY$10)/(2*$AY$24*SIN(BS42)))))/PI() )</f>
        <v>0.96737861131710456</v>
      </c>
      <c r="BT48" s="3"/>
      <c r="BV48" s="3">
        <v>10</v>
      </c>
      <c r="BW48" s="3">
        <f t="shared" si="42"/>
        <v>0.32084742159416069</v>
      </c>
      <c r="BX48" s="3">
        <v>-1.1622319619590364E-2</v>
      </c>
      <c r="BY48" s="3">
        <f t="shared" si="43"/>
        <v>0.3263083931990336</v>
      </c>
      <c r="BZ48" s="3">
        <v>7.8770441529274829E-3</v>
      </c>
      <c r="CA48" s="3">
        <f t="shared" si="30"/>
        <v>0.32357790739659714</v>
      </c>
      <c r="CB48" s="3">
        <v>-1.8412550865705632E-3</v>
      </c>
      <c r="CC48" s="3">
        <f t="shared" si="31"/>
        <v>2.1399655117319611E-5</v>
      </c>
      <c r="CD48" s="3">
        <f t="shared" si="32"/>
        <v>-1.4503647613718642E-5</v>
      </c>
      <c r="CE48" s="3">
        <f t="shared" si="33"/>
        <v>5.4609716048729107E-3</v>
      </c>
      <c r="CG48" s="3">
        <v>10</v>
      </c>
      <c r="CH48" s="3">
        <f t="shared" si="44"/>
        <v>0.28808159196492344</v>
      </c>
      <c r="CI48" s="3">
        <v>-8.6588493656241453E-3</v>
      </c>
      <c r="CJ48" s="3">
        <f t="shared" si="45"/>
        <v>0.2935425635697963</v>
      </c>
      <c r="CK48" s="3">
        <v>9.2267416672985256E-3</v>
      </c>
      <c r="CL48" s="3">
        <f t="shared" si="34"/>
        <v>0.29081207776735984</v>
      </c>
      <c r="CM48" s="3">
        <v>3.1636948250390873E-4</v>
      </c>
      <c r="CN48" s="3">
        <f t="shared" si="35"/>
        <v>-2.7393956928818092E-6</v>
      </c>
      <c r="CO48" s="3">
        <f t="shared" si="36"/>
        <v>2.9190594864804866E-6</v>
      </c>
      <c r="CP48" s="3">
        <f t="shared" si="37"/>
        <v>5.4609716048728552E-3</v>
      </c>
    </row>
    <row r="49" spans="2:94" x14ac:dyDescent="0.2">
      <c r="B49" s="7" t="s">
        <v>275</v>
      </c>
      <c r="C49" s="18">
        <v>2</v>
      </c>
      <c r="F49" s="7" t="s">
        <v>90</v>
      </c>
      <c r="G49" s="18">
        <v>1.524</v>
      </c>
      <c r="H49" s="7" t="s">
        <v>10</v>
      </c>
      <c r="J49" s="11" t="s">
        <v>63</v>
      </c>
      <c r="K49" s="11">
        <f>SUM(K44:K48)</f>
        <v>1089.3100000000002</v>
      </c>
      <c r="L49" s="7" t="s">
        <v>7</v>
      </c>
      <c r="AB49" s="3">
        <v>10</v>
      </c>
      <c r="AC49" s="3">
        <f t="shared" si="46"/>
        <v>0.33984375</v>
      </c>
      <c r="AD49" s="3">
        <f t="shared" si="27"/>
        <v>4.1105271918817632E-4</v>
      </c>
      <c r="AE49" s="3">
        <f t="shared" si="47"/>
        <v>0.3408203125</v>
      </c>
      <c r="AF49" s="3">
        <f t="shared" si="28"/>
        <v>-6.3142251668724114E-4</v>
      </c>
      <c r="AG49" s="3">
        <f t="shared" si="38"/>
        <v>0.34033203125</v>
      </c>
      <c r="AH49" s="3">
        <f t="shared" si="29"/>
        <v>-1.1023171374174856E-4</v>
      </c>
      <c r="AI49" s="3">
        <f t="shared" si="39"/>
        <v>-4.5311045674318409E-8</v>
      </c>
      <c r="AJ49" s="3">
        <f t="shared" si="40"/>
        <v>6.9602786109562424E-8</v>
      </c>
      <c r="AK49" s="3">
        <f t="shared" si="41"/>
        <v>9.765625E-4</v>
      </c>
      <c r="AM49" s="3">
        <v>0</v>
      </c>
      <c r="AN49" s="3"/>
      <c r="AO49" s="3">
        <f>$G$11</f>
        <v>4.3948944039584603E-6</v>
      </c>
      <c r="AP49" s="3"/>
      <c r="AQ49" s="3">
        <f>$G$11</f>
        <v>4.3948944039584603E-6</v>
      </c>
      <c r="AR49" s="3"/>
      <c r="AS49" s="3">
        <f>$G$11</f>
        <v>4.3948944039584603E-6</v>
      </c>
      <c r="AT49" s="3"/>
      <c r="AU49" s="3"/>
      <c r="AV49" s="3"/>
      <c r="BN49" s="3" t="s">
        <v>204</v>
      </c>
      <c r="BO49" s="3">
        <f>IF(BO42=0,1,BO47*BO48)</f>
        <v>0.87173150096397256</v>
      </c>
      <c r="BP49" s="3"/>
      <c r="BQ49" s="3"/>
      <c r="BR49" s="3" t="s">
        <v>204</v>
      </c>
      <c r="BS49" s="3">
        <f>IF(BS42=0,1,BS47*BS48)</f>
        <v>0.80600360246095659</v>
      </c>
      <c r="BT49" s="3"/>
      <c r="BV49" s="3">
        <v>11</v>
      </c>
      <c r="BW49" s="3">
        <f t="shared" si="42"/>
        <v>0.32357790739659714</v>
      </c>
      <c r="BX49" s="3">
        <v>-1.8412550865705632E-3</v>
      </c>
      <c r="BY49" s="3">
        <f t="shared" si="43"/>
        <v>0.3263083931990336</v>
      </c>
      <c r="BZ49" s="3">
        <v>7.8770441529274829E-3</v>
      </c>
      <c r="CA49" s="3">
        <f t="shared" si="30"/>
        <v>0.3249431502978154</v>
      </c>
      <c r="CB49" s="3">
        <v>3.0257253773655624E-3</v>
      </c>
      <c r="CC49" s="3">
        <f t="shared" si="31"/>
        <v>-5.5711322416399786E-6</v>
      </c>
      <c r="CD49" s="3">
        <f t="shared" si="32"/>
        <v>2.3833772392141705E-5</v>
      </c>
      <c r="CE49" s="3">
        <f t="shared" si="33"/>
        <v>2.7304858024364553E-3</v>
      </c>
      <c r="CG49" s="3">
        <v>11</v>
      </c>
      <c r="CH49" s="3">
        <f t="shared" si="44"/>
        <v>0.28808159196492344</v>
      </c>
      <c r="CI49" s="3">
        <v>-8.6588493656241453E-3</v>
      </c>
      <c r="CJ49" s="3">
        <f t="shared" si="45"/>
        <v>0.29081207776735984</v>
      </c>
      <c r="CK49" s="3">
        <v>3.1636948250390873E-4</v>
      </c>
      <c r="CL49" s="3">
        <f t="shared" si="34"/>
        <v>0.28944683486614164</v>
      </c>
      <c r="CM49" s="3">
        <v>-4.1630786641714199E-3</v>
      </c>
      <c r="CN49" s="3">
        <f t="shared" si="35"/>
        <v>3.6047471050304112E-5</v>
      </c>
      <c r="CO49" s="3">
        <f t="shared" si="36"/>
        <v>-1.3170710426069758E-6</v>
      </c>
      <c r="CP49" s="3">
        <f t="shared" si="37"/>
        <v>2.7304858024363998E-3</v>
      </c>
    </row>
    <row r="50" spans="2:94" x14ac:dyDescent="0.2">
      <c r="B50" s="7" t="s">
        <v>276</v>
      </c>
      <c r="C50" s="18">
        <v>2</v>
      </c>
      <c r="D50" s="7" t="s">
        <v>11</v>
      </c>
      <c r="F50" s="7" t="s">
        <v>96</v>
      </c>
      <c r="G50" s="18">
        <v>152.4</v>
      </c>
      <c r="H50" s="7" t="s">
        <v>8</v>
      </c>
      <c r="AB50" s="3">
        <v>11</v>
      </c>
      <c r="AC50" s="3">
        <f t="shared" si="46"/>
        <v>0.33984375</v>
      </c>
      <c r="AD50" s="3">
        <f t="shared" si="27"/>
        <v>4.1105271918817632E-4</v>
      </c>
      <c r="AE50" s="3">
        <f t="shared" si="47"/>
        <v>0.34033203125</v>
      </c>
      <c r="AF50" s="3">
        <f t="shared" si="28"/>
        <v>-1.1023171374174856E-4</v>
      </c>
      <c r="AG50" s="3">
        <f t="shared" si="38"/>
        <v>0.340087890625</v>
      </c>
      <c r="AH50" s="3">
        <f t="shared" si="29"/>
        <v>1.5039877410327751E-4</v>
      </c>
      <c r="AI50" s="3">
        <f t="shared" si="39"/>
        <v>6.1821825057720501E-8</v>
      </c>
      <c r="AJ50" s="3">
        <f t="shared" si="40"/>
        <v>-1.6578714614062392E-8</v>
      </c>
      <c r="AK50" s="3">
        <f t="shared" si="41"/>
        <v>4.8828125E-4</v>
      </c>
      <c r="AM50" s="3">
        <v>1</v>
      </c>
      <c r="AN50" s="4">
        <v>500</v>
      </c>
      <c r="AO50" s="3">
        <f t="dataTable" ref="AO50:AO79" dt2D="0" dtr="0" r1="C6" ca="1"/>
        <v>911.29827168077441</v>
      </c>
      <c r="AP50" s="4">
        <v>3000</v>
      </c>
      <c r="AQ50" s="3">
        <f t="dataTable" ref="AQ50:AQ79" dt2D="0" dtr="0" r1="C6" ca="1"/>
        <v>-10708.390084722228</v>
      </c>
      <c r="AR50" s="3">
        <f t="shared" ref="AR50:AR79" si="48">(AN50+AP50)/2</f>
        <v>1750</v>
      </c>
      <c r="AS50" s="3">
        <f t="dataTable" ref="AS50:AS79" dt2D="0" dtr="0" r1="C6" ca="1"/>
        <v>-2823.6015509655499</v>
      </c>
      <c r="AT50" s="3">
        <f t="shared" ref="AT50:AT79" si="49">AO50*AS50</f>
        <v>-2573143.2133100596</v>
      </c>
      <c r="AU50" s="3">
        <f t="shared" ref="AU50:AU79" si="50">AQ50*AS50</f>
        <v>30236226.851565801</v>
      </c>
      <c r="AV50" s="3">
        <f t="shared" ref="AV50:AV79" si="51">AP50-AN50</f>
        <v>2500</v>
      </c>
      <c r="BN50" s="3" t="s">
        <v>208</v>
      </c>
      <c r="BO50" s="3">
        <f>IF(BO45&lt;$BH$43, $BC$44*BO45^2 + $BD$44*BO45 + $BE$44, IF(BO45&gt;$BI$43, $BJ$44*BO45^2 + $BK$44*BO45 + $BL$44, $BF$44*BO45^3 + $BG$44*BO45^2 + $BH$44*BO45 + $BI$44))</f>
        <v>0.90385422464392717</v>
      </c>
      <c r="BP50" s="3"/>
      <c r="BQ50" s="3"/>
      <c r="BR50" s="3" t="s">
        <v>208</v>
      </c>
      <c r="BS50" s="3">
        <f>IF(BS45&lt;$BH$43, $BC$44*BS45^2 + $BD$44*BS45 + $BE$44, IF(BS45&gt;$BI$43, $BJ$44*BS45^2 + $BK$44*BS45 + $BL$44, $BF$44*BS45^3 + $BG$44*BS45^2 + $BH$44*BS45 + $BI$44))</f>
        <v>0.86453562107358817</v>
      </c>
      <c r="BT50" s="3"/>
      <c r="BV50" s="3">
        <v>12</v>
      </c>
      <c r="BW50" s="3">
        <f t="shared" si="42"/>
        <v>0.32357790739659714</v>
      </c>
      <c r="BX50" s="3">
        <v>-1.8412550865705632E-3</v>
      </c>
      <c r="BY50" s="3">
        <f t="shared" si="43"/>
        <v>0.3249431502978154</v>
      </c>
      <c r="BZ50" s="3">
        <v>3.0257253773655624E-3</v>
      </c>
      <c r="CA50" s="3">
        <f t="shared" si="30"/>
        <v>0.32426052884720624</v>
      </c>
      <c r="CB50" s="3">
        <v>5.9419464423358936E-4</v>
      </c>
      <c r="CC50" s="3">
        <f t="shared" si="31"/>
        <v>-1.0940639111080826E-6</v>
      </c>
      <c r="CD50" s="3">
        <f t="shared" si="32"/>
        <v>1.7978698141522732E-6</v>
      </c>
      <c r="CE50" s="3">
        <f t="shared" si="33"/>
        <v>1.3652429012182554E-3</v>
      </c>
      <c r="CG50" s="3">
        <v>12</v>
      </c>
      <c r="CH50" s="3">
        <f t="shared" si="44"/>
        <v>0.28944683486614164</v>
      </c>
      <c r="CI50" s="3">
        <v>-4.1630786641714199E-3</v>
      </c>
      <c r="CJ50" s="3">
        <f t="shared" si="45"/>
        <v>0.29081207776735984</v>
      </c>
      <c r="CK50" s="3">
        <v>3.1636948250390873E-4</v>
      </c>
      <c r="CL50" s="3">
        <f t="shared" si="34"/>
        <v>0.29012945631675074</v>
      </c>
      <c r="CM50" s="3">
        <v>-1.9213213350950664E-3</v>
      </c>
      <c r="CN50" s="3">
        <f t="shared" si="35"/>
        <v>7.9986118571516181E-6</v>
      </c>
      <c r="CO50" s="3">
        <f t="shared" si="36"/>
        <v>-6.0784743650774516E-7</v>
      </c>
      <c r="CP50" s="3">
        <f t="shared" si="37"/>
        <v>1.3652429012181999E-3</v>
      </c>
    </row>
    <row r="51" spans="2:94" x14ac:dyDescent="0.2">
      <c r="B51" s="7" t="s">
        <v>277</v>
      </c>
      <c r="C51" s="18">
        <f>0.15*1.25</f>
        <v>0.1875</v>
      </c>
      <c r="D51" s="7" t="s">
        <v>8</v>
      </c>
      <c r="F51" s="7" t="s">
        <v>95</v>
      </c>
      <c r="G51" s="7">
        <f xml:space="preserve"> $G$50/$G$49</f>
        <v>100</v>
      </c>
      <c r="H51" s="7" t="s">
        <v>14</v>
      </c>
      <c r="AB51" s="3">
        <v>12</v>
      </c>
      <c r="AC51" s="3">
        <f t="shared" si="46"/>
        <v>0.340087890625</v>
      </c>
      <c r="AD51" s="3">
        <f t="shared" si="27"/>
        <v>1.5039877410327751E-4</v>
      </c>
      <c r="AE51" s="3">
        <f t="shared" si="47"/>
        <v>0.34033203125</v>
      </c>
      <c r="AF51" s="3">
        <f t="shared" si="28"/>
        <v>-1.1023171374174856E-4</v>
      </c>
      <c r="AG51" s="3">
        <f t="shared" si="38"/>
        <v>0.3402099609375</v>
      </c>
      <c r="AH51" s="3">
        <f t="shared" si="29"/>
        <v>2.0080601140226584E-5</v>
      </c>
      <c r="AI51" s="3">
        <f t="shared" si="39"/>
        <v>3.0200977947469548E-9</v>
      </c>
      <c r="AJ51" s="3">
        <f t="shared" si="40"/>
        <v>-2.2135190766516867E-9</v>
      </c>
      <c r="AK51" s="3">
        <f t="shared" si="41"/>
        <v>2.44140625E-4</v>
      </c>
      <c r="AM51" s="3">
        <v>2</v>
      </c>
      <c r="AN51" s="3">
        <f t="shared" ref="AN51:AN79" si="52">IF(AT50&gt;0, AR50, AN50)</f>
        <v>500</v>
      </c>
      <c r="AO51" s="3">
        <v>911.29827168077441</v>
      </c>
      <c r="AP51" s="3">
        <f t="shared" ref="AP51:AP79" si="53">IF(AU50&gt;0, AR50, AP50)</f>
        <v>1750</v>
      </c>
      <c r="AQ51" s="3">
        <v>-2823.6015509655499</v>
      </c>
      <c r="AR51" s="3">
        <f t="shared" si="48"/>
        <v>1125</v>
      </c>
      <c r="AS51" s="3">
        <v>-437.41554732866143</v>
      </c>
      <c r="AT51" s="3">
        <f t="shared" si="49"/>
        <v>-398616.03228690912</v>
      </c>
      <c r="AU51" s="3">
        <f t="shared" si="50"/>
        <v>1235087.2178536532</v>
      </c>
      <c r="AV51" s="3">
        <f t="shared" si="51"/>
        <v>1250</v>
      </c>
      <c r="BN51" s="3" t="s">
        <v>209</v>
      </c>
      <c r="BO51" s="3">
        <f>IF(BO45&lt;$BH$43, $BC$45*BO45^2 + $BD$45*BO45 + $BE$45, IF(BO45&gt;$BI$43, $BJ$45*BO45^2 + $BK$45*BO45 + $BL$45, $BF$45*BO45^3 + $BG$45*BO45^2 + $BH$45*BO45 + $BI$45))</f>
        <v>6.0428930263901771E-3</v>
      </c>
      <c r="BP51" s="3"/>
      <c r="BQ51" s="3"/>
      <c r="BR51" s="3" t="s">
        <v>209</v>
      </c>
      <c r="BS51" s="3">
        <f>IF(BS45&lt;$BH$43, $BC$45*BS45^2 + $BD$45*BS45 + $BE$45, IF(BS45&gt;$BI$43, $BJ$45*BS45^2 + $BK$45*BS45 + $BL$45, $BF$45*BS45^3 + $BG$45*BS45^2 + $BH$45*BS45 + $BI$45))</f>
        <v>5.3585016942587719E-3</v>
      </c>
      <c r="BT51" s="3"/>
      <c r="BV51" s="3">
        <v>13</v>
      </c>
      <c r="BW51" s="3">
        <f t="shared" si="42"/>
        <v>0.32357790739659714</v>
      </c>
      <c r="BX51" s="3">
        <v>-1.8412550865705632E-3</v>
      </c>
      <c r="BY51" s="3">
        <f t="shared" si="43"/>
        <v>0.32426052884720624</v>
      </c>
      <c r="BZ51" s="3">
        <v>5.9419464423358936E-4</v>
      </c>
      <c r="CA51" s="3">
        <f t="shared" si="30"/>
        <v>0.32391921812190172</v>
      </c>
      <c r="CB51" s="3">
        <v>-6.2304011740291904E-4</v>
      </c>
      <c r="CC51" s="3">
        <f t="shared" si="31"/>
        <v>1.1471757853056456E-6</v>
      </c>
      <c r="CD51" s="3">
        <f t="shared" si="32"/>
        <v>-3.7020710090348123E-7</v>
      </c>
      <c r="CE51" s="3">
        <f t="shared" si="33"/>
        <v>6.8262145060909996E-4</v>
      </c>
      <c r="CG51" s="3">
        <v>13</v>
      </c>
      <c r="CH51" s="3">
        <f t="shared" si="44"/>
        <v>0.29012945631675074</v>
      </c>
      <c r="CI51" s="3">
        <v>-1.9213213350950664E-3</v>
      </c>
      <c r="CJ51" s="3">
        <f t="shared" si="45"/>
        <v>0.29081207776735984</v>
      </c>
      <c r="CK51" s="3">
        <v>3.1636948250390873E-4</v>
      </c>
      <c r="CL51" s="3">
        <f t="shared" si="34"/>
        <v>0.29047076704205532</v>
      </c>
      <c r="CM51" s="3">
        <v>-8.0196848355425232E-4</v>
      </c>
      <c r="CN51" s="3">
        <f t="shared" si="35"/>
        <v>1.540839157526622E-6</v>
      </c>
      <c r="CO51" s="3">
        <f t="shared" si="36"/>
        <v>-2.5371835412650324E-7</v>
      </c>
      <c r="CP51" s="3">
        <f t="shared" si="37"/>
        <v>6.8262145060909996E-4</v>
      </c>
    </row>
    <row r="52" spans="2:94" x14ac:dyDescent="0.2">
      <c r="F52" s="7" t="s">
        <v>22</v>
      </c>
      <c r="G52" s="7">
        <f xml:space="preserve"> $C$5 * $C$68 / $C$21</f>
        <v>1335.3088572037404</v>
      </c>
      <c r="H52" s="7" t="s">
        <v>23</v>
      </c>
      <c r="AB52" s="3">
        <v>13</v>
      </c>
      <c r="AC52" s="3">
        <f t="shared" si="46"/>
        <v>0.3402099609375</v>
      </c>
      <c r="AD52" s="3">
        <f t="shared" si="27"/>
        <v>2.0080601140226584E-5</v>
      </c>
      <c r="AE52" s="3">
        <f t="shared" si="47"/>
        <v>0.34033203125</v>
      </c>
      <c r="AF52" s="3">
        <f t="shared" si="28"/>
        <v>-1.1023171374174856E-4</v>
      </c>
      <c r="AG52" s="3">
        <f t="shared" si="38"/>
        <v>0.34027099609375</v>
      </c>
      <c r="AH52" s="3">
        <f t="shared" si="29"/>
        <v>-4.5076288172074541E-5</v>
      </c>
      <c r="AI52" s="3">
        <f t="shared" si="39"/>
        <v>-9.0515896366534206E-10</v>
      </c>
      <c r="AJ52" s="3">
        <f t="shared" si="40"/>
        <v>4.968836494324687E-9</v>
      </c>
      <c r="AK52" s="3">
        <f t="shared" si="41"/>
        <v>1.220703125E-4</v>
      </c>
      <c r="AM52" s="3">
        <v>3</v>
      </c>
      <c r="AN52" s="3">
        <f t="shared" si="52"/>
        <v>500</v>
      </c>
      <c r="AO52" s="3">
        <v>911.29827168077441</v>
      </c>
      <c r="AP52" s="3">
        <f t="shared" si="53"/>
        <v>1125</v>
      </c>
      <c r="AQ52" s="3">
        <v>-437.41554732866143</v>
      </c>
      <c r="AR52" s="3">
        <f t="shared" si="48"/>
        <v>812.5</v>
      </c>
      <c r="AS52" s="3">
        <v>366.62538867942135</v>
      </c>
      <c r="AT52" s="3">
        <f t="shared" si="49"/>
        <v>334105.08305784885</v>
      </c>
      <c r="AU52" s="3">
        <f t="shared" si="50"/>
        <v>-160367.64505379231</v>
      </c>
      <c r="AV52" s="3">
        <f t="shared" si="51"/>
        <v>625</v>
      </c>
      <c r="BN52" s="3" t="s">
        <v>211</v>
      </c>
      <c r="BO52" s="3">
        <f xml:space="preserve"> BO50*COS(BO42) - BO51*SIN(BO42)</f>
        <v>0.87080023678470508</v>
      </c>
      <c r="BP52" s="3"/>
      <c r="BQ52" s="3"/>
      <c r="BR52" s="3" t="s">
        <v>211</v>
      </c>
      <c r="BS52" s="3">
        <f xml:space="preserve"> BS50*COS(BS42) - BS51*SIN(BS42)</f>
        <v>0.83739085528160906</v>
      </c>
      <c r="BT52" s="3"/>
      <c r="BV52" s="3">
        <v>14</v>
      </c>
      <c r="BW52" s="3">
        <f t="shared" si="42"/>
        <v>0.32391921812190172</v>
      </c>
      <c r="BX52" s="3">
        <v>-6.2304011740291904E-4</v>
      </c>
      <c r="BY52" s="3">
        <f t="shared" si="43"/>
        <v>0.32426052884720624</v>
      </c>
      <c r="BZ52" s="3">
        <v>5.9419464423358936E-4</v>
      </c>
      <c r="CA52" s="3">
        <f t="shared" si="30"/>
        <v>0.32408987348455398</v>
      </c>
      <c r="CB52" s="3">
        <v>-1.4300239526233993E-5</v>
      </c>
      <c r="CC52" s="3">
        <f t="shared" si="31"/>
        <v>8.9096229133146902E-9</v>
      </c>
      <c r="CD52" s="3">
        <f t="shared" si="32"/>
        <v>-8.4971257377457207E-9</v>
      </c>
      <c r="CE52" s="3">
        <f t="shared" si="33"/>
        <v>3.4131072530452222E-4</v>
      </c>
      <c r="CG52" s="3">
        <v>14</v>
      </c>
      <c r="CH52" s="3">
        <f t="shared" si="44"/>
        <v>0.29047076704205532</v>
      </c>
      <c r="CI52" s="3">
        <v>-8.0196848355425232E-4</v>
      </c>
      <c r="CJ52" s="3">
        <f t="shared" si="45"/>
        <v>0.29081207776735984</v>
      </c>
      <c r="CK52" s="3">
        <v>3.1636948250390873E-4</v>
      </c>
      <c r="CL52" s="3">
        <f t="shared" si="34"/>
        <v>0.29064142240470758</v>
      </c>
      <c r="CM52" s="3">
        <v>-2.426727480103405E-4</v>
      </c>
      <c r="CN52" s="3">
        <f t="shared" si="35"/>
        <v>1.9461589572179597E-7</v>
      </c>
      <c r="CO52" s="3">
        <f t="shared" si="36"/>
        <v>-7.6774251705832866E-8</v>
      </c>
      <c r="CP52" s="3">
        <f t="shared" si="37"/>
        <v>3.4131072530452222E-4</v>
      </c>
    </row>
    <row r="53" spans="2:94" x14ac:dyDescent="0.2">
      <c r="B53" s="55" t="s">
        <v>278</v>
      </c>
      <c r="C53" s="55"/>
      <c r="D53" s="55"/>
      <c r="F53" s="44" t="s">
        <v>88</v>
      </c>
      <c r="G53" s="44">
        <f xml:space="preserve"> 1/1000 * IF( $G$49&gt;=2*SQRT(($C$5*$C$68)/(2*$C$65*$C$21*PI()*$C$7*$C$7)), ($C$5*$C$68)/$C$24 * ( ($G$49/2) - SQRT( ($G$49/2)^2 - ($C$5*$C$68)/(2*$C$65*$C$21*PI()*$C$7*$C$7 ) ) ), 1/$C$24 * SQRT(($C$5*$C$68)^3/(2*$C$65*$C$21*PI()*$C$7*$C$7)) )</f>
        <v>187.60453810914041</v>
      </c>
      <c r="H53" s="44" t="s">
        <v>123</v>
      </c>
      <c r="AB53" s="3">
        <v>14</v>
      </c>
      <c r="AC53" s="3">
        <f t="shared" si="46"/>
        <v>0.3402099609375</v>
      </c>
      <c r="AD53" s="3">
        <f t="shared" si="27"/>
        <v>2.0080601140226584E-5</v>
      </c>
      <c r="AE53" s="3">
        <f t="shared" si="47"/>
        <v>0.34027099609375</v>
      </c>
      <c r="AF53" s="3">
        <f t="shared" si="28"/>
        <v>-4.5076288172074541E-5</v>
      </c>
      <c r="AG53" s="3">
        <f t="shared" si="38"/>
        <v>0.340240478515625</v>
      </c>
      <c r="AH53" s="3">
        <f t="shared" si="29"/>
        <v>-1.2498026532303808E-5</v>
      </c>
      <c r="AI53" s="3">
        <f t="shared" si="39"/>
        <v>-2.5096788583516192E-10</v>
      </c>
      <c r="AJ53" s="3">
        <f t="shared" si="40"/>
        <v>5.633646455523599E-10</v>
      </c>
      <c r="AK53" s="3">
        <f t="shared" si="41"/>
        <v>6.103515625E-5</v>
      </c>
      <c r="AM53" s="3">
        <v>4</v>
      </c>
      <c r="AN53" s="3">
        <f t="shared" si="52"/>
        <v>812.5</v>
      </c>
      <c r="AO53" s="3">
        <v>366.62537954626691</v>
      </c>
      <c r="AP53" s="3">
        <f t="shared" si="53"/>
        <v>1125</v>
      </c>
      <c r="AQ53" s="3">
        <v>-437.41554732866143</v>
      </c>
      <c r="AR53" s="3">
        <f t="shared" si="48"/>
        <v>968.75</v>
      </c>
      <c r="AS53" s="3">
        <v>-2.9740738404227614</v>
      </c>
      <c r="AT53" s="3">
        <f t="shared" si="49"/>
        <v>-1090.3709505436186</v>
      </c>
      <c r="AU53" s="3">
        <f t="shared" si="50"/>
        <v>1300.9061367043762</v>
      </c>
      <c r="AV53" s="3">
        <f t="shared" si="51"/>
        <v>312.5</v>
      </c>
      <c r="BN53" s="3" t="s">
        <v>213</v>
      </c>
      <c r="BO53" s="3">
        <f xml:space="preserve"> BO50*SIN(BO42) + BO51*COS(BO42)</f>
        <v>0.24227241604958807</v>
      </c>
      <c r="BP53" s="3"/>
      <c r="BQ53" s="3"/>
      <c r="BR53" s="3" t="s">
        <v>213</v>
      </c>
      <c r="BS53" s="3">
        <f xml:space="preserve"> BS50*SIN(BS42) + BS51*COS(BS42)</f>
        <v>0.21500490491204458</v>
      </c>
      <c r="BT53" s="3"/>
      <c r="BV53" s="3">
        <v>15</v>
      </c>
      <c r="BW53" s="3">
        <f t="shared" si="42"/>
        <v>0.32408987348455398</v>
      </c>
      <c r="BX53" s="3">
        <v>-1.4300239526233993E-5</v>
      </c>
      <c r="BY53" s="3">
        <f t="shared" si="43"/>
        <v>0.32426052884720624</v>
      </c>
      <c r="BZ53" s="3">
        <v>5.9419464423358936E-4</v>
      </c>
      <c r="CA53" s="3">
        <f t="shared" si="30"/>
        <v>0.32417520116588011</v>
      </c>
      <c r="CB53" s="3">
        <v>2.8997782302992575E-4</v>
      </c>
      <c r="CC53" s="3">
        <f t="shared" si="31"/>
        <v>-4.1467523266238299E-9</v>
      </c>
      <c r="CD53" s="3">
        <f t="shared" si="32"/>
        <v>1.7230326939089747E-7</v>
      </c>
      <c r="CE53" s="3">
        <f t="shared" si="33"/>
        <v>1.7065536265226111E-4</v>
      </c>
      <c r="CG53" s="3">
        <v>15</v>
      </c>
      <c r="CH53" s="3">
        <f t="shared" si="44"/>
        <v>0.29064142240470758</v>
      </c>
      <c r="CI53" s="3">
        <v>-2.426727480103405E-4</v>
      </c>
      <c r="CJ53" s="3">
        <f t="shared" si="45"/>
        <v>0.29081207776735984</v>
      </c>
      <c r="CK53" s="3">
        <v>3.1636948250390873E-4</v>
      </c>
      <c r="CL53" s="3">
        <f t="shared" si="34"/>
        <v>0.29072675008603371</v>
      </c>
      <c r="CM53" s="3">
        <v>3.6880041899688132E-5</v>
      </c>
      <c r="CN53" s="3">
        <f t="shared" si="35"/>
        <v>-8.9497811145338169E-9</v>
      </c>
      <c r="CO53" s="3">
        <f t="shared" si="36"/>
        <v>1.1667719770526806E-8</v>
      </c>
      <c r="CP53" s="3">
        <f t="shared" si="37"/>
        <v>1.7065536265226111E-4</v>
      </c>
    </row>
    <row r="54" spans="2:94" x14ac:dyDescent="0.2">
      <c r="B54" s="7" t="s">
        <v>279</v>
      </c>
      <c r="C54" s="18">
        <v>1.2</v>
      </c>
      <c r="AB54" s="3">
        <v>15</v>
      </c>
      <c r="AC54" s="3">
        <f t="shared" si="46"/>
        <v>0.3402099609375</v>
      </c>
      <c r="AD54" s="3">
        <f t="shared" si="27"/>
        <v>2.0080601140226584E-5</v>
      </c>
      <c r="AE54" s="3">
        <f t="shared" si="47"/>
        <v>0.340240478515625</v>
      </c>
      <c r="AF54" s="3">
        <f t="shared" si="28"/>
        <v>-1.2498026532303808E-5</v>
      </c>
      <c r="AG54" s="3">
        <f t="shared" si="38"/>
        <v>0.3402252197265625</v>
      </c>
      <c r="AH54" s="3">
        <f t="shared" si="29"/>
        <v>3.7912415438157154E-6</v>
      </c>
      <c r="AI54" s="3">
        <f t="shared" si="39"/>
        <v>7.6130409267620248E-11</v>
      </c>
      <c r="AJ54" s="3">
        <f t="shared" si="40"/>
        <v>-4.738303740498126E-11</v>
      </c>
      <c r="AK54" s="3">
        <f t="shared" si="41"/>
        <v>3.0517578125E-5</v>
      </c>
      <c r="AM54" s="3">
        <v>5</v>
      </c>
      <c r="AN54" s="3">
        <f t="shared" si="52"/>
        <v>812.5</v>
      </c>
      <c r="AO54" s="3">
        <v>366.62537954626691</v>
      </c>
      <c r="AP54" s="3">
        <f t="shared" si="53"/>
        <v>968.75</v>
      </c>
      <c r="AQ54" s="3">
        <v>-2.9740738404227614</v>
      </c>
      <c r="AR54" s="3">
        <f t="shared" si="48"/>
        <v>890.625</v>
      </c>
      <c r="AS54" s="3">
        <v>189.93090879054876</v>
      </c>
      <c r="AT54" s="3">
        <f t="shared" si="49"/>
        <v>69633.491522902346</v>
      </c>
      <c r="AU54" s="3">
        <f t="shared" si="50"/>
        <v>-564.86854732169252</v>
      </c>
      <c r="AV54" s="3">
        <f t="shared" si="51"/>
        <v>156.25</v>
      </c>
      <c r="BN54" s="3" t="s">
        <v>39</v>
      </c>
      <c r="BO54" s="3">
        <f xml:space="preserve"> 4*BO49*SIN(BO42)*SIN(BO42) / (BO46*BO52)</f>
        <v>1.1770200700366156</v>
      </c>
      <c r="BP54" s="3"/>
      <c r="BQ54" s="3"/>
      <c r="BR54" s="3" t="s">
        <v>39</v>
      </c>
      <c r="BS54" s="3">
        <f xml:space="preserve"> 4*BS49*SIN(BS42)*SIN(BS42) / (BS46*BS52)</f>
        <v>1.1633320878228839</v>
      </c>
      <c r="BT54" s="3"/>
      <c r="BV54" s="3">
        <v>16</v>
      </c>
      <c r="BW54" s="3">
        <f t="shared" si="42"/>
        <v>0.32408987348455398</v>
      </c>
      <c r="BX54" s="3">
        <v>-1.4300239526233993E-5</v>
      </c>
      <c r="BY54" s="3">
        <f t="shared" si="43"/>
        <v>0.32417520116588011</v>
      </c>
      <c r="BZ54" s="3">
        <v>2.8997782302992575E-4</v>
      </c>
      <c r="CA54" s="3">
        <f t="shared" si="30"/>
        <v>0.32413253732521707</v>
      </c>
      <c r="CB54" s="3">
        <v>1.3784644736847956E-4</v>
      </c>
      <c r="CC54" s="3">
        <f t="shared" si="31"/>
        <v>-1.9712372152096651E-9</v>
      </c>
      <c r="CD54" s="3">
        <f t="shared" si="32"/>
        <v>3.9972412720320942E-8</v>
      </c>
      <c r="CE54" s="3">
        <f t="shared" si="33"/>
        <v>8.5327681326130556E-5</v>
      </c>
      <c r="CG54" s="3">
        <v>16</v>
      </c>
      <c r="CH54" s="3">
        <f t="shared" si="44"/>
        <v>0.29064142240470758</v>
      </c>
      <c r="CI54" s="3">
        <v>-2.426727480103405E-4</v>
      </c>
      <c r="CJ54" s="3">
        <f t="shared" si="45"/>
        <v>0.29072675008603371</v>
      </c>
      <c r="CK54" s="3">
        <v>3.6880041899688132E-5</v>
      </c>
      <c r="CL54" s="3">
        <f t="shared" si="34"/>
        <v>0.29068408624537068</v>
      </c>
      <c r="CM54" s="3">
        <v>-1.0288843270956499E-4</v>
      </c>
      <c r="CN54" s="3">
        <f t="shared" si="35"/>
        <v>2.4968218704107141E-8</v>
      </c>
      <c r="CO54" s="3">
        <f t="shared" si="36"/>
        <v>-3.7945297093219996E-9</v>
      </c>
      <c r="CP54" s="3">
        <f t="shared" si="37"/>
        <v>8.5327681326130556E-5</v>
      </c>
    </row>
    <row r="55" spans="2:94" x14ac:dyDescent="0.2">
      <c r="B55" s="7" t="s">
        <v>280</v>
      </c>
      <c r="C55" s="18">
        <v>2.5</v>
      </c>
      <c r="D55" s="7" t="s">
        <v>11</v>
      </c>
      <c r="AB55" s="3">
        <v>16</v>
      </c>
      <c r="AC55" s="3">
        <f t="shared" si="46"/>
        <v>0.3402252197265625</v>
      </c>
      <c r="AD55" s="3">
        <f t="shared" si="27"/>
        <v>3.7912415438157154E-6</v>
      </c>
      <c r="AE55" s="3">
        <f t="shared" si="47"/>
        <v>0.340240478515625</v>
      </c>
      <c r="AF55" s="3">
        <f t="shared" si="28"/>
        <v>-1.2498026532303808E-5</v>
      </c>
      <c r="AG55" s="3">
        <f t="shared" si="38"/>
        <v>0.34023284912109375</v>
      </c>
      <c r="AH55" s="3">
        <f t="shared" si="29"/>
        <v>-4.3534039335657582E-6</v>
      </c>
      <c r="AI55" s="3">
        <f t="shared" si="39"/>
        <v>-1.6504805849945252E-11</v>
      </c>
      <c r="AJ55" s="3">
        <f t="shared" si="40"/>
        <v>5.4408957867540611E-11</v>
      </c>
      <c r="AK55" s="3">
        <f t="shared" si="41"/>
        <v>1.52587890625E-5</v>
      </c>
      <c r="AM55" s="3">
        <v>6</v>
      </c>
      <c r="AN55" s="3">
        <f t="shared" si="52"/>
        <v>890.625</v>
      </c>
      <c r="AO55" s="3">
        <v>189.93089965739432</v>
      </c>
      <c r="AP55" s="3">
        <f t="shared" si="53"/>
        <v>968.75</v>
      </c>
      <c r="AQ55" s="3">
        <v>-2.9740738404227614</v>
      </c>
      <c r="AR55" s="3">
        <f t="shared" si="48"/>
        <v>929.6875</v>
      </c>
      <c r="AS55" s="3">
        <v>95.504730317825079</v>
      </c>
      <c r="AT55" s="3">
        <f t="shared" si="49"/>
        <v>18139.299350801339</v>
      </c>
      <c r="AU55" s="3">
        <f t="shared" si="50"/>
        <v>-284.03812007487414</v>
      </c>
      <c r="AV55" s="3">
        <f t="shared" si="51"/>
        <v>78.125</v>
      </c>
      <c r="BN55" s="3" t="s">
        <v>215</v>
      </c>
      <c r="BO55" s="3">
        <f xml:space="preserve"> 4*BO49*SIN(BO42)*COS(BO42) / (BO46*BO53)</f>
        <v>15.609312994668427</v>
      </c>
      <c r="BP55" s="3"/>
      <c r="BQ55" s="3"/>
      <c r="BR55" s="3" t="s">
        <v>215</v>
      </c>
      <c r="BS55" s="3">
        <f xml:space="preserve"> 4*BS49*SIN(BS42)*COS(BS42) / (BS46*BS53)</f>
        <v>18.112005758647964</v>
      </c>
      <c r="BT55" s="3"/>
      <c r="BV55" s="3">
        <v>17</v>
      </c>
      <c r="BW55" s="3">
        <f t="shared" si="42"/>
        <v>0.32408987348455398</v>
      </c>
      <c r="BX55" s="3">
        <v>-1.4300239526233993E-5</v>
      </c>
      <c r="BY55" s="3">
        <f t="shared" si="43"/>
        <v>0.32413253732521707</v>
      </c>
      <c r="BZ55" s="3">
        <v>1.3784644736847956E-4</v>
      </c>
      <c r="CA55" s="3">
        <f t="shared" si="30"/>
        <v>0.32411120540488553</v>
      </c>
      <c r="CB55" s="3">
        <v>6.1775017881349203E-5</v>
      </c>
      <c r="CC55" s="3">
        <f t="shared" si="31"/>
        <v>-8.8339755244068161E-10</v>
      </c>
      <c r="CD55" s="3">
        <f t="shared" si="32"/>
        <v>8.5154667510682868E-9</v>
      </c>
      <c r="CE55" s="3">
        <f t="shared" si="33"/>
        <v>4.2663840663093033E-5</v>
      </c>
      <c r="CG55" s="3">
        <v>17</v>
      </c>
      <c r="CH55" s="3">
        <f t="shared" si="44"/>
        <v>0.29068408624537068</v>
      </c>
      <c r="CI55" s="3">
        <v>-1.0288843270956499E-4</v>
      </c>
      <c r="CJ55" s="3">
        <f t="shared" si="45"/>
        <v>0.29072675008603371</v>
      </c>
      <c r="CK55" s="3">
        <v>3.6880041899688132E-5</v>
      </c>
      <c r="CL55" s="3">
        <f t="shared" si="34"/>
        <v>0.29070541816570217</v>
      </c>
      <c r="CM55" s="3">
        <v>-3.30022155291404E-5</v>
      </c>
      <c r="CN55" s="3">
        <f t="shared" si="35"/>
        <v>3.3955462317365229E-9</v>
      </c>
      <c r="CO55" s="3">
        <f t="shared" si="36"/>
        <v>-1.2171230914972363E-9</v>
      </c>
      <c r="CP55" s="3">
        <f t="shared" si="37"/>
        <v>4.2663840663037522E-5</v>
      </c>
    </row>
    <row r="56" spans="2:94" x14ac:dyDescent="0.2">
      <c r="B56" s="7" t="s">
        <v>281</v>
      </c>
      <c r="C56" s="18">
        <f>0.12*2.92</f>
        <v>0.35039999999999999</v>
      </c>
      <c r="D56" s="7" t="s">
        <v>8</v>
      </c>
      <c r="AB56" s="3">
        <v>17</v>
      </c>
      <c r="AC56" s="3">
        <f t="shared" si="46"/>
        <v>0.3402252197265625</v>
      </c>
      <c r="AD56" s="3">
        <f t="shared" si="27"/>
        <v>3.7912415438157154E-6</v>
      </c>
      <c r="AE56" s="3">
        <f t="shared" si="47"/>
        <v>0.34023284912109375</v>
      </c>
      <c r="AF56" s="3">
        <f t="shared" si="28"/>
        <v>-4.3534039335657582E-6</v>
      </c>
      <c r="AG56" s="3">
        <f t="shared" si="38"/>
        <v>0.34022903442382812</v>
      </c>
      <c r="AH56" s="3">
        <f t="shared" si="29"/>
        <v>-2.810840548095328E-7</v>
      </c>
      <c r="AI56" s="3">
        <f t="shared" si="39"/>
        <v>-1.0656575458980743E-12</v>
      </c>
      <c r="AJ56" s="3">
        <f t="shared" si="40"/>
        <v>1.2236724298704333E-12</v>
      </c>
      <c r="AK56" s="3">
        <f t="shared" si="41"/>
        <v>7.62939453125E-6</v>
      </c>
      <c r="AM56" s="3">
        <v>7</v>
      </c>
      <c r="AN56" s="3">
        <f t="shared" si="52"/>
        <v>929.6875</v>
      </c>
      <c r="AO56" s="3">
        <v>95.504721184670643</v>
      </c>
      <c r="AP56" s="3">
        <f t="shared" si="53"/>
        <v>968.75</v>
      </c>
      <c r="AQ56" s="3">
        <v>-2.9740738404227614</v>
      </c>
      <c r="AR56" s="3">
        <f t="shared" si="48"/>
        <v>949.21875</v>
      </c>
      <c r="AS56" s="3">
        <v>46.771906449391736</v>
      </c>
      <c r="AT56" s="3">
        <f t="shared" si="49"/>
        <v>4466.9378847246562</v>
      </c>
      <c r="AU56" s="3">
        <f t="shared" si="50"/>
        <v>-139.10310343783661</v>
      </c>
      <c r="AV56" s="3">
        <f t="shared" si="51"/>
        <v>39.0625</v>
      </c>
      <c r="BN56" s="3" t="s">
        <v>46</v>
      </c>
      <c r="BO56" s="3">
        <f>1/(BO54-1)</f>
        <v>5.649076965076083</v>
      </c>
      <c r="BP56" s="3"/>
      <c r="BQ56" s="3"/>
      <c r="BR56" s="3" t="s">
        <v>46</v>
      </c>
      <c r="BS56" s="3">
        <f>1/(BS54-1)</f>
        <v>6.1224956671367146</v>
      </c>
      <c r="BT56" s="3"/>
      <c r="BV56" s="3">
        <v>18</v>
      </c>
      <c r="BW56" s="3">
        <f t="shared" si="42"/>
        <v>0.32408987348455398</v>
      </c>
      <c r="BX56" s="3">
        <v>-1.4300239526233993E-5</v>
      </c>
      <c r="BY56" s="3">
        <f t="shared" si="43"/>
        <v>0.32411120540488553</v>
      </c>
      <c r="BZ56" s="3">
        <v>6.1775017881349203E-5</v>
      </c>
      <c r="CA56" s="3">
        <f t="shared" si="30"/>
        <v>0.32410053944471973</v>
      </c>
      <c r="CB56" s="3">
        <v>2.3737867674462898E-5</v>
      </c>
      <c r="CC56" s="3">
        <f t="shared" si="31"/>
        <v>-3.3945719358686651E-10</v>
      </c>
      <c r="CD56" s="3">
        <f t="shared" si="32"/>
        <v>1.4664072000550468E-9</v>
      </c>
      <c r="CE56" s="3">
        <f t="shared" si="33"/>
        <v>2.1331920331546517E-5</v>
      </c>
      <c r="CG56" s="3">
        <v>18</v>
      </c>
      <c r="CH56" s="3">
        <f t="shared" si="44"/>
        <v>0.29070541816570217</v>
      </c>
      <c r="CI56" s="3">
        <v>-3.30022155291404E-5</v>
      </c>
      <c r="CJ56" s="3">
        <f t="shared" si="45"/>
        <v>0.29072675008603371</v>
      </c>
      <c r="CK56" s="3">
        <v>3.6880041899688132E-5</v>
      </c>
      <c r="CL56" s="3">
        <f t="shared" si="34"/>
        <v>0.29071608412586791</v>
      </c>
      <c r="CM56" s="3">
        <v>1.9394081277601671E-6</v>
      </c>
      <c r="CN56" s="3">
        <f t="shared" si="35"/>
        <v>-6.400476503130769E-11</v>
      </c>
      <c r="CO56" s="3">
        <f t="shared" si="36"/>
        <v>7.1525453012390677E-11</v>
      </c>
      <c r="CP56" s="3">
        <f t="shared" si="37"/>
        <v>2.1331920331546517E-5</v>
      </c>
    </row>
    <row r="57" spans="2:94" x14ac:dyDescent="0.2">
      <c r="B57" s="7" t="s">
        <v>282</v>
      </c>
      <c r="C57" s="18">
        <v>35</v>
      </c>
      <c r="D57" s="7" t="s">
        <v>44</v>
      </c>
      <c r="AB57" s="3">
        <v>18</v>
      </c>
      <c r="AC57" s="3">
        <f t="shared" si="46"/>
        <v>0.3402252197265625</v>
      </c>
      <c r="AD57" s="3">
        <f t="shared" si="27"/>
        <v>3.7912415438157154E-6</v>
      </c>
      <c r="AE57" s="3">
        <f t="shared" si="47"/>
        <v>0.34022903442382812</v>
      </c>
      <c r="AF57" s="3">
        <f t="shared" si="28"/>
        <v>-2.810840548095328E-7</v>
      </c>
      <c r="AG57" s="3">
        <f t="shared" si="38"/>
        <v>0.34022712707519531</v>
      </c>
      <c r="AH57" s="3">
        <f t="shared" si="29"/>
        <v>1.7550780295194635E-6</v>
      </c>
      <c r="AI57" s="3">
        <f t="shared" si="39"/>
        <v>6.6539247381524148E-12</v>
      </c>
      <c r="AJ57" s="3">
        <f t="shared" si="40"/>
        <v>-4.9332444904445564E-13</v>
      </c>
      <c r="AK57" s="3">
        <f t="shared" si="41"/>
        <v>3.814697265625E-6</v>
      </c>
      <c r="AM57" s="3">
        <v>8</v>
      </c>
      <c r="AN57" s="3">
        <f t="shared" si="52"/>
        <v>949.21875</v>
      </c>
      <c r="AO57" s="3">
        <v>46.7718973162373</v>
      </c>
      <c r="AP57" s="3">
        <f t="shared" si="53"/>
        <v>968.75</v>
      </c>
      <c r="AQ57" s="3">
        <v>-2.9740738404227614</v>
      </c>
      <c r="AR57" s="3">
        <f t="shared" si="48"/>
        <v>958.984375</v>
      </c>
      <c r="AS57" s="3">
        <v>22.025560857157188</v>
      </c>
      <c r="AT57" s="3">
        <f t="shared" si="49"/>
        <v>1030.1772707434916</v>
      </c>
      <c r="AU57" s="3">
        <f t="shared" si="50"/>
        <v>-65.505644365910726</v>
      </c>
      <c r="AV57" s="3">
        <f t="shared" si="51"/>
        <v>19.53125</v>
      </c>
      <c r="BN57" s="3" t="s">
        <v>218</v>
      </c>
      <c r="BO57" s="3">
        <f>1/(BO55+1)</f>
        <v>6.0207186192529391E-2</v>
      </c>
      <c r="BP57" s="3"/>
      <c r="BQ57" s="3"/>
      <c r="BR57" s="3" t="s">
        <v>218</v>
      </c>
      <c r="BS57" s="3">
        <f>1/(BS55+1)</f>
        <v>5.2323131995055588E-2</v>
      </c>
      <c r="BT57" s="3"/>
      <c r="BV57" s="3">
        <v>19</v>
      </c>
      <c r="BW57" s="3">
        <f t="shared" si="42"/>
        <v>0.32408987348455398</v>
      </c>
      <c r="BX57" s="3">
        <v>-1.4300239526233993E-5</v>
      </c>
      <c r="BY57" s="3">
        <f t="shared" si="43"/>
        <v>0.32410053944471973</v>
      </c>
      <c r="BZ57" s="3">
        <v>2.3737867674462898E-5</v>
      </c>
      <c r="CA57" s="3">
        <f t="shared" si="30"/>
        <v>0.32409520646463685</v>
      </c>
      <c r="CB57" s="3">
        <v>4.7189336992367603E-6</v>
      </c>
      <c r="CC57" s="3">
        <f t="shared" si="31"/>
        <v>-6.7481882207503113E-11</v>
      </c>
      <c r="CD57" s="3">
        <f t="shared" si="32"/>
        <v>1.1201742371704592E-10</v>
      </c>
      <c r="CE57" s="3">
        <f t="shared" si="33"/>
        <v>1.0665960165745503E-5</v>
      </c>
      <c r="CG57" s="3">
        <v>19</v>
      </c>
      <c r="CH57" s="3">
        <f t="shared" si="44"/>
        <v>0.29070541816570217</v>
      </c>
      <c r="CI57" s="3">
        <v>-3.30022155291404E-5</v>
      </c>
      <c r="CJ57" s="3">
        <f t="shared" si="45"/>
        <v>0.29071608412586791</v>
      </c>
      <c r="CK57" s="3">
        <v>1.9394081277601671E-6</v>
      </c>
      <c r="CL57" s="3">
        <f t="shared" si="34"/>
        <v>0.29071075114578504</v>
      </c>
      <c r="CM57" s="3">
        <v>-1.5531279961802924E-5</v>
      </c>
      <c r="CN57" s="3">
        <f t="shared" si="35"/>
        <v>5.1256664874283962E-10</v>
      </c>
      <c r="CO57" s="3">
        <f t="shared" si="36"/>
        <v>-3.012149059243921E-11</v>
      </c>
      <c r="CP57" s="3">
        <f t="shared" si="37"/>
        <v>1.0665960165745503E-5</v>
      </c>
    </row>
    <row r="58" spans="2:94" x14ac:dyDescent="0.2">
      <c r="AB58" s="3">
        <v>19</v>
      </c>
      <c r="AC58" s="3">
        <f t="shared" si="46"/>
        <v>0.34022712707519531</v>
      </c>
      <c r="AD58" s="3">
        <f t="shared" si="27"/>
        <v>1.7550780295194635E-6</v>
      </c>
      <c r="AE58" s="3">
        <f t="shared" si="47"/>
        <v>0.34022903442382812</v>
      </c>
      <c r="AF58" s="3">
        <f t="shared" si="28"/>
        <v>-2.810840548095328E-7</v>
      </c>
      <c r="AG58" s="3">
        <f t="shared" si="38"/>
        <v>0.34022808074951172</v>
      </c>
      <c r="AH58" s="3">
        <f t="shared" si="29"/>
        <v>7.3699680863681394E-7</v>
      </c>
      <c r="AI58" s="3">
        <f t="shared" si="39"/>
        <v>1.2934869066644324E-12</v>
      </c>
      <c r="AJ58" s="3">
        <f t="shared" si="40"/>
        <v>-2.0715805135332096E-13</v>
      </c>
      <c r="AK58" s="3">
        <f t="shared" si="41"/>
        <v>1.9073486328125E-6</v>
      </c>
      <c r="AM58" s="3">
        <v>9</v>
      </c>
      <c r="AN58" s="3">
        <f t="shared" si="52"/>
        <v>958.984375</v>
      </c>
      <c r="AO58" s="3">
        <v>22.025551724002753</v>
      </c>
      <c r="AP58" s="3">
        <f t="shared" si="53"/>
        <v>968.75</v>
      </c>
      <c r="AQ58" s="3">
        <v>-2.9740738404227614</v>
      </c>
      <c r="AR58" s="3">
        <f t="shared" si="48"/>
        <v>963.8671875</v>
      </c>
      <c r="AS58" s="3">
        <v>9.5574046465353604</v>
      </c>
      <c r="AT58" s="3">
        <f t="shared" si="49"/>
        <v>210.50711038948882</v>
      </c>
      <c r="AU58" s="3">
        <f t="shared" si="50"/>
        <v>-28.424427141595764</v>
      </c>
      <c r="AV58" s="3">
        <f t="shared" si="51"/>
        <v>9.765625</v>
      </c>
      <c r="BN58" s="8" t="s">
        <v>220</v>
      </c>
      <c r="BO58" s="41">
        <f>SIN(BO42)/(1+BO56) - $AY$3*COS(BO42)/($BC$5*$AY$23*(1-BO57))</f>
        <v>-9.3825720942630753E-9</v>
      </c>
      <c r="BP58" s="41"/>
      <c r="BQ58" s="3"/>
      <c r="BR58" s="8" t="s">
        <v>220</v>
      </c>
      <c r="BS58" s="41">
        <f>SIN(BS42)/(1+BS56) - $AY$3*COS(BS42)/($BC$5*$AY$24*(1-BS57))</f>
        <v>-4.1780725684725795E-9</v>
      </c>
      <c r="BT58" s="41"/>
      <c r="BV58" s="3">
        <v>20</v>
      </c>
      <c r="BW58" s="3">
        <f t="shared" si="42"/>
        <v>0.32408987348455398</v>
      </c>
      <c r="BX58" s="3">
        <v>-1.4300239526233993E-5</v>
      </c>
      <c r="BY58" s="3">
        <f t="shared" si="43"/>
        <v>0.32409520646463685</v>
      </c>
      <c r="BZ58" s="3">
        <v>4.7189336992367603E-6</v>
      </c>
      <c r="CA58" s="3">
        <f t="shared" si="30"/>
        <v>0.32409253997459542</v>
      </c>
      <c r="CB58" s="3">
        <v>-4.790623007101813E-6</v>
      </c>
      <c r="CC58" s="3">
        <f t="shared" si="31"/>
        <v>6.8507056481443297E-11</v>
      </c>
      <c r="CD58" s="3">
        <f t="shared" si="32"/>
        <v>-2.260663234855169E-11</v>
      </c>
      <c r="CE58" s="3">
        <f t="shared" si="33"/>
        <v>5.3329800828727514E-6</v>
      </c>
      <c r="CG58" s="3">
        <v>20</v>
      </c>
      <c r="CH58" s="3">
        <f t="shared" si="44"/>
        <v>0.29071075114578504</v>
      </c>
      <c r="CI58" s="3">
        <v>-1.5531279961802924E-5</v>
      </c>
      <c r="CJ58" s="3">
        <f t="shared" si="45"/>
        <v>0.29071608412586791</v>
      </c>
      <c r="CK58" s="3">
        <v>1.9394081277601671E-6</v>
      </c>
      <c r="CL58" s="3">
        <f t="shared" si="34"/>
        <v>0.29071341763582648</v>
      </c>
      <c r="CM58" s="3">
        <v>-6.7959049827107099E-6</v>
      </c>
      <c r="CN58" s="3">
        <f t="shared" si="35"/>
        <v>1.055491028802915E-10</v>
      </c>
      <c r="CO58" s="3">
        <f t="shared" si="36"/>
        <v>-1.3180033358954968E-11</v>
      </c>
      <c r="CP58" s="3">
        <f t="shared" si="37"/>
        <v>5.3329800828727514E-6</v>
      </c>
    </row>
    <row r="59" spans="2:94" x14ac:dyDescent="0.2">
      <c r="B59" s="53" t="s">
        <v>2</v>
      </c>
      <c r="C59" s="54"/>
      <c r="D59" s="54"/>
      <c r="AB59" s="3">
        <v>20</v>
      </c>
      <c r="AC59" s="3">
        <f t="shared" si="46"/>
        <v>0.34022808074951172</v>
      </c>
      <c r="AD59" s="3">
        <f t="shared" si="27"/>
        <v>7.3699680863681394E-7</v>
      </c>
      <c r="AE59" s="3">
        <f t="shared" si="47"/>
        <v>0.34022903442382812</v>
      </c>
      <c r="AF59" s="3">
        <f t="shared" si="28"/>
        <v>-2.810840548095328E-7</v>
      </c>
      <c r="AG59" s="3">
        <f t="shared" si="38"/>
        <v>0.34022855758666992</v>
      </c>
      <c r="AH59" s="3">
        <f t="shared" si="29"/>
        <v>2.279563322549194E-7</v>
      </c>
      <c r="AI59" s="3">
        <f t="shared" si="39"/>
        <v>1.680030893804288E-13</v>
      </c>
      <c r="AJ59" s="3">
        <f t="shared" si="40"/>
        <v>-6.4074890189721832E-14</v>
      </c>
      <c r="AK59" s="3">
        <f t="shared" si="41"/>
        <v>9.5367431640625E-7</v>
      </c>
      <c r="AM59" s="3">
        <v>10</v>
      </c>
      <c r="AN59" s="3">
        <f t="shared" si="52"/>
        <v>963.8671875</v>
      </c>
      <c r="AO59" s="3">
        <v>9.557395513380925</v>
      </c>
      <c r="AP59" s="3">
        <f t="shared" si="53"/>
        <v>968.75</v>
      </c>
      <c r="AQ59" s="3">
        <v>-2.9740738404227614</v>
      </c>
      <c r="AR59" s="3">
        <f t="shared" si="48"/>
        <v>966.30859375</v>
      </c>
      <c r="AS59" s="3">
        <v>3.2995806875976541</v>
      </c>
      <c r="AT59" s="3">
        <f t="shared" si="49"/>
        <v>31.535397659684168</v>
      </c>
      <c r="AU59" s="3">
        <f t="shared" si="50"/>
        <v>-9.8131966073483312</v>
      </c>
      <c r="AV59" s="3">
        <f t="shared" si="51"/>
        <v>4.8828125</v>
      </c>
      <c r="BN59" s="3"/>
      <c r="BO59" s="3"/>
      <c r="BP59" s="3"/>
      <c r="BQ59" s="3"/>
      <c r="BR59" s="3"/>
      <c r="BS59" s="3"/>
      <c r="BT59" s="3"/>
      <c r="BV59" s="3">
        <v>21</v>
      </c>
      <c r="BW59" s="3">
        <f t="shared" si="42"/>
        <v>0.32409253997459542</v>
      </c>
      <c r="BX59" s="3">
        <v>-4.790623007101813E-6</v>
      </c>
      <c r="BY59" s="3">
        <f t="shared" si="43"/>
        <v>0.32409520646463685</v>
      </c>
      <c r="BZ59" s="3">
        <v>4.7189336992367603E-6</v>
      </c>
      <c r="CA59" s="3">
        <f t="shared" si="30"/>
        <v>0.32409387321961614</v>
      </c>
      <c r="CB59" s="3">
        <v>-3.5837177322917135E-8</v>
      </c>
      <c r="CC59" s="3">
        <f t="shared" si="31"/>
        <v>1.7168240619275418E-13</v>
      </c>
      <c r="CD59" s="3">
        <f t="shared" si="32"/>
        <v>-1.6911326375463709E-13</v>
      </c>
      <c r="CE59" s="3">
        <f t="shared" si="33"/>
        <v>2.6664900414363757E-6</v>
      </c>
      <c r="CG59" s="3">
        <v>21</v>
      </c>
      <c r="CH59" s="3">
        <f t="shared" si="44"/>
        <v>0.29071341763582648</v>
      </c>
      <c r="CI59" s="3">
        <v>-6.7959049827107099E-6</v>
      </c>
      <c r="CJ59" s="3">
        <f t="shared" si="45"/>
        <v>0.29071608412586791</v>
      </c>
      <c r="CK59" s="3">
        <v>1.9394081277601671E-6</v>
      </c>
      <c r="CL59" s="3">
        <f t="shared" si="34"/>
        <v>0.29071475088084719</v>
      </c>
      <c r="CM59" s="3">
        <v>-2.428240693880257E-6</v>
      </c>
      <c r="CN59" s="3">
        <f t="shared" si="35"/>
        <v>1.6502093030761749E-11</v>
      </c>
      <c r="CO59" s="3">
        <f t="shared" si="36"/>
        <v>-4.7093497378693585E-12</v>
      </c>
      <c r="CP59" s="3">
        <f t="shared" si="37"/>
        <v>2.6664900414363757E-6</v>
      </c>
    </row>
    <row r="60" spans="2:94" x14ac:dyDescent="0.2">
      <c r="B60" s="7" t="s">
        <v>3</v>
      </c>
      <c r="C60" s="18">
        <v>400</v>
      </c>
      <c r="D60" s="7" t="s">
        <v>4</v>
      </c>
      <c r="AB60" s="3">
        <v>21</v>
      </c>
      <c r="AC60" s="3">
        <f t="shared" si="46"/>
        <v>0.34022855758666992</v>
      </c>
      <c r="AD60" s="3">
        <f t="shared" si="27"/>
        <v>2.279563322549194E-7</v>
      </c>
      <c r="AE60" s="3">
        <f t="shared" si="47"/>
        <v>0.34022903442382812</v>
      </c>
      <c r="AF60" s="3">
        <f t="shared" si="28"/>
        <v>-2.810840548095328E-7</v>
      </c>
      <c r="AG60" s="3">
        <f t="shared" si="38"/>
        <v>0.34022879600524902</v>
      </c>
      <c r="AH60" s="3">
        <f t="shared" si="29"/>
        <v>-2.6563872435048097E-8</v>
      </c>
      <c r="AI60" s="3">
        <f t="shared" si="39"/>
        <v>-6.055402930781119E-15</v>
      </c>
      <c r="AJ60" s="3">
        <f t="shared" si="40"/>
        <v>7.4666809754864975E-15</v>
      </c>
      <c r="AK60" s="3">
        <f t="shared" si="41"/>
        <v>4.76837158203125E-7</v>
      </c>
      <c r="AM60" s="3">
        <v>11</v>
      </c>
      <c r="AN60" s="3">
        <f t="shared" si="52"/>
        <v>966.30859375</v>
      </c>
      <c r="AO60" s="3">
        <v>3.2995715544432187</v>
      </c>
      <c r="AP60" s="3">
        <f t="shared" si="53"/>
        <v>968.75</v>
      </c>
      <c r="AQ60" s="3">
        <v>-2.9740738404227614</v>
      </c>
      <c r="AR60" s="3">
        <f t="shared" si="48"/>
        <v>967.529296875</v>
      </c>
      <c r="AS60" s="3">
        <v>0.16473224472292713</v>
      </c>
      <c r="AT60" s="3">
        <f t="shared" si="49"/>
        <v>0.54354582878734936</v>
      </c>
      <c r="AU60" s="3">
        <f t="shared" si="50"/>
        <v>-0.48992585970457808</v>
      </c>
      <c r="AV60" s="3">
        <f t="shared" si="51"/>
        <v>2.44140625</v>
      </c>
      <c r="BN60" s="62" t="s">
        <v>227</v>
      </c>
      <c r="BO60" s="62"/>
      <c r="BP60" s="62"/>
      <c r="BQ60" s="3"/>
      <c r="BR60" s="62" t="s">
        <v>241</v>
      </c>
      <c r="BS60" s="62"/>
      <c r="BT60" s="62"/>
      <c r="BV60" s="3">
        <v>22</v>
      </c>
      <c r="BW60" s="3">
        <f t="shared" si="42"/>
        <v>0.32409387321961614</v>
      </c>
      <c r="BX60" s="3">
        <v>-3.5837177322917135E-8</v>
      </c>
      <c r="BY60" s="3">
        <f t="shared" si="43"/>
        <v>0.32409520646463685</v>
      </c>
      <c r="BZ60" s="3">
        <v>4.7189336992367603E-6</v>
      </c>
      <c r="CA60" s="3">
        <f t="shared" si="30"/>
        <v>0.32409453984212649</v>
      </c>
      <c r="CB60" s="3">
        <v>2.341550130152692E-6</v>
      </c>
      <c r="CC60" s="3">
        <f t="shared" si="31"/>
        <v>-8.3914547224781725E-14</v>
      </c>
      <c r="CD60" s="3">
        <f t="shared" si="32"/>
        <v>1.104961981762976E-11</v>
      </c>
      <c r="CE60" s="3">
        <f t="shared" si="33"/>
        <v>1.3332450207181878E-6</v>
      </c>
      <c r="CG60" s="3">
        <v>22</v>
      </c>
      <c r="CH60" s="3">
        <f t="shared" si="44"/>
        <v>0.29071475088084719</v>
      </c>
      <c r="CI60" s="3">
        <v>-2.428240693880257E-6</v>
      </c>
      <c r="CJ60" s="3">
        <f t="shared" si="45"/>
        <v>0.29071608412586791</v>
      </c>
      <c r="CK60" s="3">
        <v>1.9394081277601671E-6</v>
      </c>
      <c r="CL60" s="3">
        <f t="shared" si="34"/>
        <v>0.29071541750335755</v>
      </c>
      <c r="CM60" s="3">
        <v>-2.444143496552198E-7</v>
      </c>
      <c r="CN60" s="3">
        <f t="shared" si="35"/>
        <v>5.9349687000108266E-13</v>
      </c>
      <c r="CO60" s="3">
        <f t="shared" si="36"/>
        <v>-4.7401917626254869E-13</v>
      </c>
      <c r="CP60" s="3">
        <f t="shared" si="37"/>
        <v>1.3332450207181878E-6</v>
      </c>
    </row>
    <row r="61" spans="2:94" x14ac:dyDescent="0.2">
      <c r="B61" s="7" t="s">
        <v>5</v>
      </c>
      <c r="C61" s="18">
        <v>1</v>
      </c>
      <c r="AB61" s="3">
        <v>22</v>
      </c>
      <c r="AC61" s="3">
        <f t="shared" si="46"/>
        <v>0.34022855758666992</v>
      </c>
      <c r="AD61" s="3">
        <f t="shared" si="27"/>
        <v>2.279563322549194E-7</v>
      </c>
      <c r="AE61" s="3">
        <f t="shared" si="47"/>
        <v>0.34022879600524902</v>
      </c>
      <c r="AF61" s="3">
        <f t="shared" si="28"/>
        <v>-2.6563872435048097E-8</v>
      </c>
      <c r="AG61" s="3">
        <f t="shared" si="38"/>
        <v>0.34022867679595947</v>
      </c>
      <c r="AH61" s="3">
        <f t="shared" si="29"/>
        <v>1.0069622707886694E-7</v>
      </c>
      <c r="AI61" s="3">
        <f t="shared" si="39"/>
        <v>2.2954342596807004E-14</v>
      </c>
      <c r="AJ61" s="3">
        <f t="shared" si="40"/>
        <v>-2.6748817308136574E-15</v>
      </c>
      <c r="AK61" s="3">
        <f t="shared" si="41"/>
        <v>2.384185791015625E-7</v>
      </c>
      <c r="AM61" s="3">
        <v>12</v>
      </c>
      <c r="AN61" s="3">
        <f t="shared" si="52"/>
        <v>967.529296875</v>
      </c>
      <c r="AO61" s="3">
        <v>0.16472311156849173</v>
      </c>
      <c r="AP61" s="3">
        <f t="shared" si="53"/>
        <v>968.75</v>
      </c>
      <c r="AQ61" s="3">
        <v>-2.9740738404227614</v>
      </c>
      <c r="AR61" s="3">
        <f t="shared" si="48"/>
        <v>968.1396484375</v>
      </c>
      <c r="AS61" s="3">
        <v>-1.4041760925661038</v>
      </c>
      <c r="AT61" s="3">
        <f t="shared" si="49"/>
        <v>-0.23130025515757507</v>
      </c>
      <c r="AU61" s="3">
        <f t="shared" si="50"/>
        <v>4.1761233842478989</v>
      </c>
      <c r="AV61" s="3">
        <f t="shared" si="51"/>
        <v>1.220703125</v>
      </c>
      <c r="BN61" s="29" t="s">
        <v>175</v>
      </c>
      <c r="BO61" s="30">
        <f>CA136</f>
        <v>0.23334679826369403</v>
      </c>
      <c r="BP61" s="6" t="s">
        <v>176</v>
      </c>
      <c r="BQ61" s="3"/>
      <c r="BR61" s="29" t="s">
        <v>175</v>
      </c>
      <c r="BS61" s="30">
        <f>CL136</f>
        <v>0.23857838922914254</v>
      </c>
      <c r="BT61" s="6" t="s">
        <v>176</v>
      </c>
      <c r="BV61" s="3">
        <v>23</v>
      </c>
      <c r="BW61" s="3">
        <f t="shared" si="42"/>
        <v>0.32409387321961614</v>
      </c>
      <c r="BX61" s="3">
        <v>-3.5837177322917135E-8</v>
      </c>
      <c r="BY61" s="3">
        <f t="shared" si="43"/>
        <v>0.32409453984212649</v>
      </c>
      <c r="BZ61" s="3">
        <v>2.341550130152692E-6</v>
      </c>
      <c r="CA61" s="3">
        <f t="shared" si="30"/>
        <v>0.32409420653087129</v>
      </c>
      <c r="CB61" s="3">
        <v>1.1528569435481639E-6</v>
      </c>
      <c r="CC61" s="3">
        <f t="shared" si="31"/>
        <v>-4.1315138713891817E-14</v>
      </c>
      <c r="CD61" s="3">
        <f t="shared" si="32"/>
        <v>2.699472326212638E-12</v>
      </c>
      <c r="CE61" s="3">
        <f t="shared" si="33"/>
        <v>6.6662251035909392E-7</v>
      </c>
      <c r="CG61" s="3">
        <v>23</v>
      </c>
      <c r="CH61" s="3">
        <f t="shared" si="44"/>
        <v>0.29071541750335755</v>
      </c>
      <c r="CI61" s="3">
        <v>-2.444143496552198E-7</v>
      </c>
      <c r="CJ61" s="3">
        <f t="shared" si="45"/>
        <v>0.29071608412586791</v>
      </c>
      <c r="CK61" s="3">
        <v>1.9394081277601671E-6</v>
      </c>
      <c r="CL61" s="3">
        <f t="shared" si="34"/>
        <v>0.29071575081461276</v>
      </c>
      <c r="CM61" s="3">
        <v>8.4749737258582591E-7</v>
      </c>
      <c r="CN61" s="3">
        <f t="shared" si="35"/>
        <v>-2.0714051915507213E-13</v>
      </c>
      <c r="CO61" s="3">
        <f t="shared" si="36"/>
        <v>1.6436432926483375E-12</v>
      </c>
      <c r="CP61" s="3">
        <f t="shared" si="37"/>
        <v>6.6662251035909392E-7</v>
      </c>
    </row>
    <row r="62" spans="2:94" x14ac:dyDescent="0.2">
      <c r="B62" s="7" t="s">
        <v>6</v>
      </c>
      <c r="C62" s="18">
        <v>1</v>
      </c>
      <c r="AB62" s="3">
        <v>23</v>
      </c>
      <c r="AC62" s="3">
        <f t="shared" si="46"/>
        <v>0.34022867679595947</v>
      </c>
      <c r="AD62" s="3">
        <f t="shared" si="27"/>
        <v>1.0069622707886694E-7</v>
      </c>
      <c r="AE62" s="3">
        <f t="shared" si="47"/>
        <v>0.34022879600524902</v>
      </c>
      <c r="AF62" s="3">
        <f t="shared" si="28"/>
        <v>-2.6563872435048097E-8</v>
      </c>
      <c r="AG62" s="3">
        <f t="shared" si="38"/>
        <v>0.34022873640060425</v>
      </c>
      <c r="AH62" s="3">
        <f t="shared" si="29"/>
        <v>3.7066176628020031E-8</v>
      </c>
      <c r="AI62" s="3">
        <f t="shared" si="39"/>
        <v>3.7324241386804953E-15</v>
      </c>
      <c r="AJ62" s="3">
        <f t="shared" si="40"/>
        <v>-9.8462118760168535E-16</v>
      </c>
      <c r="AK62" s="3">
        <f t="shared" si="41"/>
        <v>1.1920928955078125E-7</v>
      </c>
      <c r="AM62" s="3">
        <v>13</v>
      </c>
      <c r="AN62" s="3">
        <f t="shared" si="52"/>
        <v>967.529296875</v>
      </c>
      <c r="AO62" s="3">
        <v>0.16472311156849173</v>
      </c>
      <c r="AP62" s="3">
        <f t="shared" si="53"/>
        <v>968.1396484375</v>
      </c>
      <c r="AQ62" s="3">
        <v>-1.4041760925661038</v>
      </c>
      <c r="AR62" s="3">
        <f t="shared" si="48"/>
        <v>967.83447265625</v>
      </c>
      <c r="AS62" s="3">
        <v>-0.61959824760015181</v>
      </c>
      <c r="AT62" s="3">
        <f t="shared" si="49"/>
        <v>-0.10206215126708178</v>
      </c>
      <c r="AU62" s="3">
        <f t="shared" si="50"/>
        <v>0.87002504627598642</v>
      </c>
      <c r="AV62" s="3">
        <f t="shared" si="51"/>
        <v>0.6103515625</v>
      </c>
      <c r="BN62" s="3" t="s">
        <v>180</v>
      </c>
      <c r="BO62" s="3">
        <f>($AY$41+$AY$5)/180*PI()</f>
        <v>0.32239503776682754</v>
      </c>
      <c r="BP62" s="3" t="s">
        <v>176</v>
      </c>
      <c r="BQ62" s="3"/>
      <c r="BR62" s="3" t="s">
        <v>180</v>
      </c>
      <c r="BS62" s="3">
        <f>($AY$42+$AY$5)/180*PI()</f>
        <v>0.29654234822166153</v>
      </c>
      <c r="BT62" s="3" t="s">
        <v>176</v>
      </c>
      <c r="BV62" s="3">
        <v>24</v>
      </c>
      <c r="BW62" s="3">
        <f t="shared" si="42"/>
        <v>0.32409387321961614</v>
      </c>
      <c r="BX62" s="3">
        <v>-3.5837177322917135E-8</v>
      </c>
      <c r="BY62" s="3">
        <f t="shared" si="43"/>
        <v>0.32409420653087129</v>
      </c>
      <c r="BZ62" s="3">
        <v>1.1528569435481639E-6</v>
      </c>
      <c r="CA62" s="3">
        <f t="shared" si="30"/>
        <v>0.32409403987524371</v>
      </c>
      <c r="CB62" s="3">
        <v>5.5850999997053563E-7</v>
      </c>
      <c r="CC62" s="3">
        <f t="shared" si="31"/>
        <v>-2.0015421905566531E-14</v>
      </c>
      <c r="CD62" s="3">
        <f t="shared" si="32"/>
        <v>6.4388213150711685E-13</v>
      </c>
      <c r="CE62" s="3">
        <f t="shared" si="33"/>
        <v>3.3331125515179139E-7</v>
      </c>
      <c r="CG62" s="3">
        <v>24</v>
      </c>
      <c r="CH62" s="3">
        <f t="shared" si="44"/>
        <v>0.29071541750335755</v>
      </c>
      <c r="CI62" s="3">
        <v>-2.444143496552198E-7</v>
      </c>
      <c r="CJ62" s="3">
        <f t="shared" si="45"/>
        <v>0.29071575081461276</v>
      </c>
      <c r="CK62" s="3">
        <v>8.4749737258582591E-7</v>
      </c>
      <c r="CL62" s="3">
        <f t="shared" si="34"/>
        <v>0.29071558415898513</v>
      </c>
      <c r="CM62" s="3">
        <v>3.0154163221940422E-7</v>
      </c>
      <c r="CN62" s="3">
        <f t="shared" si="35"/>
        <v>-7.3701101932879153E-14</v>
      </c>
      <c r="CO62" s="3">
        <f t="shared" si="36"/>
        <v>2.5555574103118651E-13</v>
      </c>
      <c r="CP62" s="3">
        <f t="shared" si="37"/>
        <v>3.3331125520730254E-7</v>
      </c>
    </row>
    <row r="63" spans="2:94" x14ac:dyDescent="0.2">
      <c r="AB63" s="3">
        <v>24</v>
      </c>
      <c r="AC63" s="3">
        <f t="shared" si="46"/>
        <v>0.34022873640060425</v>
      </c>
      <c r="AD63" s="3">
        <f t="shared" si="27"/>
        <v>3.7066176628020031E-8</v>
      </c>
      <c r="AE63" s="3">
        <f t="shared" si="47"/>
        <v>0.34022879600524902</v>
      </c>
      <c r="AF63" s="3">
        <f t="shared" si="28"/>
        <v>-2.6563872435048097E-8</v>
      </c>
      <c r="AG63" s="3">
        <f t="shared" si="38"/>
        <v>0.34022876620292664</v>
      </c>
      <c r="AH63" s="3">
        <f t="shared" si="29"/>
        <v>5.2511519021969377E-9</v>
      </c>
      <c r="AI63" s="3">
        <f t="shared" si="39"/>
        <v>1.9464012390739505E-16</v>
      </c>
      <c r="AJ63" s="3">
        <f t="shared" si="40"/>
        <v>-1.3949092926701961E-16</v>
      </c>
      <c r="AK63" s="3">
        <f t="shared" si="41"/>
        <v>5.9604644775390625E-8</v>
      </c>
      <c r="AM63" s="3">
        <v>14</v>
      </c>
      <c r="AN63" s="3">
        <f t="shared" si="52"/>
        <v>967.529296875</v>
      </c>
      <c r="AO63" s="3">
        <v>0.16472311156849173</v>
      </c>
      <c r="AP63" s="3">
        <f t="shared" si="53"/>
        <v>967.83447265625</v>
      </c>
      <c r="AQ63" s="3">
        <v>-0.61959824760015181</v>
      </c>
      <c r="AR63" s="3">
        <f t="shared" si="48"/>
        <v>967.681884765625</v>
      </c>
      <c r="AS63" s="3">
        <v>-0.2274020823583669</v>
      </c>
      <c r="AT63" s="3">
        <f t="shared" si="49"/>
        <v>-3.7458378583224615E-2</v>
      </c>
      <c r="AU63" s="3">
        <f t="shared" si="50"/>
        <v>0.14089793172986953</v>
      </c>
      <c r="AV63" s="3">
        <f t="shared" si="51"/>
        <v>0.30517578125</v>
      </c>
      <c r="BN63" s="3" t="s">
        <v>29</v>
      </c>
      <c r="BO63" s="3">
        <f>BO62-BO61</f>
        <v>8.9048239503133508E-2</v>
      </c>
      <c r="BP63" s="3" t="s">
        <v>176</v>
      </c>
      <c r="BQ63" s="3"/>
      <c r="BR63" s="3" t="s">
        <v>29</v>
      </c>
      <c r="BS63" s="3">
        <f>BS62-BS61</f>
        <v>5.7963958992518994E-2</v>
      </c>
      <c r="BT63" s="3" t="s">
        <v>176</v>
      </c>
      <c r="BV63" s="3">
        <v>25</v>
      </c>
      <c r="BW63" s="3">
        <f t="shared" si="42"/>
        <v>0.32409387321961614</v>
      </c>
      <c r="BX63" s="3">
        <v>-3.5837177322917135E-8</v>
      </c>
      <c r="BY63" s="3">
        <f t="shared" si="43"/>
        <v>0.32409403987524371</v>
      </c>
      <c r="BZ63" s="3">
        <v>5.5850999997053563E-7</v>
      </c>
      <c r="CA63" s="3">
        <f t="shared" si="30"/>
        <v>0.3240939565474299</v>
      </c>
      <c r="CB63" s="3">
        <v>2.6133644039777471E-7</v>
      </c>
      <c r="CC63" s="3">
        <f t="shared" si="31"/>
        <v>-9.3655603554750179E-15</v>
      </c>
      <c r="CD63" s="3">
        <f t="shared" si="32"/>
        <v>1.4595901531886103E-13</v>
      </c>
      <c r="CE63" s="3">
        <f t="shared" si="33"/>
        <v>1.6665562757589569E-7</v>
      </c>
      <c r="CG63" s="3">
        <v>25</v>
      </c>
      <c r="CH63" s="3">
        <f t="shared" si="44"/>
        <v>0.29071541750335755</v>
      </c>
      <c r="CI63" s="3">
        <v>-2.444143496552198E-7</v>
      </c>
      <c r="CJ63" s="3">
        <f t="shared" si="45"/>
        <v>0.29071558415898513</v>
      </c>
      <c r="CK63" s="3">
        <v>3.0154163221940422E-7</v>
      </c>
      <c r="CL63" s="3">
        <f t="shared" si="34"/>
        <v>0.29071550083117137</v>
      </c>
      <c r="CM63" s="3">
        <v>2.8563671587711337E-8</v>
      </c>
      <c r="CN63" s="3">
        <f t="shared" si="35"/>
        <v>-6.9813712148757456E-15</v>
      </c>
      <c r="CO63" s="3">
        <f t="shared" si="36"/>
        <v>8.6131361527374981E-15</v>
      </c>
      <c r="CP63" s="3">
        <f t="shared" si="37"/>
        <v>1.6665562757589569E-7</v>
      </c>
    </row>
    <row r="64" spans="2:94" x14ac:dyDescent="0.2">
      <c r="B64" s="55" t="s">
        <v>75</v>
      </c>
      <c r="C64" s="55"/>
      <c r="D64" s="55"/>
      <c r="AB64" s="3">
        <v>25</v>
      </c>
      <c r="AC64" s="3">
        <f t="shared" si="46"/>
        <v>0.34022876620292664</v>
      </c>
      <c r="AD64" s="3">
        <f t="shared" si="27"/>
        <v>5.2511519021969377E-9</v>
      </c>
      <c r="AE64" s="3">
        <f t="shared" si="47"/>
        <v>0.34022879600524902</v>
      </c>
      <c r="AF64" s="3">
        <f t="shared" si="28"/>
        <v>-2.6563872435048097E-8</v>
      </c>
      <c r="AG64" s="3">
        <f t="shared" si="38"/>
        <v>0.34022878110408783</v>
      </c>
      <c r="AH64" s="3">
        <f t="shared" si="29"/>
        <v>-1.0656360294181155E-8</v>
      </c>
      <c r="AI64" s="3">
        <f t="shared" si="39"/>
        <v>-5.5958166629285295E-17</v>
      </c>
      <c r="AJ64" s="3">
        <f t="shared" si="40"/>
        <v>2.8307419547653985E-16</v>
      </c>
      <c r="AK64" s="3">
        <f t="shared" si="41"/>
        <v>2.9802322387695312E-8</v>
      </c>
      <c r="AM64" s="3">
        <v>15</v>
      </c>
      <c r="AN64" s="3">
        <f t="shared" si="52"/>
        <v>967.529296875</v>
      </c>
      <c r="AO64" s="3">
        <v>0.16472311156849173</v>
      </c>
      <c r="AP64" s="3">
        <f t="shared" si="53"/>
        <v>967.681884765625</v>
      </c>
      <c r="AQ64" s="3">
        <v>-0.2274020823583669</v>
      </c>
      <c r="AR64" s="3">
        <f t="shared" si="48"/>
        <v>967.6055908203125</v>
      </c>
      <c r="AS64" s="3">
        <v>-3.1327189047715365E-2</v>
      </c>
      <c r="AT64" s="3">
        <f t="shared" si="49"/>
        <v>-5.1603120566340501E-3</v>
      </c>
      <c r="AU64" s="3">
        <f t="shared" si="50"/>
        <v>7.1238680238846991E-3</v>
      </c>
      <c r="AV64" s="3">
        <f t="shared" si="51"/>
        <v>0.152587890625</v>
      </c>
      <c r="BN64" s="3" t="s">
        <v>189</v>
      </c>
      <c r="BO64" s="3">
        <f>BO63/PI()*180</f>
        <v>5.1020882965996845</v>
      </c>
      <c r="BP64" s="3" t="s">
        <v>44</v>
      </c>
      <c r="BQ64" s="3"/>
      <c r="BR64" s="3" t="s">
        <v>189</v>
      </c>
      <c r="BS64" s="3">
        <f>BS63/PI()*180</f>
        <v>3.3210902141407135</v>
      </c>
      <c r="BT64" s="3" t="s">
        <v>44</v>
      </c>
      <c r="BV64" s="3">
        <v>26</v>
      </c>
      <c r="BW64" s="3">
        <f t="shared" si="42"/>
        <v>0.32409387321961614</v>
      </c>
      <c r="BX64" s="3">
        <v>-3.5837177322917135E-8</v>
      </c>
      <c r="BY64" s="3">
        <f t="shared" si="43"/>
        <v>0.3240939565474299</v>
      </c>
      <c r="BZ64" s="3">
        <v>2.6133644039777471E-7</v>
      </c>
      <c r="CA64" s="3">
        <f t="shared" si="30"/>
        <v>0.32409391488352302</v>
      </c>
      <c r="CB64" s="3">
        <v>1.1274963892388135E-7</v>
      </c>
      <c r="CC64" s="3">
        <f t="shared" si="31"/>
        <v>-4.040628803210016E-15</v>
      </c>
      <c r="CD64" s="3">
        <f t="shared" si="32"/>
        <v>2.9465589292501538E-14</v>
      </c>
      <c r="CE64" s="3">
        <f t="shared" si="33"/>
        <v>8.3327813760192271E-8</v>
      </c>
      <c r="CG64" s="3">
        <v>26</v>
      </c>
      <c r="CH64" s="3">
        <f t="shared" si="44"/>
        <v>0.29071541750335755</v>
      </c>
      <c r="CI64" s="3">
        <v>-2.444143496552198E-7</v>
      </c>
      <c r="CJ64" s="3">
        <f t="shared" si="45"/>
        <v>0.29071550083117137</v>
      </c>
      <c r="CK64" s="3">
        <v>2.8563671587711337E-8</v>
      </c>
      <c r="CL64" s="3">
        <f t="shared" si="34"/>
        <v>0.29071545916726449</v>
      </c>
      <c r="CM64" s="3">
        <v>-1.0792533137321536E-7</v>
      </c>
      <c r="CN64" s="3">
        <f t="shared" si="35"/>
        <v>2.6378499678908522E-14</v>
      </c>
      <c r="CO64" s="3">
        <f t="shared" si="36"/>
        <v>-3.0827437213394426E-15</v>
      </c>
      <c r="CP64" s="3">
        <f t="shared" si="37"/>
        <v>8.3327813815703422E-8</v>
      </c>
    </row>
    <row r="65" spans="2:94" x14ac:dyDescent="0.2">
      <c r="B65" s="7" t="s">
        <v>15</v>
      </c>
      <c r="C65" s="18">
        <v>1.2250000000000001</v>
      </c>
      <c r="D65" s="7" t="s">
        <v>16</v>
      </c>
      <c r="AB65" s="3">
        <v>26</v>
      </c>
      <c r="AC65" s="3">
        <f t="shared" si="46"/>
        <v>0.34022876620292664</v>
      </c>
      <c r="AD65" s="3">
        <f t="shared" si="27"/>
        <v>5.2511519021969377E-9</v>
      </c>
      <c r="AE65" s="3">
        <f t="shared" si="47"/>
        <v>0.34022878110408783</v>
      </c>
      <c r="AF65" s="3">
        <f t="shared" si="28"/>
        <v>-1.0656360294181155E-8</v>
      </c>
      <c r="AG65" s="3">
        <f t="shared" si="38"/>
        <v>0.34022877365350723</v>
      </c>
      <c r="AH65" s="3">
        <f t="shared" si="29"/>
        <v>-2.7026041959921088E-9</v>
      </c>
      <c r="AI65" s="3">
        <f t="shared" si="39"/>
        <v>-1.4191785164669387E-17</v>
      </c>
      <c r="AJ65" s="3">
        <f t="shared" si="40"/>
        <v>2.879992404505769E-17</v>
      </c>
      <c r="AK65" s="3">
        <f t="shared" si="41"/>
        <v>1.4901161193847656E-8</v>
      </c>
      <c r="AM65" s="3">
        <v>16</v>
      </c>
      <c r="AN65" s="3">
        <f t="shared" si="52"/>
        <v>967.529296875</v>
      </c>
      <c r="AO65" s="3">
        <v>0.16472311156849173</v>
      </c>
      <c r="AP65" s="3">
        <f t="shared" si="53"/>
        <v>967.6055908203125</v>
      </c>
      <c r="AQ65" s="3">
        <v>-3.1327189047715365E-2</v>
      </c>
      <c r="AR65" s="3">
        <f t="shared" si="48"/>
        <v>967.56744384765625</v>
      </c>
      <c r="AS65" s="3">
        <v>6.6704460280561761E-2</v>
      </c>
      <c r="AT65" s="3">
        <f t="shared" si="49"/>
        <v>1.0987766252911001E-2</v>
      </c>
      <c r="AU65" s="3">
        <f t="shared" si="50"/>
        <v>-2.0896632375349789E-3</v>
      </c>
      <c r="AV65" s="3">
        <f t="shared" si="51"/>
        <v>7.62939453125E-2</v>
      </c>
      <c r="AX65" s="3"/>
      <c r="AY65" s="3"/>
      <c r="AZ65" s="27"/>
      <c r="BN65" s="3" t="s">
        <v>192</v>
      </c>
      <c r="BO65" s="3">
        <f xml:space="preserve"> $AY$8*$AY$33 / (2*PI()*$AY$25)</f>
        <v>0.16580624184935924</v>
      </c>
      <c r="BP65" s="3"/>
      <c r="BQ65" s="3"/>
      <c r="BR65" s="3" t="s">
        <v>192</v>
      </c>
      <c r="BS65" s="3">
        <f xml:space="preserve"> $AY$8*$AY$34 / (2*PI()*$AY$26)</f>
        <v>0.14274781591970584</v>
      </c>
      <c r="BT65" s="3"/>
      <c r="BV65" s="3">
        <v>27</v>
      </c>
      <c r="BW65" s="3">
        <f t="shared" si="42"/>
        <v>0.32409387321961614</v>
      </c>
      <c r="BX65" s="3">
        <v>-3.5837177322917135E-8</v>
      </c>
      <c r="BY65" s="3">
        <f t="shared" si="43"/>
        <v>0.32409391488352302</v>
      </c>
      <c r="BZ65" s="3">
        <v>1.1274963892388135E-7</v>
      </c>
      <c r="CA65" s="3">
        <f t="shared" si="30"/>
        <v>0.32409389405156958</v>
      </c>
      <c r="CB65" s="3">
        <v>3.8456232642758437E-8</v>
      </c>
      <c r="CC65" s="3">
        <f t="shared" si="31"/>
        <v>-1.3781628283898883E-15</v>
      </c>
      <c r="CD65" s="3">
        <f t="shared" si="32"/>
        <v>4.335926344843793E-15</v>
      </c>
      <c r="CE65" s="3">
        <f t="shared" si="33"/>
        <v>4.1663906880096135E-8</v>
      </c>
      <c r="CG65" s="3">
        <v>27</v>
      </c>
      <c r="CH65" s="3">
        <f t="shared" si="44"/>
        <v>0.29071545916726449</v>
      </c>
      <c r="CI65" s="3">
        <v>-1.0792533137321536E-7</v>
      </c>
      <c r="CJ65" s="3">
        <f t="shared" si="45"/>
        <v>0.29071550083117137</v>
      </c>
      <c r="CK65" s="3">
        <v>2.8563671587711337E-8</v>
      </c>
      <c r="CL65" s="3">
        <f t="shared" si="34"/>
        <v>0.29071547999921793</v>
      </c>
      <c r="CM65" s="3">
        <v>-3.9680828012311764E-8</v>
      </c>
      <c r="CN65" s="3">
        <f t="shared" si="35"/>
        <v>4.2825665123923141E-15</v>
      </c>
      <c r="CO65" s="3">
        <f t="shared" si="36"/>
        <v>-1.1334301396721296E-15</v>
      </c>
      <c r="CP65" s="3">
        <f t="shared" si="37"/>
        <v>4.1663906880096135E-8</v>
      </c>
    </row>
    <row r="66" spans="2:94" x14ac:dyDescent="0.2">
      <c r="B66" s="7" t="s">
        <v>235</v>
      </c>
      <c r="C66" s="18">
        <v>1.7893802780775801E-5</v>
      </c>
      <c r="D66" s="7" t="s">
        <v>16</v>
      </c>
      <c r="AB66" s="3">
        <v>27</v>
      </c>
      <c r="AC66" s="3">
        <f t="shared" si="46"/>
        <v>0.34022876620292664</v>
      </c>
      <c r="AD66" s="3">
        <f t="shared" si="27"/>
        <v>5.2511519021969377E-9</v>
      </c>
      <c r="AE66" s="3">
        <f t="shared" si="47"/>
        <v>0.34022877365350723</v>
      </c>
      <c r="AF66" s="3">
        <f t="shared" si="28"/>
        <v>-2.7026041959921088E-9</v>
      </c>
      <c r="AG66" s="3">
        <f t="shared" si="38"/>
        <v>0.34022876992821693</v>
      </c>
      <c r="AH66" s="3">
        <f t="shared" si="29"/>
        <v>1.2742738531024145E-9</v>
      </c>
      <c r="AI66" s="3">
        <f t="shared" si="39"/>
        <v>6.691405567638565E-18</v>
      </c>
      <c r="AJ66" s="3">
        <f t="shared" si="40"/>
        <v>-3.4438578622376174E-18</v>
      </c>
      <c r="AK66" s="3">
        <f t="shared" si="41"/>
        <v>7.4505805969238281E-9</v>
      </c>
      <c r="AM66" s="3">
        <v>17</v>
      </c>
      <c r="AN66" s="3">
        <f t="shared" si="52"/>
        <v>967.56744384765625</v>
      </c>
      <c r="AO66" s="3">
        <v>6.6695327126126358E-2</v>
      </c>
      <c r="AP66" s="3">
        <f t="shared" si="53"/>
        <v>967.6055908203125</v>
      </c>
      <c r="AQ66" s="3">
        <v>-3.1327189047715365E-2</v>
      </c>
      <c r="AR66" s="3">
        <f t="shared" si="48"/>
        <v>967.58651733398438</v>
      </c>
      <c r="AS66" s="3">
        <v>1.7689118727048481E-2</v>
      </c>
      <c r="AT66" s="3">
        <f t="shared" si="49"/>
        <v>1.1797815600733863E-3</v>
      </c>
      <c r="AU66" s="3">
        <f t="shared" si="50"/>
        <v>-5.5415036644972993E-4</v>
      </c>
      <c r="AV66" s="3">
        <f t="shared" si="51"/>
        <v>3.814697265625E-2</v>
      </c>
      <c r="BN66" s="3" t="s">
        <v>196</v>
      </c>
      <c r="BO66" s="3">
        <f>IF(-$AY$8*($BC$3-$AY$25)/(2*$AY$25*SIN(BO61))&gt;500, 1, 2*ACOS(MIN(1, EXP(-$AY$8*($BC$3-$AY$25)/(2*$AY$25*SIN(BO61)))))/PI() )</f>
        <v>0.68747016767223734</v>
      </c>
      <c r="BP66" s="3"/>
      <c r="BQ66" s="3"/>
      <c r="BR66" s="3" t="s">
        <v>196</v>
      </c>
      <c r="BS66" s="3">
        <f>IF(-$AY$8*($BC$3-$AY$26)/(2*$AY$26*SIN(BS61))&gt;500, 1, 2*ACOS(MIN(1, EXP(-$AY$8*($BC$3-$AY$26)/(2*$AY$26*SIN(BS61)))))/PI() )</f>
        <v>0.40679981443191721</v>
      </c>
      <c r="BT66" s="3"/>
      <c r="BV66" s="3">
        <v>28</v>
      </c>
      <c r="BW66" s="3">
        <f t="shared" si="42"/>
        <v>0.32409387321961614</v>
      </c>
      <c r="BX66" s="3">
        <v>-3.5837177322917135E-8</v>
      </c>
      <c r="BY66" s="3">
        <f t="shared" si="43"/>
        <v>0.32409389405156958</v>
      </c>
      <c r="BZ66" s="3">
        <v>3.8456232642758437E-8</v>
      </c>
      <c r="CA66" s="3">
        <f t="shared" si="30"/>
        <v>0.32409388363559288</v>
      </c>
      <c r="CB66" s="3">
        <v>1.3095280901320727E-9</v>
      </c>
      <c r="CC66" s="3">
        <f t="shared" si="31"/>
        <v>-4.6929790375404101E-17</v>
      </c>
      <c r="CD66" s="3">
        <f t="shared" si="32"/>
        <v>5.0359516886346126E-17</v>
      </c>
      <c r="CE66" s="3">
        <f t="shared" si="33"/>
        <v>2.0831953440048068E-8</v>
      </c>
      <c r="CG66" s="3">
        <v>28</v>
      </c>
      <c r="CH66" s="3">
        <f t="shared" si="44"/>
        <v>0.29071547999921793</v>
      </c>
      <c r="CI66" s="3">
        <v>-3.9680828012311764E-8</v>
      </c>
      <c r="CJ66" s="3">
        <f t="shared" si="45"/>
        <v>0.29071550083117137</v>
      </c>
      <c r="CK66" s="3">
        <v>2.8563671587711337E-8</v>
      </c>
      <c r="CL66" s="3">
        <f t="shared" si="34"/>
        <v>0.29071549041519462</v>
      </c>
      <c r="CM66" s="3">
        <v>-5.5585779382139044E-9</v>
      </c>
      <c r="CN66" s="3">
        <f t="shared" si="35"/>
        <v>2.2056897515929647E-16</v>
      </c>
      <c r="CO66" s="3">
        <f t="shared" si="36"/>
        <v>-1.5877339472183955E-16</v>
      </c>
      <c r="CP66" s="3">
        <f t="shared" si="37"/>
        <v>2.0831953440048068E-8</v>
      </c>
    </row>
    <row r="67" spans="2:94" x14ac:dyDescent="0.2">
      <c r="B67" s="7" t="s">
        <v>152</v>
      </c>
      <c r="C67" s="18">
        <v>340.416</v>
      </c>
      <c r="D67" s="7" t="s">
        <v>10</v>
      </c>
      <c r="AB67" s="3">
        <v>28</v>
      </c>
      <c r="AC67" s="3">
        <f t="shared" si="46"/>
        <v>0.34022876992821693</v>
      </c>
      <c r="AD67" s="3">
        <f t="shared" si="27"/>
        <v>1.2742738531024145E-9</v>
      </c>
      <c r="AE67" s="3">
        <f t="shared" si="47"/>
        <v>0.34022877365350723</v>
      </c>
      <c r="AF67" s="3">
        <f t="shared" si="28"/>
        <v>-2.7026041959921088E-9</v>
      </c>
      <c r="AG67" s="3">
        <f t="shared" si="38"/>
        <v>0.34022877179086208</v>
      </c>
      <c r="AH67" s="3">
        <f t="shared" si="29"/>
        <v>-7.1416517144484715E-10</v>
      </c>
      <c r="AI67" s="3">
        <f t="shared" si="39"/>
        <v>-9.100420047685718E-19</v>
      </c>
      <c r="AJ67" s="3">
        <f t="shared" si="40"/>
        <v>1.9301057889782676E-18</v>
      </c>
      <c r="AK67" s="3">
        <f t="shared" si="41"/>
        <v>3.7252902984619141E-9</v>
      </c>
      <c r="AM67" s="3">
        <v>18</v>
      </c>
      <c r="AN67" s="3">
        <f t="shared" si="52"/>
        <v>967.58651733398438</v>
      </c>
      <c r="AO67" s="3">
        <v>1.7679985572613077E-2</v>
      </c>
      <c r="AP67" s="3">
        <f t="shared" si="53"/>
        <v>967.6055908203125</v>
      </c>
      <c r="AQ67" s="3">
        <v>-3.1327189047715365E-2</v>
      </c>
      <c r="AR67" s="3">
        <f t="shared" si="48"/>
        <v>967.59605407714844</v>
      </c>
      <c r="AS67" s="3">
        <v>-6.8189143821655307E-3</v>
      </c>
      <c r="AT67" s="3">
        <f t="shared" si="49"/>
        <v>-1.205583078975704E-4</v>
      </c>
      <c r="AU67" s="3">
        <f t="shared" si="50"/>
        <v>2.1361741995028479E-4</v>
      </c>
      <c r="AV67" s="3">
        <f t="shared" si="51"/>
        <v>1.9073486328125E-2</v>
      </c>
      <c r="BN67" s="3" t="s">
        <v>201</v>
      </c>
      <c r="BO67" s="3">
        <f>IF(-$AY$8*($AY$25-$AY$10)/(2*$AY$25*SIN(BO61))&gt;500, 1, 2*ACOS(MIN(1, EXP(-$AY$8*($AY$25-$AY$10)/(2*$AY$25*SIN(BO61)))))/PI() )</f>
        <v>0.97551910514024032</v>
      </c>
      <c r="BP67" s="3"/>
      <c r="BQ67" s="3"/>
      <c r="BR67" s="3" t="s">
        <v>201</v>
      </c>
      <c r="BS67" s="3">
        <f>IF(-$AY$8*($AY$26-$AY$10)/(2*$AY$26*SIN(BS61))&gt;500, 1, 2*ACOS(MIN(1, EXP(-$AY$8*($AY$26-$AY$10)/(2*$AY$26*SIN(BS61)))))/PI() )</f>
        <v>0.97643760371498456</v>
      </c>
      <c r="BT67" s="3"/>
      <c r="BV67" s="3">
        <v>29</v>
      </c>
      <c r="BW67" s="3">
        <f t="shared" si="42"/>
        <v>0.32409387321961614</v>
      </c>
      <c r="BX67" s="3">
        <v>-3.5837177322917135E-8</v>
      </c>
      <c r="BY67" s="3">
        <f t="shared" si="43"/>
        <v>0.32409388363559288</v>
      </c>
      <c r="BZ67" s="3">
        <v>1.3095280901320727E-9</v>
      </c>
      <c r="CA67" s="3">
        <f t="shared" si="30"/>
        <v>0.32409387842760451</v>
      </c>
      <c r="CB67" s="3">
        <v>-1.7263824418634055E-8</v>
      </c>
      <c r="CC67" s="3">
        <f t="shared" si="31"/>
        <v>6.1868673696229544E-16</v>
      </c>
      <c r="CD67" s="3">
        <f t="shared" si="32"/>
        <v>-2.2607463019309294E-17</v>
      </c>
      <c r="CE67" s="3">
        <f t="shared" si="33"/>
        <v>1.0415976747779609E-8</v>
      </c>
      <c r="CG67" s="3">
        <v>29</v>
      </c>
      <c r="CH67" s="3">
        <f t="shared" si="44"/>
        <v>0.29071549041519462</v>
      </c>
      <c r="CI67" s="3">
        <v>-5.5585779382139044E-9</v>
      </c>
      <c r="CJ67" s="3">
        <f t="shared" si="45"/>
        <v>0.29071550083117137</v>
      </c>
      <c r="CK67" s="3">
        <v>2.8563671587711337E-8</v>
      </c>
      <c r="CL67" s="3">
        <f t="shared" si="34"/>
        <v>0.290715495623183</v>
      </c>
      <c r="CM67" s="3">
        <v>1.150254699128217E-8</v>
      </c>
      <c r="CN67" s="3">
        <f t="shared" si="35"/>
        <v>-6.3937803939009789E-17</v>
      </c>
      <c r="CO67" s="3">
        <f t="shared" si="36"/>
        <v>3.2855497468120102E-16</v>
      </c>
      <c r="CP67" s="3">
        <f t="shared" si="37"/>
        <v>1.0415976747779609E-8</v>
      </c>
    </row>
    <row r="68" spans="2:94" x14ac:dyDescent="0.2">
      <c r="B68" s="7" t="s">
        <v>17</v>
      </c>
      <c r="C68" s="18">
        <v>9.8066499999999994</v>
      </c>
      <c r="D68" s="7" t="s">
        <v>18</v>
      </c>
      <c r="AB68" s="3">
        <v>29</v>
      </c>
      <c r="AC68" s="3">
        <f t="shared" si="46"/>
        <v>0.34022876992821693</v>
      </c>
      <c r="AD68" s="3">
        <f t="shared" si="27"/>
        <v>1.2742738531024145E-9</v>
      </c>
      <c r="AE68" s="3">
        <f t="shared" si="47"/>
        <v>0.34022877179086208</v>
      </c>
      <c r="AF68" s="3">
        <f t="shared" si="28"/>
        <v>-7.1416517144484715E-10</v>
      </c>
      <c r="AG68" s="3">
        <f t="shared" si="38"/>
        <v>0.34022877085953951</v>
      </c>
      <c r="AH68" s="3">
        <f t="shared" si="29"/>
        <v>2.8005431307320805E-10</v>
      </c>
      <c r="AI68" s="3">
        <f t="shared" si="39"/>
        <v>3.5686588859774671E-19</v>
      </c>
      <c r="AJ68" s="3">
        <f t="shared" si="40"/>
        <v>-2.0000503650979652E-19</v>
      </c>
      <c r="AK68" s="3">
        <f t="shared" si="41"/>
        <v>1.862645149230957E-9</v>
      </c>
      <c r="AM68" s="3">
        <v>19</v>
      </c>
      <c r="AN68" s="3">
        <f t="shared" si="52"/>
        <v>967.58651733398438</v>
      </c>
      <c r="AO68" s="3">
        <v>1.7679985572613077E-2</v>
      </c>
      <c r="AP68" s="3">
        <f t="shared" si="53"/>
        <v>967.59605407714844</v>
      </c>
      <c r="AQ68" s="3">
        <v>-6.8189143821655307E-3</v>
      </c>
      <c r="AR68" s="3">
        <f t="shared" si="48"/>
        <v>967.59128570556641</v>
      </c>
      <c r="AS68" s="3">
        <v>5.4351323667560791E-3</v>
      </c>
      <c r="AT68" s="3">
        <f t="shared" si="49"/>
        <v>9.6093061829489841E-5</v>
      </c>
      <c r="AU68" s="3">
        <f t="shared" si="50"/>
        <v>-3.7061702264646408E-5</v>
      </c>
      <c r="AV68" s="3">
        <f t="shared" si="51"/>
        <v>9.5367431640625E-3</v>
      </c>
      <c r="BN68" s="3" t="s">
        <v>204</v>
      </c>
      <c r="BO68" s="3">
        <f>IF(BO61=0,1,BO66*BO67)</f>
        <v>0.67064028277823196</v>
      </c>
      <c r="BP68" s="3"/>
      <c r="BQ68" s="3"/>
      <c r="BR68" s="3" t="s">
        <v>204</v>
      </c>
      <c r="BS68" s="3">
        <f>IF(BS61=0,1,BS66*BS67)</f>
        <v>0.39721463599560164</v>
      </c>
      <c r="BT68" s="3"/>
      <c r="BV68" s="3">
        <v>30</v>
      </c>
      <c r="BW68" s="3">
        <f t="shared" si="42"/>
        <v>0.32409387842760451</v>
      </c>
      <c r="BX68" s="3">
        <v>-3.5837177322917135E-8</v>
      </c>
      <c r="BY68" s="3">
        <f t="shared" si="43"/>
        <v>0.32409388363559288</v>
      </c>
      <c r="BZ68" s="3">
        <v>-1.7263824418634055E-8</v>
      </c>
      <c r="CA68" s="6">
        <f t="shared" si="30"/>
        <v>0.3240938810315987</v>
      </c>
      <c r="CB68" s="3">
        <v>-2.6550500915878406E-8</v>
      </c>
      <c r="CC68" s="3">
        <f t="shared" si="31"/>
        <v>9.5149500933460814E-16</v>
      </c>
      <c r="CD68" s="3">
        <f t="shared" si="32"/>
        <v>4.5836318603850741E-16</v>
      </c>
      <c r="CE68" s="3">
        <f t="shared" si="33"/>
        <v>5.2079883738898047E-9</v>
      </c>
      <c r="CG68" s="3">
        <v>30</v>
      </c>
      <c r="CH68" s="3">
        <f t="shared" si="44"/>
        <v>0.29071549041519462</v>
      </c>
      <c r="CI68" s="3">
        <v>-5.5585779382139044E-9</v>
      </c>
      <c r="CJ68" s="3">
        <f t="shared" si="45"/>
        <v>0.290715495623183</v>
      </c>
      <c r="CK68" s="3">
        <v>1.150254699128217E-8</v>
      </c>
      <c r="CL68" s="6">
        <f t="shared" si="34"/>
        <v>0.29071549301918881</v>
      </c>
      <c r="CM68" s="3">
        <v>2.9719846098008595E-9</v>
      </c>
      <c r="CN68" s="3">
        <f t="shared" si="35"/>
        <v>-1.6520008084750317E-17</v>
      </c>
      <c r="CO68" s="3">
        <f t="shared" si="36"/>
        <v>3.4185392631601793E-17</v>
      </c>
      <c r="CP68" s="3">
        <f t="shared" si="37"/>
        <v>5.2079883738898047E-9</v>
      </c>
    </row>
    <row r="69" spans="2:94" x14ac:dyDescent="0.2">
      <c r="B69" s="7" t="s">
        <v>283</v>
      </c>
      <c r="C69" s="18">
        <v>5</v>
      </c>
      <c r="D69" s="7" t="s">
        <v>44</v>
      </c>
      <c r="AB69" s="3">
        <v>30</v>
      </c>
      <c r="AC69" s="3">
        <f t="shared" si="46"/>
        <v>0.34022877085953951</v>
      </c>
      <c r="AD69" s="3">
        <f t="shared" si="27"/>
        <v>2.8005431307320805E-10</v>
      </c>
      <c r="AE69" s="3">
        <f t="shared" si="47"/>
        <v>0.34022877179086208</v>
      </c>
      <c r="AF69" s="3">
        <f t="shared" si="28"/>
        <v>-7.1416517144484715E-10</v>
      </c>
      <c r="AG69" s="3">
        <f t="shared" si="38"/>
        <v>0.3402287713252008</v>
      </c>
      <c r="AH69" s="3">
        <f t="shared" si="29"/>
        <v>-2.1705542918581955E-10</v>
      </c>
      <c r="AI69" s="3">
        <f t="shared" si="39"/>
        <v>-6.0787309119445048E-20</v>
      </c>
      <c r="AJ69" s="3">
        <f t="shared" si="40"/>
        <v>1.550134277975257E-19</v>
      </c>
      <c r="AK69" s="3">
        <f t="shared" si="41"/>
        <v>9.3132257461547852E-10</v>
      </c>
      <c r="AM69" s="3">
        <v>20</v>
      </c>
      <c r="AN69" s="3">
        <f t="shared" si="52"/>
        <v>967.59128570556641</v>
      </c>
      <c r="AO69" s="3">
        <v>5.4259992123206757E-3</v>
      </c>
      <c r="AP69" s="3">
        <f t="shared" si="53"/>
        <v>967.59605407714844</v>
      </c>
      <c r="AQ69" s="3">
        <v>-6.8189143821655307E-3</v>
      </c>
      <c r="AR69" s="3">
        <f t="shared" si="48"/>
        <v>967.59366989135742</v>
      </c>
      <c r="AS69" s="3">
        <v>-6.9188345969450893E-4</v>
      </c>
      <c r="AT69" s="3">
        <f t="shared" si="49"/>
        <v>-3.7541591073201094E-6</v>
      </c>
      <c r="AU69" s="3">
        <f t="shared" si="50"/>
        <v>4.7178940740933325E-6</v>
      </c>
      <c r="AV69" s="3">
        <f t="shared" si="51"/>
        <v>4.76837158203125E-3</v>
      </c>
      <c r="BN69" s="3" t="s">
        <v>208</v>
      </c>
      <c r="BO69" s="3">
        <f>IF(BO64&lt;$BH$43, $BC$44*BO64^2 + $BD$44*BO64 + $BE$44, IF(BO64&gt;$BI$43, $BJ$44*BO64^2 + $BK$44*BO64 + $BL$44, $BF$44*BO64^3 + $BG$44*BO64^2 + $BH$44*BO64 + $BI$44))</f>
        <v>0.77453027143425923</v>
      </c>
      <c r="BP69" s="3"/>
      <c r="BQ69" s="3"/>
      <c r="BR69" s="3" t="s">
        <v>208</v>
      </c>
      <c r="BS69" s="3">
        <f>IF(BS64&lt;$BH$43, $BC$44*BS64^2 + $BD$44*BS64 + $BE$44, IF(BS64&gt;$BI$43, $BJ$44*BS64^2 + $BK$44*BS64 + $BL$44, $BF$44*BS64^3 + $BG$44*BS64^2 + $BH$44*BS64 + $BI$44))</f>
        <v>0.56735282533439335</v>
      </c>
      <c r="BT69" s="3"/>
    </row>
    <row r="70" spans="2:94" x14ac:dyDescent="0.2">
      <c r="B70" s="7" t="s">
        <v>81</v>
      </c>
      <c r="C70" s="18">
        <v>0.8</v>
      </c>
      <c r="AM70" s="3">
        <v>21</v>
      </c>
      <c r="AN70" s="3">
        <f t="shared" si="52"/>
        <v>967.59128570556641</v>
      </c>
      <c r="AO70" s="3">
        <v>5.4259992123206757E-3</v>
      </c>
      <c r="AP70" s="3">
        <f t="shared" si="53"/>
        <v>967.59366989135742</v>
      </c>
      <c r="AQ70" s="3">
        <v>-6.9188345969450893E-4</v>
      </c>
      <c r="AR70" s="3">
        <f t="shared" si="48"/>
        <v>967.59247779846191</v>
      </c>
      <c r="AS70" s="3">
        <v>2.3716263406186044E-3</v>
      </c>
      <c r="AT70" s="3">
        <f t="shared" si="49"/>
        <v>1.2868442656115514E-5</v>
      </c>
      <c r="AU70" s="3">
        <f t="shared" si="50"/>
        <v>-1.640889037649828E-6</v>
      </c>
      <c r="AV70" s="3">
        <f t="shared" si="51"/>
        <v>2.384185791015625E-3</v>
      </c>
      <c r="BN70" s="3" t="s">
        <v>209</v>
      </c>
      <c r="BO70" s="3">
        <f>IF(BO64&lt;$BH$43, $BC$45*BO64^2 + $BD$45*BO64 + $BE$45, IF(BO64&gt;$BI$43, $BJ$45*BO64^2 + $BK$45*BO64 + $BL$45, $BF$45*BO64^3 + $BG$45*BO64^2 + $BH$45*BO64 + $BI$45))</f>
        <v>4.1193135637708315E-3</v>
      </c>
      <c r="BP70" s="3"/>
      <c r="BQ70" s="3"/>
      <c r="BR70" s="3" t="s">
        <v>209</v>
      </c>
      <c r="BS70" s="3">
        <f>IF(BS64&lt;$BH$43, $BC$45*BS64^2 + $BD$45*BS64 + $BE$45, IF(BS64&gt;$BI$43, $BJ$45*BS64^2 + $BK$45*BS64 + $BL$45, $BF$45*BS64^3 + $BG$45*BS64^2 + $BH$45*BS64 + $BI$45))</f>
        <v>2.8443113211394202E-3</v>
      </c>
      <c r="BT70" s="3"/>
      <c r="BV70" s="61" t="s">
        <v>232</v>
      </c>
      <c r="BW70" s="61"/>
      <c r="BX70" s="61"/>
      <c r="BY70" s="61"/>
      <c r="BZ70" s="61"/>
      <c r="CA70" s="61"/>
      <c r="CB70" s="61"/>
      <c r="CC70" s="61"/>
      <c r="CD70" s="61"/>
      <c r="CE70" s="61"/>
      <c r="CG70" s="61" t="s">
        <v>233</v>
      </c>
      <c r="CH70" s="61"/>
      <c r="CI70" s="61"/>
      <c r="CJ70" s="61"/>
      <c r="CK70" s="61"/>
      <c r="CL70" s="61"/>
      <c r="CM70" s="61"/>
      <c r="CN70" s="61"/>
      <c r="CO70" s="61"/>
      <c r="CP70" s="61"/>
    </row>
    <row r="71" spans="2:94" x14ac:dyDescent="0.2">
      <c r="AM71" s="3">
        <v>22</v>
      </c>
      <c r="AN71" s="3">
        <f t="shared" si="52"/>
        <v>967.59247779846191</v>
      </c>
      <c r="AO71" s="3">
        <v>2.362493186183201E-3</v>
      </c>
      <c r="AP71" s="3">
        <f t="shared" si="53"/>
        <v>967.59366989135742</v>
      </c>
      <c r="AQ71" s="3">
        <v>-6.9188345969450893E-4</v>
      </c>
      <c r="AR71" s="3">
        <f t="shared" si="48"/>
        <v>967.59307384490967</v>
      </c>
      <c r="AS71" s="3">
        <v>8.3987191237611114E-4</v>
      </c>
      <c r="AT71" s="3">
        <f t="shared" si="49"/>
        <v>1.984191670255217E-6</v>
      </c>
      <c r="AU71" s="3">
        <f t="shared" si="50"/>
        <v>-5.8109348443502724E-7</v>
      </c>
      <c r="AV71" s="3">
        <f t="shared" si="51"/>
        <v>1.1920928955078125E-3</v>
      </c>
      <c r="BN71" s="3" t="s">
        <v>211</v>
      </c>
      <c r="BO71" s="3">
        <f xml:space="preserve"> BO69*COS(BO61) - BO70*SIN(BO61)</f>
        <v>0.75258638312969428</v>
      </c>
      <c r="BP71" s="3"/>
      <c r="BQ71" s="3"/>
      <c r="BR71" s="3" t="s">
        <v>211</v>
      </c>
      <c r="BS71" s="3">
        <f xml:space="preserve"> BS69*COS(BS61) - BS70*SIN(BS61)</f>
        <v>0.55061033568503792</v>
      </c>
      <c r="BT71" s="3"/>
      <c r="BV71" s="8" t="s">
        <v>45</v>
      </c>
      <c r="BW71" s="8" t="s">
        <v>46</v>
      </c>
      <c r="BX71" s="8" t="s">
        <v>47</v>
      </c>
      <c r="BY71" s="8" t="s">
        <v>48</v>
      </c>
      <c r="BZ71" s="8" t="s">
        <v>49</v>
      </c>
      <c r="CA71" s="8" t="s">
        <v>50</v>
      </c>
      <c r="CB71" s="8" t="s">
        <v>51</v>
      </c>
      <c r="CC71" s="8" t="s">
        <v>52</v>
      </c>
      <c r="CD71" s="8" t="s">
        <v>53</v>
      </c>
      <c r="CE71" s="8" t="s">
        <v>54</v>
      </c>
      <c r="CG71" s="8" t="s">
        <v>45</v>
      </c>
      <c r="CH71" s="8" t="s">
        <v>46</v>
      </c>
      <c r="CI71" s="8" t="s">
        <v>47</v>
      </c>
      <c r="CJ71" s="8" t="s">
        <v>48</v>
      </c>
      <c r="CK71" s="8" t="s">
        <v>49</v>
      </c>
      <c r="CL71" s="8" t="s">
        <v>50</v>
      </c>
      <c r="CM71" s="8" t="s">
        <v>51</v>
      </c>
      <c r="CN71" s="8" t="s">
        <v>52</v>
      </c>
      <c r="CO71" s="8" t="s">
        <v>53</v>
      </c>
      <c r="CP71" s="8" t="s">
        <v>54</v>
      </c>
    </row>
    <row r="72" spans="2:94" x14ac:dyDescent="0.2">
      <c r="B72" s="55" t="s">
        <v>19</v>
      </c>
      <c r="C72" s="55"/>
      <c r="D72" s="55"/>
      <c r="AB72" s="17" t="s">
        <v>114</v>
      </c>
      <c r="AM72" s="3">
        <v>23</v>
      </c>
      <c r="AN72" s="3">
        <f t="shared" si="52"/>
        <v>967.59307384490967</v>
      </c>
      <c r="AO72" s="3">
        <v>8.3073875794070773E-4</v>
      </c>
      <c r="AP72" s="3">
        <f t="shared" si="53"/>
        <v>967.59366989135742</v>
      </c>
      <c r="AQ72" s="3">
        <v>-6.9188345969450893E-4</v>
      </c>
      <c r="AR72" s="3">
        <f t="shared" si="48"/>
        <v>967.59337186813354</v>
      </c>
      <c r="AS72" s="3">
        <v>7.3994344575112336E-5</v>
      </c>
      <c r="AT72" s="3">
        <f t="shared" si="49"/>
        <v>6.1469969906965571E-8</v>
      </c>
      <c r="AU72" s="3">
        <f t="shared" si="50"/>
        <v>-5.1195463122456342E-8</v>
      </c>
      <c r="AV72" s="3">
        <f t="shared" si="51"/>
        <v>5.9604644775390625E-4</v>
      </c>
      <c r="BN72" s="3" t="s">
        <v>213</v>
      </c>
      <c r="BO72" s="3">
        <f xml:space="preserve"> BO69*SIN(BO61) + BO70*COS(BO61)</f>
        <v>0.18310610596052987</v>
      </c>
      <c r="BP72" s="3"/>
      <c r="BQ72" s="3"/>
      <c r="BR72" s="3" t="s">
        <v>213</v>
      </c>
      <c r="BS72" s="3">
        <f xml:space="preserve"> BS69*SIN(BS61) + BS70*COS(BS61)</f>
        <v>0.13684142924794399</v>
      </c>
      <c r="BT72" s="3"/>
      <c r="BV72" s="31">
        <v>0</v>
      </c>
      <c r="BW72" s="31"/>
      <c r="BX72" s="31">
        <f>$BO$58</f>
        <v>-9.3825720942630753E-9</v>
      </c>
      <c r="BY72" s="31"/>
      <c r="BZ72" s="31">
        <f>$BO$58</f>
        <v>-9.3825720942630753E-9</v>
      </c>
      <c r="CA72" s="31"/>
      <c r="CB72" s="31">
        <f>$BO$58</f>
        <v>-9.3825720942630753E-9</v>
      </c>
      <c r="CC72" s="31"/>
      <c r="CD72" s="31"/>
      <c r="CE72" s="31"/>
      <c r="CG72" s="31">
        <v>0</v>
      </c>
      <c r="CH72" s="31"/>
      <c r="CI72" s="31">
        <f>$BS$58</f>
        <v>-4.1780725684725795E-9</v>
      </c>
      <c r="CJ72" s="31"/>
      <c r="CK72" s="31">
        <f>$BS$58</f>
        <v>-4.1780725684725795E-9</v>
      </c>
      <c r="CL72" s="31"/>
      <c r="CM72" s="31">
        <f>$BS$58</f>
        <v>-4.1780725684725795E-9</v>
      </c>
      <c r="CN72" s="31"/>
      <c r="CO72" s="31"/>
      <c r="CP72" s="31"/>
    </row>
    <row r="73" spans="2:94" x14ac:dyDescent="0.2">
      <c r="B73" s="7" t="s">
        <v>20</v>
      </c>
      <c r="C73" s="18">
        <v>30</v>
      </c>
      <c r="AB73" s="8" t="s">
        <v>45</v>
      </c>
      <c r="AC73" s="8" t="s">
        <v>46</v>
      </c>
      <c r="AD73" s="8" t="s">
        <v>47</v>
      </c>
      <c r="AE73" s="8" t="s">
        <v>48</v>
      </c>
      <c r="AF73" s="8" t="s">
        <v>49</v>
      </c>
      <c r="AG73" s="8" t="s">
        <v>50</v>
      </c>
      <c r="AH73" s="8" t="s">
        <v>51</v>
      </c>
      <c r="AI73" s="8" t="s">
        <v>52</v>
      </c>
      <c r="AJ73" s="8" t="s">
        <v>53</v>
      </c>
      <c r="AK73" s="8" t="s">
        <v>54</v>
      </c>
      <c r="AM73" s="3">
        <v>24</v>
      </c>
      <c r="AN73" s="3">
        <f t="shared" si="52"/>
        <v>967.59337186813354</v>
      </c>
      <c r="AO73" s="3">
        <v>6.4861190139708924E-5</v>
      </c>
      <c r="AP73" s="3">
        <f t="shared" si="53"/>
        <v>967.59366989135742</v>
      </c>
      <c r="AQ73" s="3">
        <v>-6.9188345969450893E-4</v>
      </c>
      <c r="AR73" s="3">
        <f t="shared" si="48"/>
        <v>967.59352087974548</v>
      </c>
      <c r="AS73" s="3">
        <v>-3.0894452788743365E-4</v>
      </c>
      <c r="AT73" s="3">
        <f t="shared" si="49"/>
        <v>-2.0038509765929441E-8</v>
      </c>
      <c r="AU73" s="3">
        <f t="shared" si="50"/>
        <v>2.137536088084443E-7</v>
      </c>
      <c r="AV73" s="3">
        <f t="shared" si="51"/>
        <v>2.9802322387695312E-4</v>
      </c>
      <c r="BN73" s="3" t="s">
        <v>39</v>
      </c>
      <c r="BO73" s="3">
        <f xml:space="preserve"> 4*BO68*SIN(BO61)*SIN(BO61) / (BO65*BO71)</f>
        <v>1.1494740767957368</v>
      </c>
      <c r="BP73" s="3"/>
      <c r="BQ73" s="3"/>
      <c r="BR73" s="3" t="s">
        <v>39</v>
      </c>
      <c r="BS73" s="3">
        <f xml:space="preserve"> 4*BS68*SIN(BS61)*SIN(BS61) / (BS65*BS71)</f>
        <v>1.1289584350418305</v>
      </c>
      <c r="BT73" s="3"/>
      <c r="BV73" s="3">
        <v>1</v>
      </c>
      <c r="BW73" s="4">
        <f>0.01*PI()</f>
        <v>3.1415926535897934E-2</v>
      </c>
      <c r="BX73" s="3">
        <f t="dataTable" ref="BX73:BX102" dt2D="0" dtr="0" r1="BO42" ca="1"/>
        <v>-2.262083650446169</v>
      </c>
      <c r="BY73" s="4">
        <f>0.9*PI()</f>
        <v>2.8274333882308138</v>
      </c>
      <c r="BZ73" s="3">
        <f t="dataTable" ref="BZ73:BZ102" dt2D="0" dtr="0" r1="BO42" ca="1"/>
        <v>0.36056087721699892</v>
      </c>
      <c r="CA73" s="3">
        <f t="shared" ref="CA73:CA102" si="54">(BW73+BY73)/2</f>
        <v>1.4294246573833558</v>
      </c>
      <c r="CB73" s="3">
        <f t="dataTable" ref="CB73:CB102" dt2D="0" dtr="0" r1="BO42" ca="1"/>
        <v>1.1351176636614935</v>
      </c>
      <c r="CC73" s="3">
        <f t="shared" ref="CC73:CC102" si="55">BX73*CB73</f>
        <v>-2.5677311083013179</v>
      </c>
      <c r="CD73" s="3">
        <f t="shared" ref="CD73:CD102" si="56">BZ73*CB73</f>
        <v>0.40927902055429843</v>
      </c>
      <c r="CE73" s="3">
        <f t="shared" ref="CE73:CE102" si="57">BY73-BW73</f>
        <v>2.7960174616949161</v>
      </c>
      <c r="CG73" s="3">
        <v>1</v>
      </c>
      <c r="CH73" s="4">
        <f>0.01*PI()</f>
        <v>3.1415926535897934E-2</v>
      </c>
      <c r="CI73" s="3">
        <f t="dataTable" ref="CI73:CI102" dt2D="0" dtr="0" r1="BS42" ca="1"/>
        <v>-2.1632046093788793</v>
      </c>
      <c r="CJ73" s="4">
        <f>0.9*PI()</f>
        <v>2.8274333882308138</v>
      </c>
      <c r="CK73" s="3">
        <f t="dataTable" ref="CK73:CK102" dt2D="0" dtr="0" r1="BS42" ca="1"/>
        <v>0.35107474860897564</v>
      </c>
      <c r="CL73" s="3">
        <f t="shared" ref="CL73:CL102" si="58">(CH73+CJ73)/2</f>
        <v>1.4294246573833558</v>
      </c>
      <c r="CM73" s="3">
        <f t="dataTable" ref="CM73:CM102" dt2D="0" dtr="0" r1="BS42" ca="1"/>
        <v>1.1383626735420422</v>
      </c>
      <c r="CN73" s="3">
        <f t="shared" ref="CN73:CN102" si="59">CI73*CM73</f>
        <v>-2.4625113825510101</v>
      </c>
      <c r="CO73" s="3">
        <f t="shared" ref="CO73:CO102" si="60">CK73*CM73</f>
        <v>0.3996503894396139</v>
      </c>
      <c r="CP73" s="3">
        <f t="shared" ref="CP73:CP102" si="61">CJ73-CH73</f>
        <v>2.7960174616949161</v>
      </c>
    </row>
    <row r="74" spans="2:94" x14ac:dyDescent="0.2">
      <c r="AB74" s="3">
        <v>0</v>
      </c>
      <c r="AC74" s="4">
        <v>0</v>
      </c>
      <c r="AD74" s="3">
        <f xml:space="preserve"> $W$22 * TAN($W$19/180*PI()) + $W$23 / (2 * SQRT($W$22^2 + AC74^2)) - AC74</f>
        <v>0.43698046003828306</v>
      </c>
      <c r="AE74" s="4">
        <v>1</v>
      </c>
      <c r="AF74" s="3">
        <f xml:space="preserve"> $W$22 * TAN($W$19/180*PI()) + $W$23 / (2 * SQRT($W$22^2 + AE74^2)) - AE74</f>
        <v>-0.67957683209039532</v>
      </c>
      <c r="AG74" s="3">
        <f xml:space="preserve"> (AC74 + AE74)/2</f>
        <v>0.5</v>
      </c>
      <c r="AH74" s="3">
        <f xml:space="preserve"> $W$22 * TAN($W$19/180*PI()) + $W$23 / (2 * SQRT($W$22^2 + AG74^2)) - AG74</f>
        <v>-0.17625994219176272</v>
      </c>
      <c r="AI74" s="3">
        <f>AD74*AH74</f>
        <v>-7.7022150625277647E-2</v>
      </c>
      <c r="AJ74" s="3">
        <f>AF74*AH74</f>
        <v>0.11978217313911432</v>
      </c>
      <c r="AK74" s="3">
        <f>AE74-AC74</f>
        <v>1</v>
      </c>
      <c r="AM74" s="3">
        <v>25</v>
      </c>
      <c r="AN74" s="3">
        <f t="shared" si="52"/>
        <v>967.59337186813354</v>
      </c>
      <c r="AO74" s="3">
        <v>6.4861190139708924E-5</v>
      </c>
      <c r="AP74" s="3">
        <f t="shared" si="53"/>
        <v>967.59352087974548</v>
      </c>
      <c r="AQ74" s="3">
        <v>-3.0894452788743365E-4</v>
      </c>
      <c r="AR74" s="3">
        <f t="shared" si="48"/>
        <v>967.59344637393951</v>
      </c>
      <c r="AS74" s="3">
        <v>-1.1747508438020304E-4</v>
      </c>
      <c r="AT74" s="3">
        <f t="shared" si="49"/>
        <v>-7.6195737846626995E-9</v>
      </c>
      <c r="AU74" s="3">
        <f t="shared" si="50"/>
        <v>3.629328448237826E-8</v>
      </c>
      <c r="AV74" s="3">
        <f t="shared" si="51"/>
        <v>1.4901161193847656E-4</v>
      </c>
      <c r="BN74" s="3" t="s">
        <v>215</v>
      </c>
      <c r="BO74" s="3">
        <f xml:space="preserve"> 4*BO68*SIN(BO61)*COS(BO61) / (BO65*BO72)</f>
        <v>19.877721686022404</v>
      </c>
      <c r="BP74" s="3"/>
      <c r="BQ74" s="3"/>
      <c r="BR74" s="3" t="s">
        <v>215</v>
      </c>
      <c r="BS74" s="3">
        <f xml:space="preserve"> 4*BS68*SIN(BS61)*COS(BS61) / (BS65*BS72)</f>
        <v>18.677658296345413</v>
      </c>
      <c r="BT74" s="3"/>
      <c r="BV74" s="3">
        <v>2</v>
      </c>
      <c r="BW74" s="3">
        <f t="shared" ref="BW74:BW102" si="62">IF(CC73&gt;0,CA73,BW73)</f>
        <v>3.1415926535897934E-2</v>
      </c>
      <c r="BX74" s="3">
        <v>-2.262083650446169</v>
      </c>
      <c r="BY74" s="3">
        <f t="shared" ref="BY74:BY102" si="63">IF(CD73&gt;0,CA73,BY73)</f>
        <v>1.4294246573833558</v>
      </c>
      <c r="BZ74" s="3">
        <v>1.1351176636614935</v>
      </c>
      <c r="CA74" s="3">
        <f t="shared" si="54"/>
        <v>0.73042029195962688</v>
      </c>
      <c r="CB74" s="3">
        <v>0.72786693815590664</v>
      </c>
      <c r="CC74" s="3">
        <f t="shared" si="55"/>
        <v>-1.6464959005027893</v>
      </c>
      <c r="CD74" s="3">
        <f t="shared" si="56"/>
        <v>0.82621461829597753</v>
      </c>
      <c r="CE74" s="3">
        <f t="shared" si="57"/>
        <v>1.3980087308474578</v>
      </c>
      <c r="CG74" s="3">
        <v>2</v>
      </c>
      <c r="CH74" s="3">
        <f t="shared" ref="CH74:CH102" si="64">IF(CN73&gt;0,CL73,CH73)</f>
        <v>3.1415926535897934E-2</v>
      </c>
      <c r="CI74" s="3">
        <v>-2.1632046093788793</v>
      </c>
      <c r="CJ74" s="3">
        <f t="shared" ref="CJ74:CJ102" si="65">IF(CO73&gt;0,CL73,CJ73)</f>
        <v>1.4294246573833558</v>
      </c>
      <c r="CK74" s="3">
        <v>1.1383626735420422</v>
      </c>
      <c r="CL74" s="3">
        <f t="shared" si="58"/>
        <v>0.73042029195962688</v>
      </c>
      <c r="CM74" s="3">
        <v>0.73275949597318835</v>
      </c>
      <c r="CN74" s="3">
        <f t="shared" si="59"/>
        <v>-1.5851087192553452</v>
      </c>
      <c r="CO74" s="3">
        <f t="shared" si="60"/>
        <v>0.834146058899358</v>
      </c>
      <c r="CP74" s="3">
        <f t="shared" si="61"/>
        <v>1.3980087308474578</v>
      </c>
    </row>
    <row r="75" spans="2:94" x14ac:dyDescent="0.2">
      <c r="AB75" s="3">
        <v>1</v>
      </c>
      <c r="AC75" s="3">
        <f>IF(AI74&gt;0, AG74, AC74)</f>
        <v>0</v>
      </c>
      <c r="AD75" s="3">
        <f t="shared" ref="AD75:AD104" si="66" xml:space="preserve"> $W$22 * TAN($W$19/180*PI()) + $W$23 / (2 * SQRT($W$22^2 + AC75^2)) - AC75</f>
        <v>0.43698046003828306</v>
      </c>
      <c r="AE75" s="3">
        <f>IF(AJ74&gt;0, AG74, AE74)</f>
        <v>0.5</v>
      </c>
      <c r="AF75" s="3">
        <f t="shared" ref="AF75:AF104" si="67" xml:space="preserve"> $W$22 * TAN($W$19/180*PI()) + $W$23 / (2 * SQRT($W$22^2 + AE75^2)) - AE75</f>
        <v>-0.17625994219176272</v>
      </c>
      <c r="AG75" s="3">
        <f t="shared" ref="AG75:AG104" si="68" xml:space="preserve"> (AC75 + AE75)/2</f>
        <v>0.25</v>
      </c>
      <c r="AH75" s="3">
        <f t="shared" ref="AH75:AH104" si="69" xml:space="preserve"> $W$22 * TAN($W$19/180*PI()) + $W$23 / (2 * SQRT($W$22^2 + AG75^2)) - AG75</f>
        <v>8.0320763132650241E-2</v>
      </c>
      <c r="AI75" s="3">
        <f t="shared" ref="AI75:AI104" si="70">AD75*AH75</f>
        <v>3.5098604024331466E-2</v>
      </c>
      <c r="AJ75" s="3">
        <f t="shared" ref="AJ75:AJ104" si="71">AF75*AH75</f>
        <v>-1.4157333066559199E-2</v>
      </c>
      <c r="AK75" s="3">
        <f t="shared" ref="AK75:AK104" si="72">AE75-AC75</f>
        <v>0.5</v>
      </c>
      <c r="AM75" s="3">
        <v>26</v>
      </c>
      <c r="AN75" s="3">
        <f t="shared" si="52"/>
        <v>967.59337186813354</v>
      </c>
      <c r="AO75" s="3">
        <v>6.4861190139708924E-5</v>
      </c>
      <c r="AP75" s="3">
        <f t="shared" si="53"/>
        <v>967.59344637393951</v>
      </c>
      <c r="AQ75" s="3">
        <v>-1.1747508438020304E-4</v>
      </c>
      <c r="AR75" s="3">
        <f t="shared" si="48"/>
        <v>967.59340912103653</v>
      </c>
      <c r="AS75" s="3">
        <v>-2.174036808355595E-5</v>
      </c>
      <c r="AT75" s="3">
        <f t="shared" si="49"/>
        <v>-1.4101061479747817E-9</v>
      </c>
      <c r="AU75" s="3">
        <f t="shared" si="50"/>
        <v>2.5539515750724084E-9</v>
      </c>
      <c r="AV75" s="3">
        <f t="shared" si="51"/>
        <v>7.4505805969238281E-5</v>
      </c>
      <c r="BN75" s="3" t="s">
        <v>46</v>
      </c>
      <c r="BO75" s="3">
        <f>1/(BO73-1)</f>
        <v>6.6901232737937981</v>
      </c>
      <c r="BP75" s="3"/>
      <c r="BQ75" s="3"/>
      <c r="BR75" s="3" t="s">
        <v>46</v>
      </c>
      <c r="BS75" s="3">
        <f>1/(BS73-1)</f>
        <v>7.7544365335670236</v>
      </c>
      <c r="BT75" s="3"/>
      <c r="BV75" s="3">
        <v>3</v>
      </c>
      <c r="BW75" s="3">
        <f t="shared" si="62"/>
        <v>3.1415926535897934E-2</v>
      </c>
      <c r="BX75" s="3">
        <v>-2.262083650446169</v>
      </c>
      <c r="BY75" s="3">
        <f t="shared" si="63"/>
        <v>0.73042029195962688</v>
      </c>
      <c r="BZ75" s="3">
        <v>0.72786693815590664</v>
      </c>
      <c r="CA75" s="3">
        <f t="shared" si="54"/>
        <v>0.38091810924776243</v>
      </c>
      <c r="CB75" s="3">
        <v>0.3116971079281739</v>
      </c>
      <c r="CC75" s="3">
        <f t="shared" si="55"/>
        <v>-0.7050849317356771</v>
      </c>
      <c r="CD75" s="3">
        <f t="shared" si="56"/>
        <v>0.22687401957973111</v>
      </c>
      <c r="CE75" s="3">
        <f t="shared" si="57"/>
        <v>0.6990043654237289</v>
      </c>
      <c r="CG75" s="3">
        <v>3</v>
      </c>
      <c r="CH75" s="3">
        <f t="shared" si="64"/>
        <v>3.1415926535897934E-2</v>
      </c>
      <c r="CI75" s="3">
        <v>-2.1632046093788793</v>
      </c>
      <c r="CJ75" s="3">
        <f t="shared" si="65"/>
        <v>0.73042029195962688</v>
      </c>
      <c r="CK75" s="3">
        <v>0.73275949597318835</v>
      </c>
      <c r="CL75" s="3">
        <f t="shared" si="58"/>
        <v>0.38091810924776243</v>
      </c>
      <c r="CM75" s="3">
        <v>0.34855904369233215</v>
      </c>
      <c r="CN75" s="3">
        <f t="shared" si="59"/>
        <v>-0.75400452995594702</v>
      </c>
      <c r="CO75" s="3">
        <f t="shared" si="60"/>
        <v>0.25540994917288984</v>
      </c>
      <c r="CP75" s="3">
        <f t="shared" si="61"/>
        <v>0.6990043654237289</v>
      </c>
    </row>
    <row r="76" spans="2:94" x14ac:dyDescent="0.2">
      <c r="AB76" s="3">
        <v>2</v>
      </c>
      <c r="AC76" s="3">
        <f t="shared" ref="AC76:AC104" si="73">IF(AI75&gt;0, AG75, AC75)</f>
        <v>0.25</v>
      </c>
      <c r="AD76" s="3">
        <f t="shared" si="66"/>
        <v>8.0320763132650241E-2</v>
      </c>
      <c r="AE76" s="3">
        <f t="shared" ref="AE76:AE104" si="74">IF(AJ75&gt;0, AG75, AE75)</f>
        <v>0.5</v>
      </c>
      <c r="AF76" s="3">
        <f t="shared" si="67"/>
        <v>-0.17625994219176272</v>
      </c>
      <c r="AG76" s="3">
        <f t="shared" si="68"/>
        <v>0.375</v>
      </c>
      <c r="AH76" s="3">
        <f t="shared" si="69"/>
        <v>-4.9056680262851371E-2</v>
      </c>
      <c r="AI76" s="3">
        <f t="shared" si="70"/>
        <v>-3.9402699954666429E-3</v>
      </c>
      <c r="AJ76" s="3">
        <f t="shared" si="71"/>
        <v>8.6467276272499706E-3</v>
      </c>
      <c r="AK76" s="3">
        <f t="shared" si="72"/>
        <v>0.25</v>
      </c>
      <c r="AM76" s="3">
        <v>27</v>
      </c>
      <c r="AN76" s="3">
        <f t="shared" si="52"/>
        <v>967.59337186813354</v>
      </c>
      <c r="AO76" s="3">
        <v>6.4861190139708924E-5</v>
      </c>
      <c r="AP76" s="3">
        <f t="shared" si="53"/>
        <v>967.59340912103653</v>
      </c>
      <c r="AQ76" s="3">
        <v>-2.174036808355595E-5</v>
      </c>
      <c r="AR76" s="3">
        <f t="shared" si="48"/>
        <v>967.59339049458504</v>
      </c>
      <c r="AS76" s="3">
        <v>-6.9607725208697957E-5</v>
      </c>
      <c r="AT76" s="3">
        <f t="shared" si="49"/>
        <v>-4.5148398999539679E-9</v>
      </c>
      <c r="AU76" s="3">
        <f t="shared" si="50"/>
        <v>1.5132975674961101E-9</v>
      </c>
      <c r="AV76" s="3">
        <f t="shared" si="51"/>
        <v>3.7252902984619141E-5</v>
      </c>
      <c r="BN76" s="3" t="s">
        <v>218</v>
      </c>
      <c r="BO76" s="3">
        <f>1/(BO74+1)</f>
        <v>4.7897946674396862E-2</v>
      </c>
      <c r="BP76" s="3"/>
      <c r="BR76" s="3" t="s">
        <v>218</v>
      </c>
      <c r="BS76" s="3">
        <f>1/(BS74+1)</f>
        <v>5.0819055038968872E-2</v>
      </c>
      <c r="BT76" s="3"/>
      <c r="BV76" s="3">
        <v>4</v>
      </c>
      <c r="BW76" s="3">
        <f t="shared" si="62"/>
        <v>3.1415926535897934E-2</v>
      </c>
      <c r="BX76" s="3">
        <v>-2.262083650446169</v>
      </c>
      <c r="BY76" s="3">
        <f t="shared" si="63"/>
        <v>0.38091810924776243</v>
      </c>
      <c r="BZ76" s="3">
        <v>0.3116971079281739</v>
      </c>
      <c r="CA76" s="3">
        <f t="shared" si="54"/>
        <v>0.20616701789183017</v>
      </c>
      <c r="CB76" s="3">
        <v>-0.2013273732873998</v>
      </c>
      <c r="CC76" s="3">
        <f t="shared" si="55"/>
        <v>0.45541935950069989</v>
      </c>
      <c r="CD76" s="3">
        <f t="shared" si="56"/>
        <v>-6.2753160000458413E-2</v>
      </c>
      <c r="CE76" s="3">
        <f t="shared" si="57"/>
        <v>0.34950218271186451</v>
      </c>
      <c r="CG76" s="3">
        <v>4</v>
      </c>
      <c r="CH76" s="3">
        <f t="shared" si="64"/>
        <v>3.1415926535897934E-2</v>
      </c>
      <c r="CI76" s="3">
        <v>-2.1632046093788793</v>
      </c>
      <c r="CJ76" s="3">
        <f t="shared" si="65"/>
        <v>0.38091810924776243</v>
      </c>
      <c r="CK76" s="3">
        <v>0.34855904369233215</v>
      </c>
      <c r="CL76" s="3">
        <f t="shared" si="58"/>
        <v>0.20616701789183017</v>
      </c>
      <c r="CM76" s="3">
        <v>-0.12773710877839153</v>
      </c>
      <c r="CN76" s="3">
        <f t="shared" si="59"/>
        <v>0.27632150249814785</v>
      </c>
      <c r="CO76" s="3">
        <f t="shared" si="60"/>
        <v>-4.4523924479819559E-2</v>
      </c>
      <c r="CP76" s="3">
        <f t="shared" si="61"/>
        <v>0.34950218271186451</v>
      </c>
    </row>
    <row r="77" spans="2:94" x14ac:dyDescent="0.2">
      <c r="AB77" s="3">
        <v>3</v>
      </c>
      <c r="AC77" s="3">
        <f t="shared" si="73"/>
        <v>0.25</v>
      </c>
      <c r="AD77" s="3">
        <f t="shared" si="66"/>
        <v>8.0320763132650241E-2</v>
      </c>
      <c r="AE77" s="3">
        <f t="shared" si="74"/>
        <v>0.375</v>
      </c>
      <c r="AF77" s="3">
        <f t="shared" si="67"/>
        <v>-4.9056680262851371E-2</v>
      </c>
      <c r="AG77" s="3">
        <f t="shared" si="68"/>
        <v>0.3125</v>
      </c>
      <c r="AH77" s="3">
        <f t="shared" si="69"/>
        <v>1.5199572255387261E-2</v>
      </c>
      <c r="AI77" s="3">
        <f t="shared" si="70"/>
        <v>1.2208412428425625E-3</v>
      </c>
      <c r="AJ77" s="3">
        <f t="shared" si="71"/>
        <v>-7.456405562646396E-4</v>
      </c>
      <c r="AK77" s="3">
        <f t="shared" si="72"/>
        <v>0.125</v>
      </c>
      <c r="AM77" s="3">
        <v>28</v>
      </c>
      <c r="AN77" s="3">
        <f t="shared" si="52"/>
        <v>967.59337186813354</v>
      </c>
      <c r="AO77" s="3">
        <v>6.4861190139708924E-5</v>
      </c>
      <c r="AP77" s="3">
        <f t="shared" si="53"/>
        <v>967.59339049458504</v>
      </c>
      <c r="AQ77" s="3">
        <v>2.6126988586838706E-5</v>
      </c>
      <c r="AR77" s="3">
        <f t="shared" si="48"/>
        <v>967.59338118135929</v>
      </c>
      <c r="AS77" s="3">
        <v>-9.3541404567076825E-5</v>
      </c>
      <c r="AT77" s="3">
        <f t="shared" si="49"/>
        <v>-6.0672068275606062E-9</v>
      </c>
      <c r="AU77" s="3">
        <f t="shared" si="50"/>
        <v>-2.4439552095208782E-9</v>
      </c>
      <c r="AV77" s="3">
        <f t="shared" si="51"/>
        <v>1.862645149230957E-5</v>
      </c>
      <c r="BN77" s="8" t="s">
        <v>220</v>
      </c>
      <c r="BO77" s="41">
        <f>SIN(BO61)/(1+BO75) - $AY$3*COS(BO61)/($BC$5*$AY$25*(1-BO76))</f>
        <v>-2.1643554726225034E-9</v>
      </c>
      <c r="BP77" s="41"/>
      <c r="BR77" s="8" t="s">
        <v>220</v>
      </c>
      <c r="BS77" s="41">
        <f>SIN(BS61)/(1+BS75) - $AY$3*COS(BS61)/($BC$5*$AY$26*(1-BS76))</f>
        <v>7.3933567150408219E-9</v>
      </c>
      <c r="BT77" s="41"/>
      <c r="BV77" s="3">
        <v>5</v>
      </c>
      <c r="BW77" s="3">
        <f t="shared" si="62"/>
        <v>0.20616701789183017</v>
      </c>
      <c r="BX77" s="3">
        <v>-0.2013273732873998</v>
      </c>
      <c r="BY77" s="3">
        <f t="shared" si="63"/>
        <v>0.38091810924776243</v>
      </c>
      <c r="BZ77" s="3">
        <v>0.3116971079281739</v>
      </c>
      <c r="CA77" s="3">
        <f t="shared" si="54"/>
        <v>0.2935425635697963</v>
      </c>
      <c r="CB77" s="3">
        <v>8.6647627267496197E-2</v>
      </c>
      <c r="CC77" s="3">
        <f t="shared" si="55"/>
        <v>-1.7444539199350687E-2</v>
      </c>
      <c r="CD77" s="3">
        <f t="shared" si="56"/>
        <v>2.7007814828116945E-2</v>
      </c>
      <c r="CE77" s="3">
        <f t="shared" si="57"/>
        <v>0.17475109135593225</v>
      </c>
      <c r="CG77" s="3">
        <v>5</v>
      </c>
      <c r="CH77" s="3">
        <f t="shared" si="64"/>
        <v>0.20616701789183017</v>
      </c>
      <c r="CI77" s="3">
        <v>-0.12773710877839153</v>
      </c>
      <c r="CJ77" s="3">
        <f t="shared" si="65"/>
        <v>0.38091810924776243</v>
      </c>
      <c r="CK77" s="3">
        <v>0.34855904369233215</v>
      </c>
      <c r="CL77" s="3">
        <f t="shared" si="58"/>
        <v>0.2935425635697963</v>
      </c>
      <c r="CM77" s="3">
        <v>0.13920695646331971</v>
      </c>
      <c r="CN77" s="3">
        <f t="shared" si="59"/>
        <v>-1.7781894140463883E-2</v>
      </c>
      <c r="CO77" s="3">
        <f t="shared" si="60"/>
        <v>4.852184362017483E-2</v>
      </c>
      <c r="CP77" s="3">
        <f t="shared" si="61"/>
        <v>0.17475109135593225</v>
      </c>
    </row>
    <row r="78" spans="2:94" x14ac:dyDescent="0.2">
      <c r="AB78" s="3">
        <v>4</v>
      </c>
      <c r="AC78" s="3">
        <f t="shared" si="73"/>
        <v>0.3125</v>
      </c>
      <c r="AD78" s="3">
        <f t="shared" si="66"/>
        <v>1.5199572255387261E-2</v>
      </c>
      <c r="AE78" s="3">
        <f t="shared" si="74"/>
        <v>0.375</v>
      </c>
      <c r="AF78" s="3">
        <f t="shared" si="67"/>
        <v>-4.9056680262851371E-2</v>
      </c>
      <c r="AG78" s="3">
        <f t="shared" si="68"/>
        <v>0.34375</v>
      </c>
      <c r="AH78" s="3">
        <f t="shared" si="69"/>
        <v>-1.7007604509443497E-2</v>
      </c>
      <c r="AI78" s="3">
        <f t="shared" si="70"/>
        <v>-2.5850831363233664E-4</v>
      </c>
      <c r="AJ78" s="3">
        <f t="shared" si="71"/>
        <v>8.3433661645679878E-4</v>
      </c>
      <c r="AK78" s="3">
        <f t="shared" si="72"/>
        <v>6.25E-2</v>
      </c>
      <c r="AM78" s="3">
        <v>29</v>
      </c>
      <c r="AN78" s="3">
        <f t="shared" si="52"/>
        <v>967.59337186813354</v>
      </c>
      <c r="AO78" s="3">
        <v>6.4861190139708924E-5</v>
      </c>
      <c r="AP78" s="3">
        <f t="shared" si="53"/>
        <v>967.59339049458504</v>
      </c>
      <c r="AQ78" s="3">
        <v>5.0060667035722872E-5</v>
      </c>
      <c r="AR78" s="3">
        <f t="shared" si="48"/>
        <v>967.59338118135929</v>
      </c>
      <c r="AS78" s="3">
        <v>-1.0550824458732677E-4</v>
      </c>
      <c r="AT78" s="3">
        <f t="shared" si="49"/>
        <v>-6.8433903134855164E-9</v>
      </c>
      <c r="AU78" s="3">
        <f t="shared" si="50"/>
        <v>-5.2818131018097758E-9</v>
      </c>
      <c r="AV78" s="3">
        <f t="shared" si="51"/>
        <v>1.862645149230957E-5</v>
      </c>
      <c r="BV78" s="3">
        <v>6</v>
      </c>
      <c r="BW78" s="3">
        <f t="shared" si="62"/>
        <v>0.20616701789183017</v>
      </c>
      <c r="BX78" s="3">
        <v>-0.2013273732873998</v>
      </c>
      <c r="BY78" s="3">
        <f t="shared" si="63"/>
        <v>0.2935425635697963</v>
      </c>
      <c r="BZ78" s="3">
        <v>8.6647627267496197E-2</v>
      </c>
      <c r="CA78" s="3">
        <f t="shared" si="54"/>
        <v>0.24985479073081324</v>
      </c>
      <c r="CB78" s="3">
        <v>-4.7306104388228076E-2</v>
      </c>
      <c r="CC78" s="3">
        <f t="shared" si="55"/>
        <v>9.5240137369414953E-3</v>
      </c>
      <c r="CD78" s="3">
        <f t="shared" si="56"/>
        <v>-4.0989617005084524E-3</v>
      </c>
      <c r="CE78" s="3">
        <f t="shared" si="57"/>
        <v>8.7375545677966127E-2</v>
      </c>
      <c r="CG78" s="3">
        <v>6</v>
      </c>
      <c r="CH78" s="3">
        <f t="shared" si="64"/>
        <v>0.20616701789183017</v>
      </c>
      <c r="CI78" s="3">
        <v>-0.12773710877839153</v>
      </c>
      <c r="CJ78" s="3">
        <f t="shared" si="65"/>
        <v>0.2935425635697963</v>
      </c>
      <c r="CK78" s="3">
        <v>0.13920695646331971</v>
      </c>
      <c r="CL78" s="3">
        <f t="shared" si="58"/>
        <v>0.24985479073081324</v>
      </c>
      <c r="CM78" s="3">
        <v>1.4430906979435193E-2</v>
      </c>
      <c r="CN78" s="3">
        <f t="shared" si="59"/>
        <v>-1.8433623346029628E-3</v>
      </c>
      <c r="CO78" s="3">
        <f t="shared" si="60"/>
        <v>2.0088826396124516E-3</v>
      </c>
      <c r="CP78" s="3">
        <f t="shared" si="61"/>
        <v>8.7375545677966127E-2</v>
      </c>
    </row>
    <row r="79" spans="2:94" x14ac:dyDescent="0.2">
      <c r="AB79" s="3">
        <v>5</v>
      </c>
      <c r="AC79" s="3">
        <f t="shared" si="73"/>
        <v>0.3125</v>
      </c>
      <c r="AD79" s="3">
        <f t="shared" si="66"/>
        <v>1.5199572255387261E-2</v>
      </c>
      <c r="AE79" s="3">
        <f t="shared" si="74"/>
        <v>0.34375</v>
      </c>
      <c r="AF79" s="3">
        <f t="shared" si="67"/>
        <v>-1.7007604509443497E-2</v>
      </c>
      <c r="AG79" s="3">
        <f t="shared" si="68"/>
        <v>0.328125</v>
      </c>
      <c r="AH79" s="3">
        <f t="shared" si="69"/>
        <v>-9.2656305116861626E-4</v>
      </c>
      <c r="AI79" s="3">
        <f t="shared" si="70"/>
        <v>-1.4083362045409468E-5</v>
      </c>
      <c r="AJ79" s="3">
        <f t="shared" si="71"/>
        <v>1.5758617927339082E-5</v>
      </c>
      <c r="AK79" s="3">
        <f t="shared" si="72"/>
        <v>3.125E-2</v>
      </c>
      <c r="AM79" s="3">
        <v>30</v>
      </c>
      <c r="AN79" s="3">
        <f t="shared" si="52"/>
        <v>967.59337186813354</v>
      </c>
      <c r="AO79" s="3">
        <v>6.4861190139708924E-5</v>
      </c>
      <c r="AP79" s="3">
        <f t="shared" si="53"/>
        <v>967.59339049458504</v>
      </c>
      <c r="AQ79" s="3">
        <v>6.2027505464357091E-5</v>
      </c>
      <c r="AR79" s="6">
        <f t="shared" si="48"/>
        <v>967.59338118135929</v>
      </c>
      <c r="AS79" s="3">
        <v>-9.9524824690888636E-5</v>
      </c>
      <c r="AT79" s="3">
        <f t="shared" si="49"/>
        <v>-6.4552985778969248E-9</v>
      </c>
      <c r="AU79" s="3">
        <f t="shared" si="50"/>
        <v>-6.1732766073532764E-9</v>
      </c>
      <c r="AV79" s="3">
        <f t="shared" si="51"/>
        <v>1.862645149230957E-5</v>
      </c>
      <c r="BV79" s="3">
        <v>7</v>
      </c>
      <c r="BW79" s="3">
        <f t="shared" si="62"/>
        <v>0.24985479073081324</v>
      </c>
      <c r="BX79" s="3">
        <v>-4.7306104388228076E-2</v>
      </c>
      <c r="BY79" s="3">
        <f t="shared" si="63"/>
        <v>0.2935425635697963</v>
      </c>
      <c r="BZ79" s="3">
        <v>8.6647627267496197E-2</v>
      </c>
      <c r="CA79" s="3">
        <f t="shared" si="54"/>
        <v>0.27169867715030477</v>
      </c>
      <c r="CB79" s="3">
        <v>2.1734772764061987E-2</v>
      </c>
      <c r="CC79" s="3">
        <f t="shared" si="55"/>
        <v>-1.0281874292311329E-3</v>
      </c>
      <c r="CD79" s="3">
        <f t="shared" si="56"/>
        <v>1.8832664892041711E-3</v>
      </c>
      <c r="CE79" s="3">
        <f t="shared" si="57"/>
        <v>4.3687772838983063E-2</v>
      </c>
      <c r="CG79" s="3">
        <v>7</v>
      </c>
      <c r="CH79" s="3">
        <f t="shared" si="64"/>
        <v>0.20616701789183017</v>
      </c>
      <c r="CI79" s="3">
        <v>-0.12773710877839153</v>
      </c>
      <c r="CJ79" s="3">
        <f t="shared" si="65"/>
        <v>0.24985479073081324</v>
      </c>
      <c r="CK79" s="3">
        <v>1.4430906979435193E-2</v>
      </c>
      <c r="CL79" s="3">
        <f t="shared" si="58"/>
        <v>0.2280109043113217</v>
      </c>
      <c r="CM79" s="3">
        <v>-5.4053198200377572E-2</v>
      </c>
      <c r="CN79" s="3">
        <f t="shared" si="59"/>
        <v>6.9045992583415877E-3</v>
      </c>
      <c r="CO79" s="3">
        <f t="shared" si="60"/>
        <v>-7.8003667517062255E-4</v>
      </c>
      <c r="CP79" s="3">
        <f t="shared" si="61"/>
        <v>4.3687772838983063E-2</v>
      </c>
    </row>
    <row r="80" spans="2:94" x14ac:dyDescent="0.2">
      <c r="AB80" s="3">
        <v>6</v>
      </c>
      <c r="AC80" s="3">
        <f t="shared" si="73"/>
        <v>0.3125</v>
      </c>
      <c r="AD80" s="3">
        <f t="shared" si="66"/>
        <v>1.5199572255387261E-2</v>
      </c>
      <c r="AE80" s="3">
        <f t="shared" si="74"/>
        <v>0.328125</v>
      </c>
      <c r="AF80" s="3">
        <f t="shared" si="67"/>
        <v>-9.2656305116861626E-4</v>
      </c>
      <c r="AG80" s="3">
        <f t="shared" si="68"/>
        <v>0.3203125</v>
      </c>
      <c r="AH80" s="3">
        <f t="shared" si="69"/>
        <v>7.1304614771806052E-3</v>
      </c>
      <c r="AI80" s="3">
        <f t="shared" si="70"/>
        <v>1.0837996443666199E-4</v>
      </c>
      <c r="AJ80" s="3">
        <f t="shared" si="71"/>
        <v>-6.6068221425367403E-6</v>
      </c>
      <c r="AK80" s="3">
        <f t="shared" si="72"/>
        <v>1.5625E-2</v>
      </c>
      <c r="BV80" s="3">
        <v>8</v>
      </c>
      <c r="BW80" s="3">
        <f t="shared" si="62"/>
        <v>0.24985479073081324</v>
      </c>
      <c r="BX80" s="3">
        <v>-4.7306104388228076E-2</v>
      </c>
      <c r="BY80" s="3">
        <f t="shared" si="63"/>
        <v>0.27169867715030477</v>
      </c>
      <c r="BZ80" s="3">
        <v>2.1734772764061987E-2</v>
      </c>
      <c r="CA80" s="3">
        <f t="shared" si="54"/>
        <v>0.260776733940559</v>
      </c>
      <c r="CB80" s="3">
        <v>-1.222989741312628E-2</v>
      </c>
      <c r="CC80" s="3">
        <f t="shared" si="55"/>
        <v>5.785488036826723E-4</v>
      </c>
      <c r="CD80" s="3">
        <f t="shared" si="56"/>
        <v>-2.6581404120208923E-4</v>
      </c>
      <c r="CE80" s="3">
        <f t="shared" si="57"/>
        <v>2.1843886419491532E-2</v>
      </c>
      <c r="CG80" s="3">
        <v>8</v>
      </c>
      <c r="CH80" s="3">
        <f t="shared" si="64"/>
        <v>0.2280109043113217</v>
      </c>
      <c r="CI80" s="3">
        <v>-5.4053198200377572E-2</v>
      </c>
      <c r="CJ80" s="3">
        <f t="shared" si="65"/>
        <v>0.24985479073081324</v>
      </c>
      <c r="CK80" s="3">
        <v>1.4430906979435193E-2</v>
      </c>
      <c r="CL80" s="3">
        <f t="shared" si="58"/>
        <v>0.23893284752106747</v>
      </c>
      <c r="CM80" s="3">
        <v>-1.9231583130530881E-2</v>
      </c>
      <c r="CN80" s="3">
        <f t="shared" si="59"/>
        <v>1.0395285746616235E-3</v>
      </c>
      <c r="CO80" s="3">
        <f t="shared" si="60"/>
        <v>-2.7752918722396619E-4</v>
      </c>
      <c r="CP80" s="3">
        <f t="shared" si="61"/>
        <v>2.1843886419491532E-2</v>
      </c>
    </row>
    <row r="81" spans="28:94" x14ac:dyDescent="0.2">
      <c r="AB81" s="3">
        <v>7</v>
      </c>
      <c r="AC81" s="3">
        <f t="shared" si="73"/>
        <v>0.3203125</v>
      </c>
      <c r="AD81" s="3">
        <f t="shared" si="66"/>
        <v>7.1304614771806052E-3</v>
      </c>
      <c r="AE81" s="3">
        <f t="shared" si="74"/>
        <v>0.328125</v>
      </c>
      <c r="AF81" s="3">
        <f t="shared" si="67"/>
        <v>-9.2656305116861626E-4</v>
      </c>
      <c r="AG81" s="3">
        <f t="shared" si="68"/>
        <v>0.32421875</v>
      </c>
      <c r="AH81" s="3">
        <f t="shared" si="69"/>
        <v>3.1004922355052367E-3</v>
      </c>
      <c r="AI81" s="3">
        <f t="shared" si="70"/>
        <v>2.2107940445567667E-5</v>
      </c>
      <c r="AJ81" s="3">
        <f t="shared" si="71"/>
        <v>-2.8728015458543359E-6</v>
      </c>
      <c r="AK81" s="3">
        <f t="shared" si="72"/>
        <v>7.8125E-3</v>
      </c>
      <c r="BV81" s="3">
        <v>9</v>
      </c>
      <c r="BW81" s="3">
        <f t="shared" si="62"/>
        <v>0.260776733940559</v>
      </c>
      <c r="BX81" s="3">
        <v>-1.222989741312628E-2</v>
      </c>
      <c r="BY81" s="3">
        <f t="shared" si="63"/>
        <v>0.27169867715030477</v>
      </c>
      <c r="BZ81" s="3">
        <v>2.1734772764061987E-2</v>
      </c>
      <c r="CA81" s="3">
        <f t="shared" si="54"/>
        <v>0.26623770554543191</v>
      </c>
      <c r="CB81" s="3">
        <v>4.8856382098328432E-3</v>
      </c>
      <c r="CC81" s="3">
        <f t="shared" si="55"/>
        <v>-5.9750854103905598E-5</v>
      </c>
      <c r="CD81" s="3">
        <f t="shared" si="56"/>
        <v>1.0618823629813544E-4</v>
      </c>
      <c r="CE81" s="3">
        <f t="shared" si="57"/>
        <v>1.0921943209745766E-2</v>
      </c>
      <c r="CG81" s="3">
        <v>9</v>
      </c>
      <c r="CH81" s="3">
        <f t="shared" si="64"/>
        <v>0.23893284752106747</v>
      </c>
      <c r="CI81" s="3">
        <v>-1.9231583130530881E-2</v>
      </c>
      <c r="CJ81" s="3">
        <f t="shared" si="65"/>
        <v>0.24985479073081324</v>
      </c>
      <c r="CK81" s="3">
        <v>1.4430906979435193E-2</v>
      </c>
      <c r="CL81" s="3">
        <f t="shared" si="58"/>
        <v>0.24439381912594035</v>
      </c>
      <c r="CM81" s="3">
        <v>-2.2624417554030427E-3</v>
      </c>
      <c r="CN81" s="3">
        <f t="shared" si="59"/>
        <v>4.351033669701783E-5</v>
      </c>
      <c r="CO81" s="3">
        <f t="shared" si="60"/>
        <v>-3.2649086518611379E-5</v>
      </c>
      <c r="CP81" s="3">
        <f t="shared" si="61"/>
        <v>1.0921943209745766E-2</v>
      </c>
    </row>
    <row r="82" spans="28:94" x14ac:dyDescent="0.2">
      <c r="AB82" s="3">
        <v>8</v>
      </c>
      <c r="AC82" s="3">
        <f t="shared" si="73"/>
        <v>0.32421875</v>
      </c>
      <c r="AD82" s="3">
        <f t="shared" si="66"/>
        <v>3.1004922355052367E-3</v>
      </c>
      <c r="AE82" s="3">
        <f t="shared" si="74"/>
        <v>0.328125</v>
      </c>
      <c r="AF82" s="3">
        <f t="shared" si="67"/>
        <v>-9.2656305116861626E-4</v>
      </c>
      <c r="AG82" s="3">
        <f t="shared" si="68"/>
        <v>0.326171875</v>
      </c>
      <c r="AH82" s="3">
        <f t="shared" si="69"/>
        <v>1.0866067965076276E-3</v>
      </c>
      <c r="AI82" s="3">
        <f t="shared" si="70"/>
        <v>3.3690159356191181E-6</v>
      </c>
      <c r="AJ82" s="3">
        <f t="shared" si="71"/>
        <v>-1.0068097087926631E-6</v>
      </c>
      <c r="AK82" s="3">
        <f t="shared" si="72"/>
        <v>3.90625E-3</v>
      </c>
      <c r="BV82" s="3">
        <v>10</v>
      </c>
      <c r="BW82" s="3">
        <f t="shared" si="62"/>
        <v>0.260776733940559</v>
      </c>
      <c r="BX82" s="3">
        <v>-1.222989741312628E-2</v>
      </c>
      <c r="BY82" s="3">
        <f t="shared" si="63"/>
        <v>0.26623770554543191</v>
      </c>
      <c r="BZ82" s="3">
        <v>4.8856382098328432E-3</v>
      </c>
      <c r="CA82" s="3">
        <f t="shared" si="54"/>
        <v>0.26350721974299546</v>
      </c>
      <c r="CB82" s="3">
        <v>-3.6381653499293065E-3</v>
      </c>
      <c r="CC82" s="3">
        <f t="shared" si="55"/>
        <v>4.4494389001626095E-5</v>
      </c>
      <c r="CD82" s="3">
        <f t="shared" si="56"/>
        <v>-1.7774759647304495E-5</v>
      </c>
      <c r="CE82" s="3">
        <f t="shared" si="57"/>
        <v>5.4609716048729107E-3</v>
      </c>
      <c r="CG82" s="3">
        <v>10</v>
      </c>
      <c r="CH82" s="3">
        <f t="shared" si="64"/>
        <v>0.24439381912594035</v>
      </c>
      <c r="CI82" s="3">
        <v>-2.2624417554030427E-3</v>
      </c>
      <c r="CJ82" s="3">
        <f t="shared" si="65"/>
        <v>0.24985479073081324</v>
      </c>
      <c r="CK82" s="3">
        <v>1.4430906979435193E-2</v>
      </c>
      <c r="CL82" s="3">
        <f t="shared" si="58"/>
        <v>0.24712430492837678</v>
      </c>
      <c r="CM82" s="3">
        <v>6.1179265866453045E-3</v>
      </c>
      <c r="CN82" s="3">
        <f t="shared" si="59"/>
        <v>-1.3841452566116747E-5</v>
      </c>
      <c r="CO82" s="3">
        <f t="shared" si="60"/>
        <v>8.8287229478891852E-5</v>
      </c>
      <c r="CP82" s="3">
        <f t="shared" si="61"/>
        <v>5.4609716048728829E-3</v>
      </c>
    </row>
    <row r="83" spans="28:94" x14ac:dyDescent="0.2">
      <c r="AB83" s="3">
        <v>9</v>
      </c>
      <c r="AC83" s="3">
        <f t="shared" si="73"/>
        <v>0.326171875</v>
      </c>
      <c r="AD83" s="3">
        <f t="shared" si="66"/>
        <v>1.0866067965076276E-3</v>
      </c>
      <c r="AE83" s="3">
        <f t="shared" si="74"/>
        <v>0.328125</v>
      </c>
      <c r="AF83" s="3">
        <f t="shared" si="67"/>
        <v>-9.2656305116861626E-4</v>
      </c>
      <c r="AG83" s="3">
        <f t="shared" si="68"/>
        <v>0.3271484375</v>
      </c>
      <c r="AH83" s="3">
        <f t="shared" si="69"/>
        <v>7.9933213304128614E-5</v>
      </c>
      <c r="AI83" s="3">
        <f t="shared" si="70"/>
        <v>8.6855972842960067E-8</v>
      </c>
      <c r="AJ83" s="3">
        <f t="shared" si="71"/>
        <v>-7.4063162008785239E-8</v>
      </c>
      <c r="AK83" s="3">
        <f t="shared" si="72"/>
        <v>1.953125E-3</v>
      </c>
      <c r="BV83" s="3">
        <v>11</v>
      </c>
      <c r="BW83" s="3">
        <f t="shared" si="62"/>
        <v>0.26350721974299546</v>
      </c>
      <c r="BX83" s="3">
        <v>-3.6381653499293065E-3</v>
      </c>
      <c r="BY83" s="3">
        <f t="shared" si="63"/>
        <v>0.26623770554543191</v>
      </c>
      <c r="BZ83" s="3">
        <v>4.8856382098328432E-3</v>
      </c>
      <c r="CA83" s="3">
        <f t="shared" si="54"/>
        <v>0.26487246264421371</v>
      </c>
      <c r="CB83" s="3">
        <v>6.3214131498639387E-4</v>
      </c>
      <c r="CC83" s="3">
        <f t="shared" si="55"/>
        <v>-2.2998346284422455E-6</v>
      </c>
      <c r="CD83" s="3">
        <f t="shared" si="56"/>
        <v>3.0884137625115047E-6</v>
      </c>
      <c r="CE83" s="3">
        <f t="shared" si="57"/>
        <v>2.7304858024364553E-3</v>
      </c>
      <c r="CG83" s="3">
        <v>11</v>
      </c>
      <c r="CH83" s="3">
        <f t="shared" si="64"/>
        <v>0.24439381912594035</v>
      </c>
      <c r="CI83" s="3">
        <v>-2.2624417554030427E-3</v>
      </c>
      <c r="CJ83" s="3">
        <f t="shared" si="65"/>
        <v>0.24712430492837678</v>
      </c>
      <c r="CK83" s="3">
        <v>6.1179265866453045E-3</v>
      </c>
      <c r="CL83" s="3">
        <f t="shared" si="58"/>
        <v>0.24575906202715858</v>
      </c>
      <c r="CM83" s="3">
        <v>1.9362595237789881E-3</v>
      </c>
      <c r="CN83" s="3">
        <f t="shared" si="59"/>
        <v>-4.3806743958943929E-6</v>
      </c>
      <c r="CO83" s="3">
        <f t="shared" si="60"/>
        <v>1.1845893619172648E-5</v>
      </c>
      <c r="CP83" s="3">
        <f t="shared" si="61"/>
        <v>2.7304858024364276E-3</v>
      </c>
    </row>
    <row r="84" spans="28:94" x14ac:dyDescent="0.2">
      <c r="AB84" s="3">
        <v>10</v>
      </c>
      <c r="AC84" s="3">
        <f t="shared" si="73"/>
        <v>0.3271484375</v>
      </c>
      <c r="AD84" s="3">
        <f t="shared" si="66"/>
        <v>7.9933213304128614E-5</v>
      </c>
      <c r="AE84" s="3">
        <f t="shared" si="74"/>
        <v>0.328125</v>
      </c>
      <c r="AF84" s="3">
        <f t="shared" si="67"/>
        <v>-9.2656305116861626E-4</v>
      </c>
      <c r="AG84" s="3">
        <f t="shared" si="68"/>
        <v>0.32763671875</v>
      </c>
      <c r="AH84" s="3">
        <f t="shared" si="69"/>
        <v>-4.2333698609098303E-4</v>
      </c>
      <c r="AI84" s="3">
        <f t="shared" si="70"/>
        <v>-3.3838685608737478E-8</v>
      </c>
      <c r="AJ84" s="3">
        <f t="shared" si="71"/>
        <v>3.9224840950498731E-7</v>
      </c>
      <c r="AK84" s="3">
        <f t="shared" si="72"/>
        <v>9.765625E-4</v>
      </c>
      <c r="BV84" s="3">
        <v>12</v>
      </c>
      <c r="BW84" s="3">
        <f t="shared" si="62"/>
        <v>0.26350721974299546</v>
      </c>
      <c r="BX84" s="3">
        <v>-3.6381653499293065E-3</v>
      </c>
      <c r="BY84" s="3">
        <f t="shared" si="63"/>
        <v>0.26487246264421371</v>
      </c>
      <c r="BZ84" s="3">
        <v>6.3214131498639387E-4</v>
      </c>
      <c r="CA84" s="3">
        <f t="shared" si="54"/>
        <v>0.26418984119360456</v>
      </c>
      <c r="CB84" s="3">
        <v>-1.5009002271785463E-3</v>
      </c>
      <c r="CC84" s="3">
        <f t="shared" si="55"/>
        <v>5.4605232002220115E-6</v>
      </c>
      <c r="CD84" s="3">
        <f t="shared" si="56"/>
        <v>-9.4878104327202355E-7</v>
      </c>
      <c r="CE84" s="3">
        <f t="shared" si="57"/>
        <v>1.3652429012182554E-3</v>
      </c>
      <c r="CG84" s="3">
        <v>12</v>
      </c>
      <c r="CH84" s="3">
        <f t="shared" si="64"/>
        <v>0.24439381912594035</v>
      </c>
      <c r="CI84" s="3">
        <v>-2.2624417554030427E-3</v>
      </c>
      <c r="CJ84" s="3">
        <f t="shared" si="65"/>
        <v>0.24575906202715858</v>
      </c>
      <c r="CK84" s="3">
        <v>1.9362595237789881E-3</v>
      </c>
      <c r="CL84" s="3">
        <f t="shared" si="58"/>
        <v>0.24507644057654948</v>
      </c>
      <c r="CM84" s="3">
        <v>-1.6094980445945789E-4</v>
      </c>
      <c r="CN84" s="3">
        <f t="shared" si="59"/>
        <v>3.6413955813303236E-7</v>
      </c>
      <c r="CO84" s="3">
        <f t="shared" si="60"/>
        <v>-3.1164059173499122E-7</v>
      </c>
      <c r="CP84" s="3">
        <f t="shared" si="61"/>
        <v>1.3652429012182277E-3</v>
      </c>
    </row>
    <row r="85" spans="28:94" x14ac:dyDescent="0.2">
      <c r="AB85" s="3">
        <v>11</v>
      </c>
      <c r="AC85" s="3">
        <f t="shared" si="73"/>
        <v>0.3271484375</v>
      </c>
      <c r="AD85" s="3">
        <f t="shared" si="66"/>
        <v>7.9933213304128614E-5</v>
      </c>
      <c r="AE85" s="3">
        <f t="shared" si="74"/>
        <v>0.32763671875</v>
      </c>
      <c r="AF85" s="3">
        <f t="shared" si="67"/>
        <v>-4.2333698609098303E-4</v>
      </c>
      <c r="AG85" s="3">
        <f t="shared" si="68"/>
        <v>0.327392578125</v>
      </c>
      <c r="AH85" s="3">
        <f t="shared" si="69"/>
        <v>-1.717074153487208E-4</v>
      </c>
      <c r="AI85" s="3">
        <f t="shared" si="70"/>
        <v>-1.3725125456969908E-8</v>
      </c>
      <c r="AJ85" s="3">
        <f t="shared" si="71"/>
        <v>7.2690099703200069E-8</v>
      </c>
      <c r="AK85" s="3">
        <f t="shared" si="72"/>
        <v>4.8828125E-4</v>
      </c>
      <c r="BV85" s="3">
        <v>13</v>
      </c>
      <c r="BW85" s="3">
        <f t="shared" si="62"/>
        <v>0.26418984119360456</v>
      </c>
      <c r="BX85" s="3">
        <v>-1.5009002271785463E-3</v>
      </c>
      <c r="BY85" s="3">
        <f t="shared" si="63"/>
        <v>0.26487246264421371</v>
      </c>
      <c r="BZ85" s="3">
        <v>6.3214131498639387E-4</v>
      </c>
      <c r="CA85" s="3">
        <f t="shared" si="54"/>
        <v>0.26453115191890914</v>
      </c>
      <c r="CB85" s="3">
        <v>-4.3385284217593162E-4</v>
      </c>
      <c r="CC85" s="3">
        <f t="shared" si="55"/>
        <v>6.511698293839137E-7</v>
      </c>
      <c r="CD85" s="3">
        <f t="shared" si="56"/>
        <v>-2.742563061636778E-7</v>
      </c>
      <c r="CE85" s="3">
        <f t="shared" si="57"/>
        <v>6.8262145060915547E-4</v>
      </c>
      <c r="CG85" s="3">
        <v>13</v>
      </c>
      <c r="CH85" s="3">
        <f t="shared" si="64"/>
        <v>0.24507644057654948</v>
      </c>
      <c r="CI85" s="3">
        <v>-1.6094980445945789E-4</v>
      </c>
      <c r="CJ85" s="3">
        <f t="shared" si="65"/>
        <v>0.24575906202715858</v>
      </c>
      <c r="CK85" s="3">
        <v>1.9362595237789881E-3</v>
      </c>
      <c r="CL85" s="3">
        <f t="shared" si="58"/>
        <v>0.24541775130185403</v>
      </c>
      <c r="CM85" s="3">
        <v>8.8818866809380753E-4</v>
      </c>
      <c r="CN85" s="3">
        <f t="shared" si="59"/>
        <v>-1.4295379245280466E-7</v>
      </c>
      <c r="CO85" s="3">
        <f t="shared" si="60"/>
        <v>1.7197637675092095E-6</v>
      </c>
      <c r="CP85" s="3">
        <f t="shared" si="61"/>
        <v>6.8262145060909996E-4</v>
      </c>
    </row>
    <row r="86" spans="28:94" x14ac:dyDescent="0.2">
      <c r="AB86" s="3">
        <v>12</v>
      </c>
      <c r="AC86" s="3">
        <f t="shared" si="73"/>
        <v>0.3271484375</v>
      </c>
      <c r="AD86" s="3">
        <f t="shared" si="66"/>
        <v>7.9933213304128614E-5</v>
      </c>
      <c r="AE86" s="3">
        <f t="shared" si="74"/>
        <v>0.327392578125</v>
      </c>
      <c r="AF86" s="3">
        <f t="shared" si="67"/>
        <v>-1.717074153487208E-4</v>
      </c>
      <c r="AG86" s="3">
        <f t="shared" si="68"/>
        <v>0.3272705078125</v>
      </c>
      <c r="AH86" s="3">
        <f t="shared" si="69"/>
        <v>-4.5888484785705508E-5</v>
      </c>
      <c r="AI86" s="3">
        <f t="shared" si="70"/>
        <v>-3.6680140425790588E-9</v>
      </c>
      <c r="AJ86" s="3">
        <f t="shared" si="71"/>
        <v>7.8793931168225907E-9</v>
      </c>
      <c r="AK86" s="3">
        <f t="shared" si="72"/>
        <v>2.44140625E-4</v>
      </c>
      <c r="BV86" s="3">
        <v>14</v>
      </c>
      <c r="BW86" s="3">
        <f t="shared" si="62"/>
        <v>0.26453115191890914</v>
      </c>
      <c r="BX86" s="3">
        <v>-4.3385284217593162E-4</v>
      </c>
      <c r="BY86" s="3">
        <f t="shared" si="63"/>
        <v>0.26487246264421371</v>
      </c>
      <c r="BZ86" s="3">
        <v>6.3214131498639387E-4</v>
      </c>
      <c r="CA86" s="3">
        <f t="shared" si="54"/>
        <v>0.26470180728156145</v>
      </c>
      <c r="CB86" s="3">
        <v>9.9275724280804833E-5</v>
      </c>
      <c r="CC86" s="3">
        <f t="shared" si="55"/>
        <v>-4.3071055138301319E-8</v>
      </c>
      <c r="CD86" s="3">
        <f t="shared" si="56"/>
        <v>6.275628689309464E-8</v>
      </c>
      <c r="CE86" s="3">
        <f t="shared" si="57"/>
        <v>3.4131072530457773E-4</v>
      </c>
      <c r="CG86" s="3">
        <v>14</v>
      </c>
      <c r="CH86" s="3">
        <f t="shared" si="64"/>
        <v>0.24507644057654948</v>
      </c>
      <c r="CI86" s="3">
        <v>-1.6094980445945789E-4</v>
      </c>
      <c r="CJ86" s="3">
        <f t="shared" si="65"/>
        <v>0.24541775130185403</v>
      </c>
      <c r="CK86" s="3">
        <v>8.8818866809380753E-4</v>
      </c>
      <c r="CL86" s="3">
        <f t="shared" si="58"/>
        <v>0.24524709593920174</v>
      </c>
      <c r="CM86" s="3">
        <v>3.637530728992297E-4</v>
      </c>
      <c r="CN86" s="3">
        <f t="shared" si="59"/>
        <v>-5.8545985954657952E-8</v>
      </c>
      <c r="CO86" s="3">
        <f t="shared" si="60"/>
        <v>3.2308135733339651E-7</v>
      </c>
      <c r="CP86" s="3">
        <f t="shared" si="61"/>
        <v>3.4131072530454998E-4</v>
      </c>
    </row>
    <row r="87" spans="28:94" x14ac:dyDescent="0.2">
      <c r="AB87" s="3">
        <v>13</v>
      </c>
      <c r="AC87" s="3">
        <f t="shared" si="73"/>
        <v>0.3271484375</v>
      </c>
      <c r="AD87" s="3">
        <f t="shared" si="66"/>
        <v>7.9933213304128614E-5</v>
      </c>
      <c r="AE87" s="3">
        <f t="shared" si="74"/>
        <v>0.3272705078125</v>
      </c>
      <c r="AF87" s="3">
        <f t="shared" si="67"/>
        <v>-4.5888484785705508E-5</v>
      </c>
      <c r="AG87" s="3">
        <f t="shared" si="68"/>
        <v>0.32720947265625</v>
      </c>
      <c r="AH87" s="3">
        <f t="shared" si="69"/>
        <v>1.7022018127532679E-5</v>
      </c>
      <c r="AI87" s="3">
        <f t="shared" si="70"/>
        <v>1.3606246058548136E-9</v>
      </c>
      <c r="AJ87" s="3">
        <f t="shared" si="71"/>
        <v>-7.8111461986728663E-10</v>
      </c>
      <c r="AK87" s="3">
        <f t="shared" si="72"/>
        <v>1.220703125E-4</v>
      </c>
      <c r="BV87" s="3">
        <v>15</v>
      </c>
      <c r="BW87" s="3">
        <f t="shared" si="62"/>
        <v>0.26453115191890914</v>
      </c>
      <c r="BX87" s="3">
        <v>-4.3385284217593162E-4</v>
      </c>
      <c r="BY87" s="3">
        <f t="shared" si="63"/>
        <v>0.26470180728156145</v>
      </c>
      <c r="BZ87" s="3">
        <v>9.9275724280804833E-5</v>
      </c>
      <c r="CA87" s="3">
        <f t="shared" si="54"/>
        <v>0.26461647960023527</v>
      </c>
      <c r="CB87" s="3">
        <v>-1.6725566632727618E-4</v>
      </c>
      <c r="CC87" s="3">
        <f t="shared" si="55"/>
        <v>7.2564346206118028E-8</v>
      </c>
      <c r="CD87" s="3">
        <f t="shared" si="56"/>
        <v>-1.6604427414708964E-8</v>
      </c>
      <c r="CE87" s="3">
        <f t="shared" si="57"/>
        <v>1.7065536265231662E-4</v>
      </c>
      <c r="CG87" s="3">
        <v>15</v>
      </c>
      <c r="CH87" s="3">
        <f t="shared" si="64"/>
        <v>0.24507644057654948</v>
      </c>
      <c r="CI87" s="3">
        <v>-1.6094980445945789E-4</v>
      </c>
      <c r="CJ87" s="3">
        <f t="shared" si="65"/>
        <v>0.24524709593920174</v>
      </c>
      <c r="CK87" s="3">
        <v>3.637530728992297E-4</v>
      </c>
      <c r="CL87" s="3">
        <f t="shared" si="58"/>
        <v>0.24516176825787561</v>
      </c>
      <c r="CM87" s="3">
        <v>1.0143506819511316E-4</v>
      </c>
      <c r="CN87" s="3">
        <f t="shared" si="59"/>
        <v>-1.6325954391335239E-8</v>
      </c>
      <c r="CO87" s="3">
        <f t="shared" si="60"/>
        <v>3.6897317755715332E-8</v>
      </c>
      <c r="CP87" s="3">
        <f t="shared" si="61"/>
        <v>1.7065536265226111E-4</v>
      </c>
    </row>
    <row r="88" spans="28:94" x14ac:dyDescent="0.2">
      <c r="AB88" s="3">
        <v>14</v>
      </c>
      <c r="AC88" s="3">
        <f t="shared" si="73"/>
        <v>0.32720947265625</v>
      </c>
      <c r="AD88" s="3">
        <f t="shared" si="66"/>
        <v>1.7022018127532679E-5</v>
      </c>
      <c r="AE88" s="3">
        <f t="shared" si="74"/>
        <v>0.3272705078125</v>
      </c>
      <c r="AF88" s="3">
        <f t="shared" si="67"/>
        <v>-4.5888484785705508E-5</v>
      </c>
      <c r="AG88" s="3">
        <f t="shared" si="68"/>
        <v>0.327239990234375</v>
      </c>
      <c r="AH88" s="3">
        <f t="shared" si="69"/>
        <v>-1.4433319838136338E-5</v>
      </c>
      <c r="AI88" s="3">
        <f t="shared" si="70"/>
        <v>-2.4568423192523377E-10</v>
      </c>
      <c r="AJ88" s="3">
        <f t="shared" si="71"/>
        <v>6.623231777995408E-10</v>
      </c>
      <c r="AK88" s="3">
        <f t="shared" si="72"/>
        <v>6.103515625E-5</v>
      </c>
      <c r="BV88" s="3">
        <v>16</v>
      </c>
      <c r="BW88" s="3">
        <f t="shared" si="62"/>
        <v>0.26461647960023527</v>
      </c>
      <c r="BX88" s="3">
        <v>-1.6725566632727618E-4</v>
      </c>
      <c r="BY88" s="3">
        <f t="shared" si="63"/>
        <v>0.26470180728156145</v>
      </c>
      <c r="BZ88" s="3">
        <v>9.9275724280804833E-5</v>
      </c>
      <c r="CA88" s="3">
        <f t="shared" si="54"/>
        <v>0.26465914344089836</v>
      </c>
      <c r="CB88" s="3">
        <v>-3.3981750452612147E-5</v>
      </c>
      <c r="CC88" s="3">
        <f t="shared" si="55"/>
        <v>5.6836403149188634E-9</v>
      </c>
      <c r="CD88" s="3">
        <f t="shared" si="56"/>
        <v>-3.3735628885126382E-9</v>
      </c>
      <c r="CE88" s="3">
        <f t="shared" si="57"/>
        <v>8.5327681326186067E-5</v>
      </c>
      <c r="CG88" s="3">
        <v>16</v>
      </c>
      <c r="CH88" s="3">
        <f t="shared" si="64"/>
        <v>0.24507644057654948</v>
      </c>
      <c r="CI88" s="3">
        <v>-1.6094980445945789E-4</v>
      </c>
      <c r="CJ88" s="3">
        <f t="shared" si="65"/>
        <v>0.24516176825787561</v>
      </c>
      <c r="CK88" s="3">
        <v>1.0143506819511316E-4</v>
      </c>
      <c r="CL88" s="3">
        <f t="shared" si="58"/>
        <v>0.24511910441721255</v>
      </c>
      <c r="CM88" s="3">
        <v>-2.9749006670062861E-5</v>
      </c>
      <c r="CN88" s="3">
        <f t="shared" si="59"/>
        <v>4.7880968064097256E-9</v>
      </c>
      <c r="CO88" s="3">
        <f t="shared" si="60"/>
        <v>-3.0175925203147027E-9</v>
      </c>
      <c r="CP88" s="3">
        <f t="shared" si="61"/>
        <v>8.5327681326130556E-5</v>
      </c>
    </row>
    <row r="89" spans="28:94" x14ac:dyDescent="0.2">
      <c r="AB89" s="3">
        <v>15</v>
      </c>
      <c r="AC89" s="3">
        <f t="shared" si="73"/>
        <v>0.32720947265625</v>
      </c>
      <c r="AD89" s="3">
        <f t="shared" si="66"/>
        <v>1.7022018127532679E-5</v>
      </c>
      <c r="AE89" s="3">
        <f t="shared" si="74"/>
        <v>0.327239990234375</v>
      </c>
      <c r="AF89" s="3">
        <f t="shared" si="67"/>
        <v>-1.4433319838136338E-5</v>
      </c>
      <c r="AG89" s="3">
        <f t="shared" si="68"/>
        <v>0.3272247314453125</v>
      </c>
      <c r="AH89" s="3">
        <f t="shared" si="69"/>
        <v>1.2943275144450261E-6</v>
      </c>
      <c r="AI89" s="3">
        <f t="shared" si="70"/>
        <v>2.2032066413847551E-11</v>
      </c>
      <c r="AJ89" s="3">
        <f t="shared" si="71"/>
        <v>-1.8681442991285093E-11</v>
      </c>
      <c r="AK89" s="3">
        <f t="shared" si="72"/>
        <v>3.0517578125E-5</v>
      </c>
      <c r="BV89" s="3">
        <v>17</v>
      </c>
      <c r="BW89" s="3">
        <f t="shared" si="62"/>
        <v>0.26465914344089836</v>
      </c>
      <c r="BX89" s="3">
        <v>-3.3981750452612147E-5</v>
      </c>
      <c r="BY89" s="3">
        <f t="shared" si="63"/>
        <v>0.26470180728156145</v>
      </c>
      <c r="BZ89" s="3">
        <v>9.9275724280804833E-5</v>
      </c>
      <c r="CA89" s="3">
        <f t="shared" si="54"/>
        <v>0.26468047536122991</v>
      </c>
      <c r="CB89" s="3">
        <v>3.2649041733896766E-5</v>
      </c>
      <c r="CC89" s="3">
        <f t="shared" si="55"/>
        <v>-1.1094715887181994E-9</v>
      </c>
      <c r="CD89" s="3">
        <f t="shared" si="56"/>
        <v>3.2412572652068255E-9</v>
      </c>
      <c r="CE89" s="3">
        <f t="shared" si="57"/>
        <v>4.2663840663093033E-5</v>
      </c>
      <c r="CG89" s="3">
        <v>17</v>
      </c>
      <c r="CH89" s="3">
        <f t="shared" si="64"/>
        <v>0.24511910441721255</v>
      </c>
      <c r="CI89" s="3">
        <v>-2.9749006670062861E-5</v>
      </c>
      <c r="CJ89" s="3">
        <f t="shared" si="65"/>
        <v>0.24516176825787561</v>
      </c>
      <c r="CK89" s="3">
        <v>1.0143506819511316E-4</v>
      </c>
      <c r="CL89" s="3">
        <f t="shared" si="58"/>
        <v>0.24514043633754407</v>
      </c>
      <c r="CM89" s="3">
        <v>3.5845120756716753E-5</v>
      </c>
      <c r="CN89" s="3">
        <f t="shared" si="59"/>
        <v>-1.0663567364807754E-9</v>
      </c>
      <c r="CO89" s="3">
        <f t="shared" si="60"/>
        <v>3.6359522684196301E-9</v>
      </c>
      <c r="CP89" s="3">
        <f t="shared" si="61"/>
        <v>4.2663840663065278E-5</v>
      </c>
    </row>
    <row r="90" spans="28:94" x14ac:dyDescent="0.2">
      <c r="AB90" s="3">
        <v>16</v>
      </c>
      <c r="AC90" s="3">
        <f t="shared" si="73"/>
        <v>0.3272247314453125</v>
      </c>
      <c r="AD90" s="3">
        <f t="shared" si="66"/>
        <v>1.2943275144450261E-6</v>
      </c>
      <c r="AE90" s="3">
        <f t="shared" si="74"/>
        <v>0.327239990234375</v>
      </c>
      <c r="AF90" s="3">
        <f t="shared" si="67"/>
        <v>-1.4433319838136338E-5</v>
      </c>
      <c r="AG90" s="3">
        <f t="shared" si="68"/>
        <v>0.32723236083984375</v>
      </c>
      <c r="AH90" s="3">
        <f t="shared" si="69"/>
        <v>-6.569501569020364E-6</v>
      </c>
      <c r="AI90" s="3">
        <f t="shared" si="70"/>
        <v>-8.5030866369728274E-12</v>
      </c>
      <c r="AJ90" s="3">
        <f t="shared" si="71"/>
        <v>9.4819717322809418E-11</v>
      </c>
      <c r="AK90" s="3">
        <f t="shared" si="72"/>
        <v>1.52587890625E-5</v>
      </c>
      <c r="BV90" s="3">
        <v>18</v>
      </c>
      <c r="BW90" s="3">
        <f t="shared" si="62"/>
        <v>0.26465914344089836</v>
      </c>
      <c r="BX90" s="3">
        <v>-3.3981750452612147E-5</v>
      </c>
      <c r="BY90" s="3">
        <f t="shared" si="63"/>
        <v>0.26468047536122991</v>
      </c>
      <c r="BZ90" s="3">
        <v>3.2649041733896766E-5</v>
      </c>
      <c r="CA90" s="3">
        <f t="shared" si="54"/>
        <v>0.2646698094010641</v>
      </c>
      <c r="CB90" s="3">
        <v>-6.6584061413077489E-7</v>
      </c>
      <c r="CC90" s="3">
        <f t="shared" si="55"/>
        <v>2.2626429590606011E-11</v>
      </c>
      <c r="CD90" s="3">
        <f t="shared" si="56"/>
        <v>-2.1739057998879122E-11</v>
      </c>
      <c r="CE90" s="3">
        <f t="shared" si="57"/>
        <v>2.1331920331546517E-5</v>
      </c>
      <c r="CG90" s="3">
        <v>18</v>
      </c>
      <c r="CH90" s="3">
        <f t="shared" si="64"/>
        <v>0.24511910441721255</v>
      </c>
      <c r="CI90" s="3">
        <v>-2.9749006670062861E-5</v>
      </c>
      <c r="CJ90" s="3">
        <f t="shared" si="65"/>
        <v>0.24514043633754407</v>
      </c>
      <c r="CK90" s="3">
        <v>3.5845120756716753E-5</v>
      </c>
      <c r="CL90" s="3">
        <f t="shared" si="58"/>
        <v>0.24512977037737832</v>
      </c>
      <c r="CM90" s="3">
        <v>3.0485795882786992E-6</v>
      </c>
      <c r="CN90" s="3">
        <f t="shared" si="59"/>
        <v>-9.0692214505920514E-11</v>
      </c>
      <c r="CO90" s="3">
        <f t="shared" si="60"/>
        <v>1.0927670347831181E-10</v>
      </c>
      <c r="CP90" s="3">
        <f t="shared" si="61"/>
        <v>2.1331920331518761E-5</v>
      </c>
    </row>
    <row r="91" spans="28:94" x14ac:dyDescent="0.2">
      <c r="AB91" s="3">
        <v>17</v>
      </c>
      <c r="AC91" s="3">
        <f t="shared" si="73"/>
        <v>0.3272247314453125</v>
      </c>
      <c r="AD91" s="3">
        <f t="shared" si="66"/>
        <v>1.2943275144450261E-6</v>
      </c>
      <c r="AE91" s="3">
        <f t="shared" si="74"/>
        <v>0.32723236083984375</v>
      </c>
      <c r="AF91" s="3">
        <f t="shared" si="67"/>
        <v>-6.569501569020364E-6</v>
      </c>
      <c r="AG91" s="3">
        <f t="shared" si="68"/>
        <v>0.32722854614257812</v>
      </c>
      <c r="AH91" s="3">
        <f t="shared" si="69"/>
        <v>-2.6375883791507349E-6</v>
      </c>
      <c r="AI91" s="3">
        <f t="shared" si="70"/>
        <v>-3.4139032109152557E-12</v>
      </c>
      <c r="AJ91" s="3">
        <f t="shared" si="71"/>
        <v>1.7327640995260632E-11</v>
      </c>
      <c r="AK91" s="3">
        <f t="shared" si="72"/>
        <v>7.62939453125E-6</v>
      </c>
      <c r="BV91" s="3">
        <v>19</v>
      </c>
      <c r="BW91" s="3">
        <f t="shared" si="62"/>
        <v>0.2646698094010641</v>
      </c>
      <c r="BX91" s="3">
        <v>-6.6584061413077489E-7</v>
      </c>
      <c r="BY91" s="3">
        <f t="shared" si="63"/>
        <v>0.26468047536122991</v>
      </c>
      <c r="BZ91" s="3">
        <v>3.2649041733896766E-5</v>
      </c>
      <c r="CA91" s="3">
        <f t="shared" si="54"/>
        <v>0.26467514238114698</v>
      </c>
      <c r="CB91" s="3">
        <v>1.5991728991145149E-5</v>
      </c>
      <c r="CC91" s="3">
        <f t="shared" si="55"/>
        <v>-1.0647942652477004E-11</v>
      </c>
      <c r="CD91" s="3">
        <f t="shared" si="56"/>
        <v>5.221146272290648E-10</v>
      </c>
      <c r="CE91" s="3">
        <f t="shared" si="57"/>
        <v>1.0665960165801014E-5</v>
      </c>
      <c r="CG91" s="3">
        <v>19</v>
      </c>
      <c r="CH91" s="3">
        <f t="shared" si="64"/>
        <v>0.24511910441721255</v>
      </c>
      <c r="CI91" s="3">
        <v>-2.9749006670062861E-5</v>
      </c>
      <c r="CJ91" s="3">
        <f t="shared" si="65"/>
        <v>0.24512977037737832</v>
      </c>
      <c r="CK91" s="3">
        <v>3.0485795882786992E-6</v>
      </c>
      <c r="CL91" s="3">
        <f t="shared" si="58"/>
        <v>0.24512443739729545</v>
      </c>
      <c r="CM91" s="3">
        <v>-1.3350082898891391E-5</v>
      </c>
      <c r="CN91" s="3">
        <f t="shared" si="59"/>
        <v>3.9715170520501213E-10</v>
      </c>
      <c r="CO91" s="3">
        <f t="shared" si="60"/>
        <v>-4.0698790227388821E-11</v>
      </c>
      <c r="CP91" s="3">
        <f t="shared" si="61"/>
        <v>1.0665960165773258E-5</v>
      </c>
    </row>
    <row r="92" spans="28:94" x14ac:dyDescent="0.2">
      <c r="AB92" s="3">
        <v>18</v>
      </c>
      <c r="AC92" s="3">
        <f t="shared" si="73"/>
        <v>0.3272247314453125</v>
      </c>
      <c r="AD92" s="3">
        <f t="shared" si="66"/>
        <v>1.2943275144450261E-6</v>
      </c>
      <c r="AE92" s="3">
        <f t="shared" si="74"/>
        <v>0.32722854614257812</v>
      </c>
      <c r="AF92" s="3">
        <f t="shared" si="67"/>
        <v>-2.6375883791507349E-6</v>
      </c>
      <c r="AG92" s="3">
        <f t="shared" si="68"/>
        <v>0.32722663879394531</v>
      </c>
      <c r="AH92" s="3">
        <f t="shared" si="69"/>
        <v>-6.7163077033249863E-7</v>
      </c>
      <c r="AI92" s="3">
        <f t="shared" si="70"/>
        <v>-8.6931018558926112E-13</v>
      </c>
      <c r="AJ92" s="3">
        <f t="shared" si="71"/>
        <v>1.7714855149090545E-12</v>
      </c>
      <c r="AK92" s="3">
        <f t="shared" si="72"/>
        <v>3.814697265625E-6</v>
      </c>
      <c r="BV92" s="3">
        <v>20</v>
      </c>
      <c r="BW92" s="3">
        <f t="shared" si="62"/>
        <v>0.2646698094010641</v>
      </c>
      <c r="BX92" s="3">
        <v>-6.6584061413077489E-7</v>
      </c>
      <c r="BY92" s="3">
        <f t="shared" si="63"/>
        <v>0.26467514238114698</v>
      </c>
      <c r="BZ92" s="3">
        <v>1.5991728991145149E-5</v>
      </c>
      <c r="CA92" s="3">
        <f t="shared" si="54"/>
        <v>0.26467247589110554</v>
      </c>
      <c r="CB92" s="3">
        <v>7.6629762968891124E-6</v>
      </c>
      <c r="CC92" s="3">
        <f t="shared" si="55"/>
        <v>-5.1023208435902179E-12</v>
      </c>
      <c r="CD92" s="3">
        <f t="shared" si="56"/>
        <v>1.2254424020541972E-10</v>
      </c>
      <c r="CE92" s="3">
        <f t="shared" si="57"/>
        <v>5.3329800828727514E-6</v>
      </c>
      <c r="CG92" s="3">
        <v>20</v>
      </c>
      <c r="CH92" s="3">
        <f t="shared" si="64"/>
        <v>0.24512443739729545</v>
      </c>
      <c r="CI92" s="3">
        <v>-1.3350082898891391E-5</v>
      </c>
      <c r="CJ92" s="3">
        <f t="shared" si="65"/>
        <v>0.24512977037737832</v>
      </c>
      <c r="CK92" s="3">
        <v>3.0485795882786992E-6</v>
      </c>
      <c r="CL92" s="3">
        <f t="shared" si="58"/>
        <v>0.24512710388733688</v>
      </c>
      <c r="CM92" s="3">
        <v>-5.1507189954488886E-6</v>
      </c>
      <c r="CN92" s="3">
        <f t="shared" si="59"/>
        <v>6.8762525578137255E-11</v>
      </c>
      <c r="CO92" s="3">
        <f t="shared" si="60"/>
        <v>-1.5702376794484848E-11</v>
      </c>
      <c r="CP92" s="3">
        <f t="shared" si="61"/>
        <v>5.3329800828727514E-6</v>
      </c>
    </row>
    <row r="93" spans="28:94" x14ac:dyDescent="0.2">
      <c r="AB93" s="3">
        <v>19</v>
      </c>
      <c r="AC93" s="3">
        <f t="shared" si="73"/>
        <v>0.3272247314453125</v>
      </c>
      <c r="AD93" s="3">
        <f t="shared" si="66"/>
        <v>1.2943275144450261E-6</v>
      </c>
      <c r="AE93" s="3">
        <f t="shared" si="74"/>
        <v>0.32722663879394531</v>
      </c>
      <c r="AF93" s="3">
        <f t="shared" si="67"/>
        <v>-6.7163077033249863E-7</v>
      </c>
      <c r="AG93" s="3">
        <f t="shared" si="68"/>
        <v>0.32722568511962891</v>
      </c>
      <c r="AH93" s="3">
        <f t="shared" si="69"/>
        <v>3.1134828759604716E-7</v>
      </c>
      <c r="AI93" s="3">
        <f t="shared" si="70"/>
        <v>4.0298665521090688E-13</v>
      </c>
      <c r="AJ93" s="3">
        <f t="shared" si="71"/>
        <v>-2.0911109023983749E-13</v>
      </c>
      <c r="AK93" s="3">
        <f t="shared" si="72"/>
        <v>1.9073486328125E-6</v>
      </c>
      <c r="BV93" s="3">
        <v>21</v>
      </c>
      <c r="BW93" s="3">
        <f t="shared" si="62"/>
        <v>0.2646698094010641</v>
      </c>
      <c r="BX93" s="3">
        <v>-6.6584061413077489E-7</v>
      </c>
      <c r="BY93" s="3">
        <f t="shared" si="63"/>
        <v>0.26467247589110554</v>
      </c>
      <c r="BZ93" s="3">
        <v>7.6629762968891124E-6</v>
      </c>
      <c r="CA93" s="3">
        <f t="shared" si="54"/>
        <v>0.26467114264608482</v>
      </c>
      <c r="CB93" s="3">
        <v>3.4985758686351121E-6</v>
      </c>
      <c r="CC93" s="3">
        <f t="shared" si="55"/>
        <v>-2.3294939049551122E-12</v>
      </c>
      <c r="CD93" s="3">
        <f t="shared" si="56"/>
        <v>2.6809503954219101E-11</v>
      </c>
      <c r="CE93" s="3">
        <f t="shared" si="57"/>
        <v>2.6664900414363757E-6</v>
      </c>
      <c r="CG93" s="3">
        <v>21</v>
      </c>
      <c r="CH93" s="3">
        <f t="shared" si="64"/>
        <v>0.24512710388733688</v>
      </c>
      <c r="CI93" s="3">
        <v>-5.1507189954488886E-6</v>
      </c>
      <c r="CJ93" s="3">
        <f t="shared" si="65"/>
        <v>0.24512977037737832</v>
      </c>
      <c r="CK93" s="3">
        <v>3.0485795882786992E-6</v>
      </c>
      <c r="CL93" s="3">
        <f t="shared" si="58"/>
        <v>0.2451284371323576</v>
      </c>
      <c r="CM93" s="3">
        <v>-1.0510615387968048E-6</v>
      </c>
      <c r="CN93" s="3">
        <f t="shared" si="59"/>
        <v>5.4137226332664415E-12</v>
      </c>
      <c r="CO93" s="3">
        <f t="shared" si="60"/>
        <v>-3.204244753200739E-12</v>
      </c>
      <c r="CP93" s="3">
        <f t="shared" si="61"/>
        <v>2.6664900414363757E-6</v>
      </c>
    </row>
    <row r="94" spans="28:94" x14ac:dyDescent="0.2">
      <c r="AB94" s="3">
        <v>20</v>
      </c>
      <c r="AC94" s="3">
        <f t="shared" si="73"/>
        <v>0.32722568511962891</v>
      </c>
      <c r="AD94" s="3">
        <f t="shared" si="66"/>
        <v>3.1134828759604716E-7</v>
      </c>
      <c r="AE94" s="3">
        <f t="shared" si="74"/>
        <v>0.32722663879394531</v>
      </c>
      <c r="AF94" s="3">
        <f t="shared" si="67"/>
        <v>-6.7163077033249863E-7</v>
      </c>
      <c r="AG94" s="3">
        <f t="shared" si="68"/>
        <v>0.32722616195678711</v>
      </c>
      <c r="AH94" s="3">
        <f t="shared" si="69"/>
        <v>-1.8014126251797435E-7</v>
      </c>
      <c r="AI94" s="3">
        <f t="shared" si="70"/>
        <v>-5.6086673610361313E-14</v>
      </c>
      <c r="AJ94" s="3">
        <f t="shared" si="71"/>
        <v>1.2098841491361598E-13</v>
      </c>
      <c r="AK94" s="3">
        <f t="shared" si="72"/>
        <v>9.5367431640625E-7</v>
      </c>
      <c r="BV94" s="3">
        <v>22</v>
      </c>
      <c r="BW94" s="3">
        <f t="shared" si="62"/>
        <v>0.2646698094010641</v>
      </c>
      <c r="BX94" s="3">
        <v>-6.6584061413077489E-7</v>
      </c>
      <c r="BY94" s="3">
        <f t="shared" si="63"/>
        <v>0.26467114264608482</v>
      </c>
      <c r="BZ94" s="3">
        <v>3.4985758686351121E-6</v>
      </c>
      <c r="CA94" s="3">
        <f t="shared" si="54"/>
        <v>0.26467047602357446</v>
      </c>
      <c r="CB94" s="3">
        <v>1.4163696339802856E-6</v>
      </c>
      <c r="CC94" s="3">
        <f t="shared" si="55"/>
        <v>-9.4307642692561428E-13</v>
      </c>
      <c r="CD94" s="3">
        <f t="shared" si="56"/>
        <v>4.9552766225109735E-12</v>
      </c>
      <c r="CE94" s="3">
        <f t="shared" si="57"/>
        <v>1.3332450207181878E-6</v>
      </c>
      <c r="CG94" s="3">
        <v>22</v>
      </c>
      <c r="CH94" s="3">
        <f t="shared" si="64"/>
        <v>0.2451284371323576</v>
      </c>
      <c r="CI94" s="3">
        <v>-1.0510615387968048E-6</v>
      </c>
      <c r="CJ94" s="3">
        <f t="shared" si="65"/>
        <v>0.24512977037737832</v>
      </c>
      <c r="CK94" s="3">
        <v>3.0485795882786992E-6</v>
      </c>
      <c r="CL94" s="3">
        <f t="shared" si="58"/>
        <v>0.24512910375486796</v>
      </c>
      <c r="CM94" s="3">
        <v>9.9876106601087811E-7</v>
      </c>
      <c r="CN94" s="3">
        <f t="shared" si="59"/>
        <v>-1.0497593429317305E-12</v>
      </c>
      <c r="CO94" s="3">
        <f t="shared" si="60"/>
        <v>3.0448025994082375E-12</v>
      </c>
      <c r="CP94" s="3">
        <f t="shared" si="61"/>
        <v>1.3332450207181878E-6</v>
      </c>
    </row>
    <row r="95" spans="28:94" x14ac:dyDescent="0.2">
      <c r="AB95" s="3">
        <v>21</v>
      </c>
      <c r="AC95" s="3">
        <f t="shared" si="73"/>
        <v>0.32722568511962891</v>
      </c>
      <c r="AD95" s="3">
        <f t="shared" si="66"/>
        <v>3.1134828759604716E-7</v>
      </c>
      <c r="AE95" s="3">
        <f t="shared" si="74"/>
        <v>0.32722616195678711</v>
      </c>
      <c r="AF95" s="3">
        <f t="shared" si="67"/>
        <v>-1.8014126251797435E-7</v>
      </c>
      <c r="AG95" s="3">
        <f t="shared" si="68"/>
        <v>0.32722592353820801</v>
      </c>
      <c r="AH95" s="3">
        <f t="shared" si="69"/>
        <v>6.5603507237721459E-8</v>
      </c>
      <c r="AI95" s="3">
        <f t="shared" si="70"/>
        <v>2.0425539638759462E-14</v>
      </c>
      <c r="AJ95" s="3">
        <f t="shared" si="71"/>
        <v>-1.1817898619410211E-14</v>
      </c>
      <c r="AK95" s="3">
        <f t="shared" si="72"/>
        <v>4.76837158203125E-7</v>
      </c>
      <c r="BV95" s="3">
        <v>23</v>
      </c>
      <c r="BW95" s="3">
        <f t="shared" si="62"/>
        <v>0.2646698094010641</v>
      </c>
      <c r="BX95" s="3">
        <v>-6.6584061413077489E-7</v>
      </c>
      <c r="BY95" s="3">
        <f t="shared" si="63"/>
        <v>0.26467047602357446</v>
      </c>
      <c r="BZ95" s="3">
        <v>1.4163696339802856E-6</v>
      </c>
      <c r="CA95" s="3">
        <f t="shared" si="54"/>
        <v>0.26467014271231926</v>
      </c>
      <c r="CB95" s="3">
        <v>3.7526501159984571E-7</v>
      </c>
      <c r="CC95" s="3">
        <f t="shared" si="55"/>
        <v>-2.4986668578543365E-13</v>
      </c>
      <c r="CD95" s="3">
        <f t="shared" si="56"/>
        <v>5.3151396712528106E-13</v>
      </c>
      <c r="CE95" s="3">
        <f t="shared" si="57"/>
        <v>6.6662251035909392E-7</v>
      </c>
      <c r="CG95" s="3">
        <v>23</v>
      </c>
      <c r="CH95" s="3">
        <f t="shared" si="64"/>
        <v>0.2451284371323576</v>
      </c>
      <c r="CI95" s="3">
        <v>-1.0510615387968048E-6</v>
      </c>
      <c r="CJ95" s="3">
        <f t="shared" si="65"/>
        <v>0.24512910375486796</v>
      </c>
      <c r="CK95" s="3">
        <v>9.9876106601087811E-7</v>
      </c>
      <c r="CL95" s="3">
        <f t="shared" si="58"/>
        <v>0.24512877044361278</v>
      </c>
      <c r="CM95" s="3">
        <v>-2.614972600262222E-8</v>
      </c>
      <c r="CN95" s="3">
        <f t="shared" si="59"/>
        <v>2.7484971251430927E-14</v>
      </c>
      <c r="CO95" s="3">
        <f t="shared" si="60"/>
        <v>-2.6117328218271345E-14</v>
      </c>
      <c r="CP95" s="3">
        <f t="shared" si="61"/>
        <v>6.6662251035909392E-7</v>
      </c>
    </row>
    <row r="96" spans="28:94" x14ac:dyDescent="0.2">
      <c r="AB96" s="3">
        <v>22</v>
      </c>
      <c r="AC96" s="3">
        <f t="shared" si="73"/>
        <v>0.32722592353820801</v>
      </c>
      <c r="AD96" s="3">
        <f t="shared" si="66"/>
        <v>6.5603507237721459E-8</v>
      </c>
      <c r="AE96" s="3">
        <f t="shared" si="74"/>
        <v>0.32722616195678711</v>
      </c>
      <c r="AF96" s="3">
        <f t="shared" si="67"/>
        <v>-1.8014126251797435E-7</v>
      </c>
      <c r="AG96" s="3">
        <f t="shared" si="68"/>
        <v>0.32722604274749756</v>
      </c>
      <c r="AH96" s="3">
        <f t="shared" si="69"/>
        <v>-5.7268878916882926E-8</v>
      </c>
      <c r="AI96" s="3">
        <f t="shared" si="70"/>
        <v>-3.7570393125199232E-15</v>
      </c>
      <c r="AJ96" s="3">
        <f t="shared" si="71"/>
        <v>1.0316488151076293E-14</v>
      </c>
      <c r="AK96" s="3">
        <f t="shared" si="72"/>
        <v>2.384185791015625E-7</v>
      </c>
      <c r="BV96" s="3">
        <v>24</v>
      </c>
      <c r="BW96" s="3">
        <f t="shared" si="62"/>
        <v>0.2646698094010641</v>
      </c>
      <c r="BX96" s="3">
        <v>-6.6584061413077489E-7</v>
      </c>
      <c r="BY96" s="3">
        <f t="shared" si="63"/>
        <v>0.26467014271231926</v>
      </c>
      <c r="BZ96" s="3">
        <v>3.7526501159984571E-7</v>
      </c>
      <c r="CA96" s="3">
        <f t="shared" si="54"/>
        <v>0.26466997605669168</v>
      </c>
      <c r="CB96" s="3">
        <v>-1.4528767577209889E-7</v>
      </c>
      <c r="CC96" s="3">
        <f t="shared" si="55"/>
        <v>9.6738435261727234E-14</v>
      </c>
      <c r="CD96" s="3">
        <f t="shared" si="56"/>
        <v>-5.452138133393131E-14</v>
      </c>
      <c r="CE96" s="3">
        <f t="shared" si="57"/>
        <v>3.3331125515179139E-7</v>
      </c>
      <c r="CG96" s="3">
        <v>24</v>
      </c>
      <c r="CH96" s="3">
        <f t="shared" si="64"/>
        <v>0.24512877044361278</v>
      </c>
      <c r="CI96" s="3">
        <v>-2.614972600262222E-8</v>
      </c>
      <c r="CJ96" s="3">
        <f t="shared" si="65"/>
        <v>0.24512910375486796</v>
      </c>
      <c r="CK96" s="3">
        <v>9.9876106601087811E-7</v>
      </c>
      <c r="CL96" s="3">
        <f t="shared" si="58"/>
        <v>0.24512893709924038</v>
      </c>
      <c r="CM96" s="3">
        <v>4.8630579760344794E-7</v>
      </c>
      <c r="CN96" s="3">
        <f t="shared" si="59"/>
        <v>-1.2716763360816822E-14</v>
      </c>
      <c r="CO96" s="3">
        <f t="shared" si="60"/>
        <v>4.8570329682168999E-13</v>
      </c>
      <c r="CP96" s="3">
        <f t="shared" si="61"/>
        <v>3.3331125517954696E-7</v>
      </c>
    </row>
    <row r="97" spans="28:94" x14ac:dyDescent="0.2">
      <c r="AB97" s="3">
        <v>23</v>
      </c>
      <c r="AC97" s="3">
        <f t="shared" si="73"/>
        <v>0.32722592353820801</v>
      </c>
      <c r="AD97" s="3">
        <f t="shared" si="66"/>
        <v>6.5603507237721459E-8</v>
      </c>
      <c r="AE97" s="3">
        <f t="shared" si="74"/>
        <v>0.32722604274749756</v>
      </c>
      <c r="AF97" s="3">
        <f t="shared" si="67"/>
        <v>-5.7268878916882926E-8</v>
      </c>
      <c r="AG97" s="3">
        <f t="shared" si="68"/>
        <v>0.32722598314285278</v>
      </c>
      <c r="AH97" s="3">
        <f t="shared" si="69"/>
        <v>4.1673138273523591E-9</v>
      </c>
      <c r="AI97" s="3">
        <f t="shared" si="70"/>
        <v>2.7339040283456722E-16</v>
      </c>
      <c r="AJ97" s="3">
        <f t="shared" si="71"/>
        <v>-2.3865739098729422E-16</v>
      </c>
      <c r="AK97" s="3">
        <f t="shared" si="72"/>
        <v>1.1920928955078125E-7</v>
      </c>
      <c r="BV97" s="3">
        <v>25</v>
      </c>
      <c r="BW97" s="3">
        <f t="shared" si="62"/>
        <v>0.26466997605669168</v>
      </c>
      <c r="BX97" s="3">
        <v>-1.4528767577209889E-7</v>
      </c>
      <c r="BY97" s="3">
        <f t="shared" si="63"/>
        <v>0.26467014271231926</v>
      </c>
      <c r="BZ97" s="3">
        <v>3.7526501159984571E-7</v>
      </c>
      <c r="CA97" s="3">
        <f t="shared" si="54"/>
        <v>0.2646700593845055</v>
      </c>
      <c r="CB97" s="3">
        <v>1.1498869931236833E-7</v>
      </c>
      <c r="CC97" s="3">
        <f t="shared" si="55"/>
        <v>-1.6706440863150741E-14</v>
      </c>
      <c r="CD97" s="3">
        <f t="shared" si="56"/>
        <v>4.3151235581307073E-14</v>
      </c>
      <c r="CE97" s="3">
        <f t="shared" si="57"/>
        <v>1.6665562757589569E-7</v>
      </c>
      <c r="CG97" s="3">
        <v>25</v>
      </c>
      <c r="CH97" s="3">
        <f t="shared" si="64"/>
        <v>0.24512877044361278</v>
      </c>
      <c r="CI97" s="3">
        <v>-2.614972600262222E-8</v>
      </c>
      <c r="CJ97" s="3">
        <f t="shared" si="65"/>
        <v>0.24512893709924038</v>
      </c>
      <c r="CK97" s="3">
        <v>4.8630579760344794E-7</v>
      </c>
      <c r="CL97" s="3">
        <f t="shared" si="58"/>
        <v>0.24512885377142657</v>
      </c>
      <c r="CM97" s="3">
        <v>2.3007806764646643E-7</v>
      </c>
      <c r="CN97" s="3">
        <f t="shared" si="59"/>
        <v>-6.0164784281678774E-15</v>
      </c>
      <c r="CO97" s="3">
        <f t="shared" si="60"/>
        <v>1.1188829819787491E-13</v>
      </c>
      <c r="CP97" s="3">
        <f t="shared" si="61"/>
        <v>1.6665562760365127E-7</v>
      </c>
    </row>
    <row r="98" spans="28:94" x14ac:dyDescent="0.2">
      <c r="AB98" s="3">
        <v>24</v>
      </c>
      <c r="AC98" s="3">
        <f t="shared" si="73"/>
        <v>0.32722598314285278</v>
      </c>
      <c r="AD98" s="3">
        <f t="shared" si="66"/>
        <v>4.1673138273523591E-9</v>
      </c>
      <c r="AE98" s="3">
        <f t="shared" si="74"/>
        <v>0.32722604274749756</v>
      </c>
      <c r="AF98" s="3">
        <f t="shared" si="67"/>
        <v>-5.7268878916882926E-8</v>
      </c>
      <c r="AG98" s="3">
        <f t="shared" si="68"/>
        <v>0.32722601294517517</v>
      </c>
      <c r="AH98" s="3">
        <f t="shared" si="69"/>
        <v>-2.655078262803201E-8</v>
      </c>
      <c r="AI98" s="3">
        <f t="shared" si="70"/>
        <v>-1.106454435728246E-16</v>
      </c>
      <c r="AJ98" s="3">
        <f t="shared" si="71"/>
        <v>1.5205335554732438E-15</v>
      </c>
      <c r="AK98" s="3">
        <f t="shared" si="72"/>
        <v>5.9604644775390625E-8</v>
      </c>
      <c r="BV98" s="3">
        <v>26</v>
      </c>
      <c r="BW98" s="3">
        <f t="shared" si="62"/>
        <v>0.26466997605669168</v>
      </c>
      <c r="BX98" s="3">
        <v>-1.4528767577209889E-7</v>
      </c>
      <c r="BY98" s="3">
        <f t="shared" si="63"/>
        <v>0.2646700593845055</v>
      </c>
      <c r="BZ98" s="3">
        <v>1.1498869931236833E-7</v>
      </c>
      <c r="CA98" s="3">
        <f t="shared" si="54"/>
        <v>0.26467001772059862</v>
      </c>
      <c r="CB98" s="3">
        <v>-1.5149480267484527E-8</v>
      </c>
      <c r="CC98" s="3">
        <f t="shared" si="55"/>
        <v>2.2010327772181018E-15</v>
      </c>
      <c r="CD98" s="3">
        <f t="shared" si="56"/>
        <v>-1.7420190312164356E-15</v>
      </c>
      <c r="CE98" s="3">
        <f t="shared" si="57"/>
        <v>8.3327813815703422E-8</v>
      </c>
      <c r="CG98" s="3">
        <v>26</v>
      </c>
      <c r="CH98" s="3">
        <f t="shared" si="64"/>
        <v>0.24512877044361278</v>
      </c>
      <c r="CI98" s="3">
        <v>-2.614972600262222E-8</v>
      </c>
      <c r="CJ98" s="3">
        <f t="shared" si="65"/>
        <v>0.24512885377142657</v>
      </c>
      <c r="CK98" s="3">
        <v>2.3007806764646643E-7</v>
      </c>
      <c r="CL98" s="3">
        <f t="shared" si="58"/>
        <v>0.24512881210751969</v>
      </c>
      <c r="CM98" s="3">
        <v>1.0196417870450558E-7</v>
      </c>
      <c r="CN98" s="3">
        <f t="shared" si="59"/>
        <v>-2.6663353352052284E-15</v>
      </c>
      <c r="CO98" s="3">
        <f t="shared" si="60"/>
        <v>2.3459721205491628E-14</v>
      </c>
      <c r="CP98" s="3">
        <f t="shared" si="61"/>
        <v>8.3327813787947846E-8</v>
      </c>
    </row>
    <row r="99" spans="28:94" x14ac:dyDescent="0.2">
      <c r="AB99" s="3">
        <v>25</v>
      </c>
      <c r="AC99" s="3">
        <f t="shared" si="73"/>
        <v>0.32722598314285278</v>
      </c>
      <c r="AD99" s="3">
        <f t="shared" si="66"/>
        <v>4.1673138273523591E-9</v>
      </c>
      <c r="AE99" s="3">
        <f t="shared" si="74"/>
        <v>0.32722601294517517</v>
      </c>
      <c r="AF99" s="3">
        <f t="shared" si="67"/>
        <v>-2.655078262803201E-8</v>
      </c>
      <c r="AG99" s="3">
        <f t="shared" si="68"/>
        <v>0.32722599804401398</v>
      </c>
      <c r="AH99" s="3">
        <f t="shared" si="69"/>
        <v>-1.1191734428095401E-8</v>
      </c>
      <c r="AI99" s="3">
        <f t="shared" si="70"/>
        <v>-4.6639469634257412E-17</v>
      </c>
      <c r="AJ99" s="3">
        <f t="shared" si="71"/>
        <v>2.9714930803102313E-16</v>
      </c>
      <c r="AK99" s="3">
        <f t="shared" si="72"/>
        <v>2.9802322387695312E-8</v>
      </c>
      <c r="BV99" s="3">
        <v>27</v>
      </c>
      <c r="BW99" s="3">
        <f t="shared" si="62"/>
        <v>0.26467001772059862</v>
      </c>
      <c r="BX99" s="3">
        <v>-1.5149480267484527E-8</v>
      </c>
      <c r="BY99" s="3">
        <f t="shared" si="63"/>
        <v>0.2646700593845055</v>
      </c>
      <c r="BZ99" s="3">
        <v>1.1498869931236833E-7</v>
      </c>
      <c r="CA99" s="3">
        <f t="shared" si="54"/>
        <v>0.26467003855255206</v>
      </c>
      <c r="CB99" s="3">
        <v>4.9919611458393298E-8</v>
      </c>
      <c r="CC99" s="3">
        <f t="shared" si="55"/>
        <v>-7.5625616874942382E-16</v>
      </c>
      <c r="CD99" s="3">
        <f t="shared" si="56"/>
        <v>5.7401911917794435E-15</v>
      </c>
      <c r="CE99" s="3">
        <f t="shared" si="57"/>
        <v>4.1663906880096135E-8</v>
      </c>
      <c r="CG99" s="3">
        <v>27</v>
      </c>
      <c r="CH99" s="3">
        <f t="shared" si="64"/>
        <v>0.24512877044361278</v>
      </c>
      <c r="CI99" s="3">
        <v>-2.614972600262222E-8</v>
      </c>
      <c r="CJ99" s="3">
        <f t="shared" si="65"/>
        <v>0.24512881210751969</v>
      </c>
      <c r="CK99" s="3">
        <v>1.0196417870450558E-7</v>
      </c>
      <c r="CL99" s="3">
        <f t="shared" si="58"/>
        <v>0.24512879127556625</v>
      </c>
      <c r="CM99" s="3">
        <v>3.7907228349343125E-8</v>
      </c>
      <c r="CN99" s="3">
        <f t="shared" si="59"/>
        <v>-9.9126363485415618E-16</v>
      </c>
      <c r="CO99" s="3">
        <f t="shared" si="60"/>
        <v>3.8651794056049225E-15</v>
      </c>
      <c r="CP99" s="3">
        <f t="shared" si="61"/>
        <v>4.1663906907851711E-8</v>
      </c>
    </row>
    <row r="100" spans="28:94" x14ac:dyDescent="0.2">
      <c r="AB100" s="3">
        <v>26</v>
      </c>
      <c r="AC100" s="3">
        <f t="shared" si="73"/>
        <v>0.32722598314285278</v>
      </c>
      <c r="AD100" s="3">
        <f t="shared" si="66"/>
        <v>4.1673138273523591E-9</v>
      </c>
      <c r="AE100" s="3">
        <f t="shared" si="74"/>
        <v>0.32722599804401398</v>
      </c>
      <c r="AF100" s="3">
        <f t="shared" si="67"/>
        <v>-1.1191734428095401E-8</v>
      </c>
      <c r="AG100" s="3">
        <f t="shared" si="68"/>
        <v>0.32722599059343338</v>
      </c>
      <c r="AH100" s="3">
        <f t="shared" si="69"/>
        <v>-3.512210300371521E-9</v>
      </c>
      <c r="AI100" s="3">
        <f t="shared" si="70"/>
        <v>-1.4636482549307622E-17</v>
      </c>
      <c r="AJ100" s="3">
        <f t="shared" si="71"/>
        <v>3.9307724937379242E-17</v>
      </c>
      <c r="AK100" s="3">
        <f t="shared" si="72"/>
        <v>1.4901161193847656E-8</v>
      </c>
      <c r="BV100" s="3">
        <v>28</v>
      </c>
      <c r="BW100" s="3">
        <f t="shared" si="62"/>
        <v>0.26467001772059862</v>
      </c>
      <c r="BX100" s="3">
        <v>-1.5149480267484527E-8</v>
      </c>
      <c r="BY100" s="3">
        <f t="shared" si="63"/>
        <v>0.26467003855255206</v>
      </c>
      <c r="BZ100" s="3">
        <v>4.9919611458393298E-8</v>
      </c>
      <c r="CA100" s="3">
        <f t="shared" si="54"/>
        <v>0.26467002813657536</v>
      </c>
      <c r="CB100" s="3">
        <v>1.7385066088115853E-8</v>
      </c>
      <c r="CC100" s="3">
        <f t="shared" si="55"/>
        <v>-2.6337471565082555E-16</v>
      </c>
      <c r="CD100" s="3">
        <f t="shared" si="56"/>
        <v>8.6785574429723285E-16</v>
      </c>
      <c r="CE100" s="3">
        <f t="shared" si="57"/>
        <v>2.0831953440048068E-8</v>
      </c>
      <c r="CG100" s="3">
        <v>28</v>
      </c>
      <c r="CH100" s="3">
        <f t="shared" si="64"/>
        <v>0.24512877044361278</v>
      </c>
      <c r="CI100" s="3">
        <v>-2.614972600262222E-8</v>
      </c>
      <c r="CJ100" s="3">
        <f t="shared" si="65"/>
        <v>0.24512879127556625</v>
      </c>
      <c r="CK100" s="3">
        <v>3.7907228349343125E-8</v>
      </c>
      <c r="CL100" s="3">
        <f t="shared" si="58"/>
        <v>0.2451287808595895</v>
      </c>
      <c r="CM100" s="3">
        <v>5.8787516243885563E-9</v>
      </c>
      <c r="CN100" s="3">
        <f t="shared" si="59"/>
        <v>-1.5372774421523104E-16</v>
      </c>
      <c r="CO100" s="3">
        <f t="shared" si="60"/>
        <v>2.2284718023476883E-16</v>
      </c>
      <c r="CP100" s="3">
        <f t="shared" si="61"/>
        <v>2.0831953467803643E-8</v>
      </c>
    </row>
    <row r="101" spans="28:94" x14ac:dyDescent="0.2">
      <c r="AB101" s="3">
        <v>27</v>
      </c>
      <c r="AC101" s="3">
        <f t="shared" si="73"/>
        <v>0.32722598314285278</v>
      </c>
      <c r="AD101" s="3">
        <f t="shared" si="66"/>
        <v>4.1673138273523591E-9</v>
      </c>
      <c r="AE101" s="3">
        <f t="shared" si="74"/>
        <v>0.32722599059343338</v>
      </c>
      <c r="AF101" s="3">
        <f t="shared" si="67"/>
        <v>-3.512210300371521E-9</v>
      </c>
      <c r="AG101" s="3">
        <f t="shared" si="68"/>
        <v>0.32722598686814308</v>
      </c>
      <c r="AH101" s="3">
        <f t="shared" si="69"/>
        <v>3.2755176349041903E-10</v>
      </c>
      <c r="AI101" s="3">
        <f t="shared" si="70"/>
        <v>1.3650109931672729E-18</v>
      </c>
      <c r="AJ101" s="3">
        <f t="shared" si="71"/>
        <v>-1.1504306776359061E-18</v>
      </c>
      <c r="AK101" s="3">
        <f t="shared" si="72"/>
        <v>7.4505805969238281E-9</v>
      </c>
      <c r="BV101" s="3">
        <v>29</v>
      </c>
      <c r="BW101" s="3">
        <f t="shared" si="62"/>
        <v>0.26467001772059862</v>
      </c>
      <c r="BX101" s="3">
        <v>-1.5149480267484527E-8</v>
      </c>
      <c r="BY101" s="3">
        <f t="shared" si="63"/>
        <v>0.26467002813657536</v>
      </c>
      <c r="BZ101" s="3">
        <v>1.7385066088115853E-8</v>
      </c>
      <c r="CA101" s="3">
        <f t="shared" si="54"/>
        <v>0.26467002292858699</v>
      </c>
      <c r="CB101" s="3">
        <v>1.1177929623573668E-9</v>
      </c>
      <c r="CC101" s="3">
        <f t="shared" si="55"/>
        <v>-1.6933982426366003E-17</v>
      </c>
      <c r="CD101" s="3">
        <f t="shared" si="56"/>
        <v>1.9432904523413616E-17</v>
      </c>
      <c r="CE101" s="3">
        <f t="shared" si="57"/>
        <v>1.0415976747779609E-8</v>
      </c>
      <c r="CG101" s="3">
        <v>29</v>
      </c>
      <c r="CH101" s="3">
        <f t="shared" si="64"/>
        <v>0.24512877044361278</v>
      </c>
      <c r="CI101" s="3">
        <v>-2.614972600262222E-8</v>
      </c>
      <c r="CJ101" s="3">
        <f t="shared" si="65"/>
        <v>0.2451287808595895</v>
      </c>
      <c r="CK101" s="3">
        <v>5.8787516243885563E-9</v>
      </c>
      <c r="CL101" s="3">
        <f t="shared" si="58"/>
        <v>0.24512877565160113</v>
      </c>
      <c r="CM101" s="3">
        <v>-1.0135487102380658E-8</v>
      </c>
      <c r="CN101" s="3">
        <f t="shared" si="59"/>
        <v>2.6504021063036561E-16</v>
      </c>
      <c r="CO101" s="3">
        <f t="shared" si="60"/>
        <v>-5.9584011267089554E-17</v>
      </c>
      <c r="CP101" s="3">
        <f t="shared" si="61"/>
        <v>1.0415976720024034E-8</v>
      </c>
    </row>
    <row r="102" spans="28:94" x14ac:dyDescent="0.2">
      <c r="AB102" s="3">
        <v>28</v>
      </c>
      <c r="AC102" s="3">
        <f t="shared" si="73"/>
        <v>0.32722598686814308</v>
      </c>
      <c r="AD102" s="3">
        <f t="shared" si="66"/>
        <v>3.2755176349041903E-10</v>
      </c>
      <c r="AE102" s="3">
        <f t="shared" si="74"/>
        <v>0.32722599059343338</v>
      </c>
      <c r="AF102" s="3">
        <f t="shared" si="67"/>
        <v>-3.512210300371521E-9</v>
      </c>
      <c r="AG102" s="3">
        <f t="shared" si="68"/>
        <v>0.32722598873078823</v>
      </c>
      <c r="AH102" s="3">
        <f t="shared" si="69"/>
        <v>-1.592329268440551E-9</v>
      </c>
      <c r="AI102" s="3">
        <f t="shared" si="70"/>
        <v>-5.2157025993511132E-19</v>
      </c>
      <c r="AJ102" s="3">
        <f t="shared" si="71"/>
        <v>5.592595258199952E-18</v>
      </c>
      <c r="AK102" s="3">
        <f t="shared" si="72"/>
        <v>3.7252902984619141E-9</v>
      </c>
      <c r="BV102" s="3">
        <v>30</v>
      </c>
      <c r="BW102" s="3">
        <f t="shared" si="62"/>
        <v>0.26467001772059862</v>
      </c>
      <c r="BX102" s="3">
        <v>-1.5149480267484527E-8</v>
      </c>
      <c r="BY102" s="3">
        <f t="shared" si="63"/>
        <v>0.26467002292858699</v>
      </c>
      <c r="BZ102" s="3">
        <v>1.1177929623573668E-9</v>
      </c>
      <c r="CA102" s="6">
        <f t="shared" si="54"/>
        <v>0.2646700203245928</v>
      </c>
      <c r="CB102" s="3">
        <v>-7.0158436560330273E-9</v>
      </c>
      <c r="CC102" s="3">
        <f t="shared" si="55"/>
        <v>1.0628638502682885E-16</v>
      </c>
      <c r="CD102" s="3">
        <f t="shared" si="56"/>
        <v>-7.8422606637132962E-18</v>
      </c>
      <c r="CE102" s="3">
        <f t="shared" si="57"/>
        <v>5.2079883738898047E-9</v>
      </c>
      <c r="CG102" s="3">
        <v>30</v>
      </c>
      <c r="CH102" s="3">
        <f t="shared" si="64"/>
        <v>0.24512877565160113</v>
      </c>
      <c r="CI102" s="3">
        <v>-1.0135487102380658E-8</v>
      </c>
      <c r="CJ102" s="3">
        <f t="shared" si="65"/>
        <v>0.2451287808595895</v>
      </c>
      <c r="CK102" s="3">
        <v>5.8787516243885563E-9</v>
      </c>
      <c r="CL102" s="6">
        <f t="shared" si="58"/>
        <v>0.24512877825559531</v>
      </c>
      <c r="CM102" s="3">
        <v>-2.1283677389960509E-9</v>
      </c>
      <c r="CN102" s="3">
        <f t="shared" si="59"/>
        <v>2.1572043767717557E-17</v>
      </c>
      <c r="CO102" s="3">
        <f t="shared" si="60"/>
        <v>-1.2512145302919233E-17</v>
      </c>
      <c r="CP102" s="3">
        <f t="shared" si="61"/>
        <v>5.2079883738898047E-9</v>
      </c>
    </row>
    <row r="103" spans="28:94" x14ac:dyDescent="0.2">
      <c r="AB103" s="3">
        <v>29</v>
      </c>
      <c r="AC103" s="3">
        <f t="shared" si="73"/>
        <v>0.32722598686814308</v>
      </c>
      <c r="AD103" s="3">
        <f t="shared" si="66"/>
        <v>3.2755176349041903E-10</v>
      </c>
      <c r="AE103" s="3">
        <f t="shared" si="74"/>
        <v>0.32722598873078823</v>
      </c>
      <c r="AF103" s="3">
        <f t="shared" si="67"/>
        <v>-1.592329268440551E-9</v>
      </c>
      <c r="AG103" s="3">
        <f t="shared" si="68"/>
        <v>0.32722598779946566</v>
      </c>
      <c r="AH103" s="3">
        <f t="shared" si="69"/>
        <v>-6.3238875247506598E-10</v>
      </c>
      <c r="AI103" s="3">
        <f t="shared" si="70"/>
        <v>-2.0714005108471396E-19</v>
      </c>
      <c r="AJ103" s="3">
        <f t="shared" si="71"/>
        <v>1.0069711195986545E-18</v>
      </c>
      <c r="AK103" s="3">
        <f t="shared" si="72"/>
        <v>1.862645149230957E-9</v>
      </c>
    </row>
    <row r="104" spans="28:94" x14ac:dyDescent="0.2">
      <c r="AB104" s="3">
        <v>30</v>
      </c>
      <c r="AC104" s="3">
        <f t="shared" si="73"/>
        <v>0.32722598686814308</v>
      </c>
      <c r="AD104" s="3">
        <f t="shared" si="66"/>
        <v>3.2755176349041903E-10</v>
      </c>
      <c r="AE104" s="3">
        <f t="shared" si="74"/>
        <v>0.32722598779946566</v>
      </c>
      <c r="AF104" s="3">
        <f t="shared" si="67"/>
        <v>-6.3238875247506598E-10</v>
      </c>
      <c r="AG104" s="3">
        <f t="shared" si="68"/>
        <v>0.32722598733380437</v>
      </c>
      <c r="AH104" s="3">
        <f t="shared" si="69"/>
        <v>-1.5241852224789909E-10</v>
      </c>
      <c r="AI104" s="3">
        <f t="shared" si="70"/>
        <v>-4.9924955750903015E-20</v>
      </c>
      <c r="AJ104" s="3">
        <f t="shared" si="71"/>
        <v>9.6387759138441996E-20</v>
      </c>
      <c r="AK104" s="3">
        <f t="shared" si="72"/>
        <v>9.3132257461547852E-10</v>
      </c>
      <c r="BV104" s="61" t="s">
        <v>234</v>
      </c>
      <c r="BW104" s="61"/>
      <c r="BX104" s="61"/>
      <c r="BY104" s="61"/>
      <c r="BZ104" s="61"/>
      <c r="CA104" s="61"/>
      <c r="CB104" s="61"/>
      <c r="CC104" s="61"/>
      <c r="CD104" s="61"/>
      <c r="CE104" s="61"/>
      <c r="CG104" s="61" t="s">
        <v>242</v>
      </c>
      <c r="CH104" s="61"/>
      <c r="CI104" s="61"/>
      <c r="CJ104" s="61"/>
      <c r="CK104" s="61"/>
      <c r="CL104" s="61"/>
      <c r="CM104" s="61"/>
      <c r="CN104" s="61"/>
      <c r="CO104" s="61"/>
      <c r="CP104" s="61"/>
    </row>
    <row r="105" spans="28:94" x14ac:dyDescent="0.2">
      <c r="BV105" s="8" t="s">
        <v>45</v>
      </c>
      <c r="BW105" s="8" t="s">
        <v>46</v>
      </c>
      <c r="BX105" s="8" t="s">
        <v>47</v>
      </c>
      <c r="BY105" s="8" t="s">
        <v>48</v>
      </c>
      <c r="BZ105" s="8" t="s">
        <v>49</v>
      </c>
      <c r="CA105" s="8" t="s">
        <v>50</v>
      </c>
      <c r="CB105" s="8" t="s">
        <v>51</v>
      </c>
      <c r="CC105" s="8" t="s">
        <v>52</v>
      </c>
      <c r="CD105" s="8" t="s">
        <v>53</v>
      </c>
      <c r="CE105" s="8" t="s">
        <v>54</v>
      </c>
      <c r="CG105" s="8" t="s">
        <v>45</v>
      </c>
      <c r="CH105" s="8" t="s">
        <v>46</v>
      </c>
      <c r="CI105" s="8" t="s">
        <v>47</v>
      </c>
      <c r="CJ105" s="8" t="s">
        <v>48</v>
      </c>
      <c r="CK105" s="8" t="s">
        <v>49</v>
      </c>
      <c r="CL105" s="8" t="s">
        <v>50</v>
      </c>
      <c r="CM105" s="8" t="s">
        <v>51</v>
      </c>
      <c r="CN105" s="8" t="s">
        <v>52</v>
      </c>
      <c r="CO105" s="8" t="s">
        <v>53</v>
      </c>
      <c r="CP105" s="8" t="s">
        <v>54</v>
      </c>
    </row>
    <row r="106" spans="28:94" x14ac:dyDescent="0.2">
      <c r="BV106" s="31">
        <v>0</v>
      </c>
      <c r="BW106" s="31"/>
      <c r="BX106" s="31">
        <f>$BO$77</f>
        <v>-2.1643554726225034E-9</v>
      </c>
      <c r="BY106" s="31"/>
      <c r="BZ106" s="31">
        <f>$BO$77</f>
        <v>-2.1643554726225034E-9</v>
      </c>
      <c r="CA106" s="31"/>
      <c r="CB106" s="31">
        <f>$BO$77</f>
        <v>-2.1643554726225034E-9</v>
      </c>
      <c r="CC106" s="31"/>
      <c r="CD106" s="31"/>
      <c r="CE106" s="31"/>
      <c r="CG106" s="31">
        <v>0</v>
      </c>
      <c r="CH106" s="31"/>
      <c r="CI106" s="31">
        <f>$BS$77</f>
        <v>7.3933567150408219E-9</v>
      </c>
      <c r="CJ106" s="31"/>
      <c r="CK106" s="31">
        <f>$BS$77</f>
        <v>7.3933567150408219E-9</v>
      </c>
      <c r="CL106" s="31"/>
      <c r="CM106" s="31">
        <f>$BS$77</f>
        <v>7.3933567150408219E-9</v>
      </c>
      <c r="CN106" s="31"/>
      <c r="CO106" s="31"/>
      <c r="CP106" s="31"/>
    </row>
    <row r="107" spans="28:94" x14ac:dyDescent="0.2">
      <c r="BV107" s="3">
        <v>1</v>
      </c>
      <c r="BW107" s="4">
        <f>0.01*PI()</f>
        <v>3.1415926535897934E-2</v>
      </c>
      <c r="BX107" s="3">
        <f t="dataTable" ref="BX107:BX136" dt2D="0" dtr="0" r1="BO61" ca="1"/>
        <v>-1.9236341037706917</v>
      </c>
      <c r="BY107" s="4">
        <f>0.9*PI()</f>
        <v>2.8274333882308138</v>
      </c>
      <c r="BZ107" s="3">
        <f t="dataTable" ref="BZ107:BZ136" dt2D="0" dtr="0" r1="BO61" ca="1"/>
        <v>0.34411932270838885</v>
      </c>
      <c r="CA107" s="3">
        <f t="shared" ref="CA107:CA136" si="75">(BW107+BY107)/2</f>
        <v>1.4294246573833558</v>
      </c>
      <c r="CB107" s="3">
        <f t="dataTable" ref="CB107:CB136" dt2D="0" dtr="0" r1="BO61" ca="1"/>
        <v>1.1592939388953716</v>
      </c>
      <c r="CC107" s="3">
        <f t="shared" ref="CC107:CC136" si="76">BX107*CB107</f>
        <v>-2.2300573571537932</v>
      </c>
      <c r="CD107" s="3">
        <f t="shared" ref="CD107:CD136" si="77">BZ107*CB107</f>
        <v>0.39893544507261558</v>
      </c>
      <c r="CE107" s="3">
        <f t="shared" ref="CE107:CE136" si="78">BY107-BW107</f>
        <v>2.7960174616949161</v>
      </c>
      <c r="CG107" s="3">
        <v>1</v>
      </c>
      <c r="CH107" s="4">
        <f>0.01*PI()</f>
        <v>3.1415926535897934E-2</v>
      </c>
      <c r="CI107" s="3">
        <f t="dataTable" ref="CI107:CI136" dt2D="0" dtr="0" r1="BS61" ca="1"/>
        <v>-1.9031691104409199</v>
      </c>
      <c r="CJ107" s="4">
        <f>0.9*PI()</f>
        <v>2.8274333882308138</v>
      </c>
      <c r="CK107" s="3">
        <f t="dataTable" ref="CK107:CK136" dt2D="0" dtr="0" r1="BS61" ca="1"/>
        <v>0.33883246028937664</v>
      </c>
      <c r="CL107" s="3">
        <f t="shared" ref="CL107:CL136" si="79">(CH107+CJ107)/2</f>
        <v>1.4294246573833558</v>
      </c>
      <c r="CM107" s="3">
        <f t="dataTable" ref="CM107:CM136" dt2D="0" dtr="0" r1="BS61" ca="1"/>
        <v>1.2537441158087568</v>
      </c>
      <c r="CN107" s="3">
        <f t="shared" ref="CN107:CN136" si="80">CI107*CM107</f>
        <v>-2.3860870736042892</v>
      </c>
      <c r="CO107" s="3">
        <f t="shared" ref="CO107:CO136" si="81">CK107*CM107</f>
        <v>0.42480920333281019</v>
      </c>
      <c r="CP107" s="3">
        <f t="shared" ref="CP107:CP136" si="82">CJ107-CH107</f>
        <v>2.7960174616949161</v>
      </c>
    </row>
    <row r="108" spans="28:94" x14ac:dyDescent="0.2">
      <c r="BV108" s="3">
        <v>2</v>
      </c>
      <c r="BW108" s="3">
        <f t="shared" ref="BW108:BW136" si="83">IF(CC107&gt;0,CA107,BW107)</f>
        <v>3.1415926535897934E-2</v>
      </c>
      <c r="BX108" s="3">
        <v>-1.9236341037706917</v>
      </c>
      <c r="BY108" s="3">
        <f t="shared" ref="BY108:BY136" si="84">IF(CD107&gt;0,CA107,BY107)</f>
        <v>1.4294246573833558</v>
      </c>
      <c r="BZ108" s="3">
        <v>1.1592939388953716</v>
      </c>
      <c r="CA108" s="3">
        <f t="shared" si="75"/>
        <v>0.73042029195962688</v>
      </c>
      <c r="CB108" s="3">
        <v>0.74759986365957742</v>
      </c>
      <c r="CC108" s="3">
        <f t="shared" si="76"/>
        <v>-1.4381085937098825</v>
      </c>
      <c r="CD108" s="3">
        <f t="shared" si="77"/>
        <v>0.86668799065955426</v>
      </c>
      <c r="CE108" s="3">
        <f t="shared" si="78"/>
        <v>1.3980087308474578</v>
      </c>
      <c r="CG108" s="3">
        <v>2</v>
      </c>
      <c r="CH108" s="3">
        <f t="shared" ref="CH108:CH136" si="85">IF(CN107&gt;0,CL107,CH107)</f>
        <v>3.1415926535897934E-2</v>
      </c>
      <c r="CI108" s="3">
        <v>-1.9031691104409199</v>
      </c>
      <c r="CJ108" s="3">
        <f t="shared" ref="CJ108:CJ136" si="86">IF(CO107&gt;0,CL107,CJ107)</f>
        <v>1.4294246573833558</v>
      </c>
      <c r="CK108" s="3">
        <v>1.2537441158087568</v>
      </c>
      <c r="CL108" s="3">
        <f t="shared" si="79"/>
        <v>0.73042029195962688</v>
      </c>
      <c r="CM108" s="3">
        <v>0.80560261094146335</v>
      </c>
      <c r="CN108" s="3">
        <f t="shared" si="80"/>
        <v>-1.5331980044343472</v>
      </c>
      <c r="CO108" s="3">
        <f t="shared" si="81"/>
        <v>1.0100195331480308</v>
      </c>
      <c r="CP108" s="3">
        <f t="shared" si="82"/>
        <v>1.3980087308474578</v>
      </c>
    </row>
    <row r="109" spans="28:94" x14ac:dyDescent="0.2">
      <c r="BV109" s="3">
        <v>3</v>
      </c>
      <c r="BW109" s="3">
        <f t="shared" si="83"/>
        <v>3.1415926535897934E-2</v>
      </c>
      <c r="BX109" s="3">
        <v>-1.9236341037706917</v>
      </c>
      <c r="BY109" s="3">
        <f t="shared" si="84"/>
        <v>0.73042029195962688</v>
      </c>
      <c r="BZ109" s="3">
        <v>0.74759986365957742</v>
      </c>
      <c r="CA109" s="3">
        <f t="shared" si="75"/>
        <v>0.38091810924776243</v>
      </c>
      <c r="CB109" s="3">
        <v>0.38397273222164258</v>
      </c>
      <c r="CC109" s="3">
        <f t="shared" si="76"/>
        <v>-0.73862304261956324</v>
      </c>
      <c r="CD109" s="3">
        <f t="shared" si="77"/>
        <v>0.28705796225789543</v>
      </c>
      <c r="CE109" s="3">
        <f t="shared" si="78"/>
        <v>0.6990043654237289</v>
      </c>
      <c r="CG109" s="3">
        <v>3</v>
      </c>
      <c r="CH109" s="3">
        <f t="shared" si="85"/>
        <v>3.1415926535897934E-2</v>
      </c>
      <c r="CI109" s="3">
        <v>-1.9031691104409199</v>
      </c>
      <c r="CJ109" s="3">
        <f t="shared" si="86"/>
        <v>0.73042029195962688</v>
      </c>
      <c r="CK109" s="3">
        <v>0.80560261094146335</v>
      </c>
      <c r="CL109" s="3">
        <f t="shared" si="79"/>
        <v>0.38091810924776243</v>
      </c>
      <c r="CM109" s="3">
        <v>0.44715158257071475</v>
      </c>
      <c r="CN109" s="3">
        <f t="shared" si="80"/>
        <v>-0.8510050796333567</v>
      </c>
      <c r="CO109" s="3">
        <f t="shared" si="81"/>
        <v>0.36022648240557514</v>
      </c>
      <c r="CP109" s="3">
        <f t="shared" si="82"/>
        <v>0.6990043654237289</v>
      </c>
    </row>
    <row r="110" spans="28:94" x14ac:dyDescent="0.2">
      <c r="BV110" s="3">
        <v>4</v>
      </c>
      <c r="BW110" s="3">
        <f t="shared" si="83"/>
        <v>3.1415926535897934E-2</v>
      </c>
      <c r="BX110" s="3">
        <v>-1.9236341037706917</v>
      </c>
      <c r="BY110" s="3">
        <f t="shared" si="84"/>
        <v>0.38091810924776243</v>
      </c>
      <c r="BZ110" s="3">
        <v>0.38397273222164258</v>
      </c>
      <c r="CA110" s="3">
        <f t="shared" si="75"/>
        <v>0.20616701789183017</v>
      </c>
      <c r="CB110" s="3">
        <v>-9.035244947602665E-2</v>
      </c>
      <c r="CC110" s="3">
        <f t="shared" si="76"/>
        <v>0.17380505317130324</v>
      </c>
      <c r="CD110" s="3">
        <f t="shared" si="77"/>
        <v>-3.4692876888227871E-2</v>
      </c>
      <c r="CE110" s="3">
        <f t="shared" si="78"/>
        <v>0.34950218271186451</v>
      </c>
      <c r="CG110" s="3">
        <v>4</v>
      </c>
      <c r="CH110" s="3">
        <f t="shared" si="85"/>
        <v>3.1415926535897934E-2</v>
      </c>
      <c r="CI110" s="3">
        <v>-1.9031691104409199</v>
      </c>
      <c r="CJ110" s="3">
        <f t="shared" si="86"/>
        <v>0.38091810924776243</v>
      </c>
      <c r="CK110" s="3">
        <v>0.44715158257071475</v>
      </c>
      <c r="CL110" s="3">
        <f t="shared" si="79"/>
        <v>0.20616701789183017</v>
      </c>
      <c r="CM110" s="3">
        <v>-0.13442878107145895</v>
      </c>
      <c r="CN110" s="3">
        <f t="shared" si="80"/>
        <v>0.25584070368942569</v>
      </c>
      <c r="CO110" s="3">
        <f t="shared" si="81"/>
        <v>-6.0110042199155007E-2</v>
      </c>
      <c r="CP110" s="3">
        <f t="shared" si="82"/>
        <v>0.34950218271186451</v>
      </c>
    </row>
    <row r="111" spans="28:94" x14ac:dyDescent="0.2">
      <c r="BV111" s="3">
        <v>5</v>
      </c>
      <c r="BW111" s="3">
        <f t="shared" si="83"/>
        <v>0.20616701789183017</v>
      </c>
      <c r="BX111" s="3">
        <v>-9.035244947602665E-2</v>
      </c>
      <c r="BY111" s="3">
        <f t="shared" si="84"/>
        <v>0.38091810924776243</v>
      </c>
      <c r="BZ111" s="3">
        <v>0.38397273222164258</v>
      </c>
      <c r="CA111" s="3">
        <f t="shared" si="75"/>
        <v>0.2935425635697963</v>
      </c>
      <c r="CB111" s="3">
        <v>0.17652755233266337</v>
      </c>
      <c r="CC111" s="3">
        <f t="shared" si="76"/>
        <v>-1.5949696753263617E-2</v>
      </c>
      <c r="CD111" s="3">
        <f t="shared" si="77"/>
        <v>6.7781766581571756E-2</v>
      </c>
      <c r="CE111" s="3">
        <f t="shared" si="78"/>
        <v>0.17475109135593225</v>
      </c>
      <c r="CG111" s="3">
        <v>5</v>
      </c>
      <c r="CH111" s="3">
        <f t="shared" si="85"/>
        <v>0.20616701789183017</v>
      </c>
      <c r="CI111" s="3">
        <v>-0.13442878107145895</v>
      </c>
      <c r="CJ111" s="3">
        <f t="shared" si="86"/>
        <v>0.38091810924776243</v>
      </c>
      <c r="CK111" s="3">
        <v>0.44715158257071475</v>
      </c>
      <c r="CL111" s="3">
        <f t="shared" si="79"/>
        <v>0.2935425635697963</v>
      </c>
      <c r="CM111" s="3">
        <v>0.19960885348250682</v>
      </c>
      <c r="CN111" s="3">
        <f t="shared" si="80"/>
        <v>-2.6833174864724835E-2</v>
      </c>
      <c r="CO111" s="3">
        <f t="shared" si="81"/>
        <v>8.9255414729828841E-2</v>
      </c>
      <c r="CP111" s="3">
        <f t="shared" si="82"/>
        <v>0.17475109135593225</v>
      </c>
    </row>
    <row r="112" spans="28:94" x14ac:dyDescent="0.2">
      <c r="BV112" s="3">
        <v>6</v>
      </c>
      <c r="BW112" s="3">
        <f t="shared" si="83"/>
        <v>0.20616701789183017</v>
      </c>
      <c r="BX112" s="3">
        <v>-9.035244947602665E-2</v>
      </c>
      <c r="BY112" s="3">
        <f t="shared" si="84"/>
        <v>0.2935425635697963</v>
      </c>
      <c r="BZ112" s="3">
        <v>0.17652755233266337</v>
      </c>
      <c r="CA112" s="3">
        <f t="shared" si="75"/>
        <v>0.24985479073081324</v>
      </c>
      <c r="CB112" s="3">
        <v>5.1362303244329929E-2</v>
      </c>
      <c r="CC112" s="3">
        <f t="shared" si="76"/>
        <v>-4.6407099088556798E-3</v>
      </c>
      <c r="CD112" s="3">
        <f t="shared" si="77"/>
        <v>9.0668616738895768E-3</v>
      </c>
      <c r="CE112" s="3">
        <f t="shared" si="78"/>
        <v>8.7375545677966127E-2</v>
      </c>
      <c r="CG112" s="3">
        <v>6</v>
      </c>
      <c r="CH112" s="3">
        <f t="shared" si="85"/>
        <v>0.20616701789183017</v>
      </c>
      <c r="CI112" s="3">
        <v>-0.13442878107145895</v>
      </c>
      <c r="CJ112" s="3">
        <f t="shared" si="86"/>
        <v>0.2935425635697963</v>
      </c>
      <c r="CK112" s="3">
        <v>0.19960885348250682</v>
      </c>
      <c r="CL112" s="3">
        <f t="shared" si="79"/>
        <v>0.24985479073081324</v>
      </c>
      <c r="CM112" s="3">
        <v>4.3725886370966152E-2</v>
      </c>
      <c r="CN112" s="3">
        <f t="shared" si="80"/>
        <v>-5.8780176061180994E-3</v>
      </c>
      <c r="CO112" s="3">
        <f t="shared" si="81"/>
        <v>8.7280740460149251E-3</v>
      </c>
      <c r="CP112" s="3">
        <f t="shared" si="82"/>
        <v>8.7375545677966127E-2</v>
      </c>
    </row>
    <row r="113" spans="74:94" x14ac:dyDescent="0.2">
      <c r="BV113" s="3">
        <v>7</v>
      </c>
      <c r="BW113" s="3">
        <f t="shared" si="83"/>
        <v>0.20616701789183017</v>
      </c>
      <c r="BX113" s="3">
        <v>-9.035244947602665E-2</v>
      </c>
      <c r="BY113" s="3">
        <f t="shared" si="84"/>
        <v>0.24985479073081324</v>
      </c>
      <c r="BZ113" s="3">
        <v>5.1362303244329929E-2</v>
      </c>
      <c r="CA113" s="3">
        <f t="shared" si="75"/>
        <v>0.2280109043113217</v>
      </c>
      <c r="CB113" s="3">
        <v>-1.7136580150211293E-2</v>
      </c>
      <c r="CC113" s="3">
        <f t="shared" si="76"/>
        <v>1.5483319922138471E-3</v>
      </c>
      <c r="CD113" s="3">
        <f t="shared" si="77"/>
        <v>-8.8017422624591735E-4</v>
      </c>
      <c r="CE113" s="3">
        <f t="shared" si="78"/>
        <v>4.3687772838983063E-2</v>
      </c>
      <c r="CG113" s="3">
        <v>7</v>
      </c>
      <c r="CH113" s="3">
        <f t="shared" si="85"/>
        <v>0.20616701789183017</v>
      </c>
      <c r="CI113" s="3">
        <v>-0.13442878107145895</v>
      </c>
      <c r="CJ113" s="3">
        <f t="shared" si="86"/>
        <v>0.24985479073081324</v>
      </c>
      <c r="CK113" s="3">
        <v>4.3725886370966152E-2</v>
      </c>
      <c r="CL113" s="3">
        <f t="shared" si="79"/>
        <v>0.2280109043113217</v>
      </c>
      <c r="CM113" s="3">
        <v>-4.2352836429269042E-2</v>
      </c>
      <c r="CN113" s="3">
        <f t="shared" si="80"/>
        <v>5.6934401761055192E-3</v>
      </c>
      <c r="CO113" s="3">
        <f t="shared" si="81"/>
        <v>-1.851915313194334E-3</v>
      </c>
      <c r="CP113" s="3">
        <f t="shared" si="82"/>
        <v>4.3687772838983063E-2</v>
      </c>
    </row>
    <row r="114" spans="74:94" x14ac:dyDescent="0.2">
      <c r="BV114" s="3">
        <v>8</v>
      </c>
      <c r="BW114" s="3">
        <f t="shared" si="83"/>
        <v>0.2280109043113217</v>
      </c>
      <c r="BX114" s="3">
        <v>-1.7136580150211293E-2</v>
      </c>
      <c r="BY114" s="3">
        <f t="shared" si="84"/>
        <v>0.24985479073081324</v>
      </c>
      <c r="BZ114" s="3">
        <v>5.1362303244329929E-2</v>
      </c>
      <c r="CA114" s="3">
        <f t="shared" si="75"/>
        <v>0.23893284752106747</v>
      </c>
      <c r="CB114" s="3">
        <v>1.7653071129255852E-2</v>
      </c>
      <c r="CC114" s="3">
        <f t="shared" si="76"/>
        <v>-3.0251326830387388E-4</v>
      </c>
      <c r="CD114" s="3">
        <f t="shared" si="77"/>
        <v>9.0670239253456486E-4</v>
      </c>
      <c r="CE114" s="3">
        <f t="shared" si="78"/>
        <v>2.1843886419491532E-2</v>
      </c>
      <c r="CG114" s="3">
        <v>8</v>
      </c>
      <c r="CH114" s="3">
        <f t="shared" si="85"/>
        <v>0.2280109043113217</v>
      </c>
      <c r="CI114" s="3">
        <v>-4.2352836429269042E-2</v>
      </c>
      <c r="CJ114" s="3">
        <f t="shared" si="86"/>
        <v>0.24985479073081324</v>
      </c>
      <c r="CK114" s="3">
        <v>4.3725886370966152E-2</v>
      </c>
      <c r="CL114" s="3">
        <f t="shared" si="79"/>
        <v>0.23893284752106747</v>
      </c>
      <c r="CM114" s="3">
        <v>1.3972203495729481E-3</v>
      </c>
      <c r="CN114" s="3">
        <f t="shared" si="80"/>
        <v>-5.9176244921109182E-5</v>
      </c>
      <c r="CO114" s="3">
        <f t="shared" si="81"/>
        <v>6.1094698240628329E-5</v>
      </c>
      <c r="CP114" s="3">
        <f t="shared" si="82"/>
        <v>2.1843886419491532E-2</v>
      </c>
    </row>
    <row r="115" spans="74:94" x14ac:dyDescent="0.2">
      <c r="BV115" s="3">
        <v>9</v>
      </c>
      <c r="BW115" s="3">
        <f t="shared" si="83"/>
        <v>0.2280109043113217</v>
      </c>
      <c r="BX115" s="3">
        <v>-1.7136580150211293E-2</v>
      </c>
      <c r="BY115" s="3">
        <f t="shared" si="84"/>
        <v>0.23893284752106747</v>
      </c>
      <c r="BZ115" s="3">
        <v>1.7653071129255852E-2</v>
      </c>
      <c r="CA115" s="3">
        <f t="shared" si="75"/>
        <v>0.23347187591619459</v>
      </c>
      <c r="CB115" s="3">
        <v>3.984394127574363E-4</v>
      </c>
      <c r="CC115" s="3">
        <f t="shared" si="76"/>
        <v>-6.8278889317209276E-6</v>
      </c>
      <c r="CD115" s="3">
        <f t="shared" si="77"/>
        <v>7.0336792941059542E-6</v>
      </c>
      <c r="CE115" s="3">
        <f t="shared" si="78"/>
        <v>1.0921943209745766E-2</v>
      </c>
      <c r="CG115" s="3">
        <v>9</v>
      </c>
      <c r="CH115" s="3">
        <f t="shared" si="85"/>
        <v>0.2280109043113217</v>
      </c>
      <c r="CI115" s="3">
        <v>-4.2352836429269042E-2</v>
      </c>
      <c r="CJ115" s="3">
        <f t="shared" si="86"/>
        <v>0.23893284752106747</v>
      </c>
      <c r="CK115" s="3">
        <v>1.3972203495729481E-3</v>
      </c>
      <c r="CL115" s="3">
        <f t="shared" si="79"/>
        <v>0.23347187591619459</v>
      </c>
      <c r="CM115" s="3">
        <v>-2.029619872700849E-2</v>
      </c>
      <c r="CN115" s="3">
        <f t="shared" si="80"/>
        <v>8.5960158482092908E-4</v>
      </c>
      <c r="CO115" s="3">
        <f t="shared" si="81"/>
        <v>-2.8358261880352827E-5</v>
      </c>
      <c r="CP115" s="3">
        <f t="shared" si="82"/>
        <v>1.0921943209745766E-2</v>
      </c>
    </row>
    <row r="116" spans="74:94" x14ac:dyDescent="0.2">
      <c r="BV116" s="3">
        <v>10</v>
      </c>
      <c r="BW116" s="3">
        <f t="shared" si="83"/>
        <v>0.2280109043113217</v>
      </c>
      <c r="BX116" s="3">
        <v>-1.7136580150211293E-2</v>
      </c>
      <c r="BY116" s="3">
        <f t="shared" si="84"/>
        <v>0.23347187591619459</v>
      </c>
      <c r="BZ116" s="3">
        <v>3.984394127574363E-4</v>
      </c>
      <c r="CA116" s="3">
        <f t="shared" si="75"/>
        <v>0.23074139011375816</v>
      </c>
      <c r="CB116" s="3">
        <v>-8.333298180531995E-3</v>
      </c>
      <c r="CC116" s="3">
        <f t="shared" si="76"/>
        <v>1.4280423218629646E-4</v>
      </c>
      <c r="CD116" s="3">
        <f t="shared" si="77"/>
        <v>-3.3203144333837804E-6</v>
      </c>
      <c r="CE116" s="3">
        <f t="shared" si="78"/>
        <v>5.4609716048728829E-3</v>
      </c>
      <c r="CG116" s="3">
        <v>10</v>
      </c>
      <c r="CH116" s="3">
        <f t="shared" si="85"/>
        <v>0.23347187591619459</v>
      </c>
      <c r="CI116" s="3">
        <v>-2.029619872700849E-2</v>
      </c>
      <c r="CJ116" s="3">
        <f t="shared" si="86"/>
        <v>0.23893284752106747</v>
      </c>
      <c r="CK116" s="3">
        <v>1.3972203495729481E-3</v>
      </c>
      <c r="CL116" s="3">
        <f t="shared" si="79"/>
        <v>0.23620236171863102</v>
      </c>
      <c r="CM116" s="3">
        <v>-9.4046305001580163E-3</v>
      </c>
      <c r="CN116" s="3">
        <f t="shared" si="80"/>
        <v>1.9087824958529233E-4</v>
      </c>
      <c r="CO116" s="3">
        <f t="shared" si="81"/>
        <v>-1.3140341115035193E-5</v>
      </c>
      <c r="CP116" s="3">
        <f t="shared" si="82"/>
        <v>5.4609716048728829E-3</v>
      </c>
    </row>
    <row r="117" spans="74:94" x14ac:dyDescent="0.2">
      <c r="BV117" s="3">
        <v>11</v>
      </c>
      <c r="BW117" s="3">
        <f t="shared" si="83"/>
        <v>0.23074139011375816</v>
      </c>
      <c r="BX117" s="3">
        <v>-8.333298180531995E-3</v>
      </c>
      <c r="BY117" s="3">
        <f t="shared" si="84"/>
        <v>0.23347187591619459</v>
      </c>
      <c r="BZ117" s="3">
        <v>3.984394127574363E-4</v>
      </c>
      <c r="CA117" s="3">
        <f t="shared" si="75"/>
        <v>0.23210663301497636</v>
      </c>
      <c r="CB117" s="3">
        <v>-3.9585806913152201E-3</v>
      </c>
      <c r="CC117" s="3">
        <f t="shared" si="76"/>
        <v>3.2988033272426213E-5</v>
      </c>
      <c r="CD117" s="3">
        <f t="shared" si="77"/>
        <v>-1.5772545660005625E-6</v>
      </c>
      <c r="CE117" s="3">
        <f t="shared" si="78"/>
        <v>2.7304858024364276E-3</v>
      </c>
      <c r="CG117" s="3">
        <v>11</v>
      </c>
      <c r="CH117" s="3">
        <f t="shared" si="85"/>
        <v>0.23620236171863102</v>
      </c>
      <c r="CI117" s="3">
        <v>-9.4046305001580163E-3</v>
      </c>
      <c r="CJ117" s="3">
        <f t="shared" si="86"/>
        <v>0.23893284752106747</v>
      </c>
      <c r="CK117" s="3">
        <v>1.3972203495729481E-3</v>
      </c>
      <c r="CL117" s="3">
        <f t="shared" si="79"/>
        <v>0.23756760461984924</v>
      </c>
      <c r="CM117" s="3">
        <v>-3.9925536228479323E-3</v>
      </c>
      <c r="CN117" s="3">
        <f t="shared" si="80"/>
        <v>3.754849157495205E-5</v>
      </c>
      <c r="CO117" s="3">
        <f t="shared" si="81"/>
        <v>-5.5784771686043286E-6</v>
      </c>
      <c r="CP117" s="3">
        <f t="shared" si="82"/>
        <v>2.7304858024364553E-3</v>
      </c>
    </row>
    <row r="118" spans="74:94" x14ac:dyDescent="0.2">
      <c r="BV118" s="3">
        <v>12</v>
      </c>
      <c r="BW118" s="3">
        <f t="shared" si="83"/>
        <v>0.23210663301497636</v>
      </c>
      <c r="BX118" s="3">
        <v>-3.9585806913152201E-3</v>
      </c>
      <c r="BY118" s="3">
        <f t="shared" si="84"/>
        <v>0.23347187591619459</v>
      </c>
      <c r="BZ118" s="3">
        <v>3.984394127574363E-4</v>
      </c>
      <c r="CA118" s="3">
        <f t="shared" si="75"/>
        <v>0.23278925446558546</v>
      </c>
      <c r="CB118" s="3">
        <v>-1.7778699110731939E-3</v>
      </c>
      <c r="CC118" s="3">
        <f t="shared" si="76"/>
        <v>7.0378415016446533E-6</v>
      </c>
      <c r="CD118" s="3">
        <f t="shared" si="77"/>
        <v>-7.0837344332711891E-7</v>
      </c>
      <c r="CE118" s="3">
        <f t="shared" si="78"/>
        <v>1.3652429012182277E-3</v>
      </c>
      <c r="CG118" s="3">
        <v>12</v>
      </c>
      <c r="CH118" s="3">
        <f t="shared" si="85"/>
        <v>0.23756760461984924</v>
      </c>
      <c r="CI118" s="3">
        <v>-3.9925536228479323E-3</v>
      </c>
      <c r="CJ118" s="3">
        <f t="shared" si="86"/>
        <v>0.23893284752106747</v>
      </c>
      <c r="CK118" s="3">
        <v>1.3972203495729481E-3</v>
      </c>
      <c r="CL118" s="3">
        <f t="shared" si="79"/>
        <v>0.23825022607045837</v>
      </c>
      <c r="CM118" s="3">
        <v>-1.2948863914938255E-3</v>
      </c>
      <c r="CN118" s="3">
        <f t="shared" si="80"/>
        <v>5.1699033535351588E-6</v>
      </c>
      <c r="CO118" s="3">
        <f t="shared" si="81"/>
        <v>-1.8092416165802563E-6</v>
      </c>
      <c r="CP118" s="3">
        <f t="shared" si="82"/>
        <v>1.3652429012182277E-3</v>
      </c>
    </row>
    <row r="119" spans="74:94" x14ac:dyDescent="0.2">
      <c r="BV119" s="3">
        <v>13</v>
      </c>
      <c r="BW119" s="3">
        <f t="shared" si="83"/>
        <v>0.23278925446558546</v>
      </c>
      <c r="BX119" s="3">
        <v>-1.7778699110731939E-3</v>
      </c>
      <c r="BY119" s="3">
        <f t="shared" si="84"/>
        <v>0.23347187591619459</v>
      </c>
      <c r="BZ119" s="3">
        <v>3.984394127574363E-4</v>
      </c>
      <c r="CA119" s="3">
        <f t="shared" si="75"/>
        <v>0.23313056519089004</v>
      </c>
      <c r="CB119" s="3">
        <v>-6.8916647636301648E-4</v>
      </c>
      <c r="CC119" s="3">
        <f t="shared" si="76"/>
        <v>1.2252483420461425E-6</v>
      </c>
      <c r="CD119" s="3">
        <f t="shared" si="77"/>
        <v>-2.7459108613419188E-7</v>
      </c>
      <c r="CE119" s="3">
        <f t="shared" si="78"/>
        <v>6.8262145060912771E-4</v>
      </c>
      <c r="CG119" s="3">
        <v>13</v>
      </c>
      <c r="CH119" s="3">
        <f t="shared" si="85"/>
        <v>0.23825022607045837</v>
      </c>
      <c r="CI119" s="3">
        <v>-1.2948863914938255E-3</v>
      </c>
      <c r="CJ119" s="3">
        <f t="shared" si="86"/>
        <v>0.23893284752106747</v>
      </c>
      <c r="CK119" s="3">
        <v>1.3972203495729481E-3</v>
      </c>
      <c r="CL119" s="3">
        <f t="shared" si="79"/>
        <v>0.23859153679576292</v>
      </c>
      <c r="CM119" s="3">
        <v>5.1861105516304296E-5</v>
      </c>
      <c r="CN119" s="3">
        <f t="shared" si="80"/>
        <v>-6.7154239780887801E-8</v>
      </c>
      <c r="CO119" s="3">
        <f t="shared" si="81"/>
        <v>7.246139197873023E-8</v>
      </c>
      <c r="CP119" s="3">
        <f t="shared" si="82"/>
        <v>6.8262145060909996E-4</v>
      </c>
    </row>
    <row r="120" spans="74:94" x14ac:dyDescent="0.2">
      <c r="BV120" s="3">
        <v>14</v>
      </c>
      <c r="BW120" s="3">
        <f t="shared" si="83"/>
        <v>0.23313056519089004</v>
      </c>
      <c r="BX120" s="3">
        <v>-6.8916647636301648E-4</v>
      </c>
      <c r="BY120" s="3">
        <f t="shared" si="84"/>
        <v>0.23347187591619459</v>
      </c>
      <c r="BZ120" s="3">
        <v>3.984394127574363E-4</v>
      </c>
      <c r="CA120" s="3">
        <f t="shared" si="75"/>
        <v>0.2333012205535423</v>
      </c>
      <c r="CB120" s="3">
        <v>-1.452265134405939E-4</v>
      </c>
      <c r="CC120" s="3">
        <f t="shared" si="76"/>
        <v>1.0008524454234034E-7</v>
      </c>
      <c r="CD120" s="3">
        <f t="shared" si="77"/>
        <v>-5.7863966732080164E-8</v>
      </c>
      <c r="CE120" s="3">
        <f t="shared" si="78"/>
        <v>3.4131072530454998E-4</v>
      </c>
      <c r="CG120" s="3">
        <v>14</v>
      </c>
      <c r="CH120" s="3">
        <f t="shared" si="85"/>
        <v>0.23825022607045837</v>
      </c>
      <c r="CI120" s="3">
        <v>-1.2948863914938255E-3</v>
      </c>
      <c r="CJ120" s="3">
        <f t="shared" si="86"/>
        <v>0.23859153679576292</v>
      </c>
      <c r="CK120" s="3">
        <v>5.1861105516304296E-5</v>
      </c>
      <c r="CL120" s="3">
        <f t="shared" si="79"/>
        <v>0.23842088143311063</v>
      </c>
      <c r="CM120" s="3">
        <v>-6.2133899529049144E-4</v>
      </c>
      <c r="CN120" s="3">
        <f t="shared" si="80"/>
        <v>8.0456340950610349E-7</v>
      </c>
      <c r="CO120" s="3">
        <f t="shared" si="81"/>
        <v>-3.2223327196154677E-8</v>
      </c>
      <c r="CP120" s="3">
        <f t="shared" si="82"/>
        <v>3.4131072530454998E-4</v>
      </c>
    </row>
    <row r="121" spans="74:94" x14ac:dyDescent="0.2">
      <c r="BV121" s="3">
        <v>15</v>
      </c>
      <c r="BW121" s="3">
        <f t="shared" si="83"/>
        <v>0.2333012205535423</v>
      </c>
      <c r="BX121" s="3">
        <v>-1.452265134405939E-4</v>
      </c>
      <c r="BY121" s="3">
        <f t="shared" si="84"/>
        <v>0.23347187591619459</v>
      </c>
      <c r="BZ121" s="3">
        <v>3.984394127574363E-4</v>
      </c>
      <c r="CA121" s="3">
        <f t="shared" si="75"/>
        <v>0.23338654823486843</v>
      </c>
      <c r="CB121" s="3">
        <v>1.2664068247640603E-4</v>
      </c>
      <c r="CC121" s="3">
        <f t="shared" si="76"/>
        <v>-1.8391584775785763E-8</v>
      </c>
      <c r="CD121" s="3">
        <f t="shared" si="77"/>
        <v>5.045863915710017E-8</v>
      </c>
      <c r="CE121" s="3">
        <f t="shared" si="78"/>
        <v>1.7065536265228887E-4</v>
      </c>
      <c r="CG121" s="3">
        <v>15</v>
      </c>
      <c r="CH121" s="3">
        <f t="shared" si="85"/>
        <v>0.23842088143311063</v>
      </c>
      <c r="CI121" s="3">
        <v>-6.2133899529049144E-4</v>
      </c>
      <c r="CJ121" s="3">
        <f t="shared" si="86"/>
        <v>0.23859153679576292</v>
      </c>
      <c r="CK121" s="3">
        <v>5.1861105516304296E-5</v>
      </c>
      <c r="CL121" s="3">
        <f t="shared" si="79"/>
        <v>0.23850620911443676</v>
      </c>
      <c r="CM121" s="3">
        <v>-2.8469554752048529E-4</v>
      </c>
      <c r="CN121" s="3">
        <f t="shared" si="80"/>
        <v>1.7689244546005469E-7</v>
      </c>
      <c r="CO121" s="3">
        <f t="shared" si="81"/>
        <v>-1.4764625829981911E-8</v>
      </c>
      <c r="CP121" s="3">
        <f t="shared" si="82"/>
        <v>1.7065536265228887E-4</v>
      </c>
    </row>
    <row r="122" spans="74:94" x14ac:dyDescent="0.2">
      <c r="BV122" s="3">
        <v>16</v>
      </c>
      <c r="BW122" s="3">
        <f t="shared" si="83"/>
        <v>0.2333012205535423</v>
      </c>
      <c r="BX122" s="3">
        <v>-1.452265134405939E-4</v>
      </c>
      <c r="BY122" s="3">
        <f t="shared" si="84"/>
        <v>0.23338654823486843</v>
      </c>
      <c r="BZ122" s="3">
        <v>1.2664068247640603E-4</v>
      </c>
      <c r="CA122" s="3">
        <f t="shared" si="75"/>
        <v>0.23334388439420536</v>
      </c>
      <c r="CB122" s="3">
        <v>-9.2843545596334176E-6</v>
      </c>
      <c r="CC122" s="3">
        <f t="shared" si="76"/>
        <v>1.3483344422418418E-9</v>
      </c>
      <c r="CD122" s="3">
        <f t="shared" si="77"/>
        <v>-1.1757769977849083E-9</v>
      </c>
      <c r="CE122" s="3">
        <f t="shared" si="78"/>
        <v>8.5327681326130556E-5</v>
      </c>
      <c r="CG122" s="3">
        <v>16</v>
      </c>
      <c r="CH122" s="3">
        <f t="shared" si="85"/>
        <v>0.23850620911443676</v>
      </c>
      <c r="CI122" s="3">
        <v>-2.8469554752048529E-4</v>
      </c>
      <c r="CJ122" s="3">
        <f t="shared" si="86"/>
        <v>0.23859153679576292</v>
      </c>
      <c r="CK122" s="3">
        <v>5.1861105516304296E-5</v>
      </c>
      <c r="CL122" s="3">
        <f t="shared" si="79"/>
        <v>0.23854887295509986</v>
      </c>
      <c r="CM122" s="3">
        <v>-1.1640637347593019E-4</v>
      </c>
      <c r="CN122" s="3">
        <f t="shared" si="80"/>
        <v>3.3140376231604045E-8</v>
      </c>
      <c r="CO122" s="3">
        <f t="shared" si="81"/>
        <v>-6.0369632176055413E-9</v>
      </c>
      <c r="CP122" s="3">
        <f t="shared" si="82"/>
        <v>8.5327681326158311E-5</v>
      </c>
    </row>
    <row r="123" spans="74:94" x14ac:dyDescent="0.2">
      <c r="BV123" s="3">
        <v>17</v>
      </c>
      <c r="BW123" s="3">
        <f t="shared" si="83"/>
        <v>0.23334388439420536</v>
      </c>
      <c r="BX123" s="3">
        <v>-9.2843545596334176E-6</v>
      </c>
      <c r="BY123" s="3">
        <f t="shared" si="84"/>
        <v>0.23338654823486843</v>
      </c>
      <c r="BZ123" s="3">
        <v>1.2664068247640603E-4</v>
      </c>
      <c r="CA123" s="3">
        <f t="shared" si="75"/>
        <v>0.23336521631453688</v>
      </c>
      <c r="CB123" s="3">
        <v>5.8680303848951398E-5</v>
      </c>
      <c r="CC123" s="3">
        <f t="shared" si="76"/>
        <v>-5.448087466006863E-10</v>
      </c>
      <c r="CD123" s="3">
        <f t="shared" si="77"/>
        <v>7.4313137273540808E-9</v>
      </c>
      <c r="CE123" s="3">
        <f t="shared" si="78"/>
        <v>4.2663840663065278E-5</v>
      </c>
      <c r="CG123" s="3">
        <v>17</v>
      </c>
      <c r="CH123" s="3">
        <f t="shared" si="85"/>
        <v>0.23854887295509986</v>
      </c>
      <c r="CI123" s="3">
        <v>-1.1640637347593019E-4</v>
      </c>
      <c r="CJ123" s="3">
        <f t="shared" si="86"/>
        <v>0.23859153679576292</v>
      </c>
      <c r="CK123" s="3">
        <v>5.1861105516304296E-5</v>
      </c>
      <c r="CL123" s="3">
        <f t="shared" si="79"/>
        <v>0.2385702048754314</v>
      </c>
      <c r="CM123" s="3">
        <v>-3.2269922324926203E-5</v>
      </c>
      <c r="CN123" s="3">
        <f t="shared" si="80"/>
        <v>3.7564246301946173E-9</v>
      </c>
      <c r="CO123" s="3">
        <f t="shared" si="81"/>
        <v>-1.6735538466959415E-9</v>
      </c>
      <c r="CP123" s="3">
        <f t="shared" si="82"/>
        <v>4.2663840663065278E-5</v>
      </c>
    </row>
    <row r="124" spans="74:94" x14ac:dyDescent="0.2">
      <c r="BV124" s="3">
        <v>18</v>
      </c>
      <c r="BW124" s="3">
        <f t="shared" si="83"/>
        <v>0.23334388439420536</v>
      </c>
      <c r="BX124" s="3">
        <v>-9.2843545596334176E-6</v>
      </c>
      <c r="BY124" s="3">
        <f t="shared" si="84"/>
        <v>0.23336521631453688</v>
      </c>
      <c r="BZ124" s="3">
        <v>5.8680303848951398E-5</v>
      </c>
      <c r="CA124" s="3">
        <f t="shared" si="75"/>
        <v>0.23335455035437114</v>
      </c>
      <c r="CB124" s="3">
        <v>2.4698509659793616E-5</v>
      </c>
      <c r="CC124" s="3">
        <f t="shared" si="76"/>
        <v>-2.2930972077605488E-10</v>
      </c>
      <c r="CD124" s="3">
        <f t="shared" si="77"/>
        <v>1.4493160514529507E-9</v>
      </c>
      <c r="CE124" s="3">
        <f t="shared" si="78"/>
        <v>2.1331920331518761E-5</v>
      </c>
      <c r="CG124" s="3">
        <v>18</v>
      </c>
      <c r="CH124" s="3">
        <f t="shared" si="85"/>
        <v>0.2385702048754314</v>
      </c>
      <c r="CI124" s="3">
        <v>-3.2269922324926203E-5</v>
      </c>
      <c r="CJ124" s="3">
        <f t="shared" si="86"/>
        <v>0.23859153679576292</v>
      </c>
      <c r="CK124" s="3">
        <v>5.1861105516304296E-5</v>
      </c>
      <c r="CL124" s="3">
        <f t="shared" si="79"/>
        <v>0.23858087083559715</v>
      </c>
      <c r="CM124" s="3">
        <v>9.7962694809855533E-6</v>
      </c>
      <c r="CN124" s="3">
        <f t="shared" si="80"/>
        <v>-3.1612485522544896E-10</v>
      </c>
      <c r="CO124" s="3">
        <f t="shared" si="81"/>
        <v>5.080453652195433E-10</v>
      </c>
      <c r="CP124" s="3">
        <f t="shared" si="82"/>
        <v>2.1331920331518761E-5</v>
      </c>
    </row>
    <row r="125" spans="74:94" x14ac:dyDescent="0.2">
      <c r="BV125" s="3">
        <v>19</v>
      </c>
      <c r="BW125" s="3">
        <f t="shared" si="83"/>
        <v>0.23334388439420536</v>
      </c>
      <c r="BX125" s="3">
        <v>-9.2843545596334176E-6</v>
      </c>
      <c r="BY125" s="3">
        <f t="shared" si="84"/>
        <v>0.23335455035437114</v>
      </c>
      <c r="BZ125" s="3">
        <v>2.4698509659793616E-5</v>
      </c>
      <c r="CA125" s="3">
        <f t="shared" si="75"/>
        <v>0.23334921737428826</v>
      </c>
      <c r="CB125" s="3">
        <v>7.7072113092643835E-6</v>
      </c>
      <c r="CC125" s="3">
        <f t="shared" si="76"/>
        <v>-7.1556482461227025E-11</v>
      </c>
      <c r="CD125" s="3">
        <f t="shared" si="77"/>
        <v>1.9035663297193698E-10</v>
      </c>
      <c r="CE125" s="3">
        <f t="shared" si="78"/>
        <v>1.0665960165773258E-5</v>
      </c>
      <c r="CG125" s="3">
        <v>19</v>
      </c>
      <c r="CH125" s="3">
        <f t="shared" si="85"/>
        <v>0.2385702048754314</v>
      </c>
      <c r="CI125" s="3">
        <v>-3.2269922324926203E-5</v>
      </c>
      <c r="CJ125" s="3">
        <f t="shared" si="86"/>
        <v>0.23858087083559715</v>
      </c>
      <c r="CK125" s="3">
        <v>9.7962694809855533E-6</v>
      </c>
      <c r="CL125" s="3">
        <f t="shared" si="79"/>
        <v>0.23857553785551427</v>
      </c>
      <c r="CM125" s="3">
        <v>-1.1236656947077872E-5</v>
      </c>
      <c r="CN125" s="3">
        <f t="shared" si="80"/>
        <v>3.6260604687404536E-10</v>
      </c>
      <c r="CO125" s="3">
        <f t="shared" si="81"/>
        <v>-1.1007731951896326E-10</v>
      </c>
      <c r="CP125" s="3">
        <f t="shared" si="82"/>
        <v>1.0665960165745503E-5</v>
      </c>
    </row>
    <row r="126" spans="74:94" x14ac:dyDescent="0.2">
      <c r="BV126" s="3">
        <v>20</v>
      </c>
      <c r="BW126" s="3">
        <f t="shared" si="83"/>
        <v>0.23334388439420536</v>
      </c>
      <c r="BX126" s="3">
        <v>-9.2843545596334176E-6</v>
      </c>
      <c r="BY126" s="3">
        <f t="shared" si="84"/>
        <v>0.23334921737428826</v>
      </c>
      <c r="BZ126" s="3">
        <v>7.7072113092643835E-6</v>
      </c>
      <c r="CA126" s="3">
        <f t="shared" si="75"/>
        <v>0.23334655088424683</v>
      </c>
      <c r="CB126" s="3">
        <v>-7.8853818472057746E-7</v>
      </c>
      <c r="CC126" s="3">
        <f t="shared" si="76"/>
        <v>7.321068090755552E-12</v>
      </c>
      <c r="CD126" s="3">
        <f t="shared" si="77"/>
        <v>-6.0774304150652423E-12</v>
      </c>
      <c r="CE126" s="3">
        <f t="shared" si="78"/>
        <v>5.332980082900507E-6</v>
      </c>
      <c r="CG126" s="3">
        <v>20</v>
      </c>
      <c r="CH126" s="3">
        <f t="shared" si="85"/>
        <v>0.23857553785551427</v>
      </c>
      <c r="CI126" s="3">
        <v>-1.1236656947077872E-5</v>
      </c>
      <c r="CJ126" s="3">
        <f t="shared" si="86"/>
        <v>0.23858087083559715</v>
      </c>
      <c r="CK126" s="3">
        <v>9.7962694809855533E-6</v>
      </c>
      <c r="CL126" s="3">
        <f t="shared" si="79"/>
        <v>0.23857820434555571</v>
      </c>
      <c r="CM126" s="3">
        <v>-7.2015136477060482E-7</v>
      </c>
      <c r="CN126" s="3">
        <f t="shared" si="80"/>
        <v>8.092093835897228E-12</v>
      </c>
      <c r="CO126" s="3">
        <f t="shared" si="81"/>
        <v>-7.0547968363923708E-12</v>
      </c>
      <c r="CP126" s="3">
        <f t="shared" si="82"/>
        <v>5.3329800828727514E-6</v>
      </c>
    </row>
    <row r="127" spans="74:94" x14ac:dyDescent="0.2">
      <c r="BV127" s="3">
        <v>21</v>
      </c>
      <c r="BW127" s="3">
        <f t="shared" si="83"/>
        <v>0.23334655088424683</v>
      </c>
      <c r="BX127" s="3">
        <v>-7.8853818472057746E-7</v>
      </c>
      <c r="BY127" s="3">
        <f t="shared" si="84"/>
        <v>0.23334921737428826</v>
      </c>
      <c r="BZ127" s="3">
        <v>7.7072113092643835E-6</v>
      </c>
      <c r="CA127" s="3">
        <f t="shared" si="75"/>
        <v>0.23334788412926755</v>
      </c>
      <c r="CB127" s="3">
        <v>3.4593449222720951E-6</v>
      </c>
      <c r="CC127" s="3">
        <f t="shared" si="76"/>
        <v>-2.7278255653307849E-12</v>
      </c>
      <c r="CD127" s="3">
        <f t="shared" si="77"/>
        <v>2.6661902307581813E-11</v>
      </c>
      <c r="CE127" s="3">
        <f t="shared" si="78"/>
        <v>2.6664900414363757E-6</v>
      </c>
      <c r="CG127" s="3">
        <v>21</v>
      </c>
      <c r="CH127" s="3">
        <f t="shared" si="85"/>
        <v>0.23857820434555571</v>
      </c>
      <c r="CI127" s="3">
        <v>-7.2015136477060482E-7</v>
      </c>
      <c r="CJ127" s="3">
        <f t="shared" si="86"/>
        <v>0.23858087083559715</v>
      </c>
      <c r="CK127" s="3">
        <v>9.7962694809855533E-6</v>
      </c>
      <c r="CL127" s="3">
        <f t="shared" si="79"/>
        <v>0.23857953759057643</v>
      </c>
      <c r="CM127" s="3">
        <v>4.538069650138199E-6</v>
      </c>
      <c r="CN127" s="3">
        <f t="shared" si="80"/>
        <v>-3.2680970519710851E-12</v>
      </c>
      <c r="CO127" s="3">
        <f t="shared" si="81"/>
        <v>4.4456153216235626E-11</v>
      </c>
      <c r="CP127" s="3">
        <f t="shared" si="82"/>
        <v>2.6664900414363757E-6</v>
      </c>
    </row>
    <row r="128" spans="74:94" x14ac:dyDescent="0.2">
      <c r="BV128" s="3">
        <v>22</v>
      </c>
      <c r="BW128" s="3">
        <f t="shared" si="83"/>
        <v>0.23334655088424683</v>
      </c>
      <c r="BX128" s="3">
        <v>-7.8853818472057746E-7</v>
      </c>
      <c r="BY128" s="3">
        <f t="shared" si="84"/>
        <v>0.23334788412926755</v>
      </c>
      <c r="BZ128" s="3">
        <v>3.4593449222720951E-6</v>
      </c>
      <c r="CA128" s="3">
        <f t="shared" si="75"/>
        <v>0.23334721750675719</v>
      </c>
      <c r="CB128" s="3">
        <v>1.3354054588174402E-6</v>
      </c>
      <c r="CC128" s="3">
        <f t="shared" si="76"/>
        <v>-1.0530181963618541E-12</v>
      </c>
      <c r="CD128" s="3">
        <f t="shared" si="77"/>
        <v>4.619628093134549E-12</v>
      </c>
      <c r="CE128" s="3">
        <f t="shared" si="78"/>
        <v>1.3332450207181878E-6</v>
      </c>
      <c r="CG128" s="3">
        <v>22</v>
      </c>
      <c r="CH128" s="3">
        <f t="shared" si="85"/>
        <v>0.23857820434555571</v>
      </c>
      <c r="CI128" s="3">
        <v>-7.2015136477060482E-7</v>
      </c>
      <c r="CJ128" s="3">
        <f t="shared" si="86"/>
        <v>0.23857953759057643</v>
      </c>
      <c r="CK128" s="3">
        <v>4.538069650138199E-6</v>
      </c>
      <c r="CL128" s="3">
        <f t="shared" si="79"/>
        <v>0.23857887096806607</v>
      </c>
      <c r="CM128" s="3">
        <v>1.9089617906246914E-6</v>
      </c>
      <c r="CN128" s="3">
        <f t="shared" si="80"/>
        <v>-1.374741438813309E-12</v>
      </c>
      <c r="CO128" s="3">
        <f t="shared" si="81"/>
        <v>8.6630015653073826E-12</v>
      </c>
      <c r="CP128" s="3">
        <f t="shared" si="82"/>
        <v>1.3332450207181878E-6</v>
      </c>
    </row>
    <row r="129" spans="74:94" x14ac:dyDescent="0.2">
      <c r="BV129" s="3">
        <v>23</v>
      </c>
      <c r="BW129" s="3">
        <f t="shared" si="83"/>
        <v>0.23334655088424683</v>
      </c>
      <c r="BX129" s="3">
        <v>-7.8853818472057746E-7</v>
      </c>
      <c r="BY129" s="3">
        <f t="shared" si="84"/>
        <v>0.23334721750675719</v>
      </c>
      <c r="BZ129" s="3">
        <v>1.3354054588174402E-6</v>
      </c>
      <c r="CA129" s="3">
        <f t="shared" si="75"/>
        <v>0.23334688419550201</v>
      </c>
      <c r="CB129" s="3">
        <v>2.7343415949510064E-7</v>
      </c>
      <c r="CC129" s="3">
        <f t="shared" si="76"/>
        <v>-2.156132757688635E-13</v>
      </c>
      <c r="CD129" s="3">
        <f t="shared" si="77"/>
        <v>3.6514546921691601E-13</v>
      </c>
      <c r="CE129" s="3">
        <f t="shared" si="78"/>
        <v>6.6662251035909392E-7</v>
      </c>
      <c r="CG129" s="3">
        <v>23</v>
      </c>
      <c r="CH129" s="3">
        <f t="shared" si="85"/>
        <v>0.23857820434555571</v>
      </c>
      <c r="CI129" s="3">
        <v>-7.2015136477060482E-7</v>
      </c>
      <c r="CJ129" s="3">
        <f t="shared" si="86"/>
        <v>0.23857887096806607</v>
      </c>
      <c r="CK129" s="3">
        <v>1.9089617906246914E-6</v>
      </c>
      <c r="CL129" s="3">
        <f t="shared" si="79"/>
        <v>0.23857853765681089</v>
      </c>
      <c r="CM129" s="3">
        <v>5.9440587492701202E-7</v>
      </c>
      <c r="CN129" s="3">
        <f t="shared" si="80"/>
        <v>-4.2806220205635313E-13</v>
      </c>
      <c r="CO129" s="3">
        <f t="shared" si="81"/>
        <v>1.1346981033585053E-12</v>
      </c>
      <c r="CP129" s="3">
        <f t="shared" si="82"/>
        <v>6.6662251035909392E-7</v>
      </c>
    </row>
    <row r="130" spans="74:94" x14ac:dyDescent="0.2">
      <c r="BV130" s="3">
        <v>24</v>
      </c>
      <c r="BW130" s="3">
        <f t="shared" si="83"/>
        <v>0.23334655088424683</v>
      </c>
      <c r="BX130" s="3">
        <v>-7.8853818472057746E-7</v>
      </c>
      <c r="BY130" s="3">
        <f t="shared" si="84"/>
        <v>0.23334688419550201</v>
      </c>
      <c r="BZ130" s="3">
        <v>2.7343415949510064E-7</v>
      </c>
      <c r="CA130" s="3">
        <f t="shared" si="75"/>
        <v>0.2333467175398744</v>
      </c>
      <c r="CB130" s="3">
        <v>-2.5755188206091906E-7</v>
      </c>
      <c r="CC130" s="3">
        <f t="shared" si="76"/>
        <v>2.0308949355168537E-13</v>
      </c>
      <c r="CD130" s="3">
        <f t="shared" si="77"/>
        <v>-7.0423482397708689E-14</v>
      </c>
      <c r="CE130" s="3">
        <f t="shared" si="78"/>
        <v>3.3331125517954696E-7</v>
      </c>
      <c r="CG130" s="3">
        <v>24</v>
      </c>
      <c r="CH130" s="3">
        <f t="shared" si="85"/>
        <v>0.23857820434555571</v>
      </c>
      <c r="CI130" s="3">
        <v>-7.2015136477060482E-7</v>
      </c>
      <c r="CJ130" s="3">
        <f t="shared" si="86"/>
        <v>0.23857853765681089</v>
      </c>
      <c r="CK130" s="3">
        <v>5.9440587492701202E-7</v>
      </c>
      <c r="CL130" s="3">
        <f t="shared" si="79"/>
        <v>0.23857837100118329</v>
      </c>
      <c r="CM130" s="3">
        <v>-6.2872579476014323E-8</v>
      </c>
      <c r="CN130" s="3">
        <f t="shared" si="80"/>
        <v>4.5277773916300035E-14</v>
      </c>
      <c r="CO130" s="3">
        <f t="shared" si="81"/>
        <v>-3.7371830612358391E-14</v>
      </c>
      <c r="CP130" s="3">
        <f t="shared" si="82"/>
        <v>3.3331125517954696E-7</v>
      </c>
    </row>
    <row r="131" spans="74:94" x14ac:dyDescent="0.2">
      <c r="BV131" s="3">
        <v>25</v>
      </c>
      <c r="BW131" s="3">
        <f t="shared" si="83"/>
        <v>0.2333467175398744</v>
      </c>
      <c r="BX131" s="3">
        <v>-2.5755188206091906E-7</v>
      </c>
      <c r="BY131" s="3">
        <f t="shared" si="84"/>
        <v>0.23334688419550201</v>
      </c>
      <c r="BZ131" s="3">
        <v>2.7343415949510064E-7</v>
      </c>
      <c r="CA131" s="3">
        <f t="shared" si="75"/>
        <v>0.23334680086768822</v>
      </c>
      <c r="CB131" s="3">
        <v>7.9411714010158008E-9</v>
      </c>
      <c r="CC131" s="3">
        <f t="shared" si="76"/>
        <v>-2.045263640099965E-15</v>
      </c>
      <c r="CD131" s="3">
        <f t="shared" si="77"/>
        <v>2.1713875274432864E-15</v>
      </c>
      <c r="CE131" s="3">
        <f t="shared" si="78"/>
        <v>1.6665562760365127E-7</v>
      </c>
      <c r="CG131" s="3">
        <v>25</v>
      </c>
      <c r="CH131" s="3">
        <f t="shared" si="85"/>
        <v>0.23857837100118329</v>
      </c>
      <c r="CI131" s="3">
        <v>-6.2872579476014323E-8</v>
      </c>
      <c r="CJ131" s="3">
        <f t="shared" si="86"/>
        <v>0.23857853765681089</v>
      </c>
      <c r="CK131" s="3">
        <v>5.9440587492701202E-7</v>
      </c>
      <c r="CL131" s="3">
        <f t="shared" si="79"/>
        <v>0.2385784543289971</v>
      </c>
      <c r="CM131" s="3">
        <v>2.6576668917671631E-7</v>
      </c>
      <c r="CN131" s="3">
        <f t="shared" si="80"/>
        <v>-1.6709437287340293E-14</v>
      </c>
      <c r="CO131" s="3">
        <f t="shared" si="81"/>
        <v>1.5797328140654131E-13</v>
      </c>
      <c r="CP131" s="3">
        <f t="shared" si="82"/>
        <v>1.6665562760365127E-7</v>
      </c>
    </row>
    <row r="132" spans="74:94" x14ac:dyDescent="0.2">
      <c r="BV132" s="3">
        <v>26</v>
      </c>
      <c r="BW132" s="3">
        <f t="shared" si="83"/>
        <v>0.2333467175398744</v>
      </c>
      <c r="BX132" s="3">
        <v>-2.5755188206091906E-7</v>
      </c>
      <c r="BY132" s="3">
        <f t="shared" si="84"/>
        <v>0.23334680086768822</v>
      </c>
      <c r="BZ132" s="3">
        <v>7.9411714010158008E-9</v>
      </c>
      <c r="CA132" s="3">
        <f t="shared" si="75"/>
        <v>0.23334675920378131</v>
      </c>
      <c r="CB132" s="3">
        <v>-1.2480534716113878E-7</v>
      </c>
      <c r="CC132" s="3">
        <f t="shared" si="76"/>
        <v>3.2143852052617675E-14</v>
      </c>
      <c r="CD132" s="3">
        <f t="shared" si="77"/>
        <v>-9.9110065356988388E-16</v>
      </c>
      <c r="CE132" s="3">
        <f t="shared" si="78"/>
        <v>8.3327813815703422E-8</v>
      </c>
      <c r="CG132" s="3">
        <v>26</v>
      </c>
      <c r="CH132" s="3">
        <f t="shared" si="85"/>
        <v>0.23857837100118329</v>
      </c>
      <c r="CI132" s="3">
        <v>-6.2872579476014323E-8</v>
      </c>
      <c r="CJ132" s="3">
        <f t="shared" si="86"/>
        <v>0.2385784543289971</v>
      </c>
      <c r="CK132" s="3">
        <v>2.6576668917671631E-7</v>
      </c>
      <c r="CL132" s="3">
        <f t="shared" si="79"/>
        <v>0.23857841266509019</v>
      </c>
      <c r="CM132" s="3">
        <v>1.014470651962418E-7</v>
      </c>
      <c r="CN132" s="3">
        <f t="shared" si="80"/>
        <v>-6.3782386691591196E-15</v>
      </c>
      <c r="CO132" s="3">
        <f t="shared" si="81"/>
        <v>2.6961250643899669E-14</v>
      </c>
      <c r="CP132" s="3">
        <f t="shared" si="82"/>
        <v>8.3327813815703422E-8</v>
      </c>
    </row>
    <row r="133" spans="74:94" x14ac:dyDescent="0.2">
      <c r="BV133" s="3">
        <v>27</v>
      </c>
      <c r="BW133" s="3">
        <f t="shared" si="83"/>
        <v>0.23334675920378131</v>
      </c>
      <c r="BX133" s="3">
        <v>-1.2480534716113878E-7</v>
      </c>
      <c r="BY133" s="3">
        <f t="shared" si="84"/>
        <v>0.23334680086768822</v>
      </c>
      <c r="BZ133" s="3">
        <v>7.9411714010158008E-9</v>
      </c>
      <c r="CA133" s="3">
        <f t="shared" si="75"/>
        <v>0.23334678003573478</v>
      </c>
      <c r="CB133" s="3">
        <v>-5.8432085784515531E-8</v>
      </c>
      <c r="CC133" s="3">
        <f t="shared" si="76"/>
        <v>7.2926367516859029E-15</v>
      </c>
      <c r="CD133" s="3">
        <f t="shared" si="77"/>
        <v>-4.6401920853369665E-16</v>
      </c>
      <c r="CE133" s="3">
        <f t="shared" si="78"/>
        <v>4.1663906907851711E-8</v>
      </c>
      <c r="CG133" s="3">
        <v>27</v>
      </c>
      <c r="CH133" s="3">
        <f t="shared" si="85"/>
        <v>0.23857837100118329</v>
      </c>
      <c r="CI133" s="3">
        <v>-6.2872579476014323E-8</v>
      </c>
      <c r="CJ133" s="3">
        <f t="shared" si="86"/>
        <v>0.23857841266509019</v>
      </c>
      <c r="CK133" s="3">
        <v>1.014470651962418E-7</v>
      </c>
      <c r="CL133" s="3">
        <f t="shared" si="79"/>
        <v>0.23857839183313673</v>
      </c>
      <c r="CM133" s="3">
        <v>1.9287245401483633E-8</v>
      </c>
      <c r="CN133" s="3">
        <f t="shared" si="80"/>
        <v>-1.2126388693781714E-15</v>
      </c>
      <c r="CO133" s="3">
        <f t="shared" si="81"/>
        <v>1.9566344417002248E-15</v>
      </c>
      <c r="CP133" s="3">
        <f t="shared" si="82"/>
        <v>4.1663906907851711E-8</v>
      </c>
    </row>
    <row r="134" spans="74:94" x14ac:dyDescent="0.2">
      <c r="BV134" s="3">
        <v>28</v>
      </c>
      <c r="BW134" s="3">
        <f t="shared" si="83"/>
        <v>0.23334678003573478</v>
      </c>
      <c r="BX134" s="3">
        <v>-5.8432085784515531E-8</v>
      </c>
      <c r="BY134" s="3">
        <f t="shared" si="84"/>
        <v>0.23334680086768822</v>
      </c>
      <c r="BZ134" s="3">
        <v>7.9411714010158008E-9</v>
      </c>
      <c r="CA134" s="3">
        <f t="shared" si="75"/>
        <v>0.2333467904517115</v>
      </c>
      <c r="CB134" s="3">
        <v>-2.5245456659189758E-8</v>
      </c>
      <c r="CC134" s="3">
        <f t="shared" si="76"/>
        <v>1.4751446891790448E-15</v>
      </c>
      <c r="CD134" s="3">
        <f t="shared" si="77"/>
        <v>-2.004784984275416E-16</v>
      </c>
      <c r="CE134" s="3">
        <f t="shared" si="78"/>
        <v>2.0831953440048068E-8</v>
      </c>
      <c r="CG134" s="3">
        <v>28</v>
      </c>
      <c r="CH134" s="3">
        <f t="shared" si="85"/>
        <v>0.23857837100118329</v>
      </c>
      <c r="CI134" s="3">
        <v>-6.2872579476014323E-8</v>
      </c>
      <c r="CJ134" s="3">
        <f t="shared" si="86"/>
        <v>0.23857839183313673</v>
      </c>
      <c r="CK134" s="3">
        <v>1.9287245401483633E-8</v>
      </c>
      <c r="CL134" s="3">
        <f t="shared" si="79"/>
        <v>0.23857838141716001</v>
      </c>
      <c r="CM134" s="3">
        <v>-2.1792666393682936E-8</v>
      </c>
      <c r="CN134" s="3">
        <f t="shared" si="80"/>
        <v>1.3701611498310967E-15</v>
      </c>
      <c r="CO134" s="3">
        <f t="shared" si="81"/>
        <v>-4.2032050468762809E-16</v>
      </c>
      <c r="CP134" s="3">
        <f t="shared" si="82"/>
        <v>2.0831953440048068E-8</v>
      </c>
    </row>
    <row r="135" spans="74:94" x14ac:dyDescent="0.2">
      <c r="BV135" s="3">
        <v>29</v>
      </c>
      <c r="BW135" s="3">
        <f t="shared" si="83"/>
        <v>0.2333467904517115</v>
      </c>
      <c r="BX135" s="3">
        <v>-2.5245456659189758E-8</v>
      </c>
      <c r="BY135" s="3">
        <f t="shared" si="84"/>
        <v>0.23334680086768822</v>
      </c>
      <c r="BZ135" s="3">
        <v>7.9411714010158008E-9</v>
      </c>
      <c r="CA135" s="3">
        <f t="shared" si="75"/>
        <v>0.23334679565969985</v>
      </c>
      <c r="CB135" s="3">
        <v>-8.6521425232688465E-9</v>
      </c>
      <c r="CC135" s="3">
        <f t="shared" si="76"/>
        <v>2.1842728908031638E-16</v>
      </c>
      <c r="CD135" s="3">
        <f t="shared" si="77"/>
        <v>-6.8708146763295249E-17</v>
      </c>
      <c r="CE135" s="3">
        <f t="shared" si="78"/>
        <v>1.0415976720024034E-8</v>
      </c>
      <c r="CG135" s="3">
        <v>29</v>
      </c>
      <c r="CH135" s="3">
        <f t="shared" si="85"/>
        <v>0.23857838141716001</v>
      </c>
      <c r="CI135" s="3">
        <v>-2.1792666393682936E-8</v>
      </c>
      <c r="CJ135" s="3">
        <f t="shared" si="86"/>
        <v>0.23857839183313673</v>
      </c>
      <c r="CK135" s="3">
        <v>1.9287245401483633E-8</v>
      </c>
      <c r="CL135" s="3">
        <f t="shared" si="79"/>
        <v>0.23857838662514835</v>
      </c>
      <c r="CM135" s="3">
        <v>-1.2527103729342848E-9</v>
      </c>
      <c r="CN135" s="3">
        <f t="shared" si="80"/>
        <v>2.7299899245263006E-17</v>
      </c>
      <c r="CO135" s="3">
        <f t="shared" si="81"/>
        <v>-2.4161332379767631E-17</v>
      </c>
      <c r="CP135" s="3">
        <f t="shared" si="82"/>
        <v>1.0415976720024034E-8</v>
      </c>
    </row>
    <row r="136" spans="74:94" x14ac:dyDescent="0.2">
      <c r="BV136" s="3">
        <v>30</v>
      </c>
      <c r="BW136" s="3">
        <f t="shared" si="83"/>
        <v>0.23334679565969985</v>
      </c>
      <c r="BX136" s="3">
        <v>-8.6521425232688465E-9</v>
      </c>
      <c r="BY136" s="3">
        <f t="shared" si="84"/>
        <v>0.23334680086768822</v>
      </c>
      <c r="BZ136" s="3">
        <v>7.9411714010158008E-9</v>
      </c>
      <c r="CA136" s="6">
        <f t="shared" si="75"/>
        <v>0.23334679826369403</v>
      </c>
      <c r="CB136" s="3">
        <v>-3.554854709209021E-10</v>
      </c>
      <c r="CC136" s="3">
        <f t="shared" si="76"/>
        <v>3.0757109593589879E-18</v>
      </c>
      <c r="CD136" s="3">
        <f t="shared" si="77"/>
        <v>-2.8229710551537019E-18</v>
      </c>
      <c r="CE136" s="3">
        <f t="shared" si="78"/>
        <v>5.2079883738898047E-9</v>
      </c>
      <c r="CG136" s="3">
        <v>30</v>
      </c>
      <c r="CH136" s="3">
        <f t="shared" si="85"/>
        <v>0.23857838662514835</v>
      </c>
      <c r="CI136" s="3">
        <v>-1.2527103729342848E-9</v>
      </c>
      <c r="CJ136" s="3">
        <f t="shared" si="86"/>
        <v>0.23857839183313673</v>
      </c>
      <c r="CK136" s="3">
        <v>1.9287245401483633E-8</v>
      </c>
      <c r="CL136" s="6">
        <f t="shared" si="79"/>
        <v>0.23857838922914254</v>
      </c>
      <c r="CM136" s="3">
        <v>9.0172675888677833E-9</v>
      </c>
      <c r="CN136" s="3">
        <f t="shared" si="80"/>
        <v>-1.12960246440988E-17</v>
      </c>
      <c r="CO136" s="3">
        <f t="shared" si="81"/>
        <v>1.7391825283733755E-16</v>
      </c>
      <c r="CP136" s="3">
        <f t="shared" si="82"/>
        <v>5.2079883738898047E-9</v>
      </c>
    </row>
  </sheetData>
  <mergeCells count="79">
    <mergeCell ref="B1:D1"/>
    <mergeCell ref="B3:D3"/>
    <mergeCell ref="F3:H3"/>
    <mergeCell ref="J3:L3"/>
    <mergeCell ref="N3:P3"/>
    <mergeCell ref="V3:X3"/>
    <mergeCell ref="J10:L10"/>
    <mergeCell ref="F15:H15"/>
    <mergeCell ref="B16:D16"/>
    <mergeCell ref="N18:P18"/>
    <mergeCell ref="R18:T18"/>
    <mergeCell ref="V18:X18"/>
    <mergeCell ref="R3:T3"/>
    <mergeCell ref="F28:H28"/>
    <mergeCell ref="B27:D27"/>
    <mergeCell ref="F35:H35"/>
    <mergeCell ref="B34:D34"/>
    <mergeCell ref="B39:D39"/>
    <mergeCell ref="AX7:AZ7"/>
    <mergeCell ref="B72:D72"/>
    <mergeCell ref="AX2:AZ2"/>
    <mergeCell ref="BB2:BD2"/>
    <mergeCell ref="BF2:BL2"/>
    <mergeCell ref="BB9:BD9"/>
    <mergeCell ref="AX11:AX18"/>
    <mergeCell ref="BF12:BH12"/>
    <mergeCell ref="BJ12:BL12"/>
    <mergeCell ref="J43:L43"/>
    <mergeCell ref="B45:D45"/>
    <mergeCell ref="F48:H48"/>
    <mergeCell ref="B48:D48"/>
    <mergeCell ref="B53:D53"/>
    <mergeCell ref="B59:D59"/>
    <mergeCell ref="B20:D20"/>
    <mergeCell ref="CG2:CP2"/>
    <mergeCell ref="BF3:BH3"/>
    <mergeCell ref="BJ3:BL3"/>
    <mergeCell ref="BN3:BP3"/>
    <mergeCell ref="BR3:BT3"/>
    <mergeCell ref="BN2:BT2"/>
    <mergeCell ref="BV2:CE2"/>
    <mergeCell ref="BB14:BD14"/>
    <mergeCell ref="AX19:AX26"/>
    <mergeCell ref="BF21:BH21"/>
    <mergeCell ref="BJ21:BL21"/>
    <mergeCell ref="BB22:BD22"/>
    <mergeCell ref="BR22:BT22"/>
    <mergeCell ref="BB23:BB29"/>
    <mergeCell ref="BC23:BD23"/>
    <mergeCell ref="BC24:BD24"/>
    <mergeCell ref="BC25:BD25"/>
    <mergeCell ref="BC26:BD26"/>
    <mergeCell ref="BN22:BP22"/>
    <mergeCell ref="BJ30:BL30"/>
    <mergeCell ref="AX35:AX42"/>
    <mergeCell ref="BV36:CE36"/>
    <mergeCell ref="CG36:CP36"/>
    <mergeCell ref="BC41:BD41"/>
    <mergeCell ref="BN41:BP41"/>
    <mergeCell ref="BR41:BT41"/>
    <mergeCell ref="BC42:BE42"/>
    <mergeCell ref="BF42:BI42"/>
    <mergeCell ref="BJ42:BL42"/>
    <mergeCell ref="AX27:AX34"/>
    <mergeCell ref="BC27:BD27"/>
    <mergeCell ref="BC28:BD28"/>
    <mergeCell ref="BC29:BD29"/>
    <mergeCell ref="BC30:BD30"/>
    <mergeCell ref="BF30:BH30"/>
    <mergeCell ref="BV104:CE104"/>
    <mergeCell ref="CG104:CP104"/>
    <mergeCell ref="B64:D64"/>
    <mergeCell ref="AM47:AP47"/>
    <mergeCell ref="BF43:BG43"/>
    <mergeCell ref="AX44:AZ44"/>
    <mergeCell ref="BN60:BP60"/>
    <mergeCell ref="BR60:BT60"/>
    <mergeCell ref="BV70:CE70"/>
    <mergeCell ref="CG70:CP70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3">
    <cfRule type="containsText" dxfId="5" priority="7" operator="containsText" text="FALSE">
      <formula>NOT(ISERROR(SEARCH("FALSE",K33)))</formula>
    </cfRule>
    <cfRule type="containsText" dxfId="4" priority="8" operator="containsText" text="TRUE">
      <formula>NOT(ISERROR(SEARCH("TRUE",K33)))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NOT(ISERROR(SEARCH("YES",K33)))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2025-01-15T11:04:32Z</dcterms:modified>
</cp:coreProperties>
</file>