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validation/mtow/"/>
    </mc:Choice>
  </mc:AlternateContent>
  <xr:revisionPtr revIDLastSave="0" documentId="13_ncr:1_{9C1C7A1E-2DA5-8344-B985-7ACA92303574}" xr6:coauthVersionLast="47" xr6:coauthVersionMax="47" xr10:uidLastSave="{00000000-0000-0000-0000-000000000000}"/>
  <bookViews>
    <workbookView xWindow="0" yWindow="760" windowWidth="30240" windowHeight="17260" xr2:uid="{843CD013-835A-1741-B375-CD508AE79BD2}"/>
  </bookViews>
  <sheets>
    <sheet name="multirotor" sheetId="9" r:id="rId1"/>
    <sheet name="lift+cruis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9" l="1"/>
  <c r="E9" i="9"/>
  <c r="BO65" i="9"/>
  <c r="G9" i="10"/>
  <c r="AU3" i="10" s="1"/>
  <c r="O21" i="10"/>
  <c r="G30" i="10" s="1"/>
  <c r="O39" i="10"/>
  <c r="O40" i="10"/>
  <c r="O38" i="10"/>
  <c r="O37" i="10"/>
  <c r="O36" i="10"/>
  <c r="O35" i="10"/>
  <c r="O34" i="10"/>
  <c r="C18" i="10"/>
  <c r="C9" i="10"/>
  <c r="CD107" i="9"/>
  <c r="CF107" i="9"/>
  <c r="C14" i="9"/>
  <c r="O37" i="9"/>
  <c r="O39" i="9"/>
  <c r="C9" i="9"/>
  <c r="G26" i="9" s="1"/>
  <c r="O35" i="9"/>
  <c r="O34" i="9"/>
  <c r="O33" i="9"/>
  <c r="C10" i="9"/>
  <c r="AU9" i="9" s="1"/>
  <c r="C15" i="9"/>
  <c r="S21" i="10"/>
  <c r="G40" i="10" s="1"/>
  <c r="O20" i="9"/>
  <c r="S20" i="9"/>
  <c r="C31" i="10"/>
  <c r="O22" i="10" l="1"/>
  <c r="O36" i="9"/>
  <c r="G40" i="9"/>
  <c r="G30" i="9"/>
  <c r="O38" i="9"/>
  <c r="S22" i="10"/>
  <c r="S25" i="10" s="1"/>
  <c r="AU9" i="10" l="1"/>
  <c r="S5" i="10"/>
  <c r="G52" i="10"/>
  <c r="G51" i="10"/>
  <c r="G28" i="10"/>
  <c r="G10" i="10"/>
  <c r="G27" i="10"/>
  <c r="C56" i="10"/>
  <c r="C55" i="10"/>
  <c r="C51" i="10"/>
  <c r="C50" i="10"/>
  <c r="K44" i="10"/>
  <c r="C14" i="10"/>
  <c r="C12" i="10"/>
  <c r="C10" i="10"/>
  <c r="G21" i="10"/>
  <c r="G4" i="10"/>
  <c r="AU45" i="9"/>
  <c r="AU46" i="9"/>
  <c r="G52" i="9"/>
  <c r="G51" i="9"/>
  <c r="G27" i="9"/>
  <c r="G10" i="9"/>
  <c r="G9" i="9"/>
  <c r="G28" i="9"/>
  <c r="K21" i="9"/>
  <c r="K20" i="9"/>
  <c r="S4" i="9"/>
  <c r="G4" i="9"/>
  <c r="G21" i="9"/>
  <c r="C33" i="9"/>
  <c r="AQ79" i="10"/>
  <c r="AP79" i="10"/>
  <c r="AQ78" i="10"/>
  <c r="AP78" i="10"/>
  <c r="AQ77" i="10"/>
  <c r="AP77" i="10"/>
  <c r="AQ76" i="10"/>
  <c r="AP76" i="10"/>
  <c r="AQ75" i="10"/>
  <c r="AP75" i="10"/>
  <c r="AQ74" i="10"/>
  <c r="AP74" i="10"/>
  <c r="AQ73" i="10"/>
  <c r="AP73" i="10"/>
  <c r="AQ72" i="10"/>
  <c r="AP72" i="10"/>
  <c r="AQ71" i="10"/>
  <c r="AP71" i="10"/>
  <c r="AQ70" i="10"/>
  <c r="AP70" i="10"/>
  <c r="AQ69" i="10"/>
  <c r="AP69" i="10"/>
  <c r="AQ68" i="10"/>
  <c r="AP68" i="10"/>
  <c r="AQ67" i="10"/>
  <c r="AP67" i="10"/>
  <c r="AQ66" i="10"/>
  <c r="AP66" i="10"/>
  <c r="AQ65" i="10"/>
  <c r="AP65" i="10"/>
  <c r="AQ64" i="10"/>
  <c r="AP64" i="10"/>
  <c r="AQ63" i="10"/>
  <c r="AP63" i="10"/>
  <c r="AQ62" i="10"/>
  <c r="AP62" i="10"/>
  <c r="AQ61" i="10"/>
  <c r="AP61" i="10"/>
  <c r="AQ60" i="10"/>
  <c r="AP60" i="10"/>
  <c r="AQ59" i="10"/>
  <c r="AP59" i="10"/>
  <c r="AQ58" i="10"/>
  <c r="AP58" i="10"/>
  <c r="AQ57" i="10"/>
  <c r="AP57" i="10"/>
  <c r="AQ56" i="10"/>
  <c r="AP56" i="10"/>
  <c r="AQ55" i="10"/>
  <c r="AP55" i="10"/>
  <c r="AQ54" i="10"/>
  <c r="AP54" i="10"/>
  <c r="AQ53" i="10"/>
  <c r="AP53" i="10"/>
  <c r="AQ52" i="10"/>
  <c r="AP52" i="10"/>
  <c r="AQ51" i="10"/>
  <c r="AP51" i="10"/>
  <c r="AR50" i="10"/>
  <c r="AQ50" i="10"/>
  <c r="AP50" i="10"/>
  <c r="AN50" i="10"/>
  <c r="AU10" i="10"/>
  <c r="AU46" i="10"/>
  <c r="C13" i="10"/>
  <c r="C11" i="10"/>
  <c r="C25" i="10" s="1"/>
  <c r="CK136" i="10"/>
  <c r="CJ136" i="10"/>
  <c r="BZ136" i="10"/>
  <c r="BY136" i="10"/>
  <c r="CK135" i="10"/>
  <c r="CJ135" i="10"/>
  <c r="BZ135" i="10"/>
  <c r="BY135" i="10"/>
  <c r="CK134" i="10"/>
  <c r="CJ134" i="10"/>
  <c r="BZ134" i="10"/>
  <c r="BY134" i="10"/>
  <c r="CK133" i="10"/>
  <c r="CJ133" i="10"/>
  <c r="BZ133" i="10"/>
  <c r="BY133" i="10"/>
  <c r="CK132" i="10"/>
  <c r="CJ132" i="10"/>
  <c r="BZ132" i="10"/>
  <c r="BY132" i="10"/>
  <c r="CK131" i="10"/>
  <c r="CJ131" i="10"/>
  <c r="BZ131" i="10"/>
  <c r="BY131" i="10"/>
  <c r="CK130" i="10"/>
  <c r="CJ130" i="10"/>
  <c r="BZ130" i="10"/>
  <c r="BY130" i="10"/>
  <c r="CK129" i="10"/>
  <c r="CJ129" i="10"/>
  <c r="BZ129" i="10"/>
  <c r="BY129" i="10"/>
  <c r="CK128" i="10"/>
  <c r="CJ128" i="10"/>
  <c r="BZ128" i="10"/>
  <c r="BY128" i="10"/>
  <c r="CK127" i="10"/>
  <c r="CJ127" i="10"/>
  <c r="BZ127" i="10"/>
  <c r="BY127" i="10"/>
  <c r="CK126" i="10"/>
  <c r="CJ126" i="10"/>
  <c r="BZ126" i="10"/>
  <c r="BY126" i="10"/>
  <c r="CK125" i="10"/>
  <c r="CJ125" i="10"/>
  <c r="BZ125" i="10"/>
  <c r="BY125" i="10"/>
  <c r="CK124" i="10"/>
  <c r="CJ124" i="10"/>
  <c r="BZ124" i="10"/>
  <c r="BY124" i="10"/>
  <c r="CK123" i="10"/>
  <c r="CJ123" i="10"/>
  <c r="BZ123" i="10"/>
  <c r="BY123" i="10"/>
  <c r="CK122" i="10"/>
  <c r="CJ122" i="10"/>
  <c r="BZ122" i="10"/>
  <c r="BY122" i="10"/>
  <c r="CK121" i="10"/>
  <c r="CJ121" i="10"/>
  <c r="BZ121" i="10"/>
  <c r="BY121" i="10"/>
  <c r="CK120" i="10"/>
  <c r="CJ120" i="10"/>
  <c r="BZ120" i="10"/>
  <c r="BY120" i="10"/>
  <c r="CK119" i="10"/>
  <c r="CJ119" i="10"/>
  <c r="BZ119" i="10"/>
  <c r="BY119" i="10"/>
  <c r="CK118" i="10"/>
  <c r="CJ118" i="10"/>
  <c r="BZ118" i="10"/>
  <c r="BY118" i="10"/>
  <c r="CK117" i="10"/>
  <c r="CJ117" i="10"/>
  <c r="BZ117" i="10"/>
  <c r="BY117" i="10"/>
  <c r="CK116" i="10"/>
  <c r="CJ116" i="10"/>
  <c r="BZ116" i="10"/>
  <c r="BY116" i="10"/>
  <c r="CK115" i="10"/>
  <c r="CJ115" i="10"/>
  <c r="BZ115" i="10"/>
  <c r="BY115" i="10"/>
  <c r="CK114" i="10"/>
  <c r="CJ114" i="10"/>
  <c r="BZ114" i="10"/>
  <c r="BY114" i="10"/>
  <c r="CK113" i="10"/>
  <c r="CJ113" i="10"/>
  <c r="BZ113" i="10"/>
  <c r="BY113" i="10"/>
  <c r="CK112" i="10"/>
  <c r="CJ112" i="10"/>
  <c r="BZ112" i="10"/>
  <c r="BY112" i="10"/>
  <c r="CK111" i="10"/>
  <c r="CJ111" i="10"/>
  <c r="BZ111" i="10"/>
  <c r="BY111" i="10"/>
  <c r="CK110" i="10"/>
  <c r="CJ110" i="10"/>
  <c r="BZ110" i="10"/>
  <c r="BY110" i="10"/>
  <c r="CK109" i="10"/>
  <c r="CJ109" i="10"/>
  <c r="BZ109" i="10"/>
  <c r="BY109" i="10"/>
  <c r="CK108" i="10"/>
  <c r="CJ108" i="10"/>
  <c r="BZ108" i="10"/>
  <c r="BY108" i="10"/>
  <c r="CK107" i="10"/>
  <c r="CJ107" i="10"/>
  <c r="CF107" i="10"/>
  <c r="CD107" i="10"/>
  <c r="BZ107" i="10"/>
  <c r="BY107" i="10"/>
  <c r="BU107" i="10"/>
  <c r="BS107" i="10"/>
  <c r="CK102" i="10"/>
  <c r="CJ102" i="10"/>
  <c r="BZ102" i="10"/>
  <c r="BY102" i="10"/>
  <c r="CK101" i="10"/>
  <c r="CJ101" i="10"/>
  <c r="BZ101" i="10"/>
  <c r="BY101" i="10"/>
  <c r="CK100" i="10"/>
  <c r="CJ100" i="10"/>
  <c r="BZ100" i="10"/>
  <c r="BY100" i="10"/>
  <c r="CK99" i="10"/>
  <c r="CJ99" i="10"/>
  <c r="BZ99" i="10"/>
  <c r="BY99" i="10"/>
  <c r="CK98" i="10"/>
  <c r="CJ98" i="10"/>
  <c r="BZ98" i="10"/>
  <c r="BY98" i="10"/>
  <c r="CK97" i="10"/>
  <c r="CJ97" i="10"/>
  <c r="BZ97" i="10"/>
  <c r="BY97" i="10"/>
  <c r="CK96" i="10"/>
  <c r="CJ96" i="10"/>
  <c r="BZ96" i="10"/>
  <c r="BY96" i="10"/>
  <c r="CK95" i="10"/>
  <c r="CJ95" i="10"/>
  <c r="BZ95" i="10"/>
  <c r="BY95" i="10"/>
  <c r="CK94" i="10"/>
  <c r="CJ94" i="10"/>
  <c r="BZ94" i="10"/>
  <c r="BY94" i="10"/>
  <c r="CK93" i="10"/>
  <c r="CJ93" i="10"/>
  <c r="BZ93" i="10"/>
  <c r="BY93" i="10"/>
  <c r="CK92" i="10"/>
  <c r="CJ92" i="10"/>
  <c r="BZ92" i="10"/>
  <c r="BY92" i="10"/>
  <c r="CK91" i="10"/>
  <c r="CJ91" i="10"/>
  <c r="BZ91" i="10"/>
  <c r="BY91" i="10"/>
  <c r="CK90" i="10"/>
  <c r="CJ90" i="10"/>
  <c r="BZ90" i="10"/>
  <c r="BY90" i="10"/>
  <c r="CK89" i="10"/>
  <c r="CJ89" i="10"/>
  <c r="BZ89" i="10"/>
  <c r="BY89" i="10"/>
  <c r="CK88" i="10"/>
  <c r="CJ88" i="10"/>
  <c r="BZ88" i="10"/>
  <c r="BY88" i="10"/>
  <c r="CK87" i="10"/>
  <c r="CJ87" i="10"/>
  <c r="BZ87" i="10"/>
  <c r="BY87" i="10"/>
  <c r="CK86" i="10"/>
  <c r="CJ86" i="10"/>
  <c r="BZ86" i="10"/>
  <c r="BY86" i="10"/>
  <c r="CK85" i="10"/>
  <c r="CJ85" i="10"/>
  <c r="BZ85" i="10"/>
  <c r="BY85" i="10"/>
  <c r="CK84" i="10"/>
  <c r="CJ84" i="10"/>
  <c r="BZ84" i="10"/>
  <c r="BY84" i="10"/>
  <c r="CK83" i="10"/>
  <c r="CJ83" i="10"/>
  <c r="BZ83" i="10"/>
  <c r="BY83" i="10"/>
  <c r="CK82" i="10"/>
  <c r="CJ82" i="10"/>
  <c r="BZ82" i="10"/>
  <c r="BY82" i="10"/>
  <c r="CK81" i="10"/>
  <c r="CJ81" i="10"/>
  <c r="BZ81" i="10"/>
  <c r="BY81" i="10"/>
  <c r="CK80" i="10"/>
  <c r="CJ80" i="10"/>
  <c r="BZ80" i="10"/>
  <c r="BY80" i="10"/>
  <c r="CK79" i="10"/>
  <c r="CJ79" i="10"/>
  <c r="BZ79" i="10"/>
  <c r="BY79" i="10"/>
  <c r="CK78" i="10"/>
  <c r="CJ78" i="10"/>
  <c r="BZ78" i="10"/>
  <c r="BY78" i="10"/>
  <c r="CK77" i="10"/>
  <c r="CJ77" i="10"/>
  <c r="BZ77" i="10"/>
  <c r="BY77" i="10"/>
  <c r="CK76" i="10"/>
  <c r="CJ76" i="10"/>
  <c r="BZ76" i="10"/>
  <c r="BY76" i="10"/>
  <c r="CK75" i="10"/>
  <c r="CJ75" i="10"/>
  <c r="BZ75" i="10"/>
  <c r="BY75" i="10"/>
  <c r="CK74" i="10"/>
  <c r="CJ74" i="10"/>
  <c r="BZ74" i="10"/>
  <c r="BY74" i="10"/>
  <c r="CK73" i="10"/>
  <c r="CJ73" i="10"/>
  <c r="CF73" i="10"/>
  <c r="CD73" i="10"/>
  <c r="BZ73" i="10"/>
  <c r="BY73" i="10"/>
  <c r="BU73" i="10"/>
  <c r="BS73" i="10"/>
  <c r="CK68" i="10"/>
  <c r="CJ68" i="10"/>
  <c r="BZ68" i="10"/>
  <c r="BY68" i="10"/>
  <c r="CK67" i="10"/>
  <c r="CJ67" i="10"/>
  <c r="BZ67" i="10"/>
  <c r="BY67" i="10"/>
  <c r="CK66" i="10"/>
  <c r="CJ66" i="10"/>
  <c r="BZ66" i="10"/>
  <c r="BY66" i="10"/>
  <c r="CK65" i="10"/>
  <c r="CJ65" i="10"/>
  <c r="BZ65" i="10"/>
  <c r="BY65" i="10"/>
  <c r="CK64" i="10"/>
  <c r="CJ64" i="10"/>
  <c r="BZ64" i="10"/>
  <c r="BY64" i="10"/>
  <c r="CK63" i="10"/>
  <c r="CJ63" i="10"/>
  <c r="BZ63" i="10"/>
  <c r="BY63" i="10"/>
  <c r="CK62" i="10"/>
  <c r="CJ62" i="10"/>
  <c r="BZ62" i="10"/>
  <c r="BY62" i="10"/>
  <c r="BO62" i="10"/>
  <c r="BK62" i="10"/>
  <c r="CK61" i="10"/>
  <c r="CJ61" i="10"/>
  <c r="BZ61" i="10"/>
  <c r="BY61" i="10"/>
  <c r="CK60" i="10"/>
  <c r="CJ60" i="10"/>
  <c r="BZ60" i="10"/>
  <c r="BY60" i="10"/>
  <c r="CK59" i="10"/>
  <c r="CJ59" i="10"/>
  <c r="BZ59" i="10"/>
  <c r="BY59" i="10"/>
  <c r="CK58" i="10"/>
  <c r="CJ58" i="10"/>
  <c r="BZ58" i="10"/>
  <c r="BY58" i="10"/>
  <c r="CK57" i="10"/>
  <c r="CJ57" i="10"/>
  <c r="BZ57" i="10"/>
  <c r="BY57" i="10"/>
  <c r="CK56" i="10"/>
  <c r="CJ56" i="10"/>
  <c r="BZ56" i="10"/>
  <c r="BY56" i="10"/>
  <c r="CK55" i="10"/>
  <c r="CJ55" i="10"/>
  <c r="BZ55" i="10"/>
  <c r="BY55" i="10"/>
  <c r="CK54" i="10"/>
  <c r="CJ54" i="10"/>
  <c r="BZ54" i="10"/>
  <c r="BY54" i="10"/>
  <c r="CK53" i="10"/>
  <c r="CJ53" i="10"/>
  <c r="BZ53" i="10"/>
  <c r="BY53" i="10"/>
  <c r="CK52" i="10"/>
  <c r="CJ52" i="10"/>
  <c r="BZ52" i="10"/>
  <c r="BY52" i="10"/>
  <c r="CK51" i="10"/>
  <c r="CJ51" i="10"/>
  <c r="BZ51" i="10"/>
  <c r="BY51" i="10"/>
  <c r="CK50" i="10"/>
  <c r="CJ50" i="10"/>
  <c r="BZ50" i="10"/>
  <c r="BY50" i="10"/>
  <c r="CK49" i="10"/>
  <c r="CJ49" i="10"/>
  <c r="BZ49" i="10"/>
  <c r="BY49" i="10"/>
  <c r="CK48" i="10"/>
  <c r="CJ48" i="10"/>
  <c r="BZ48" i="10"/>
  <c r="BY48" i="10"/>
  <c r="CK47" i="10"/>
  <c r="CJ47" i="10"/>
  <c r="BZ47" i="10"/>
  <c r="BY47" i="10"/>
  <c r="CK46" i="10"/>
  <c r="CJ46" i="10"/>
  <c r="BZ46" i="10"/>
  <c r="BY46" i="10"/>
  <c r="CK45" i="10"/>
  <c r="CJ45" i="10"/>
  <c r="BZ45" i="10"/>
  <c r="BY45" i="10"/>
  <c r="AU45" i="10"/>
  <c r="CK44" i="10"/>
  <c r="CJ44" i="10"/>
  <c r="BZ44" i="10"/>
  <c r="BY44" i="10"/>
  <c r="CK43" i="10"/>
  <c r="CJ43" i="10"/>
  <c r="BZ43" i="10"/>
  <c r="BY43" i="10"/>
  <c r="BO43" i="10"/>
  <c r="BK43" i="10"/>
  <c r="CK42" i="10"/>
  <c r="CJ42" i="10"/>
  <c r="BZ42" i="10"/>
  <c r="BY42" i="10"/>
  <c r="CK41" i="10"/>
  <c r="CJ41" i="10"/>
  <c r="BZ41" i="10"/>
  <c r="BY41" i="10"/>
  <c r="CK40" i="10"/>
  <c r="CJ40" i="10"/>
  <c r="BZ40" i="10"/>
  <c r="BY40" i="10"/>
  <c r="CK39" i="10"/>
  <c r="CJ39" i="10"/>
  <c r="CF39" i="10"/>
  <c r="CD39" i="10"/>
  <c r="BZ39" i="10"/>
  <c r="BY39" i="10"/>
  <c r="BU39" i="10"/>
  <c r="BS39" i="10"/>
  <c r="CA39" i="10" s="1"/>
  <c r="CK34" i="10"/>
  <c r="CJ34" i="10"/>
  <c r="BZ34" i="10"/>
  <c r="BY34" i="10"/>
  <c r="CK33" i="10"/>
  <c r="CJ33" i="10"/>
  <c r="BZ33" i="10"/>
  <c r="BY33" i="10"/>
  <c r="CK32" i="10"/>
  <c r="CJ32" i="10"/>
  <c r="BZ32" i="10"/>
  <c r="BY32" i="10"/>
  <c r="CK31" i="10"/>
  <c r="CJ31" i="10"/>
  <c r="BZ31" i="10"/>
  <c r="BY31" i="10"/>
  <c r="CK30" i="10"/>
  <c r="CJ30" i="10"/>
  <c r="BZ30" i="10"/>
  <c r="BY30" i="10"/>
  <c r="CK29" i="10"/>
  <c r="CJ29" i="10"/>
  <c r="BZ29" i="10"/>
  <c r="BY29" i="10"/>
  <c r="CK28" i="10"/>
  <c r="CJ28" i="10"/>
  <c r="BZ28" i="10"/>
  <c r="BY28" i="10"/>
  <c r="CK27" i="10"/>
  <c r="CJ27" i="10"/>
  <c r="BZ27" i="10"/>
  <c r="BY27" i="10"/>
  <c r="CK26" i="10"/>
  <c r="CJ26" i="10"/>
  <c r="BZ26" i="10"/>
  <c r="BY26" i="10"/>
  <c r="CK25" i="10"/>
  <c r="CJ25" i="10"/>
  <c r="BZ25" i="10"/>
  <c r="BY25" i="10"/>
  <c r="CK24" i="10"/>
  <c r="CJ24" i="10"/>
  <c r="BZ24" i="10"/>
  <c r="BY24" i="10"/>
  <c r="BO24" i="10"/>
  <c r="BK24" i="10"/>
  <c r="CK23" i="10"/>
  <c r="CJ23" i="10"/>
  <c r="BZ23" i="10"/>
  <c r="BY23" i="10"/>
  <c r="CK22" i="10"/>
  <c r="CJ22" i="10"/>
  <c r="BZ22" i="10"/>
  <c r="BY22" i="10"/>
  <c r="CK21" i="10"/>
  <c r="CJ21" i="10"/>
  <c r="BZ21" i="10"/>
  <c r="BY21" i="10"/>
  <c r="CK20" i="10"/>
  <c r="CJ20" i="10"/>
  <c r="BZ20" i="10"/>
  <c r="BY20" i="10"/>
  <c r="CK19" i="10"/>
  <c r="CJ19" i="10"/>
  <c r="BZ19" i="10"/>
  <c r="BY19" i="10"/>
  <c r="CK18" i="10"/>
  <c r="CJ18" i="10"/>
  <c r="BZ18" i="10"/>
  <c r="BY18" i="10"/>
  <c r="CK17" i="10"/>
  <c r="CJ17" i="10"/>
  <c r="BZ17" i="10"/>
  <c r="BY17" i="10"/>
  <c r="CK16" i="10"/>
  <c r="CJ16" i="10"/>
  <c r="BZ16" i="10"/>
  <c r="BY16" i="10"/>
  <c r="CK15" i="10"/>
  <c r="CJ15" i="10"/>
  <c r="BZ15" i="10"/>
  <c r="BY15" i="10"/>
  <c r="CK14" i="10"/>
  <c r="CJ14" i="10"/>
  <c r="BZ14" i="10"/>
  <c r="BY14" i="10"/>
  <c r="CK13" i="10"/>
  <c r="CJ13" i="10"/>
  <c r="BZ13" i="10"/>
  <c r="BY13" i="10"/>
  <c r="CK12" i="10"/>
  <c r="CJ12" i="10"/>
  <c r="BZ12" i="10"/>
  <c r="BY12" i="10"/>
  <c r="CK11" i="10"/>
  <c r="CJ11" i="10"/>
  <c r="BZ11" i="10"/>
  <c r="BY11" i="10"/>
  <c r="CK10" i="10"/>
  <c r="CJ10" i="10"/>
  <c r="BZ10" i="10"/>
  <c r="BY10" i="10"/>
  <c r="CK9" i="10"/>
  <c r="CJ9" i="10"/>
  <c r="BZ9" i="10"/>
  <c r="BY9" i="10"/>
  <c r="CK8" i="10"/>
  <c r="CJ8" i="10"/>
  <c r="BZ8" i="10"/>
  <c r="BY8" i="10"/>
  <c r="AU8" i="10"/>
  <c r="CK7" i="10"/>
  <c r="CJ7" i="10"/>
  <c r="BZ7" i="10"/>
  <c r="BY7" i="10"/>
  <c r="CK6" i="10"/>
  <c r="CJ6" i="10"/>
  <c r="BZ6" i="10"/>
  <c r="BY6" i="10"/>
  <c r="CK5" i="10"/>
  <c r="CJ5" i="10"/>
  <c r="CF5" i="10"/>
  <c r="CD5" i="10"/>
  <c r="BZ5" i="10"/>
  <c r="BY5" i="10"/>
  <c r="BU5" i="10"/>
  <c r="BS5" i="10"/>
  <c r="BO5" i="10"/>
  <c r="BK5" i="10"/>
  <c r="AJ51" i="10" l="1"/>
  <c r="BW5" i="10"/>
  <c r="CH73" i="10"/>
  <c r="AU32" i="10"/>
  <c r="CA73" i="10"/>
  <c r="BS108" i="10"/>
  <c r="BS109" i="10" s="1"/>
  <c r="AL51" i="10"/>
  <c r="G11" i="9"/>
  <c r="CF74" i="10"/>
  <c r="CD40" i="10"/>
  <c r="CD41" i="10" s="1"/>
  <c r="BW107" i="10"/>
  <c r="BU108" i="10" s="1"/>
  <c r="BS6" i="10"/>
  <c r="BU6" i="10"/>
  <c r="BW73" i="10"/>
  <c r="BS40" i="10"/>
  <c r="BS41" i="10" s="1"/>
  <c r="BW39" i="10"/>
  <c r="BU40" i="10" s="1"/>
  <c r="BS74" i="10"/>
  <c r="BS75" i="10" s="1"/>
  <c r="BS76" i="10" s="1"/>
  <c r="AU22" i="10"/>
  <c r="AU33" i="10"/>
  <c r="AU28" i="10"/>
  <c r="BU74" i="10"/>
  <c r="CA107" i="10"/>
  <c r="AU26" i="10"/>
  <c r="BG31" i="10" s="1"/>
  <c r="CD74" i="10"/>
  <c r="CD75" i="10" s="1"/>
  <c r="CD76" i="10" s="1"/>
  <c r="AU31" i="10"/>
  <c r="AU24" i="10"/>
  <c r="CA5" i="10"/>
  <c r="AU19" i="10"/>
  <c r="CL39" i="10"/>
  <c r="CL73" i="10"/>
  <c r="AU20" i="10"/>
  <c r="AU30" i="10"/>
  <c r="AY3" i="10"/>
  <c r="AY4" i="10" s="1"/>
  <c r="CH5" i="10"/>
  <c r="CF6" i="10" s="1"/>
  <c r="AU21" i="10"/>
  <c r="AU23" i="10"/>
  <c r="AU25" i="10"/>
  <c r="CL5" i="10"/>
  <c r="CD6" i="10"/>
  <c r="CD7" i="10" s="1"/>
  <c r="CH107" i="10"/>
  <c r="CF108" i="10" s="1"/>
  <c r="CD108" i="10"/>
  <c r="CL107" i="10"/>
  <c r="CH39" i="10"/>
  <c r="CF40" i="10" s="1"/>
  <c r="AU34" i="10"/>
  <c r="AU27" i="10"/>
  <c r="AU29" i="10"/>
  <c r="AR51" i="10" l="1"/>
  <c r="BW108" i="10"/>
  <c r="BU109" i="10" s="1"/>
  <c r="CA109" i="10" s="1"/>
  <c r="AN51" i="10"/>
  <c r="AL52" i="10" s="1"/>
  <c r="CL40" i="10"/>
  <c r="CA108" i="10"/>
  <c r="CH74" i="10"/>
  <c r="CF75" i="10" s="1"/>
  <c r="CH75" i="10" s="1"/>
  <c r="CF76" i="10" s="1"/>
  <c r="CA40" i="10"/>
  <c r="BW6" i="10"/>
  <c r="BU7" i="10" s="1"/>
  <c r="CA6" i="10"/>
  <c r="BS7" i="10"/>
  <c r="BK65" i="10"/>
  <c r="CA74" i="10"/>
  <c r="BC22" i="10"/>
  <c r="BO27" i="10"/>
  <c r="BW74" i="10"/>
  <c r="BU75" i="10" s="1"/>
  <c r="BW75" i="10" s="1"/>
  <c r="BU76" i="10" s="1"/>
  <c r="CL6" i="10"/>
  <c r="BO65" i="10"/>
  <c r="BC31" i="10"/>
  <c r="BK46" i="10"/>
  <c r="CL108" i="10"/>
  <c r="BW40" i="10"/>
  <c r="BU41" i="10" s="1"/>
  <c r="BW41" i="10" s="1"/>
  <c r="BU42" i="10" s="1"/>
  <c r="BO46" i="10"/>
  <c r="CL74" i="10"/>
  <c r="BC4" i="10"/>
  <c r="BG4" i="10"/>
  <c r="BK27" i="10"/>
  <c r="BK8" i="10"/>
  <c r="BO8" i="10"/>
  <c r="BG13" i="10"/>
  <c r="BC13" i="10"/>
  <c r="BG22" i="10"/>
  <c r="CD42" i="10"/>
  <c r="CH6" i="10"/>
  <c r="CF7" i="10" s="1"/>
  <c r="CL7" i="10" s="1"/>
  <c r="BS110" i="10"/>
  <c r="CH108" i="10"/>
  <c r="CF109" i="10" s="1"/>
  <c r="CD109" i="10"/>
  <c r="BS42" i="10"/>
  <c r="CH40" i="10"/>
  <c r="CF41" i="10" s="1"/>
  <c r="CL41" i="10" s="1"/>
  <c r="BW109" i="10" l="1"/>
  <c r="BU110" i="10" s="1"/>
  <c r="BW110" i="10" s="1"/>
  <c r="AJ52" i="10"/>
  <c r="AN52" i="10" s="1"/>
  <c r="AJ53" i="10" s="1"/>
  <c r="BW7" i="10"/>
  <c r="BS8" i="10" s="1"/>
  <c r="CA7" i="10"/>
  <c r="CL75" i="10"/>
  <c r="CA75" i="10"/>
  <c r="CA41" i="10"/>
  <c r="BW42" i="10"/>
  <c r="BS43" i="10" s="1"/>
  <c r="CH41" i="10"/>
  <c r="CF42" i="10" s="1"/>
  <c r="CH42" i="10" s="1"/>
  <c r="CD43" i="10" s="1"/>
  <c r="CA76" i="10"/>
  <c r="CH7" i="10"/>
  <c r="CH109" i="10"/>
  <c r="CF110" i="10" s="1"/>
  <c r="CD110" i="10"/>
  <c r="CL109" i="10"/>
  <c r="CL76" i="10"/>
  <c r="CA42" i="10"/>
  <c r="BW76" i="10"/>
  <c r="BS77" i="10" s="1"/>
  <c r="CH76" i="10"/>
  <c r="CD77" i="10" s="1"/>
  <c r="BU8" i="10" l="1"/>
  <c r="BW8" i="10" s="1"/>
  <c r="BU9" i="10" s="1"/>
  <c r="CF77" i="10"/>
  <c r="CL77" i="10" s="1"/>
  <c r="AL53" i="10"/>
  <c r="AR53" i="10" s="1"/>
  <c r="AR52" i="10"/>
  <c r="CA110" i="10"/>
  <c r="CF8" i="10"/>
  <c r="CD8" i="10"/>
  <c r="BS111" i="10"/>
  <c r="BU111" i="10"/>
  <c r="BU77" i="10"/>
  <c r="BW77" i="10" s="1"/>
  <c r="BU78" i="10" s="1"/>
  <c r="CF43" i="10"/>
  <c r="CH43" i="10" s="1"/>
  <c r="BU43" i="10"/>
  <c r="BW43" i="10" s="1"/>
  <c r="CL42" i="10"/>
  <c r="CH110" i="10"/>
  <c r="CD111" i="10" s="1"/>
  <c r="CL110" i="10"/>
  <c r="AN53" i="10" l="1"/>
  <c r="AJ54" i="10" s="1"/>
  <c r="CA8" i="10"/>
  <c r="BS78" i="10"/>
  <c r="BW78" i="10" s="1"/>
  <c r="BS79" i="10" s="1"/>
  <c r="CH77" i="10"/>
  <c r="CF78" i="10" s="1"/>
  <c r="BS9" i="10"/>
  <c r="CA9" i="10" s="1"/>
  <c r="CL8" i="10"/>
  <c r="CH8" i="10"/>
  <c r="CD9" i="10" s="1"/>
  <c r="CL43" i="10"/>
  <c r="CA111" i="10"/>
  <c r="CA77" i="10"/>
  <c r="CA43" i="10"/>
  <c r="CF111" i="10"/>
  <c r="CL111" i="10" s="1"/>
  <c r="BW111" i="10"/>
  <c r="BU112" i="10" s="1"/>
  <c r="CF44" i="10"/>
  <c r="CD44" i="10"/>
  <c r="BS44" i="10"/>
  <c r="BU44" i="10"/>
  <c r="CF9" i="10" l="1"/>
  <c r="CH9" i="10" s="1"/>
  <c r="CD10" i="10" s="1"/>
  <c r="AL54" i="10"/>
  <c r="AN54" i="10" s="1"/>
  <c r="AL55" i="10" s="1"/>
  <c r="CA78" i="10"/>
  <c r="BW9" i="10"/>
  <c r="BU10" i="10" s="1"/>
  <c r="CD78" i="10"/>
  <c r="CL44" i="10"/>
  <c r="CH111" i="10"/>
  <c r="CF112" i="10" s="1"/>
  <c r="BS112" i="10"/>
  <c r="CA112" i="10" s="1"/>
  <c r="BU79" i="10"/>
  <c r="CA79" i="10" s="1"/>
  <c r="CH44" i="10"/>
  <c r="CL9" i="10"/>
  <c r="CA44" i="10"/>
  <c r="BW44" i="10"/>
  <c r="BU45" i="10" s="1"/>
  <c r="AJ55" i="10" l="1"/>
  <c r="AN55" i="10" s="1"/>
  <c r="AJ56" i="10" s="1"/>
  <c r="AR54" i="10"/>
  <c r="CD112" i="10"/>
  <c r="CH112" i="10" s="1"/>
  <c r="CF113" i="10" s="1"/>
  <c r="BS10" i="10"/>
  <c r="CL78" i="10"/>
  <c r="CH78" i="10"/>
  <c r="CF10" i="10"/>
  <c r="CL10" i="10" s="1"/>
  <c r="BW79" i="10"/>
  <c r="BU80" i="10" s="1"/>
  <c r="BW112" i="10"/>
  <c r="CD45" i="10"/>
  <c r="CF45" i="10"/>
  <c r="BS45" i="10"/>
  <c r="BW45" i="10" s="1"/>
  <c r="AL56" i="10" l="1"/>
  <c r="AN56" i="10" s="1"/>
  <c r="AL57" i="10" s="1"/>
  <c r="AR55" i="10"/>
  <c r="CD113" i="10"/>
  <c r="CL113" i="10" s="1"/>
  <c r="CL112" i="10"/>
  <c r="CA10" i="10"/>
  <c r="BW10" i="10"/>
  <c r="CF79" i="10"/>
  <c r="CD79" i="10"/>
  <c r="CH10" i="10"/>
  <c r="CD11" i="10" s="1"/>
  <c r="BS80" i="10"/>
  <c r="CA80" i="10" s="1"/>
  <c r="CL45" i="10"/>
  <c r="CA45" i="10"/>
  <c r="BU113" i="10"/>
  <c r="BS113" i="10"/>
  <c r="CH45" i="10"/>
  <c r="BS46" i="10"/>
  <c r="BU46" i="10"/>
  <c r="AR56" i="10" l="1"/>
  <c r="AJ57" i="10"/>
  <c r="AR57" i="10" s="1"/>
  <c r="CH113" i="10"/>
  <c r="CF114" i="10" s="1"/>
  <c r="BS11" i="10"/>
  <c r="BU11" i="10"/>
  <c r="CH79" i="10"/>
  <c r="CD80" i="10" s="1"/>
  <c r="CL79" i="10"/>
  <c r="CF11" i="10"/>
  <c r="CL11" i="10" s="1"/>
  <c r="BW80" i="10"/>
  <c r="BS81" i="10" s="1"/>
  <c r="BW113" i="10"/>
  <c r="BS114" i="10" s="1"/>
  <c r="CA46" i="10"/>
  <c r="CA113" i="10"/>
  <c r="CD46" i="10"/>
  <c r="CF46" i="10"/>
  <c r="BW46" i="10"/>
  <c r="BU47" i="10" s="1"/>
  <c r="CD114" i="10" l="1"/>
  <c r="CL114" i="10" s="1"/>
  <c r="AN57" i="10"/>
  <c r="AJ58" i="10" s="1"/>
  <c r="CF80" i="10"/>
  <c r="CH80" i="10" s="1"/>
  <c r="CF81" i="10" s="1"/>
  <c r="BW11" i="10"/>
  <c r="BU12" i="10" s="1"/>
  <c r="CA11" i="10"/>
  <c r="CH11" i="10"/>
  <c r="CD12" i="10" s="1"/>
  <c r="BU114" i="10"/>
  <c r="CA114" i="10" s="1"/>
  <c r="BU81" i="10"/>
  <c r="CA81" i="10" s="1"/>
  <c r="CL46" i="10"/>
  <c r="CH46" i="10"/>
  <c r="BS47" i="10"/>
  <c r="CA47" i="10" s="1"/>
  <c r="CD81" i="10" l="1"/>
  <c r="CL81" i="10" s="1"/>
  <c r="CH114" i="10"/>
  <c r="CF115" i="10" s="1"/>
  <c r="AL58" i="10"/>
  <c r="AN58" i="10" s="1"/>
  <c r="AL59" i="10" s="1"/>
  <c r="BS12" i="10"/>
  <c r="CA12" i="10" s="1"/>
  <c r="CL80" i="10"/>
  <c r="BW114" i="10"/>
  <c r="BU115" i="10" s="1"/>
  <c r="CF12" i="10"/>
  <c r="CL12" i="10" s="1"/>
  <c r="BW81" i="10"/>
  <c r="BU82" i="10" s="1"/>
  <c r="BW47" i="10"/>
  <c r="BS48" i="10" s="1"/>
  <c r="CD47" i="10"/>
  <c r="CF47" i="10"/>
  <c r="BS115" i="10" l="1"/>
  <c r="BW115" i="10" s="1"/>
  <c r="BU116" i="10" s="1"/>
  <c r="CH81" i="10"/>
  <c r="CD82" i="10" s="1"/>
  <c r="CD115" i="10"/>
  <c r="CH115" i="10" s="1"/>
  <c r="CD116" i="10" s="1"/>
  <c r="AJ59" i="10"/>
  <c r="AN59" i="10" s="1"/>
  <c r="AJ60" i="10" s="1"/>
  <c r="AR58" i="10"/>
  <c r="BW12" i="10"/>
  <c r="BU13" i="10" s="1"/>
  <c r="CH12" i="10"/>
  <c r="CF13" i="10" s="1"/>
  <c r="BS82" i="10"/>
  <c r="BW82" i="10" s="1"/>
  <c r="BU48" i="10"/>
  <c r="CA48" i="10" s="1"/>
  <c r="CH47" i="10"/>
  <c r="CL47" i="10"/>
  <c r="CA115" i="10" l="1"/>
  <c r="CF82" i="10"/>
  <c r="CL82" i="10" s="1"/>
  <c r="CF116" i="10"/>
  <c r="CL116" i="10" s="1"/>
  <c r="CL115" i="10"/>
  <c r="CD13" i="10"/>
  <c r="CH13" i="10" s="1"/>
  <c r="BS13" i="10"/>
  <c r="CA13" i="10" s="1"/>
  <c r="AR59" i="10"/>
  <c r="AL60" i="10"/>
  <c r="AR60" i="10" s="1"/>
  <c r="BS116" i="10"/>
  <c r="BW116" i="10" s="1"/>
  <c r="BS117" i="10" s="1"/>
  <c r="CA82" i="10"/>
  <c r="BS83" i="10"/>
  <c r="BU83" i="10"/>
  <c r="BW48" i="10"/>
  <c r="BU49" i="10" s="1"/>
  <c r="CD48" i="10"/>
  <c r="CF48" i="10"/>
  <c r="CH82" i="10" l="1"/>
  <c r="CF83" i="10" s="1"/>
  <c r="CH116" i="10"/>
  <c r="CF117" i="10" s="1"/>
  <c r="CL13" i="10"/>
  <c r="BW13" i="10"/>
  <c r="BU14" i="10" s="1"/>
  <c r="CA116" i="10"/>
  <c r="AN60" i="10"/>
  <c r="AJ61" i="10" s="1"/>
  <c r="BW83" i="10"/>
  <c r="BU84" i="10" s="1"/>
  <c r="CA83" i="10"/>
  <c r="BU117" i="10"/>
  <c r="BW117" i="10" s="1"/>
  <c r="CF14" i="10"/>
  <c r="CD14" i="10"/>
  <c r="BS49" i="10"/>
  <c r="CA49" i="10" s="1"/>
  <c r="CL48" i="10"/>
  <c r="CH48" i="10"/>
  <c r="CF49" i="10" s="1"/>
  <c r="CD83" i="10" l="1"/>
  <c r="CL83" i="10" s="1"/>
  <c r="BS14" i="10"/>
  <c r="CA14" i="10" s="1"/>
  <c r="CD117" i="10"/>
  <c r="CH117" i="10" s="1"/>
  <c r="BS84" i="10"/>
  <c r="BW84" i="10" s="1"/>
  <c r="BU85" i="10" s="1"/>
  <c r="AL61" i="10"/>
  <c r="AR61" i="10" s="1"/>
  <c r="CA117" i="10"/>
  <c r="CL14" i="10"/>
  <c r="CH14" i="10"/>
  <c r="CD15" i="10" s="1"/>
  <c r="BW49" i="10"/>
  <c r="BU50" i="10" s="1"/>
  <c r="BS118" i="10"/>
  <c r="BU118" i="10"/>
  <c r="CD49" i="10"/>
  <c r="CH49" i="10" s="1"/>
  <c r="CH83" i="10" l="1"/>
  <c r="CD84" i="10" s="1"/>
  <c r="BW14" i="10"/>
  <c r="BU15" i="10" s="1"/>
  <c r="CL117" i="10"/>
  <c r="CA84" i="10"/>
  <c r="BS15" i="10"/>
  <c r="CF15" i="10"/>
  <c r="CL15" i="10" s="1"/>
  <c r="AN61" i="10"/>
  <c r="AL62" i="10" s="1"/>
  <c r="BS85" i="10"/>
  <c r="BW85" i="10" s="1"/>
  <c r="CF84" i="10"/>
  <c r="BS50" i="10"/>
  <c r="BW50" i="10" s="1"/>
  <c r="CA118" i="10"/>
  <c r="BW118" i="10"/>
  <c r="CD118" i="10"/>
  <c r="CF118" i="10"/>
  <c r="CD50" i="10"/>
  <c r="CF50" i="10"/>
  <c r="CL49" i="10"/>
  <c r="BW15" i="10" l="1"/>
  <c r="BU16" i="10" s="1"/>
  <c r="CA15" i="10"/>
  <c r="CH15" i="10"/>
  <c r="CD16" i="10" s="1"/>
  <c r="AJ62" i="10"/>
  <c r="AN62" i="10" s="1"/>
  <c r="AJ63" i="10" s="1"/>
  <c r="CA85" i="10"/>
  <c r="BS86" i="10"/>
  <c r="BU86" i="10"/>
  <c r="CL84" i="10"/>
  <c r="CH84" i="10"/>
  <c r="BU51" i="10"/>
  <c r="BS51" i="10"/>
  <c r="CA50" i="10"/>
  <c r="BS119" i="10"/>
  <c r="BU119" i="10"/>
  <c r="CL118" i="10"/>
  <c r="CL50" i="10"/>
  <c r="CH118" i="10"/>
  <c r="CF119" i="10" s="1"/>
  <c r="CH50" i="10"/>
  <c r="CF16" i="10" l="1"/>
  <c r="CH16" i="10" s="1"/>
  <c r="CD17" i="10" s="1"/>
  <c r="BS16" i="10"/>
  <c r="BW16" i="10" s="1"/>
  <c r="AR62" i="10"/>
  <c r="AL63" i="10"/>
  <c r="AR63" i="10" s="1"/>
  <c r="BW86" i="10"/>
  <c r="BS87" i="10" s="1"/>
  <c r="CA86" i="10"/>
  <c r="CD85" i="10"/>
  <c r="CF85" i="10"/>
  <c r="CA51" i="10"/>
  <c r="BW51" i="10"/>
  <c r="BS52" i="10" s="1"/>
  <c r="CA119" i="10"/>
  <c r="BW119" i="10"/>
  <c r="CD119" i="10"/>
  <c r="CH119" i="10" s="1"/>
  <c r="CF51" i="10"/>
  <c r="CD51" i="10"/>
  <c r="CL16" i="10" l="1"/>
  <c r="CA16" i="10"/>
  <c r="BU17" i="10"/>
  <c r="BS17" i="10"/>
  <c r="AN63" i="10"/>
  <c r="AL64" i="10" s="1"/>
  <c r="BU87" i="10"/>
  <c r="BW87" i="10" s="1"/>
  <c r="CL85" i="10"/>
  <c r="CF17" i="10"/>
  <c r="CH17" i="10" s="1"/>
  <c r="CF18" i="10" s="1"/>
  <c r="CH85" i="10"/>
  <c r="BU52" i="10"/>
  <c r="CA52" i="10" s="1"/>
  <c r="BU120" i="10"/>
  <c r="BS120" i="10"/>
  <c r="CH51" i="10"/>
  <c r="CF52" i="10" s="1"/>
  <c r="CD120" i="10"/>
  <c r="CF120" i="10"/>
  <c r="CL119" i="10"/>
  <c r="CL51" i="10"/>
  <c r="BW17" i="10" l="1"/>
  <c r="BS18" i="10" s="1"/>
  <c r="CA17" i="10"/>
  <c r="CD18" i="10"/>
  <c r="CH18" i="10" s="1"/>
  <c r="CF19" i="10" s="1"/>
  <c r="AJ64" i="10"/>
  <c r="AN64" i="10" s="1"/>
  <c r="AJ65" i="10" s="1"/>
  <c r="CA87" i="10"/>
  <c r="BU88" i="10"/>
  <c r="BS88" i="10"/>
  <c r="CL17" i="10"/>
  <c r="CF86" i="10"/>
  <c r="CD86" i="10"/>
  <c r="BW52" i="10"/>
  <c r="BU53" i="10" s="1"/>
  <c r="BW120" i="10"/>
  <c r="BS121" i="10" s="1"/>
  <c r="CA120" i="10"/>
  <c r="CD52" i="10"/>
  <c r="CH52" i="10" s="1"/>
  <c r="CL120" i="10"/>
  <c r="CH120" i="10"/>
  <c r="BU18" i="10" l="1"/>
  <c r="CL18" i="10"/>
  <c r="AL65" i="10"/>
  <c r="AR65" i="10" s="1"/>
  <c r="AR64" i="10"/>
  <c r="CA88" i="10"/>
  <c r="BW88" i="10"/>
  <c r="CL86" i="10"/>
  <c r="CH86" i="10"/>
  <c r="CD19" i="10"/>
  <c r="CL19" i="10" s="1"/>
  <c r="BS53" i="10"/>
  <c r="CA53" i="10" s="1"/>
  <c r="BU121" i="10"/>
  <c r="BW121" i="10" s="1"/>
  <c r="BS122" i="10" s="1"/>
  <c r="CL52" i="10"/>
  <c r="CD121" i="10"/>
  <c r="CF121" i="10"/>
  <c r="CD53" i="10"/>
  <c r="CF53" i="10"/>
  <c r="CA18" i="10" l="1"/>
  <c r="BW18" i="10"/>
  <c r="AN65" i="10"/>
  <c r="AJ66" i="10" s="1"/>
  <c r="BU89" i="10"/>
  <c r="BS89" i="10"/>
  <c r="CF87" i="10"/>
  <c r="CD87" i="10"/>
  <c r="CH19" i="10"/>
  <c r="CF20" i="10" s="1"/>
  <c r="BW53" i="10"/>
  <c r="BU54" i="10" s="1"/>
  <c r="CA121" i="10"/>
  <c r="BU122" i="10"/>
  <c r="CA122" i="10" s="1"/>
  <c r="CL53" i="10"/>
  <c r="CH121" i="10"/>
  <c r="CL121" i="10"/>
  <c r="CH53" i="10"/>
  <c r="BU19" i="10" l="1"/>
  <c r="BS19" i="10"/>
  <c r="AL66" i="10"/>
  <c r="AR66" i="10" s="1"/>
  <c r="BW89" i="10"/>
  <c r="BU90" i="10" s="1"/>
  <c r="CA89" i="10"/>
  <c r="CH87" i="10"/>
  <c r="CF88" i="10" s="1"/>
  <c r="CD20" i="10"/>
  <c r="CL20" i="10" s="1"/>
  <c r="CL87" i="10"/>
  <c r="BS54" i="10"/>
  <c r="CA54" i="10" s="1"/>
  <c r="BW122" i="10"/>
  <c r="BS123" i="10" s="1"/>
  <c r="CD122" i="10"/>
  <c r="CF122" i="10"/>
  <c r="CF54" i="10"/>
  <c r="CD54" i="10"/>
  <c r="BW19" i="10" l="1"/>
  <c r="CA19" i="10"/>
  <c r="BS90" i="10"/>
  <c r="CA90" i="10" s="1"/>
  <c r="AN66" i="10"/>
  <c r="AL67" i="10" s="1"/>
  <c r="CD88" i="10"/>
  <c r="CL88" i="10" s="1"/>
  <c r="CH20" i="10"/>
  <c r="CD21" i="10" s="1"/>
  <c r="BU123" i="10"/>
  <c r="BW123" i="10" s="1"/>
  <c r="BU124" i="10" s="1"/>
  <c r="BW54" i="10"/>
  <c r="BS55" i="10" s="1"/>
  <c r="CL122" i="10"/>
  <c r="CH122" i="10"/>
  <c r="CH54" i="10"/>
  <c r="CD55" i="10" s="1"/>
  <c r="CL54" i="10"/>
  <c r="BU20" i="10" l="1"/>
  <c r="BS20" i="10"/>
  <c r="BW90" i="10"/>
  <c r="BS91" i="10" s="1"/>
  <c r="AJ67" i="10"/>
  <c r="AR67" i="10" s="1"/>
  <c r="CH88" i="10"/>
  <c r="CF21" i="10"/>
  <c r="CH21" i="10" s="1"/>
  <c r="CD22" i="10" s="1"/>
  <c r="CA123" i="10"/>
  <c r="BS124" i="10"/>
  <c r="BW124" i="10" s="1"/>
  <c r="BU55" i="10"/>
  <c r="BW55" i="10" s="1"/>
  <c r="BU56" i="10" s="1"/>
  <c r="CF55" i="10"/>
  <c r="CL55" i="10" s="1"/>
  <c r="CD123" i="10"/>
  <c r="CF123" i="10"/>
  <c r="BW20" i="10" l="1"/>
  <c r="BU21" i="10" s="1"/>
  <c r="CA20" i="10"/>
  <c r="BU91" i="10"/>
  <c r="BW91" i="10" s="1"/>
  <c r="AN67" i="10"/>
  <c r="AJ68" i="10" s="1"/>
  <c r="CD89" i="10"/>
  <c r="CF89" i="10"/>
  <c r="CL21" i="10"/>
  <c r="CF22" i="10"/>
  <c r="CL22" i="10" s="1"/>
  <c r="CA124" i="10"/>
  <c r="BS56" i="10"/>
  <c r="BW56" i="10" s="1"/>
  <c r="CA55" i="10"/>
  <c r="BS125" i="10"/>
  <c r="BU125" i="10"/>
  <c r="CH55" i="10"/>
  <c r="CF56" i="10" s="1"/>
  <c r="CL123" i="10"/>
  <c r="CH123" i="10"/>
  <c r="BS21" i="10" l="1"/>
  <c r="CA21" i="10" s="1"/>
  <c r="BU92" i="10"/>
  <c r="BS92" i="10"/>
  <c r="CA91" i="10"/>
  <c r="AL68" i="10"/>
  <c r="AR68" i="10" s="1"/>
  <c r="CL89" i="10"/>
  <c r="CH89" i="10"/>
  <c r="CD90" i="10" s="1"/>
  <c r="CH22" i="10"/>
  <c r="CF23" i="10" s="1"/>
  <c r="CA56" i="10"/>
  <c r="CA125" i="10"/>
  <c r="CD56" i="10"/>
  <c r="CL56" i="10" s="1"/>
  <c r="BW125" i="10"/>
  <c r="BU57" i="10"/>
  <c r="BS57" i="10"/>
  <c r="CD124" i="10"/>
  <c r="CF124" i="10"/>
  <c r="BW21" i="10" l="1"/>
  <c r="BS22" i="10" s="1"/>
  <c r="CA92" i="10"/>
  <c r="BW92" i="10"/>
  <c r="AN68" i="10"/>
  <c r="AJ69" i="10" s="1"/>
  <c r="CF90" i="10"/>
  <c r="CL90" i="10" s="1"/>
  <c r="CD23" i="10"/>
  <c r="CH23" i="10" s="1"/>
  <c r="CF24" i="10" s="1"/>
  <c r="CH56" i="10"/>
  <c r="CD57" i="10" s="1"/>
  <c r="BU126" i="10"/>
  <c r="BS126" i="10"/>
  <c r="BW57" i="10"/>
  <c r="BS58" i="10" s="1"/>
  <c r="CL124" i="10"/>
  <c r="CA57" i="10"/>
  <c r="CH124" i="10"/>
  <c r="BU22" i="10" l="1"/>
  <c r="BW22" i="10" s="1"/>
  <c r="BU23" i="10" s="1"/>
  <c r="AL69" i="10"/>
  <c r="AR69" i="10" s="1"/>
  <c r="BU93" i="10"/>
  <c r="BS93" i="10"/>
  <c r="CH90" i="10"/>
  <c r="CF91" i="10" s="1"/>
  <c r="CL23" i="10"/>
  <c r="CD24" i="10"/>
  <c r="CL24" i="10" s="1"/>
  <c r="CF57" i="10"/>
  <c r="CL57" i="10" s="1"/>
  <c r="BU58" i="10"/>
  <c r="BW58" i="10" s="1"/>
  <c r="BS59" i="10" s="1"/>
  <c r="BW126" i="10"/>
  <c r="BS127" i="10" s="1"/>
  <c r="CA126" i="10"/>
  <c r="CF125" i="10"/>
  <c r="CD125" i="10"/>
  <c r="CA22" i="10" l="1"/>
  <c r="BS23" i="10"/>
  <c r="BW23" i="10" s="1"/>
  <c r="BU24" i="10" s="1"/>
  <c r="AN69" i="10"/>
  <c r="AJ70" i="10" s="1"/>
  <c r="CA93" i="10"/>
  <c r="BW93" i="10"/>
  <c r="CD91" i="10"/>
  <c r="CL91" i="10" s="1"/>
  <c r="BU127" i="10"/>
  <c r="CA127" i="10" s="1"/>
  <c r="CH24" i="10"/>
  <c r="CD25" i="10" s="1"/>
  <c r="CH57" i="10"/>
  <c r="CD58" i="10" s="1"/>
  <c r="CA58" i="10"/>
  <c r="BU59" i="10"/>
  <c r="BW59" i="10" s="1"/>
  <c r="BU60" i="10" s="1"/>
  <c r="CH125" i="10"/>
  <c r="CD126" i="10" s="1"/>
  <c r="CL125" i="10"/>
  <c r="CA23" i="10" l="1"/>
  <c r="BS24" i="10"/>
  <c r="BW24" i="10" s="1"/>
  <c r="BU25" i="10" s="1"/>
  <c r="AL70" i="10"/>
  <c r="AN70" i="10" s="1"/>
  <c r="AJ71" i="10" s="1"/>
  <c r="BU94" i="10"/>
  <c r="BS94" i="10"/>
  <c r="CH91" i="10"/>
  <c r="BW127" i="10"/>
  <c r="BS128" i="10" s="1"/>
  <c r="CF25" i="10"/>
  <c r="CH25" i="10" s="1"/>
  <c r="CD26" i="10" s="1"/>
  <c r="CF58" i="10"/>
  <c r="CL58" i="10" s="1"/>
  <c r="CA59" i="10"/>
  <c r="CF126" i="10"/>
  <c r="CL126" i="10" s="1"/>
  <c r="BS60" i="10"/>
  <c r="BW60" i="10" s="1"/>
  <c r="BU61" i="10" s="1"/>
  <c r="CA24" i="10" l="1"/>
  <c r="BS25" i="10"/>
  <c r="CA25" i="10" s="1"/>
  <c r="AR70" i="10"/>
  <c r="AL71" i="10"/>
  <c r="AN71" i="10" s="1"/>
  <c r="AL72" i="10" s="1"/>
  <c r="CA94" i="10"/>
  <c r="BW94" i="10"/>
  <c r="CD92" i="10"/>
  <c r="CF92" i="10"/>
  <c r="BU128" i="10"/>
  <c r="CA128" i="10" s="1"/>
  <c r="CL25" i="10"/>
  <c r="CF26" i="10"/>
  <c r="CL26" i="10" s="1"/>
  <c r="CH58" i="10"/>
  <c r="CD59" i="10" s="1"/>
  <c r="CH126" i="10"/>
  <c r="CF127" i="10" s="1"/>
  <c r="CA60" i="10"/>
  <c r="BS61" i="10"/>
  <c r="BW61" i="10" s="1"/>
  <c r="BW25" i="10" l="1"/>
  <c r="BU26" i="10" s="1"/>
  <c r="AR71" i="10"/>
  <c r="BU95" i="10"/>
  <c r="BS95" i="10"/>
  <c r="AJ72" i="10"/>
  <c r="AN72" i="10" s="1"/>
  <c r="CH92" i="10"/>
  <c r="CD93" i="10" s="1"/>
  <c r="CL92" i="10"/>
  <c r="BW128" i="10"/>
  <c r="BU129" i="10" s="1"/>
  <c r="CH26" i="10"/>
  <c r="CD27" i="10" s="1"/>
  <c r="CF59" i="10"/>
  <c r="CH59" i="10" s="1"/>
  <c r="CD60" i="10" s="1"/>
  <c r="CD127" i="10"/>
  <c r="CL127" i="10" s="1"/>
  <c r="CA61" i="10"/>
  <c r="BU62" i="10"/>
  <c r="BS62" i="10"/>
  <c r="BS26" i="10" l="1"/>
  <c r="BW26" i="10" s="1"/>
  <c r="BU27" i="10" s="1"/>
  <c r="BW95" i="10"/>
  <c r="BS96" i="10" s="1"/>
  <c r="CA95" i="10"/>
  <c r="AR72" i="10"/>
  <c r="CF93" i="10"/>
  <c r="CL93" i="10" s="1"/>
  <c r="AJ73" i="10"/>
  <c r="AL73" i="10"/>
  <c r="BS129" i="10"/>
  <c r="CA129" i="10" s="1"/>
  <c r="CF27" i="10"/>
  <c r="CH27" i="10" s="1"/>
  <c r="CF60" i="10"/>
  <c r="CH60" i="10" s="1"/>
  <c r="CD61" i="10" s="1"/>
  <c r="CL59" i="10"/>
  <c r="CH127" i="10"/>
  <c r="CF128" i="10" s="1"/>
  <c r="CA62" i="10"/>
  <c r="BW62" i="10"/>
  <c r="CA26" i="10" l="1"/>
  <c r="BS27" i="10"/>
  <c r="BW27" i="10" s="1"/>
  <c r="BU96" i="10"/>
  <c r="BW96" i="10" s="1"/>
  <c r="BS97" i="10" s="1"/>
  <c r="AN73" i="10"/>
  <c r="AJ74" i="10" s="1"/>
  <c r="AR73" i="10"/>
  <c r="CH93" i="10"/>
  <c r="CF94" i="10" s="1"/>
  <c r="BW129" i="10"/>
  <c r="BS130" i="10" s="1"/>
  <c r="CL27" i="10"/>
  <c r="CD128" i="10"/>
  <c r="CH128" i="10" s="1"/>
  <c r="CD129" i="10" s="1"/>
  <c r="CL60" i="10"/>
  <c r="CF61" i="10"/>
  <c r="CL61" i="10" s="1"/>
  <c r="CF28" i="10"/>
  <c r="CD28" i="10"/>
  <c r="BU63" i="10"/>
  <c r="BS63" i="10"/>
  <c r="CA27" i="10" l="1"/>
  <c r="BU28" i="10"/>
  <c r="BS28" i="10"/>
  <c r="BU97" i="10"/>
  <c r="CA97" i="10" s="1"/>
  <c r="CA96" i="10"/>
  <c r="AL74" i="10"/>
  <c r="AN74" i="10" s="1"/>
  <c r="AL75" i="10" s="1"/>
  <c r="CD94" i="10"/>
  <c r="CL94" i="10" s="1"/>
  <c r="BU130" i="10"/>
  <c r="BW130" i="10" s="1"/>
  <c r="BU131" i="10" s="1"/>
  <c r="CL128" i="10"/>
  <c r="CH61" i="10"/>
  <c r="CD62" i="10" s="1"/>
  <c r="CF129" i="10"/>
  <c r="CL129" i="10" s="1"/>
  <c r="CH28" i="10"/>
  <c r="CD29" i="10" s="1"/>
  <c r="CL28" i="10"/>
  <c r="BW63" i="10"/>
  <c r="BU64" i="10" s="1"/>
  <c r="CA63" i="10"/>
  <c r="BW28" i="10" l="1"/>
  <c r="CA28" i="10"/>
  <c r="BW97" i="10"/>
  <c r="BU98" i="10" s="1"/>
  <c r="AR74" i="10"/>
  <c r="AJ75" i="10"/>
  <c r="AR75" i="10" s="1"/>
  <c r="CH94" i="10"/>
  <c r="CF95" i="10" s="1"/>
  <c r="BS131" i="10"/>
  <c r="CA131" i="10" s="1"/>
  <c r="CA130" i="10"/>
  <c r="CF62" i="10"/>
  <c r="CL62" i="10" s="1"/>
  <c r="CF29" i="10"/>
  <c r="CL29" i="10" s="1"/>
  <c r="CH129" i="10"/>
  <c r="CF130" i="10" s="1"/>
  <c r="BS64" i="10"/>
  <c r="BW64" i="10" s="1"/>
  <c r="BU65" i="10" s="1"/>
  <c r="BU29" i="10" l="1"/>
  <c r="BS29" i="10"/>
  <c r="BS98" i="10"/>
  <c r="BW98" i="10" s="1"/>
  <c r="BU99" i="10" s="1"/>
  <c r="AN75" i="10"/>
  <c r="AJ76" i="10" s="1"/>
  <c r="CD95" i="10"/>
  <c r="CL95" i="10" s="1"/>
  <c r="BW131" i="10"/>
  <c r="BU132" i="10" s="1"/>
  <c r="CH62" i="10"/>
  <c r="CD63" i="10" s="1"/>
  <c r="CH29" i="10"/>
  <c r="CD30" i="10" s="1"/>
  <c r="CD130" i="10"/>
  <c r="CH130" i="10" s="1"/>
  <c r="CA64" i="10"/>
  <c r="BS65" i="10"/>
  <c r="CA65" i="10" s="1"/>
  <c r="BW29" i="10" l="1"/>
  <c r="BU30" i="10" s="1"/>
  <c r="CA29" i="10"/>
  <c r="CA98" i="10"/>
  <c r="AL76" i="10"/>
  <c r="AN76" i="10" s="1"/>
  <c r="AJ77" i="10" s="1"/>
  <c r="BS99" i="10"/>
  <c r="CA99" i="10" s="1"/>
  <c r="BS132" i="10"/>
  <c r="BW132" i="10" s="1"/>
  <c r="BU133" i="10" s="1"/>
  <c r="CH95" i="10"/>
  <c r="CF63" i="10"/>
  <c r="CL63" i="10" s="1"/>
  <c r="CF30" i="10"/>
  <c r="CL30" i="10" s="1"/>
  <c r="CL130" i="10"/>
  <c r="CD131" i="10"/>
  <c r="CF131" i="10"/>
  <c r="BW65" i="10"/>
  <c r="BU66" i="10" s="1"/>
  <c r="BS30" i="10" l="1"/>
  <c r="AR76" i="10"/>
  <c r="AL77" i="10"/>
  <c r="AR77" i="10" s="1"/>
  <c r="BW99" i="10"/>
  <c r="BU100" i="10" s="1"/>
  <c r="CA132" i="10"/>
  <c r="BS133" i="10"/>
  <c r="CA133" i="10" s="1"/>
  <c r="CD96" i="10"/>
  <c r="CF96" i="10"/>
  <c r="CH63" i="10"/>
  <c r="CF64" i="10" s="1"/>
  <c r="CH30" i="10"/>
  <c r="CF31" i="10" s="1"/>
  <c r="CH131" i="10"/>
  <c r="CD132" i="10" s="1"/>
  <c r="CL131" i="10"/>
  <c r="BS66" i="10"/>
  <c r="CA66" i="10" s="1"/>
  <c r="G53" i="10"/>
  <c r="AQ44" i="10"/>
  <c r="AP44" i="10"/>
  <c r="AQ43" i="10"/>
  <c r="AP43" i="10"/>
  <c r="C41" i="10"/>
  <c r="AQ42" i="10"/>
  <c r="AP42" i="10"/>
  <c r="AQ41" i="10"/>
  <c r="AP41" i="10"/>
  <c r="AQ40" i="10"/>
  <c r="AP40" i="10"/>
  <c r="AQ39" i="10"/>
  <c r="AP39" i="10"/>
  <c r="AG39" i="10"/>
  <c r="AC39" i="10"/>
  <c r="AQ38" i="10"/>
  <c r="AP38" i="10"/>
  <c r="AQ37" i="10"/>
  <c r="AP37" i="10"/>
  <c r="AQ36" i="10"/>
  <c r="AP36" i="10"/>
  <c r="AQ35" i="10"/>
  <c r="AP35" i="10"/>
  <c r="AQ34" i="10"/>
  <c r="AP34" i="10"/>
  <c r="AQ33" i="10"/>
  <c r="AP33" i="10"/>
  <c r="AQ32" i="10"/>
  <c r="AP32" i="10"/>
  <c r="AQ31" i="10"/>
  <c r="AP31" i="10"/>
  <c r="AQ30" i="10"/>
  <c r="AP30" i="10"/>
  <c r="AQ29" i="10"/>
  <c r="AP29" i="10"/>
  <c r="AQ28" i="10"/>
  <c r="AP28" i="10"/>
  <c r="AQ27" i="10"/>
  <c r="AP27" i="10"/>
  <c r="AQ26" i="10"/>
  <c r="AP26" i="10"/>
  <c r="AQ25" i="10"/>
  <c r="AP25" i="10"/>
  <c r="AQ24" i="10"/>
  <c r="AP24" i="10"/>
  <c r="AQ23" i="10"/>
  <c r="AP23" i="10"/>
  <c r="AQ22" i="10"/>
  <c r="AP22" i="10"/>
  <c r="AQ21" i="10"/>
  <c r="AP21" i="10"/>
  <c r="G29" i="10"/>
  <c r="AQ20" i="10"/>
  <c r="AP20" i="10"/>
  <c r="AQ19" i="10"/>
  <c r="AP19" i="10"/>
  <c r="S19" i="10"/>
  <c r="O19" i="10"/>
  <c r="AQ18" i="10"/>
  <c r="AP18" i="10"/>
  <c r="AQ17" i="10"/>
  <c r="AP17" i="10"/>
  <c r="AQ16" i="10"/>
  <c r="AP16" i="10"/>
  <c r="AQ15" i="10"/>
  <c r="AP15" i="10"/>
  <c r="AQ14" i="10"/>
  <c r="AP14" i="10"/>
  <c r="AQ13" i="10"/>
  <c r="AP13" i="10"/>
  <c r="G26" i="10"/>
  <c r="O25" i="10" s="1"/>
  <c r="AQ12" i="10"/>
  <c r="AP12" i="10"/>
  <c r="AQ11" i="10"/>
  <c r="AP11" i="10"/>
  <c r="S11" i="10"/>
  <c r="O11" i="10"/>
  <c r="AQ10" i="10"/>
  <c r="AP10" i="10"/>
  <c r="AQ9" i="10"/>
  <c r="AP9" i="10"/>
  <c r="AQ8" i="10"/>
  <c r="AP8" i="10"/>
  <c r="G11" i="10"/>
  <c r="AQ7" i="10"/>
  <c r="AP7" i="10"/>
  <c r="AQ6" i="10"/>
  <c r="AP6" i="10"/>
  <c r="AR5" i="10"/>
  <c r="AQ5" i="10"/>
  <c r="AP5" i="10"/>
  <c r="AN5" i="10"/>
  <c r="AG4" i="10"/>
  <c r="AC4" i="10"/>
  <c r="BW30" i="10" l="1"/>
  <c r="CA30" i="10"/>
  <c r="BS100" i="10"/>
  <c r="BW100" i="10" s="1"/>
  <c r="AN77" i="10"/>
  <c r="AJ78" i="10" s="1"/>
  <c r="BW133" i="10"/>
  <c r="BS134" i="10" s="1"/>
  <c r="CL96" i="10"/>
  <c r="CH96" i="10"/>
  <c r="G31" i="10"/>
  <c r="G32" i="10"/>
  <c r="CD64" i="10"/>
  <c r="CH64" i="10" s="1"/>
  <c r="CD65" i="10" s="1"/>
  <c r="CD31" i="10"/>
  <c r="CH31" i="10" s="1"/>
  <c r="O5" i="10"/>
  <c r="CF132" i="10"/>
  <c r="CL132" i="10" s="1"/>
  <c r="AJ6" i="10"/>
  <c r="BW66" i="10"/>
  <c r="BU67" i="10" s="1"/>
  <c r="AL6" i="10"/>
  <c r="G41" i="10"/>
  <c r="BS31" i="10" l="1"/>
  <c r="BU31" i="10"/>
  <c r="CA100" i="10"/>
  <c r="BU134" i="10"/>
  <c r="CA134" i="10" s="1"/>
  <c r="AL78" i="10"/>
  <c r="AN78" i="10" s="1"/>
  <c r="BS101" i="10"/>
  <c r="BU101" i="10"/>
  <c r="CF97" i="10"/>
  <c r="CD97" i="10"/>
  <c r="G34" i="10"/>
  <c r="G33" i="10"/>
  <c r="G39" i="10" s="1"/>
  <c r="K12" i="10" s="1"/>
  <c r="CL64" i="10"/>
  <c r="CL31" i="10"/>
  <c r="AR6" i="10"/>
  <c r="CH132" i="10"/>
  <c r="CD133" i="10" s="1"/>
  <c r="BS67" i="10"/>
  <c r="CA67" i="10" s="1"/>
  <c r="CF32" i="10"/>
  <c r="CD32" i="10"/>
  <c r="CF65" i="10"/>
  <c r="CH65" i="10" s="1"/>
  <c r="AN6" i="10"/>
  <c r="AJ7" i="10" s="1"/>
  <c r="CA31" i="10" l="1"/>
  <c r="BW31" i="10"/>
  <c r="BW134" i="10"/>
  <c r="BS135" i="10" s="1"/>
  <c r="AR78" i="10"/>
  <c r="CA101" i="10"/>
  <c r="BW101" i="10"/>
  <c r="CH97" i="10"/>
  <c r="CL97" i="10"/>
  <c r="AJ79" i="10"/>
  <c r="AL79" i="10"/>
  <c r="CF133" i="10"/>
  <c r="CL133" i="10" s="1"/>
  <c r="AL7" i="10"/>
  <c r="AN7" i="10" s="1"/>
  <c r="AL8" i="10" s="1"/>
  <c r="BW67" i="10"/>
  <c r="BU68" i="10" s="1"/>
  <c r="CH32" i="10"/>
  <c r="CD33" i="10" s="1"/>
  <c r="CL32" i="10"/>
  <c r="CL65" i="10"/>
  <c r="CD66" i="10"/>
  <c r="CF66" i="10"/>
  <c r="BU32" i="10" l="1"/>
  <c r="BS32" i="10"/>
  <c r="BU135" i="10"/>
  <c r="BW135" i="10" s="1"/>
  <c r="BS136" i="10" s="1"/>
  <c r="BS102" i="10"/>
  <c r="BU102" i="10"/>
  <c r="CF98" i="10"/>
  <c r="CD98" i="10"/>
  <c r="AN79" i="10"/>
  <c r="AR79" i="10"/>
  <c r="CH133" i="10"/>
  <c r="CF134" i="10" s="1"/>
  <c r="AR7" i="10"/>
  <c r="CF33" i="10"/>
  <c r="CH33" i="10" s="1"/>
  <c r="CD34" i="10" s="1"/>
  <c r="BS68" i="10"/>
  <c r="CA68" i="10" s="1"/>
  <c r="CL66" i="10"/>
  <c r="CH66" i="10"/>
  <c r="AJ8" i="10"/>
  <c r="AN8" i="10" s="1"/>
  <c r="BW32" i="10" l="1"/>
  <c r="CA32" i="10"/>
  <c r="BU136" i="10"/>
  <c r="CA136" i="10" s="1"/>
  <c r="CA135" i="10"/>
  <c r="CA102" i="10"/>
  <c r="BW102" i="10"/>
  <c r="BK42" i="10" s="1"/>
  <c r="CL98" i="10"/>
  <c r="CH98" i="10"/>
  <c r="CD134" i="10"/>
  <c r="CH134" i="10" s="1"/>
  <c r="CD135" i="10" s="1"/>
  <c r="G12" i="10"/>
  <c r="AU4" i="10"/>
  <c r="CL33" i="10"/>
  <c r="CF34" i="10"/>
  <c r="CH34" i="10" s="1"/>
  <c r="BO4" i="10" s="1"/>
  <c r="BW68" i="10"/>
  <c r="BK23" i="10" s="1"/>
  <c r="BK25" i="10" s="1"/>
  <c r="BK26" i="10" s="1"/>
  <c r="CF67" i="10"/>
  <c r="CD67" i="10"/>
  <c r="AR8" i="10"/>
  <c r="AJ9" i="10"/>
  <c r="AL9" i="10"/>
  <c r="BU33" i="10" l="1"/>
  <c r="BS33" i="10"/>
  <c r="BK31" i="10"/>
  <c r="BK32" i="10"/>
  <c r="BW136" i="10"/>
  <c r="BK61" i="10" s="1"/>
  <c r="BK63" i="10" s="1"/>
  <c r="BK64" i="10" s="1"/>
  <c r="BK44" i="10"/>
  <c r="BK45" i="10" s="1"/>
  <c r="BK48" i="10"/>
  <c r="BK47" i="10"/>
  <c r="CF99" i="10"/>
  <c r="CD99" i="10"/>
  <c r="CL134" i="10"/>
  <c r="G13" i="10"/>
  <c r="AY6" i="10"/>
  <c r="AY7" i="10" s="1"/>
  <c r="AY5" i="10"/>
  <c r="CF135" i="10"/>
  <c r="CH135" i="10" s="1"/>
  <c r="CD136" i="10" s="1"/>
  <c r="BK29" i="10"/>
  <c r="CL34" i="10"/>
  <c r="BK28" i="10"/>
  <c r="BO9" i="10"/>
  <c r="BO10" i="10"/>
  <c r="BO6" i="10"/>
  <c r="BO7" i="10" s="1"/>
  <c r="CH67" i="10"/>
  <c r="CD68" i="10" s="1"/>
  <c r="CL67" i="10"/>
  <c r="AR9" i="10"/>
  <c r="AN9" i="10"/>
  <c r="AL10" i="10" s="1"/>
  <c r="BW33" i="10" l="1"/>
  <c r="CA33" i="10"/>
  <c r="BK69" i="10"/>
  <c r="BK70" i="10"/>
  <c r="BK50" i="10"/>
  <c r="BK51" i="10"/>
  <c r="BO12" i="10"/>
  <c r="BO13" i="10"/>
  <c r="BK66" i="10"/>
  <c r="BK67" i="10"/>
  <c r="BK49" i="10"/>
  <c r="CH99" i="10"/>
  <c r="CF100" i="10" s="1"/>
  <c r="CL99" i="10"/>
  <c r="CL135" i="10"/>
  <c r="CF136" i="10"/>
  <c r="CL136" i="10" s="1"/>
  <c r="BK30" i="10"/>
  <c r="BO11" i="10"/>
  <c r="AJ10" i="10"/>
  <c r="AR10" i="10" s="1"/>
  <c r="CF68" i="10"/>
  <c r="CH68" i="10" s="1"/>
  <c r="BO23" i="10" s="1"/>
  <c r="BO25" i="10" s="1"/>
  <c r="BO26" i="10" s="1"/>
  <c r="BK34" i="10"/>
  <c r="BK33" i="10"/>
  <c r="BU34" i="10" l="1"/>
  <c r="BS34" i="10"/>
  <c r="BK71" i="10"/>
  <c r="BO31" i="10"/>
  <c r="BO32" i="10"/>
  <c r="BK72" i="10"/>
  <c r="BK68" i="10"/>
  <c r="CD100" i="10"/>
  <c r="CH100" i="10" s="1"/>
  <c r="CF101" i="10" s="1"/>
  <c r="BK53" i="10"/>
  <c r="BK55" i="10" s="1"/>
  <c r="BK57" i="10" s="1"/>
  <c r="BC24" i="10" s="1"/>
  <c r="BK52" i="10"/>
  <c r="BK54" i="10" s="1"/>
  <c r="BK56" i="10" s="1"/>
  <c r="CH136" i="10"/>
  <c r="BO61" i="10" s="1"/>
  <c r="BO67" i="10" s="1"/>
  <c r="BK35" i="10"/>
  <c r="BK37" i="10" s="1"/>
  <c r="BC14" i="10" s="1"/>
  <c r="BK36" i="10"/>
  <c r="BK38" i="10" s="1"/>
  <c r="BC15" i="10" s="1"/>
  <c r="AN10" i="10"/>
  <c r="AL11" i="10" s="1"/>
  <c r="BO14" i="10"/>
  <c r="BO16" i="10" s="1"/>
  <c r="BO18" i="10" s="1"/>
  <c r="BO15" i="10"/>
  <c r="BO17" i="10" s="1"/>
  <c r="BO19" i="10" s="1"/>
  <c r="BG6" i="10" s="1"/>
  <c r="CL68" i="10"/>
  <c r="BO29" i="10"/>
  <c r="BO28" i="10"/>
  <c r="CA34" i="10" l="1"/>
  <c r="BW34" i="10"/>
  <c r="BK4" i="10" s="1"/>
  <c r="BK73" i="10"/>
  <c r="BK75" i="10" s="1"/>
  <c r="BC32" i="10" s="1"/>
  <c r="BK74" i="10"/>
  <c r="BK76" i="10" s="1"/>
  <c r="BC33" i="10" s="1"/>
  <c r="CL100" i="10"/>
  <c r="CD101" i="10"/>
  <c r="CL101" i="10" s="1"/>
  <c r="BC23" i="10"/>
  <c r="BC25" i="10" s="1"/>
  <c r="BK58" i="10"/>
  <c r="BO66" i="10"/>
  <c r="BO68" i="10" s="1"/>
  <c r="BO63" i="10"/>
  <c r="BO64" i="10" s="1"/>
  <c r="AJ11" i="10"/>
  <c r="AN11" i="10" s="1"/>
  <c r="AJ12" i="10" s="1"/>
  <c r="BC16" i="10"/>
  <c r="BC19" i="10" s="1"/>
  <c r="BK39" i="10"/>
  <c r="BV38" i="10" s="1"/>
  <c r="BG5" i="10"/>
  <c r="BG7" i="10" s="1"/>
  <c r="BO20" i="10"/>
  <c r="BO30" i="10"/>
  <c r="BO33" i="10"/>
  <c r="BO34" i="10"/>
  <c r="BK6" i="10" l="1"/>
  <c r="BK7" i="10" s="1"/>
  <c r="BK10" i="10"/>
  <c r="BK9" i="10"/>
  <c r="BO69" i="10"/>
  <c r="BO70" i="10"/>
  <c r="BK77" i="10"/>
  <c r="BC34" i="10"/>
  <c r="BC37" i="10" s="1"/>
  <c r="CH101" i="10"/>
  <c r="CD102" i="10" s="1"/>
  <c r="BV72" i="10"/>
  <c r="AY27" i="10"/>
  <c r="BX72" i="10"/>
  <c r="BT72" i="10"/>
  <c r="BC28" i="10"/>
  <c r="BC26" i="10"/>
  <c r="BC27" i="10"/>
  <c r="AR11" i="10"/>
  <c r="BC18" i="10"/>
  <c r="BC17" i="10"/>
  <c r="BX38" i="10"/>
  <c r="AY25" i="10"/>
  <c r="BT38" i="10"/>
  <c r="CG4" i="10"/>
  <c r="CI4" i="10"/>
  <c r="CE4" i="10"/>
  <c r="AY24" i="10"/>
  <c r="BG9" i="10"/>
  <c r="BG8" i="10"/>
  <c r="BG10" i="10"/>
  <c r="BO36" i="10"/>
  <c r="BO38" i="10" s="1"/>
  <c r="BG15" i="10" s="1"/>
  <c r="BO35" i="10"/>
  <c r="BO37" i="10" s="1"/>
  <c r="BG14" i="10" s="1"/>
  <c r="AL12" i="10"/>
  <c r="AR12" i="10" s="1"/>
  <c r="BK11" i="10" l="1"/>
  <c r="BK13" i="10"/>
  <c r="BK12" i="10"/>
  <c r="BO71" i="10"/>
  <c r="BO73" i="10" s="1"/>
  <c r="BO75" i="10" s="1"/>
  <c r="BG32" i="10" s="1"/>
  <c r="BC35" i="10"/>
  <c r="CF102" i="10"/>
  <c r="CH102" i="10" s="1"/>
  <c r="BO42" i="10" s="1"/>
  <c r="BO48" i="10" s="1"/>
  <c r="BC36" i="10"/>
  <c r="AY29" i="10"/>
  <c r="BX106" i="10"/>
  <c r="BV106" i="10"/>
  <c r="BT106" i="10"/>
  <c r="BO72" i="10"/>
  <c r="BO74" i="10" s="1"/>
  <c r="BO76" i="10" s="1"/>
  <c r="BG33" i="10" s="1"/>
  <c r="BG16" i="10"/>
  <c r="BG17" i="10" s="1"/>
  <c r="BO39" i="10"/>
  <c r="CG38" i="10" s="1"/>
  <c r="AN12" i="10"/>
  <c r="AJ13" i="10" s="1"/>
  <c r="BK15" i="10" l="1"/>
  <c r="BK17" i="10" s="1"/>
  <c r="BK19" i="10" s="1"/>
  <c r="BC6" i="10" s="1"/>
  <c r="BK14" i="10"/>
  <c r="BK16" i="10" s="1"/>
  <c r="BK18" i="10" s="1"/>
  <c r="CL102" i="10"/>
  <c r="BO44" i="10"/>
  <c r="BO45" i="10" s="1"/>
  <c r="BO47" i="10"/>
  <c r="BO49" i="10" s="1"/>
  <c r="AL13" i="10"/>
  <c r="AR13" i="10" s="1"/>
  <c r="BO77" i="10"/>
  <c r="CI106" i="10" s="1"/>
  <c r="BG34" i="10"/>
  <c r="BG37" i="10" s="1"/>
  <c r="BG19" i="10"/>
  <c r="BG18" i="10"/>
  <c r="CI38" i="10"/>
  <c r="AY26" i="10"/>
  <c r="CE38" i="10"/>
  <c r="BC5" i="10" l="1"/>
  <c r="BC7" i="10" s="1"/>
  <c r="BK20" i="10"/>
  <c r="BO50" i="10"/>
  <c r="BO51" i="10"/>
  <c r="AN13" i="10"/>
  <c r="AL14" i="10" s="1"/>
  <c r="BG36" i="10"/>
  <c r="BG35" i="10"/>
  <c r="CE106" i="10"/>
  <c r="CG106" i="10"/>
  <c r="AY23" i="10" l="1"/>
  <c r="BT4" i="10"/>
  <c r="BV4" i="10"/>
  <c r="BX4" i="10"/>
  <c r="BC10" i="10"/>
  <c r="BC8" i="10"/>
  <c r="BC9" i="10"/>
  <c r="BO52" i="10"/>
  <c r="BO54" i="10" s="1"/>
  <c r="BO56" i="10" s="1"/>
  <c r="BG23" i="10" s="1"/>
  <c r="BO53" i="10"/>
  <c r="BO55" i="10" s="1"/>
  <c r="BO57" i="10" s="1"/>
  <c r="BG24" i="10" s="1"/>
  <c r="AJ14" i="10"/>
  <c r="AN14" i="10" s="1"/>
  <c r="AJ15" i="10" s="1"/>
  <c r="BO58" i="10" l="1"/>
  <c r="CI72" i="10" s="1"/>
  <c r="BG25" i="10"/>
  <c r="BG27" i="10" s="1"/>
  <c r="AY10" i="10" s="1"/>
  <c r="AY15" i="10" s="1"/>
  <c r="AR14" i="10"/>
  <c r="AL15" i="10"/>
  <c r="AR15" i="10" s="1"/>
  <c r="CE72" i="10" l="1"/>
  <c r="BG28" i="10"/>
  <c r="AY11" i="10" s="1"/>
  <c r="AY12" i="10" s="1"/>
  <c r="AY16" i="10" s="1"/>
  <c r="BG26" i="10"/>
  <c r="AY28" i="10"/>
  <c r="AY30" i="10" s="1"/>
  <c r="CG72" i="10"/>
  <c r="AY17" i="10"/>
  <c r="G15" i="10"/>
  <c r="AN15" i="10"/>
  <c r="AL16" i="10" s="1"/>
  <c r="G18" i="10" l="1"/>
  <c r="K27" i="10" s="1"/>
  <c r="AY18" i="10"/>
  <c r="AY19" i="10" s="1"/>
  <c r="AY20" i="10" s="1"/>
  <c r="AJ16" i="10"/>
  <c r="AN16" i="10" s="1"/>
  <c r="AJ17" i="10" s="1"/>
  <c r="AR16" i="10" l="1"/>
  <c r="AL17" i="10"/>
  <c r="AR17" i="10" s="1"/>
  <c r="AN17" i="10" l="1"/>
  <c r="AL18" i="10" s="1"/>
  <c r="AJ18" i="10" l="1"/>
  <c r="AN18" i="10" s="1"/>
  <c r="AJ19" i="10" s="1"/>
  <c r="AR18" i="10" l="1"/>
  <c r="AL19" i="10"/>
  <c r="AN19" i="10" s="1"/>
  <c r="AJ20" i="10" s="1"/>
  <c r="AR19" i="10" l="1"/>
  <c r="AL20" i="10"/>
  <c r="AR20" i="10" s="1"/>
  <c r="AN20" i="10" l="1"/>
  <c r="AJ21" i="10" s="1"/>
  <c r="AL21" i="10" l="1"/>
  <c r="AR21" i="10" s="1"/>
  <c r="AN21" i="10" l="1"/>
  <c r="AL22" i="10" s="1"/>
  <c r="AJ22" i="10" l="1"/>
  <c r="AN22" i="10" s="1"/>
  <c r="AR22" i="10" l="1"/>
  <c r="AJ23" i="10"/>
  <c r="AL23" i="10"/>
  <c r="AN23" i="10" l="1"/>
  <c r="AL24" i="10" s="1"/>
  <c r="AR23" i="10"/>
  <c r="AJ24" i="10" l="1"/>
  <c r="AR24" i="10" s="1"/>
  <c r="AN24" i="10" l="1"/>
  <c r="AL25" i="10" s="1"/>
  <c r="AJ25" i="10" l="1"/>
  <c r="AN25" i="10" s="1"/>
  <c r="AL26" i="10" s="1"/>
  <c r="AR25" i="10" l="1"/>
  <c r="AJ26" i="10"/>
  <c r="AR26" i="10" s="1"/>
  <c r="AN26" i="10" l="1"/>
  <c r="AL27" i="10" s="1"/>
  <c r="AJ27" i="10" l="1"/>
  <c r="AN27" i="10" s="1"/>
  <c r="AL28" i="10" s="1"/>
  <c r="AR27" i="10" l="1"/>
  <c r="AJ28" i="10"/>
  <c r="AR28" i="10" s="1"/>
  <c r="AN28" i="10" l="1"/>
  <c r="AJ29" i="10" s="1"/>
  <c r="AL29" i="10" l="1"/>
  <c r="AR29" i="10" s="1"/>
  <c r="AN29" i="10" l="1"/>
  <c r="AL30" i="10" s="1"/>
  <c r="AJ30" i="10" l="1"/>
  <c r="AR30" i="10" s="1"/>
  <c r="AN30" i="10" l="1"/>
  <c r="AJ31" i="10" s="1"/>
  <c r="AL31" i="10" l="1"/>
  <c r="AN31" i="10" s="1"/>
  <c r="AJ32" i="10" s="1"/>
  <c r="AR31" i="10" l="1"/>
  <c r="AL32" i="10"/>
  <c r="AR32" i="10" s="1"/>
  <c r="AN32" i="10" l="1"/>
  <c r="AJ33" i="10" s="1"/>
  <c r="AL33" i="10" l="1"/>
  <c r="AR33" i="10" s="1"/>
  <c r="AN33" i="10" l="1"/>
  <c r="AL34" i="10" s="1"/>
  <c r="AJ34" i="10" l="1"/>
  <c r="AR34" i="10" s="1"/>
  <c r="AN34" i="10" l="1"/>
  <c r="AJ35" i="10" s="1"/>
  <c r="AL35" i="10" l="1"/>
  <c r="AR35" i="10" s="1"/>
  <c r="AN35" i="10" l="1"/>
  <c r="AL36" i="10" s="1"/>
  <c r="AJ36" i="10" l="1"/>
  <c r="AR36" i="10" s="1"/>
  <c r="AN36" i="10" l="1"/>
  <c r="AL37" i="10" s="1"/>
  <c r="AJ37" i="10" l="1"/>
  <c r="AN37" i="10" s="1"/>
  <c r="AL38" i="10" s="1"/>
  <c r="AR37" i="10" l="1"/>
  <c r="AJ38" i="10"/>
  <c r="AN38" i="10" s="1"/>
  <c r="AJ39" i="10" s="1"/>
  <c r="AR38" i="10" l="1"/>
  <c r="AL39" i="10"/>
  <c r="AN39" i="10" s="1"/>
  <c r="AR39" i="10" l="1"/>
  <c r="AL40" i="10"/>
  <c r="AJ40" i="10"/>
  <c r="AN40" i="10" l="1"/>
  <c r="AR40" i="10"/>
  <c r="AL41" i="10" l="1"/>
  <c r="AJ41" i="10"/>
  <c r="AN41" i="10" l="1"/>
  <c r="AL42" i="10" s="1"/>
  <c r="AR41" i="10"/>
  <c r="AJ42" i="10" l="1"/>
  <c r="AN42" i="10" s="1"/>
  <c r="AJ43" i="10" s="1"/>
  <c r="AL43" i="10" l="1"/>
  <c r="AN43" i="10" s="1"/>
  <c r="AL44" i="10" s="1"/>
  <c r="AR42" i="10"/>
  <c r="AR43" i="10" l="1"/>
  <c r="AJ44" i="10"/>
  <c r="AR44" i="10" s="1"/>
  <c r="AN44" i="10" l="1"/>
  <c r="C5" i="10" s="1"/>
  <c r="K16" i="10" l="1"/>
  <c r="K28" i="10"/>
  <c r="K25" i="10"/>
  <c r="K24" i="10"/>
  <c r="K23" i="10"/>
  <c r="K29" i="10"/>
  <c r="K30" i="10"/>
  <c r="G54" i="10"/>
  <c r="G14" i="10" l="1"/>
  <c r="G16" i="10" s="1"/>
  <c r="O6" i="10"/>
  <c r="O7" i="10" s="1"/>
  <c r="O9" i="10" s="1"/>
  <c r="O10" i="10" s="1"/>
  <c r="G55" i="10"/>
  <c r="K4" i="10" s="1"/>
  <c r="K26" i="10"/>
  <c r="Q38" i="10"/>
  <c r="Q34" i="10"/>
  <c r="Q35" i="10"/>
  <c r="S6" i="10"/>
  <c r="K22" i="10"/>
  <c r="K31" i="10"/>
  <c r="S4" i="10"/>
  <c r="S12" i="10" s="1"/>
  <c r="O4" i="10"/>
  <c r="O12" i="10" s="1"/>
  <c r="K36" i="10"/>
  <c r="AK49" i="10" l="1"/>
  <c r="G17" i="10"/>
  <c r="O13" i="10"/>
  <c r="O16" i="10" s="1"/>
  <c r="K47" i="10"/>
  <c r="K40" i="10"/>
  <c r="S38" i="10"/>
  <c r="S35" i="10"/>
  <c r="S34" i="10"/>
  <c r="S7" i="10"/>
  <c r="S9" i="10" s="1"/>
  <c r="S13" i="10" s="1"/>
  <c r="G6" i="10"/>
  <c r="G23" i="10"/>
  <c r="K39" i="10"/>
  <c r="G48" i="10"/>
  <c r="K5" i="10"/>
  <c r="K48" i="10"/>
  <c r="AO49" i="10"/>
  <c r="AM49" i="10"/>
  <c r="O14" i="10" l="1"/>
  <c r="O20" i="10" s="1"/>
  <c r="O23" i="10" s="1"/>
  <c r="Z39" i="10" s="1"/>
  <c r="S10" i="10"/>
  <c r="O15" i="10" l="1"/>
  <c r="O28" i="10"/>
  <c r="O30" i="10" s="1"/>
  <c r="S16" i="10"/>
  <c r="S14" i="10"/>
  <c r="AD39" i="10"/>
  <c r="AB39" i="10"/>
  <c r="S20" i="10" l="1"/>
  <c r="S23" i="10" s="1"/>
  <c r="S15" i="10"/>
  <c r="AF39" i="10"/>
  <c r="AA40" i="10" s="1"/>
  <c r="AB40" i="10" s="1"/>
  <c r="AE39" i="10"/>
  <c r="Y40" i="10" s="1"/>
  <c r="Z40" i="10" s="1"/>
  <c r="Z4" i="10" l="1"/>
  <c r="S28" i="10"/>
  <c r="S30" i="10" s="1"/>
  <c r="K18" i="10"/>
  <c r="AG40" i="10"/>
  <c r="AC40" i="10"/>
  <c r="AD40" i="10" s="1"/>
  <c r="AE40" i="10" s="1"/>
  <c r="Y41" i="10" s="1"/>
  <c r="Z41" i="10" s="1"/>
  <c r="AB4" i="10" l="1"/>
  <c r="AD4" i="10"/>
  <c r="AF40" i="10"/>
  <c r="AA41" i="10" s="1"/>
  <c r="AC41" i="10" s="1"/>
  <c r="AD41" i="10" s="1"/>
  <c r="AE4" i="10" l="1"/>
  <c r="Y5" i="10" s="1"/>
  <c r="Z5" i="10" s="1"/>
  <c r="AF4" i="10"/>
  <c r="AA5" i="10" s="1"/>
  <c r="AB41" i="10"/>
  <c r="AF41" i="10" s="1"/>
  <c r="AA42" i="10" s="1"/>
  <c r="AB42" i="10" s="1"/>
  <c r="AG41" i="10"/>
  <c r="AE41" i="10"/>
  <c r="Y42" i="10" s="1"/>
  <c r="AC5" i="10" l="1"/>
  <c r="AD5" i="10" s="1"/>
  <c r="AE5" i="10" s="1"/>
  <c r="Y6" i="10" s="1"/>
  <c r="Z6" i="10" s="1"/>
  <c r="AG5" i="10"/>
  <c r="AB5" i="10"/>
  <c r="AG42" i="10"/>
  <c r="AC42" i="10"/>
  <c r="AD42" i="10" s="1"/>
  <c r="AF42" i="10" s="1"/>
  <c r="AA43" i="10" s="1"/>
  <c r="Z42" i="10"/>
  <c r="AF5" i="10" l="1"/>
  <c r="AA6" i="10" s="1"/>
  <c r="AG6" i="10" s="1"/>
  <c r="AE42" i="10"/>
  <c r="Y43" i="10" s="1"/>
  <c r="AG43" i="10" s="1"/>
  <c r="AB43" i="10"/>
  <c r="AC6" i="10" l="1"/>
  <c r="AD6" i="10" s="1"/>
  <c r="AE6" i="10" s="1"/>
  <c r="Y7" i="10" s="1"/>
  <c r="Z7" i="10" s="1"/>
  <c r="AB6" i="10"/>
  <c r="Z43" i="10"/>
  <c r="AC43" i="10"/>
  <c r="AD43" i="10" s="1"/>
  <c r="AF43" i="10" s="1"/>
  <c r="AA44" i="10" s="1"/>
  <c r="AF6" i="10" l="1"/>
  <c r="AA7" i="10" s="1"/>
  <c r="AC7" i="10" s="1"/>
  <c r="AD7" i="10" s="1"/>
  <c r="AE7" i="10" s="1"/>
  <c r="Y8" i="10" s="1"/>
  <c r="Z8" i="10" s="1"/>
  <c r="AE43" i="10"/>
  <c r="Y44" i="10" s="1"/>
  <c r="AC44" i="10" s="1"/>
  <c r="AD44" i="10" s="1"/>
  <c r="AB44" i="10"/>
  <c r="AB7" i="10" l="1"/>
  <c r="AF7" i="10" s="1"/>
  <c r="AA8" i="10" s="1"/>
  <c r="AB8" i="10" s="1"/>
  <c r="AG7" i="10"/>
  <c r="AF44" i="10"/>
  <c r="AA45" i="10" s="1"/>
  <c r="AB45" i="10" s="1"/>
  <c r="AG44" i="10"/>
  <c r="Z44" i="10"/>
  <c r="AE44" i="10" s="1"/>
  <c r="Y45" i="10" s="1"/>
  <c r="AC8" i="10" l="1"/>
  <c r="AD8" i="10" s="1"/>
  <c r="AF8" i="10" s="1"/>
  <c r="AA9" i="10" s="1"/>
  <c r="AG8" i="10"/>
  <c r="Z45" i="10"/>
  <c r="AC45" i="10"/>
  <c r="AD45" i="10" s="1"/>
  <c r="AF45" i="10" s="1"/>
  <c r="AA46" i="10" s="1"/>
  <c r="AG45" i="10"/>
  <c r="AE8" i="10" l="1"/>
  <c r="Y9" i="10" s="1"/>
  <c r="AC9" i="10" s="1"/>
  <c r="AD9" i="10" s="1"/>
  <c r="AB9" i="10"/>
  <c r="AE45" i="10"/>
  <c r="Y46" i="10" s="1"/>
  <c r="AG46" i="10" s="1"/>
  <c r="AB46" i="10"/>
  <c r="AG9" i="10" l="1"/>
  <c r="Z9" i="10"/>
  <c r="AE9" i="10" s="1"/>
  <c r="Y10" i="10" s="1"/>
  <c r="AF9" i="10"/>
  <c r="AA10" i="10" s="1"/>
  <c r="AB10" i="10" s="1"/>
  <c r="Z46" i="10"/>
  <c r="AC46" i="10"/>
  <c r="AD46" i="10" s="1"/>
  <c r="AC10" i="10" l="1"/>
  <c r="AD10" i="10" s="1"/>
  <c r="AF10" i="10" s="1"/>
  <c r="AA11" i="10" s="1"/>
  <c r="AB11" i="10" s="1"/>
  <c r="AG10" i="10"/>
  <c r="Z10" i="10"/>
  <c r="AE46" i="10"/>
  <c r="Y47" i="10" s="1"/>
  <c r="Z47" i="10" s="1"/>
  <c r="AF46" i="10"/>
  <c r="AA47" i="10" s="1"/>
  <c r="AB47" i="10" s="1"/>
  <c r="AE10" i="10" l="1"/>
  <c r="Y11" i="10" s="1"/>
  <c r="AG11" i="10" s="1"/>
  <c r="AC47" i="10"/>
  <c r="AD47" i="10" s="1"/>
  <c r="AE47" i="10" s="1"/>
  <c r="Y48" i="10" s="1"/>
  <c r="Z48" i="10" s="1"/>
  <c r="AG47" i="10"/>
  <c r="AC11" i="10" l="1"/>
  <c r="AD11" i="10" s="1"/>
  <c r="AF11" i="10" s="1"/>
  <c r="AA12" i="10" s="1"/>
  <c r="Z11" i="10"/>
  <c r="AF47" i="10"/>
  <c r="AA48" i="10" s="1"/>
  <c r="AC48" i="10" s="1"/>
  <c r="AD48" i="10" s="1"/>
  <c r="AE48" i="10" s="1"/>
  <c r="Y49" i="10" s="1"/>
  <c r="AE11" i="10" l="1"/>
  <c r="Y12" i="10" s="1"/>
  <c r="AG12" i="10" s="1"/>
  <c r="AB12" i="10"/>
  <c r="AG48" i="10"/>
  <c r="AB48" i="10"/>
  <c r="AF48" i="10" s="1"/>
  <c r="AA49" i="10" s="1"/>
  <c r="AG49" i="10" s="1"/>
  <c r="Z49" i="10"/>
  <c r="AC12" i="10" l="1"/>
  <c r="AD12" i="10" s="1"/>
  <c r="AF12" i="10" s="1"/>
  <c r="AA13" i="10" s="1"/>
  <c r="Z12" i="10"/>
  <c r="AC49" i="10"/>
  <c r="AD49" i="10" s="1"/>
  <c r="AE49" i="10" s="1"/>
  <c r="Y50" i="10" s="1"/>
  <c r="Z50" i="10" s="1"/>
  <c r="AB49" i="10"/>
  <c r="AE12" i="10" l="1"/>
  <c r="Y13" i="10" s="1"/>
  <c r="Z13" i="10" s="1"/>
  <c r="AB13" i="10"/>
  <c r="AF49" i="10"/>
  <c r="AA50" i="10" s="1"/>
  <c r="AB50" i="10" s="1"/>
  <c r="AC13" i="10" l="1"/>
  <c r="AD13" i="10" s="1"/>
  <c r="AE13" i="10" s="1"/>
  <c r="Y14" i="10" s="1"/>
  <c r="Z14" i="10" s="1"/>
  <c r="AG13" i="10"/>
  <c r="AC50" i="10"/>
  <c r="AD50" i="10" s="1"/>
  <c r="AE50" i="10" s="1"/>
  <c r="Y51" i="10" s="1"/>
  <c r="Z51" i="10" s="1"/>
  <c r="AG50" i="10"/>
  <c r="AF13" i="10" l="1"/>
  <c r="AA14" i="10" s="1"/>
  <c r="AG14" i="10" s="1"/>
  <c r="AF50" i="10"/>
  <c r="AA51" i="10" s="1"/>
  <c r="AC51" i="10" s="1"/>
  <c r="AD51" i="10" s="1"/>
  <c r="AE51" i="10" s="1"/>
  <c r="Y52" i="10" s="1"/>
  <c r="Z52" i="10" s="1"/>
  <c r="AC14" i="10" l="1"/>
  <c r="AD14" i="10" s="1"/>
  <c r="AE14" i="10" s="1"/>
  <c r="Y15" i="10" s="1"/>
  <c r="Z15" i="10" s="1"/>
  <c r="AB14" i="10"/>
  <c r="AB51" i="10"/>
  <c r="AF51" i="10" s="1"/>
  <c r="AA52" i="10" s="1"/>
  <c r="AG51" i="10"/>
  <c r="AF14" i="10" l="1"/>
  <c r="AA15" i="10" s="1"/>
  <c r="AC15" i="10" s="1"/>
  <c r="AD15" i="10" s="1"/>
  <c r="AE15" i="10" s="1"/>
  <c r="Y16" i="10" s="1"/>
  <c r="AG52" i="10"/>
  <c r="AC52" i="10"/>
  <c r="AD52" i="10" s="1"/>
  <c r="AE52" i="10" s="1"/>
  <c r="Y53" i="10" s="1"/>
  <c r="Z53" i="10" s="1"/>
  <c r="AB52" i="10"/>
  <c r="AG15" i="10" l="1"/>
  <c r="AB15" i="10"/>
  <c r="AF15" i="10" s="1"/>
  <c r="AA16" i="10" s="1"/>
  <c r="AG16" i="10" s="1"/>
  <c r="Z16" i="10"/>
  <c r="AF52" i="10"/>
  <c r="AA53" i="10" s="1"/>
  <c r="AB53" i="10" s="1"/>
  <c r="AC16" i="10" l="1"/>
  <c r="AD16" i="10" s="1"/>
  <c r="AE16" i="10" s="1"/>
  <c r="Y17" i="10" s="1"/>
  <c r="AB16" i="10"/>
  <c r="AG53" i="10"/>
  <c r="AC53" i="10"/>
  <c r="AD53" i="10" s="1"/>
  <c r="AE53" i="10" s="1"/>
  <c r="Y54" i="10" s="1"/>
  <c r="Z54" i="10" s="1"/>
  <c r="AF16" i="10" l="1"/>
  <c r="AA17" i="10" s="1"/>
  <c r="AG17" i="10" s="1"/>
  <c r="Z17" i="10"/>
  <c r="AF53" i="10"/>
  <c r="AA54" i="10" s="1"/>
  <c r="AB54" i="10" s="1"/>
  <c r="AC17" i="10" l="1"/>
  <c r="AD17" i="10" s="1"/>
  <c r="AE17" i="10" s="1"/>
  <c r="Y18" i="10" s="1"/>
  <c r="Z18" i="10" s="1"/>
  <c r="AB17" i="10"/>
  <c r="AC54" i="10"/>
  <c r="AD54" i="10" s="1"/>
  <c r="AE54" i="10" s="1"/>
  <c r="Y55" i="10" s="1"/>
  <c r="Z55" i="10" s="1"/>
  <c r="AG54" i="10"/>
  <c r="AF17" i="10" l="1"/>
  <c r="AA18" i="10" s="1"/>
  <c r="AG18" i="10" s="1"/>
  <c r="AF54" i="10"/>
  <c r="AA55" i="10" s="1"/>
  <c r="AG55" i="10" s="1"/>
  <c r="AB18" i="10" l="1"/>
  <c r="AC18" i="10"/>
  <c r="AD18" i="10" s="1"/>
  <c r="AE18" i="10" s="1"/>
  <c r="Y19" i="10" s="1"/>
  <c r="Z19" i="10" s="1"/>
  <c r="AB55" i="10"/>
  <c r="AC55" i="10"/>
  <c r="AD55" i="10" s="1"/>
  <c r="AE55" i="10" s="1"/>
  <c r="Y56" i="10" s="1"/>
  <c r="Z56" i="10" s="1"/>
  <c r="AF18" i="10" l="1"/>
  <c r="AA19" i="10" s="1"/>
  <c r="AB19" i="10" s="1"/>
  <c r="AF55" i="10"/>
  <c r="AA56" i="10" s="1"/>
  <c r="AC56" i="10" s="1"/>
  <c r="AD56" i="10" s="1"/>
  <c r="AE56" i="10" s="1"/>
  <c r="Y57" i="10" s="1"/>
  <c r="Z57" i="10" s="1"/>
  <c r="AG19" i="10" l="1"/>
  <c r="AC19" i="10"/>
  <c r="AD19" i="10" s="1"/>
  <c r="AE19" i="10" s="1"/>
  <c r="Y20" i="10" s="1"/>
  <c r="Z20" i="10" s="1"/>
  <c r="AB56" i="10"/>
  <c r="AF56" i="10" s="1"/>
  <c r="AA57" i="10" s="1"/>
  <c r="AG56" i="10"/>
  <c r="AF19" i="10" l="1"/>
  <c r="AA20" i="10" s="1"/>
  <c r="AG20" i="10" s="1"/>
  <c r="AB57" i="10"/>
  <c r="AC57" i="10"/>
  <c r="AD57" i="10" s="1"/>
  <c r="AE57" i="10" s="1"/>
  <c r="Y58" i="10" s="1"/>
  <c r="Z58" i="10" s="1"/>
  <c r="AG57" i="10"/>
  <c r="AC20" i="10" l="1"/>
  <c r="AD20" i="10" s="1"/>
  <c r="AE20" i="10" s="1"/>
  <c r="Y21" i="10" s="1"/>
  <c r="Z21" i="10" s="1"/>
  <c r="AB20" i="10"/>
  <c r="AF57" i="10"/>
  <c r="AA58" i="10" s="1"/>
  <c r="AC58" i="10" s="1"/>
  <c r="AD58" i="10" s="1"/>
  <c r="AE58" i="10" s="1"/>
  <c r="Y59" i="10" s="1"/>
  <c r="Z59" i="10" s="1"/>
  <c r="AF20" i="10" l="1"/>
  <c r="AA21" i="10" s="1"/>
  <c r="AC21" i="10" s="1"/>
  <c r="AD21" i="10" s="1"/>
  <c r="AE21" i="10" s="1"/>
  <c r="Y22" i="10" s="1"/>
  <c r="AG58" i="10"/>
  <c r="AB58" i="10"/>
  <c r="AF58" i="10" s="1"/>
  <c r="AA59" i="10" s="1"/>
  <c r="AC59" i="10" s="1"/>
  <c r="AD59" i="10" s="1"/>
  <c r="AE59" i="10" s="1"/>
  <c r="Y60" i="10" s="1"/>
  <c r="Z60" i="10" s="1"/>
  <c r="AB21" i="10" l="1"/>
  <c r="AF21" i="10" s="1"/>
  <c r="AA22" i="10" s="1"/>
  <c r="AB22" i="10" s="1"/>
  <c r="AG21" i="10"/>
  <c r="Z22" i="10"/>
  <c r="AG59" i="10"/>
  <c r="AB59" i="10"/>
  <c r="AF59" i="10" s="1"/>
  <c r="AA60" i="10" s="1"/>
  <c r="AC22" i="10" l="1"/>
  <c r="AD22" i="10" s="1"/>
  <c r="AE22" i="10" s="1"/>
  <c r="Y23" i="10" s="1"/>
  <c r="Z23" i="10" s="1"/>
  <c r="AG22" i="10"/>
  <c r="AB60" i="10"/>
  <c r="AC60" i="10"/>
  <c r="AD60" i="10" s="1"/>
  <c r="AE60" i="10" s="1"/>
  <c r="Y61" i="10" s="1"/>
  <c r="Z61" i="10" s="1"/>
  <c r="AG60" i="10"/>
  <c r="AF22" i="10" l="1"/>
  <c r="AA23" i="10" s="1"/>
  <c r="AB23" i="10" s="1"/>
  <c r="AF60" i="10"/>
  <c r="AA61" i="10" s="1"/>
  <c r="AG61" i="10" s="1"/>
  <c r="AC23" i="10" l="1"/>
  <c r="AD23" i="10" s="1"/>
  <c r="AE23" i="10" s="1"/>
  <c r="Y24" i="10" s="1"/>
  <c r="Z24" i="10" s="1"/>
  <c r="AG23" i="10"/>
  <c r="AB61" i="10"/>
  <c r="AC61" i="10"/>
  <c r="AD61" i="10" s="1"/>
  <c r="AE61" i="10" s="1"/>
  <c r="Y62" i="10" s="1"/>
  <c r="Z62" i="10" s="1"/>
  <c r="AF23" i="10" l="1"/>
  <c r="AA24" i="10" s="1"/>
  <c r="AG24" i="10" s="1"/>
  <c r="AF61" i="10"/>
  <c r="AA62" i="10" s="1"/>
  <c r="AG62" i="10" s="1"/>
  <c r="BK5" i="9"/>
  <c r="C11" i="9"/>
  <c r="C21" i="9" s="1"/>
  <c r="AB24" i="10" l="1"/>
  <c r="AC24" i="10"/>
  <c r="AD24" i="10" s="1"/>
  <c r="AE24" i="10" s="1"/>
  <c r="Y25" i="10" s="1"/>
  <c r="Z25" i="10" s="1"/>
  <c r="AB62" i="10"/>
  <c r="AC62" i="10"/>
  <c r="AD62" i="10" s="1"/>
  <c r="AE62" i="10" s="1"/>
  <c r="Y63" i="10" s="1"/>
  <c r="Z63" i="10" s="1"/>
  <c r="BO62" i="9"/>
  <c r="BO43" i="9"/>
  <c r="CK136" i="9"/>
  <c r="CJ136" i="9"/>
  <c r="CK135" i="9"/>
  <c r="CJ135" i="9"/>
  <c r="CK134" i="9"/>
  <c r="CJ134" i="9"/>
  <c r="CK133" i="9"/>
  <c r="CJ133" i="9"/>
  <c r="CK132" i="9"/>
  <c r="CJ132" i="9"/>
  <c r="CK131" i="9"/>
  <c r="CJ131" i="9"/>
  <c r="CK130" i="9"/>
  <c r="CJ130" i="9"/>
  <c r="CK129" i="9"/>
  <c r="CJ129" i="9"/>
  <c r="CK128" i="9"/>
  <c r="CJ128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20" i="9"/>
  <c r="CJ120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2" i="9"/>
  <c r="CJ112" i="9"/>
  <c r="CK111" i="9"/>
  <c r="CJ111" i="9"/>
  <c r="CK110" i="9"/>
  <c r="CJ110" i="9"/>
  <c r="CK109" i="9"/>
  <c r="CJ109" i="9"/>
  <c r="CK108" i="9"/>
  <c r="CJ108" i="9"/>
  <c r="CK107" i="9"/>
  <c r="CJ107" i="9"/>
  <c r="AF24" i="10" l="1"/>
  <c r="AA25" i="10" s="1"/>
  <c r="AB25" i="10" s="1"/>
  <c r="AF62" i="10"/>
  <c r="AA63" i="10" s="1"/>
  <c r="AC63" i="10" s="1"/>
  <c r="AD63" i="10" s="1"/>
  <c r="AE63" i="10" s="1"/>
  <c r="Y64" i="10" s="1"/>
  <c r="Z64" i="10" s="1"/>
  <c r="CH107" i="9"/>
  <c r="CF108" i="9"/>
  <c r="CL107" i="9"/>
  <c r="CD108" i="9"/>
  <c r="C31" i="9"/>
  <c r="AQ79" i="9"/>
  <c r="AP79" i="9"/>
  <c r="AQ78" i="9"/>
  <c r="AP78" i="9"/>
  <c r="AQ77" i="9"/>
  <c r="AP77" i="9"/>
  <c r="AQ76" i="9"/>
  <c r="AP76" i="9"/>
  <c r="AQ75" i="9"/>
  <c r="AP75" i="9"/>
  <c r="AQ74" i="9"/>
  <c r="AP74" i="9"/>
  <c r="AQ73" i="9"/>
  <c r="AP73" i="9"/>
  <c r="AQ72" i="9"/>
  <c r="AP72" i="9"/>
  <c r="AQ71" i="9"/>
  <c r="AP71" i="9"/>
  <c r="AQ70" i="9"/>
  <c r="AP70" i="9"/>
  <c r="AQ69" i="9"/>
  <c r="AP69" i="9"/>
  <c r="AQ68" i="9"/>
  <c r="AP68" i="9"/>
  <c r="AQ67" i="9"/>
  <c r="AP67" i="9"/>
  <c r="AQ66" i="9"/>
  <c r="AP66" i="9"/>
  <c r="AQ65" i="9"/>
  <c r="AP65" i="9"/>
  <c r="AQ64" i="9"/>
  <c r="AP64" i="9"/>
  <c r="AQ63" i="9"/>
  <c r="AP63" i="9"/>
  <c r="AQ62" i="9"/>
  <c r="AP62" i="9"/>
  <c r="AQ61" i="9"/>
  <c r="AP61" i="9"/>
  <c r="AQ60" i="9"/>
  <c r="AP60" i="9"/>
  <c r="AQ59" i="9"/>
  <c r="AP59" i="9"/>
  <c r="AQ58" i="9"/>
  <c r="AP58" i="9"/>
  <c r="AQ57" i="9"/>
  <c r="AP57" i="9"/>
  <c r="AQ56" i="9"/>
  <c r="AP56" i="9"/>
  <c r="AQ55" i="9"/>
  <c r="AP55" i="9"/>
  <c r="AQ54" i="9"/>
  <c r="AP54" i="9"/>
  <c r="AQ53" i="9"/>
  <c r="AP53" i="9"/>
  <c r="AQ52" i="9"/>
  <c r="AP52" i="9"/>
  <c r="AQ51" i="9"/>
  <c r="AP51" i="9"/>
  <c r="AR50" i="9"/>
  <c r="AQ50" i="9"/>
  <c r="AP50" i="9"/>
  <c r="AN50" i="9"/>
  <c r="G29" i="9"/>
  <c r="AU8" i="9"/>
  <c r="AC25" i="10" l="1"/>
  <c r="AD25" i="10" s="1"/>
  <c r="AE25" i="10" s="1"/>
  <c r="Y26" i="10" s="1"/>
  <c r="AG25" i="10"/>
  <c r="AB63" i="10"/>
  <c r="AF63" i="10" s="1"/>
  <c r="AA64" i="10" s="1"/>
  <c r="AG64" i="10" s="1"/>
  <c r="AG63" i="10"/>
  <c r="CH108" i="9"/>
  <c r="CF109" i="9" s="1"/>
  <c r="CL108" i="9"/>
  <c r="AU32" i="9"/>
  <c r="AU25" i="9"/>
  <c r="AU34" i="9"/>
  <c r="AU31" i="9"/>
  <c r="AU24" i="9"/>
  <c r="AU30" i="9"/>
  <c r="AU23" i="9"/>
  <c r="AU19" i="9"/>
  <c r="AU27" i="9"/>
  <c r="BK8" i="9" s="1"/>
  <c r="AU29" i="9"/>
  <c r="AU22" i="9"/>
  <c r="AU26" i="9"/>
  <c r="BG31" i="9" s="1"/>
  <c r="AU28" i="9"/>
  <c r="AU21" i="9"/>
  <c r="AU20" i="9"/>
  <c r="BC13" i="9" s="1"/>
  <c r="AU10" i="9"/>
  <c r="AU33" i="9"/>
  <c r="AL51" i="9"/>
  <c r="AJ51" i="9"/>
  <c r="AU3" i="9"/>
  <c r="AY3" i="9"/>
  <c r="AY4" i="9" s="1"/>
  <c r="BO5" i="9"/>
  <c r="BS5" i="9"/>
  <c r="BU5" i="9"/>
  <c r="BY5" i="9"/>
  <c r="BZ5" i="9"/>
  <c r="CD5" i="9"/>
  <c r="CF5" i="9"/>
  <c r="CJ5" i="9"/>
  <c r="CK5" i="9"/>
  <c r="BY6" i="9"/>
  <c r="BZ6" i="9"/>
  <c r="CJ6" i="9"/>
  <c r="CK6" i="9"/>
  <c r="BY7" i="9"/>
  <c r="BZ7" i="9"/>
  <c r="CJ7" i="9"/>
  <c r="CK7" i="9"/>
  <c r="BY8" i="9"/>
  <c r="BZ8" i="9"/>
  <c r="CJ8" i="9"/>
  <c r="CK8" i="9"/>
  <c r="BY9" i="9"/>
  <c r="BZ9" i="9"/>
  <c r="CJ9" i="9"/>
  <c r="CK9" i="9"/>
  <c r="BY10" i="9"/>
  <c r="BZ10" i="9"/>
  <c r="CJ10" i="9"/>
  <c r="CK10" i="9"/>
  <c r="BY11" i="9"/>
  <c r="BZ11" i="9"/>
  <c r="CJ11" i="9"/>
  <c r="CK11" i="9"/>
  <c r="BY12" i="9"/>
  <c r="BZ12" i="9"/>
  <c r="CJ12" i="9"/>
  <c r="CK12" i="9"/>
  <c r="BY13" i="9"/>
  <c r="BZ13" i="9"/>
  <c r="CJ13" i="9"/>
  <c r="CK13" i="9"/>
  <c r="BY14" i="9"/>
  <c r="BZ14" i="9"/>
  <c r="CJ14" i="9"/>
  <c r="CK14" i="9"/>
  <c r="BY15" i="9"/>
  <c r="BZ15" i="9"/>
  <c r="CJ15" i="9"/>
  <c r="CK15" i="9"/>
  <c r="BY16" i="9"/>
  <c r="BZ16" i="9"/>
  <c r="CJ16" i="9"/>
  <c r="CK16" i="9"/>
  <c r="BY17" i="9"/>
  <c r="BZ17" i="9"/>
  <c r="CJ17" i="9"/>
  <c r="CK17" i="9"/>
  <c r="BY18" i="9"/>
  <c r="BZ18" i="9"/>
  <c r="CJ18" i="9"/>
  <c r="CK18" i="9"/>
  <c r="BY19" i="9"/>
  <c r="BZ19" i="9"/>
  <c r="CJ19" i="9"/>
  <c r="CK19" i="9"/>
  <c r="BY20" i="9"/>
  <c r="BZ20" i="9"/>
  <c r="CJ20" i="9"/>
  <c r="CK20" i="9"/>
  <c r="BY21" i="9"/>
  <c r="BZ21" i="9"/>
  <c r="CJ21" i="9"/>
  <c r="CK21" i="9"/>
  <c r="BY22" i="9"/>
  <c r="BZ22" i="9"/>
  <c r="CJ22" i="9"/>
  <c r="CK22" i="9"/>
  <c r="BY23" i="9"/>
  <c r="BZ23" i="9"/>
  <c r="CJ23" i="9"/>
  <c r="CK23" i="9"/>
  <c r="BK24" i="9"/>
  <c r="BO24" i="9"/>
  <c r="BY24" i="9"/>
  <c r="BZ24" i="9"/>
  <c r="CJ24" i="9"/>
  <c r="CK24" i="9"/>
  <c r="BY25" i="9"/>
  <c r="BZ25" i="9"/>
  <c r="CJ25" i="9"/>
  <c r="CK25" i="9"/>
  <c r="BY26" i="9"/>
  <c r="BZ26" i="9"/>
  <c r="CJ26" i="9"/>
  <c r="CK26" i="9"/>
  <c r="BY27" i="9"/>
  <c r="BZ27" i="9"/>
  <c r="CJ27" i="9"/>
  <c r="CK27" i="9"/>
  <c r="BY28" i="9"/>
  <c r="BZ28" i="9"/>
  <c r="CJ28" i="9"/>
  <c r="CK28" i="9"/>
  <c r="BY29" i="9"/>
  <c r="BZ29" i="9"/>
  <c r="CJ29" i="9"/>
  <c r="CK29" i="9"/>
  <c r="BY30" i="9"/>
  <c r="BZ30" i="9"/>
  <c r="CJ30" i="9"/>
  <c r="CK30" i="9"/>
  <c r="BY31" i="9"/>
  <c r="BZ31" i="9"/>
  <c r="CJ31" i="9"/>
  <c r="CK31" i="9"/>
  <c r="BY32" i="9"/>
  <c r="BZ32" i="9"/>
  <c r="CJ32" i="9"/>
  <c r="CK32" i="9"/>
  <c r="BY33" i="9"/>
  <c r="BZ33" i="9"/>
  <c r="CJ33" i="9"/>
  <c r="CK33" i="9"/>
  <c r="BY34" i="9"/>
  <c r="BZ34" i="9"/>
  <c r="CJ34" i="9"/>
  <c r="CK34" i="9"/>
  <c r="BS39" i="9"/>
  <c r="BU39" i="9"/>
  <c r="BY39" i="9"/>
  <c r="BZ39" i="9"/>
  <c r="CD39" i="9"/>
  <c r="CF39" i="9"/>
  <c r="CJ39" i="9"/>
  <c r="CK39" i="9"/>
  <c r="BY40" i="9"/>
  <c r="BZ40" i="9"/>
  <c r="CJ40" i="9"/>
  <c r="CK40" i="9"/>
  <c r="BY41" i="9"/>
  <c r="BZ41" i="9"/>
  <c r="CJ41" i="9"/>
  <c r="CK41" i="9"/>
  <c r="BY42" i="9"/>
  <c r="BZ42" i="9"/>
  <c r="CJ42" i="9"/>
  <c r="CK42" i="9"/>
  <c r="BK43" i="9"/>
  <c r="BY43" i="9"/>
  <c r="BZ43" i="9"/>
  <c r="CJ43" i="9"/>
  <c r="CK43" i="9"/>
  <c r="BY44" i="9"/>
  <c r="BZ44" i="9"/>
  <c r="CJ44" i="9"/>
  <c r="CK44" i="9"/>
  <c r="BY45" i="9"/>
  <c r="BZ45" i="9"/>
  <c r="CJ45" i="9"/>
  <c r="CK45" i="9"/>
  <c r="BY46" i="9"/>
  <c r="BZ46" i="9"/>
  <c r="CJ46" i="9"/>
  <c r="CK46" i="9"/>
  <c r="BY47" i="9"/>
  <c r="BZ47" i="9"/>
  <c r="CJ47" i="9"/>
  <c r="CK47" i="9"/>
  <c r="BY48" i="9"/>
  <c r="BZ48" i="9"/>
  <c r="CJ48" i="9"/>
  <c r="CK48" i="9"/>
  <c r="BY49" i="9"/>
  <c r="BZ49" i="9"/>
  <c r="CJ49" i="9"/>
  <c r="CK49" i="9"/>
  <c r="BY50" i="9"/>
  <c r="BZ50" i="9"/>
  <c r="CJ50" i="9"/>
  <c r="CK50" i="9"/>
  <c r="BY51" i="9"/>
  <c r="BZ51" i="9"/>
  <c r="CJ51" i="9"/>
  <c r="CK51" i="9"/>
  <c r="BY52" i="9"/>
  <c r="BZ52" i="9"/>
  <c r="CJ52" i="9"/>
  <c r="CK52" i="9"/>
  <c r="BY53" i="9"/>
  <c r="BZ53" i="9"/>
  <c r="CJ53" i="9"/>
  <c r="CK53" i="9"/>
  <c r="BY54" i="9"/>
  <c r="BZ54" i="9"/>
  <c r="CJ54" i="9"/>
  <c r="CK54" i="9"/>
  <c r="BY55" i="9"/>
  <c r="BZ55" i="9"/>
  <c r="CJ55" i="9"/>
  <c r="CK55" i="9"/>
  <c r="BY56" i="9"/>
  <c r="BZ56" i="9"/>
  <c r="CJ56" i="9"/>
  <c r="CK56" i="9"/>
  <c r="BY57" i="9"/>
  <c r="BZ57" i="9"/>
  <c r="CJ57" i="9"/>
  <c r="CK57" i="9"/>
  <c r="BY58" i="9"/>
  <c r="BZ58" i="9"/>
  <c r="CJ58" i="9"/>
  <c r="CK58" i="9"/>
  <c r="BY59" i="9"/>
  <c r="BZ59" i="9"/>
  <c r="CJ59" i="9"/>
  <c r="CK59" i="9"/>
  <c r="BY60" i="9"/>
  <c r="BZ60" i="9"/>
  <c r="CJ60" i="9"/>
  <c r="CK60" i="9"/>
  <c r="BY61" i="9"/>
  <c r="BZ61" i="9"/>
  <c r="CJ61" i="9"/>
  <c r="CK61" i="9"/>
  <c r="BK62" i="9"/>
  <c r="BY62" i="9"/>
  <c r="BZ62" i="9"/>
  <c r="CJ62" i="9"/>
  <c r="CK62" i="9"/>
  <c r="BY63" i="9"/>
  <c r="BZ63" i="9"/>
  <c r="CJ63" i="9"/>
  <c r="CK63" i="9"/>
  <c r="BY64" i="9"/>
  <c r="BZ64" i="9"/>
  <c r="CJ64" i="9"/>
  <c r="CK64" i="9"/>
  <c r="BY65" i="9"/>
  <c r="BZ65" i="9"/>
  <c r="CJ65" i="9"/>
  <c r="CK65" i="9"/>
  <c r="BY66" i="9"/>
  <c r="BZ66" i="9"/>
  <c r="CJ66" i="9"/>
  <c r="CK66" i="9"/>
  <c r="BY67" i="9"/>
  <c r="BZ67" i="9"/>
  <c r="CJ67" i="9"/>
  <c r="CK67" i="9"/>
  <c r="BY68" i="9"/>
  <c r="BZ68" i="9"/>
  <c r="CJ68" i="9"/>
  <c r="CK68" i="9"/>
  <c r="BS73" i="9"/>
  <c r="BU73" i="9"/>
  <c r="BY73" i="9"/>
  <c r="BZ73" i="9"/>
  <c r="CD73" i="9"/>
  <c r="CF73" i="9"/>
  <c r="CJ73" i="9"/>
  <c r="CK73" i="9"/>
  <c r="BY74" i="9"/>
  <c r="BZ74" i="9"/>
  <c r="CJ74" i="9"/>
  <c r="CK74" i="9"/>
  <c r="BY75" i="9"/>
  <c r="BZ75" i="9"/>
  <c r="CJ75" i="9"/>
  <c r="CK75" i="9"/>
  <c r="BY76" i="9"/>
  <c r="BZ76" i="9"/>
  <c r="CJ76" i="9"/>
  <c r="CK76" i="9"/>
  <c r="BY77" i="9"/>
  <c r="BZ77" i="9"/>
  <c r="CJ77" i="9"/>
  <c r="CK77" i="9"/>
  <c r="BY78" i="9"/>
  <c r="BZ78" i="9"/>
  <c r="CJ78" i="9"/>
  <c r="CK78" i="9"/>
  <c r="BY79" i="9"/>
  <c r="BZ79" i="9"/>
  <c r="CJ79" i="9"/>
  <c r="CK79" i="9"/>
  <c r="BY80" i="9"/>
  <c r="BZ80" i="9"/>
  <c r="CJ80" i="9"/>
  <c r="CK80" i="9"/>
  <c r="BY81" i="9"/>
  <c r="BZ81" i="9"/>
  <c r="CJ81" i="9"/>
  <c r="CK81" i="9"/>
  <c r="BY82" i="9"/>
  <c r="BZ82" i="9"/>
  <c r="CJ82" i="9"/>
  <c r="CK82" i="9"/>
  <c r="BY83" i="9"/>
  <c r="BZ83" i="9"/>
  <c r="CJ83" i="9"/>
  <c r="CK83" i="9"/>
  <c r="BY84" i="9"/>
  <c r="BZ84" i="9"/>
  <c r="CJ84" i="9"/>
  <c r="CK84" i="9"/>
  <c r="BY85" i="9"/>
  <c r="BZ85" i="9"/>
  <c r="CJ85" i="9"/>
  <c r="CK85" i="9"/>
  <c r="BY86" i="9"/>
  <c r="BZ86" i="9"/>
  <c r="CJ86" i="9"/>
  <c r="CK86" i="9"/>
  <c r="BY87" i="9"/>
  <c r="BZ87" i="9"/>
  <c r="CJ87" i="9"/>
  <c r="CK87" i="9"/>
  <c r="BY88" i="9"/>
  <c r="BZ88" i="9"/>
  <c r="CJ88" i="9"/>
  <c r="CK88" i="9"/>
  <c r="BY89" i="9"/>
  <c r="BZ89" i="9"/>
  <c r="CJ89" i="9"/>
  <c r="CK89" i="9"/>
  <c r="BY90" i="9"/>
  <c r="BZ90" i="9"/>
  <c r="CJ90" i="9"/>
  <c r="CK90" i="9"/>
  <c r="BY91" i="9"/>
  <c r="BZ91" i="9"/>
  <c r="CJ91" i="9"/>
  <c r="CK91" i="9"/>
  <c r="BY92" i="9"/>
  <c r="BZ92" i="9"/>
  <c r="CJ92" i="9"/>
  <c r="CK92" i="9"/>
  <c r="BY93" i="9"/>
  <c r="BZ93" i="9"/>
  <c r="CJ93" i="9"/>
  <c r="CK93" i="9"/>
  <c r="BY94" i="9"/>
  <c r="BZ94" i="9"/>
  <c r="CJ94" i="9"/>
  <c r="CK94" i="9"/>
  <c r="BY95" i="9"/>
  <c r="BZ95" i="9"/>
  <c r="CJ95" i="9"/>
  <c r="CK95" i="9"/>
  <c r="BY96" i="9"/>
  <c r="BZ96" i="9"/>
  <c r="CJ96" i="9"/>
  <c r="CK96" i="9"/>
  <c r="BY97" i="9"/>
  <c r="BZ97" i="9"/>
  <c r="CJ97" i="9"/>
  <c r="CK97" i="9"/>
  <c r="BY98" i="9"/>
  <c r="BZ98" i="9"/>
  <c r="CJ98" i="9"/>
  <c r="CK98" i="9"/>
  <c r="BY99" i="9"/>
  <c r="BZ99" i="9"/>
  <c r="CJ99" i="9"/>
  <c r="CK99" i="9"/>
  <c r="BY100" i="9"/>
  <c r="BZ100" i="9"/>
  <c r="CJ100" i="9"/>
  <c r="CK100" i="9"/>
  <c r="BY101" i="9"/>
  <c r="BZ101" i="9"/>
  <c r="CJ101" i="9"/>
  <c r="CK101" i="9"/>
  <c r="BY102" i="9"/>
  <c r="BZ102" i="9"/>
  <c r="CJ102" i="9"/>
  <c r="CK102" i="9"/>
  <c r="BS107" i="9"/>
  <c r="BU107" i="9"/>
  <c r="BY107" i="9"/>
  <c r="BZ107" i="9"/>
  <c r="BY108" i="9"/>
  <c r="BZ108" i="9"/>
  <c r="BY109" i="9"/>
  <c r="BZ109" i="9"/>
  <c r="BY110" i="9"/>
  <c r="BZ110" i="9"/>
  <c r="BY111" i="9"/>
  <c r="BZ111" i="9"/>
  <c r="BY112" i="9"/>
  <c r="BZ112" i="9"/>
  <c r="BY113" i="9"/>
  <c r="BZ113" i="9"/>
  <c r="BY114" i="9"/>
  <c r="BZ114" i="9"/>
  <c r="BY115" i="9"/>
  <c r="BZ115" i="9"/>
  <c r="BY116" i="9"/>
  <c r="BZ116" i="9"/>
  <c r="BY117" i="9"/>
  <c r="BZ117" i="9"/>
  <c r="BY118" i="9"/>
  <c r="BZ118" i="9"/>
  <c r="BY119" i="9"/>
  <c r="BZ119" i="9"/>
  <c r="BY120" i="9"/>
  <c r="BZ120" i="9"/>
  <c r="BY121" i="9"/>
  <c r="BZ121" i="9"/>
  <c r="BY122" i="9"/>
  <c r="BZ122" i="9"/>
  <c r="BY123" i="9"/>
  <c r="BZ123" i="9"/>
  <c r="BY124" i="9"/>
  <c r="BZ124" i="9"/>
  <c r="BY125" i="9"/>
  <c r="BZ125" i="9"/>
  <c r="BY126" i="9"/>
  <c r="BZ126" i="9"/>
  <c r="BY127" i="9"/>
  <c r="BZ127" i="9"/>
  <c r="BY128" i="9"/>
  <c r="BZ128" i="9"/>
  <c r="BY129" i="9"/>
  <c r="BZ129" i="9"/>
  <c r="BY130" i="9"/>
  <c r="BZ130" i="9"/>
  <c r="BY131" i="9"/>
  <c r="BZ131" i="9"/>
  <c r="BY132" i="9"/>
  <c r="BZ132" i="9"/>
  <c r="BY133" i="9"/>
  <c r="BZ133" i="9"/>
  <c r="BY134" i="9"/>
  <c r="BZ134" i="9"/>
  <c r="BY135" i="9"/>
  <c r="BZ135" i="9"/>
  <c r="BY136" i="9"/>
  <c r="BZ136" i="9"/>
  <c r="G53" i="9"/>
  <c r="AQ44" i="9"/>
  <c r="AP44" i="9"/>
  <c r="AQ43" i="9"/>
  <c r="AP43" i="9"/>
  <c r="AQ42" i="9"/>
  <c r="AP42" i="9"/>
  <c r="AQ41" i="9"/>
  <c r="AP41" i="9"/>
  <c r="AQ40" i="9"/>
  <c r="AP40" i="9"/>
  <c r="AQ39" i="9"/>
  <c r="AP39" i="9"/>
  <c r="AG39" i="9"/>
  <c r="AC39" i="9"/>
  <c r="AQ38" i="9"/>
  <c r="AP38" i="9"/>
  <c r="AQ37" i="9"/>
  <c r="AP37" i="9"/>
  <c r="AQ36" i="9"/>
  <c r="AP36" i="9"/>
  <c r="AQ35" i="9"/>
  <c r="AP35" i="9"/>
  <c r="AQ34" i="9"/>
  <c r="AP34" i="9"/>
  <c r="AQ33" i="9"/>
  <c r="AP33" i="9"/>
  <c r="AQ32" i="9"/>
  <c r="AP32" i="9"/>
  <c r="AQ31" i="9"/>
  <c r="AP31" i="9"/>
  <c r="AQ30" i="9"/>
  <c r="AP30" i="9"/>
  <c r="AQ29" i="9"/>
  <c r="AP29" i="9"/>
  <c r="AQ28" i="9"/>
  <c r="AP28" i="9"/>
  <c r="AQ27" i="9"/>
  <c r="AP27" i="9"/>
  <c r="AQ26" i="9"/>
  <c r="AP26" i="9"/>
  <c r="AQ25" i="9"/>
  <c r="AP25" i="9"/>
  <c r="AQ24" i="9"/>
  <c r="AP24" i="9"/>
  <c r="AQ23" i="9"/>
  <c r="AP23" i="9"/>
  <c r="AQ22" i="9"/>
  <c r="AP22" i="9"/>
  <c r="AQ21" i="9"/>
  <c r="AP21" i="9"/>
  <c r="AQ20" i="9"/>
  <c r="AP20" i="9"/>
  <c r="AQ19" i="9"/>
  <c r="AP19" i="9"/>
  <c r="AQ18" i="9"/>
  <c r="AP18" i="9"/>
  <c r="AQ17" i="9"/>
  <c r="AP17" i="9"/>
  <c r="AQ16" i="9"/>
  <c r="AP16" i="9"/>
  <c r="AQ15" i="9"/>
  <c r="AP15" i="9"/>
  <c r="AQ14" i="9"/>
  <c r="AP14" i="9"/>
  <c r="AQ13" i="9"/>
  <c r="AP13" i="9"/>
  <c r="O4" i="9"/>
  <c r="K31" i="9"/>
  <c r="AQ12" i="9"/>
  <c r="AP12" i="9"/>
  <c r="AQ11" i="9"/>
  <c r="AP11" i="9"/>
  <c r="AQ10" i="9"/>
  <c r="AP10" i="9"/>
  <c r="AQ9" i="9"/>
  <c r="AP9" i="9"/>
  <c r="AQ8" i="9"/>
  <c r="AP8" i="9"/>
  <c r="AQ7" i="9"/>
  <c r="AP7" i="9"/>
  <c r="AQ6" i="9"/>
  <c r="AP6" i="9"/>
  <c r="AR5" i="9"/>
  <c r="AQ5" i="9"/>
  <c r="AP5" i="9"/>
  <c r="AN5" i="9"/>
  <c r="AG4" i="9"/>
  <c r="AC4" i="9"/>
  <c r="AF25" i="10" l="1"/>
  <c r="AA26" i="10" s="1"/>
  <c r="AG26" i="10" s="1"/>
  <c r="Z26" i="10"/>
  <c r="BO46" i="9"/>
  <c r="BO8" i="9"/>
  <c r="BK65" i="9"/>
  <c r="BO27" i="9"/>
  <c r="BC4" i="9"/>
  <c r="AB64" i="10"/>
  <c r="AC64" i="10"/>
  <c r="AD64" i="10" s="1"/>
  <c r="AE64" i="10" s="1"/>
  <c r="Y65" i="10" s="1"/>
  <c r="Z65" i="10" s="1"/>
  <c r="CD109" i="9"/>
  <c r="BC31" i="9"/>
  <c r="G32" i="9"/>
  <c r="BK46" i="9"/>
  <c r="BK27" i="9"/>
  <c r="CA107" i="9"/>
  <c r="BG13" i="9"/>
  <c r="CD74" i="9"/>
  <c r="AJ6" i="9"/>
  <c r="BG22" i="9"/>
  <c r="BG4" i="9"/>
  <c r="BC22" i="9"/>
  <c r="AR51" i="9"/>
  <c r="AN51" i="9"/>
  <c r="AL52" i="9" s="1"/>
  <c r="CL5" i="9"/>
  <c r="CH73" i="9"/>
  <c r="CF74" i="9" s="1"/>
  <c r="BS6" i="9"/>
  <c r="BW5" i="9"/>
  <c r="BU6" i="9" s="1"/>
  <c r="BS40" i="9"/>
  <c r="CA5" i="9"/>
  <c r="CL39" i="9"/>
  <c r="BW107" i="9"/>
  <c r="BU108" i="9" s="1"/>
  <c r="CH39" i="9"/>
  <c r="CF40" i="9" s="1"/>
  <c r="BW39" i="9"/>
  <c r="BU40" i="9" s="1"/>
  <c r="BS108" i="9"/>
  <c r="CL73" i="9"/>
  <c r="CD40" i="9"/>
  <c r="BS74" i="9"/>
  <c r="BW73" i="9"/>
  <c r="BU74" i="9" s="1"/>
  <c r="CA73" i="9"/>
  <c r="CH5" i="9"/>
  <c r="CF6" i="9" s="1"/>
  <c r="CA39" i="9"/>
  <c r="CD6" i="9"/>
  <c r="AL6" i="9"/>
  <c r="AC26" i="10" l="1"/>
  <c r="AD26" i="10" s="1"/>
  <c r="AE26" i="10" s="1"/>
  <c r="Y27" i="10" s="1"/>
  <c r="Z27" i="10" s="1"/>
  <c r="AB26" i="10"/>
  <c r="G33" i="9"/>
  <c r="G34" i="9"/>
  <c r="AF64" i="10"/>
  <c r="AA65" i="10" s="1"/>
  <c r="CH109" i="9"/>
  <c r="CL109" i="9"/>
  <c r="AR6" i="9"/>
  <c r="CL74" i="9"/>
  <c r="AJ52" i="9"/>
  <c r="AR52" i="9" s="1"/>
  <c r="BW40" i="9"/>
  <c r="BU41" i="9" s="1"/>
  <c r="BW6" i="9"/>
  <c r="BU7" i="9" s="1"/>
  <c r="CA6" i="9"/>
  <c r="CA108" i="9"/>
  <c r="CH40" i="9"/>
  <c r="CF41" i="9" s="1"/>
  <c r="BW108" i="9"/>
  <c r="BU109" i="9" s="1"/>
  <c r="CL40" i="9"/>
  <c r="CH6" i="9"/>
  <c r="CF7" i="9" s="1"/>
  <c r="CA74" i="9"/>
  <c r="CD7" i="9"/>
  <c r="CA40" i="9"/>
  <c r="CH74" i="9"/>
  <c r="CL6" i="9"/>
  <c r="BW74" i="9"/>
  <c r="BU75" i="9" s="1"/>
  <c r="AN6" i="9"/>
  <c r="AJ7" i="9" s="1"/>
  <c r="AF26" i="10" l="1"/>
  <c r="AA27" i="10" s="1"/>
  <c r="AB27" i="10" s="1"/>
  <c r="G39" i="9"/>
  <c r="K9" i="9" s="1"/>
  <c r="AG65" i="10"/>
  <c r="AC65" i="10"/>
  <c r="AD65" i="10" s="1"/>
  <c r="AE65" i="10" s="1"/>
  <c r="Y66" i="10" s="1"/>
  <c r="Z66" i="10" s="1"/>
  <c r="AB65" i="10"/>
  <c r="CD110" i="9"/>
  <c r="CF110" i="9"/>
  <c r="AL7" i="9"/>
  <c r="AR7" i="9" s="1"/>
  <c r="AN52" i="9"/>
  <c r="AJ53" i="9" s="1"/>
  <c r="BS41" i="9"/>
  <c r="CA41" i="9" s="1"/>
  <c r="BS7" i="9"/>
  <c r="BW7" i="9" s="1"/>
  <c r="BU8" i="9" s="1"/>
  <c r="BS109" i="9"/>
  <c r="BW109" i="9" s="1"/>
  <c r="CD41" i="9"/>
  <c r="CL41" i="9" s="1"/>
  <c r="CF75" i="9"/>
  <c r="CD75" i="9"/>
  <c r="BS75" i="9"/>
  <c r="BW75" i="9" s="1"/>
  <c r="BU76" i="9" s="1"/>
  <c r="CH7" i="9"/>
  <c r="CF8" i="9" s="1"/>
  <c r="CL7" i="9"/>
  <c r="AC27" i="10" l="1"/>
  <c r="AD27" i="10" s="1"/>
  <c r="AE27" i="10" s="1"/>
  <c r="Y28" i="10" s="1"/>
  <c r="Z28" i="10" s="1"/>
  <c r="AG27" i="10"/>
  <c r="AF65" i="10"/>
  <c r="AA66" i="10" s="1"/>
  <c r="CL110" i="9"/>
  <c r="CH110" i="9"/>
  <c r="AN7" i="9"/>
  <c r="AJ8" i="9" s="1"/>
  <c r="AL53" i="9"/>
  <c r="AR53" i="9" s="1"/>
  <c r="CH75" i="9"/>
  <c r="CF76" i="9" s="1"/>
  <c r="BW41" i="9"/>
  <c r="BU42" i="9" s="1"/>
  <c r="BS42" i="9"/>
  <c r="CA109" i="9"/>
  <c r="CD8" i="9"/>
  <c r="CH8" i="9" s="1"/>
  <c r="CF9" i="9" s="1"/>
  <c r="BS8" i="9"/>
  <c r="CA8" i="9" s="1"/>
  <c r="CA7" i="9"/>
  <c r="BU110" i="9"/>
  <c r="BS110" i="9"/>
  <c r="CH41" i="9"/>
  <c r="CF42" i="9" s="1"/>
  <c r="CL75" i="9"/>
  <c r="BS76" i="9"/>
  <c r="BW76" i="9" s="1"/>
  <c r="BU77" i="9" s="1"/>
  <c r="CA75" i="9"/>
  <c r="AF27" i="10" l="1"/>
  <c r="AA28" i="10" s="1"/>
  <c r="AG28" i="10" s="1"/>
  <c r="AC66" i="10"/>
  <c r="AD66" i="10" s="1"/>
  <c r="AE66" i="10" s="1"/>
  <c r="Y67" i="10" s="1"/>
  <c r="AB66" i="10"/>
  <c r="AG66" i="10"/>
  <c r="CF111" i="9"/>
  <c r="CD111" i="9"/>
  <c r="AL8" i="9"/>
  <c r="AN8" i="9" s="1"/>
  <c r="AL9" i="9" s="1"/>
  <c r="AN53" i="9"/>
  <c r="AL54" i="9" s="1"/>
  <c r="CD76" i="9"/>
  <c r="CL76" i="9" s="1"/>
  <c r="CA42" i="9"/>
  <c r="BW110" i="9"/>
  <c r="BU111" i="9" s="1"/>
  <c r="CL8" i="9"/>
  <c r="BW8" i="9"/>
  <c r="BW42" i="9"/>
  <c r="CA76" i="9"/>
  <c r="BS111" i="9"/>
  <c r="CA110" i="9"/>
  <c r="CD42" i="9"/>
  <c r="CH42" i="9" s="1"/>
  <c r="BS77" i="9"/>
  <c r="CA77" i="9" s="1"/>
  <c r="CD9" i="9"/>
  <c r="CL9" i="9" s="1"/>
  <c r="AB28" i="10" l="1"/>
  <c r="AC28" i="10"/>
  <c r="AD28" i="10" s="1"/>
  <c r="AE28" i="10" s="1"/>
  <c r="Y29" i="10" s="1"/>
  <c r="Z29" i="10" s="1"/>
  <c r="AF66" i="10"/>
  <c r="AA67" i="10" s="1"/>
  <c r="AB67" i="10" s="1"/>
  <c r="Z67" i="10"/>
  <c r="CH111" i="9"/>
  <c r="CD112" i="9" s="1"/>
  <c r="CL111" i="9"/>
  <c r="AR8" i="9"/>
  <c r="AJ9" i="9"/>
  <c r="AR9" i="9" s="1"/>
  <c r="AJ54" i="9"/>
  <c r="AN54" i="9" s="1"/>
  <c r="AJ55" i="9" s="1"/>
  <c r="CH76" i="9"/>
  <c r="CF77" i="9" s="1"/>
  <c r="CD77" i="9"/>
  <c r="BW111" i="9"/>
  <c r="BS112" i="9" s="1"/>
  <c r="CD43" i="9"/>
  <c r="CF43" i="9"/>
  <c r="BS9" i="9"/>
  <c r="BU9" i="9"/>
  <c r="BU43" i="9"/>
  <c r="BS43" i="9"/>
  <c r="CA111" i="9"/>
  <c r="CL42" i="9"/>
  <c r="BW77" i="9"/>
  <c r="CH9" i="9"/>
  <c r="CD10" i="9" s="1"/>
  <c r="AF28" i="10" l="1"/>
  <c r="AA29" i="10" s="1"/>
  <c r="AG29" i="10" s="1"/>
  <c r="AC67" i="10"/>
  <c r="AD67" i="10" s="1"/>
  <c r="AE67" i="10" s="1"/>
  <c r="Y68" i="10" s="1"/>
  <c r="Z68" i="10" s="1"/>
  <c r="AG67" i="10"/>
  <c r="CF112" i="9"/>
  <c r="CH112" i="9" s="1"/>
  <c r="AN9" i="9"/>
  <c r="AL10" i="9" s="1"/>
  <c r="AR54" i="9"/>
  <c r="AL55" i="9"/>
  <c r="AR55" i="9" s="1"/>
  <c r="CL77" i="9"/>
  <c r="CH77" i="9"/>
  <c r="CD78" i="9" s="1"/>
  <c r="BU112" i="9"/>
  <c r="BW112" i="9" s="1"/>
  <c r="CL43" i="9"/>
  <c r="CA9" i="9"/>
  <c r="BW9" i="9"/>
  <c r="BU10" i="9" s="1"/>
  <c r="BS78" i="9"/>
  <c r="BU78" i="9"/>
  <c r="CH43" i="9"/>
  <c r="CA43" i="9"/>
  <c r="BW43" i="9"/>
  <c r="CF10" i="9"/>
  <c r="CL10" i="9" s="1"/>
  <c r="AB29" i="10" l="1"/>
  <c r="AC29" i="10"/>
  <c r="AD29" i="10" s="1"/>
  <c r="AE29" i="10" s="1"/>
  <c r="Y30" i="10" s="1"/>
  <c r="Z30" i="10" s="1"/>
  <c r="AF67" i="10"/>
  <c r="AA68" i="10" s="1"/>
  <c r="AB68" i="10" s="1"/>
  <c r="CL112" i="9"/>
  <c r="CF113" i="9"/>
  <c r="CD113" i="9"/>
  <c r="CF78" i="9"/>
  <c r="CL78" i="9" s="1"/>
  <c r="AJ10" i="9"/>
  <c r="AN10" i="9" s="1"/>
  <c r="AJ11" i="9" s="1"/>
  <c r="AN55" i="9"/>
  <c r="AL56" i="9" s="1"/>
  <c r="CA112" i="9"/>
  <c r="BS10" i="9"/>
  <c r="CA10" i="9" s="1"/>
  <c r="CF44" i="9"/>
  <c r="CD44" i="9"/>
  <c r="CA78" i="9"/>
  <c r="BW78" i="9"/>
  <c r="BU113" i="9"/>
  <c r="BS113" i="9"/>
  <c r="BS44" i="9"/>
  <c r="BU44" i="9"/>
  <c r="CH10" i="9"/>
  <c r="CD11" i="9" s="1"/>
  <c r="AF29" i="10" l="1"/>
  <c r="AA30" i="10" s="1"/>
  <c r="AC30" i="10" s="1"/>
  <c r="AD30" i="10" s="1"/>
  <c r="AE30" i="10" s="1"/>
  <c r="Y31" i="10" s="1"/>
  <c r="Z31" i="10" s="1"/>
  <c r="AC68" i="10"/>
  <c r="AD68" i="10" s="1"/>
  <c r="AE68" i="10" s="1"/>
  <c r="Y69" i="10" s="1"/>
  <c r="Z69" i="10" s="1"/>
  <c r="AG68" i="10"/>
  <c r="CH113" i="9"/>
  <c r="CD114" i="9" s="1"/>
  <c r="CH78" i="9"/>
  <c r="CD79" i="9" s="1"/>
  <c r="CL113" i="9"/>
  <c r="AR10" i="9"/>
  <c r="AJ56" i="9"/>
  <c r="AN56" i="9" s="1"/>
  <c r="AL57" i="9" s="1"/>
  <c r="BW10" i="9"/>
  <c r="BU11" i="9" s="1"/>
  <c r="CL44" i="9"/>
  <c r="CH44" i="9"/>
  <c r="AL11" i="9"/>
  <c r="AR11" i="9" s="1"/>
  <c r="BW113" i="9"/>
  <c r="BS114" i="9" s="1"/>
  <c r="BU79" i="9"/>
  <c r="BS79" i="9"/>
  <c r="CA113" i="9"/>
  <c r="BW44" i="9"/>
  <c r="CA44" i="9"/>
  <c r="CF11" i="9"/>
  <c r="CL11" i="9" s="1"/>
  <c r="AB30" i="10" l="1"/>
  <c r="AF30" i="10" s="1"/>
  <c r="AA31" i="10" s="1"/>
  <c r="AG30" i="10"/>
  <c r="CF114" i="9"/>
  <c r="CL114" i="9" s="1"/>
  <c r="AF68" i="10"/>
  <c r="AA69" i="10" s="1"/>
  <c r="AB69" i="10" s="1"/>
  <c r="CF79" i="9"/>
  <c r="CL79" i="9" s="1"/>
  <c r="AJ57" i="9"/>
  <c r="AR57" i="9" s="1"/>
  <c r="AR56" i="9"/>
  <c r="BS11" i="9"/>
  <c r="BW11" i="9" s="1"/>
  <c r="BU12" i="9" s="1"/>
  <c r="BU114" i="9"/>
  <c r="CA114" i="9" s="1"/>
  <c r="CD45" i="9"/>
  <c r="CF45" i="9"/>
  <c r="AN11" i="9"/>
  <c r="AL12" i="9" s="1"/>
  <c r="BW79" i="9"/>
  <c r="BS80" i="9" s="1"/>
  <c r="CA79" i="9"/>
  <c r="BS45" i="9"/>
  <c r="BU45" i="9"/>
  <c r="CH11" i="9"/>
  <c r="CD12" i="9" s="1"/>
  <c r="AC31" i="10" l="1"/>
  <c r="AD31" i="10" s="1"/>
  <c r="AE31" i="10" s="1"/>
  <c r="Y32" i="10" s="1"/>
  <c r="Z32" i="10" s="1"/>
  <c r="AB31" i="10"/>
  <c r="AG31" i="10"/>
  <c r="CH114" i="9"/>
  <c r="CF115" i="9" s="1"/>
  <c r="AC69" i="10"/>
  <c r="O26" i="10" s="1"/>
  <c r="O27" i="10" s="1"/>
  <c r="AG69" i="10"/>
  <c r="CH79" i="9"/>
  <c r="CF80" i="9" s="1"/>
  <c r="CF12" i="9"/>
  <c r="CH12" i="9" s="1"/>
  <c r="CD13" i="9" s="1"/>
  <c r="AN57" i="9"/>
  <c r="AL58" i="9" s="1"/>
  <c r="BS12" i="9"/>
  <c r="BW12" i="9" s="1"/>
  <c r="BU13" i="9" s="1"/>
  <c r="CA11" i="9"/>
  <c r="AJ12" i="9"/>
  <c r="AR12" i="9" s="1"/>
  <c r="BU80" i="9"/>
  <c r="CA80" i="9" s="1"/>
  <c r="BW114" i="9"/>
  <c r="BU115" i="9" s="1"/>
  <c r="CL45" i="9"/>
  <c r="CH45" i="9"/>
  <c r="CA45" i="9"/>
  <c r="BW45" i="9"/>
  <c r="CD115" i="9" l="1"/>
  <c r="CH115" i="9" s="1"/>
  <c r="CF116" i="9" s="1"/>
  <c r="AF31" i="10"/>
  <c r="AA32" i="10" s="1"/>
  <c r="AC32" i="10" s="1"/>
  <c r="AD32" i="10" s="1"/>
  <c r="AE32" i="10" s="1"/>
  <c r="Y33" i="10" s="1"/>
  <c r="Z33" i="10" s="1"/>
  <c r="G35" i="10"/>
  <c r="G36" i="10" s="1"/>
  <c r="AD69" i="10"/>
  <c r="AE69" i="10" s="1"/>
  <c r="CD80" i="9"/>
  <c r="CL80" i="9" s="1"/>
  <c r="CL12" i="9"/>
  <c r="AJ58" i="9"/>
  <c r="AR58" i="9" s="1"/>
  <c r="CA12" i="9"/>
  <c r="BS13" i="9"/>
  <c r="CA13" i="9" s="1"/>
  <c r="AN12" i="9"/>
  <c r="AL13" i="9" s="1"/>
  <c r="BW80" i="9"/>
  <c r="BS81" i="9" s="1"/>
  <c r="BS115" i="9"/>
  <c r="CA115" i="9" s="1"/>
  <c r="CD46" i="9"/>
  <c r="CF46" i="9"/>
  <c r="CF13" i="9"/>
  <c r="CL13" i="9" s="1"/>
  <c r="BS46" i="9"/>
  <c r="BU46" i="9"/>
  <c r="CL115" i="9" l="1"/>
  <c r="AG32" i="10"/>
  <c r="AB32" i="10"/>
  <c r="AF32" i="10" s="1"/>
  <c r="AA33" i="10" s="1"/>
  <c r="AG33" i="10" s="1"/>
  <c r="CD116" i="9"/>
  <c r="CL116" i="9" s="1"/>
  <c r="AF69" i="10"/>
  <c r="CH80" i="9"/>
  <c r="CF81" i="9" s="1"/>
  <c r="AN58" i="9"/>
  <c r="AL59" i="9" s="1"/>
  <c r="BW13" i="9"/>
  <c r="BS14" i="9" s="1"/>
  <c r="AJ13" i="9"/>
  <c r="AN13" i="9" s="1"/>
  <c r="AJ14" i="9" s="1"/>
  <c r="BU81" i="9"/>
  <c r="CA81" i="9" s="1"/>
  <c r="BW115" i="9"/>
  <c r="BU116" i="9" s="1"/>
  <c r="CL46" i="9"/>
  <c r="CH13" i="9"/>
  <c r="CF14" i="9" s="1"/>
  <c r="CH46" i="9"/>
  <c r="BW46" i="9"/>
  <c r="CA46" i="9"/>
  <c r="CD81" i="9" l="1"/>
  <c r="CL81" i="9" s="1"/>
  <c r="AC33" i="10"/>
  <c r="AD33" i="10" s="1"/>
  <c r="AE33" i="10" s="1"/>
  <c r="Y34" i="10" s="1"/>
  <c r="Z34" i="10" s="1"/>
  <c r="AB33" i="10"/>
  <c r="CH116" i="9"/>
  <c r="CF117" i="9" s="1"/>
  <c r="CD117" i="9"/>
  <c r="AJ59" i="9"/>
  <c r="AR59" i="9" s="1"/>
  <c r="BU14" i="9"/>
  <c r="BW14" i="9" s="1"/>
  <c r="BS15" i="9" s="1"/>
  <c r="AR13" i="9"/>
  <c r="AL14" i="9"/>
  <c r="AN14" i="9" s="1"/>
  <c r="AL15" i="9" s="1"/>
  <c r="BW81" i="9"/>
  <c r="BS82" i="9" s="1"/>
  <c r="CD14" i="9"/>
  <c r="CL14" i="9" s="1"/>
  <c r="BS116" i="9"/>
  <c r="BW116" i="9" s="1"/>
  <c r="BU117" i="9" s="1"/>
  <c r="CF47" i="9"/>
  <c r="CD47" i="9"/>
  <c r="BS47" i="9"/>
  <c r="BU47" i="9"/>
  <c r="CH81" i="9" l="1"/>
  <c r="CD82" i="9" s="1"/>
  <c r="AF33" i="10"/>
  <c r="AA34" i="10" s="1"/>
  <c r="AC34" i="10" s="1"/>
  <c r="CH117" i="9"/>
  <c r="CD118" i="9" s="1"/>
  <c r="CL117" i="9"/>
  <c r="AN59" i="9"/>
  <c r="AL60" i="9" s="1"/>
  <c r="CA14" i="9"/>
  <c r="BU15" i="9"/>
  <c r="CA15" i="9" s="1"/>
  <c r="AR14" i="9"/>
  <c r="AJ15" i="9"/>
  <c r="AR15" i="9" s="1"/>
  <c r="BU82" i="9"/>
  <c r="CA82" i="9" s="1"/>
  <c r="CH14" i="9"/>
  <c r="CF15" i="9" s="1"/>
  <c r="CA116" i="9"/>
  <c r="BS117" i="9"/>
  <c r="BW117" i="9" s="1"/>
  <c r="BS118" i="9" s="1"/>
  <c r="CH47" i="9"/>
  <c r="CF48" i="9" s="1"/>
  <c r="CL47" i="9"/>
  <c r="BW47" i="9"/>
  <c r="CA47" i="9"/>
  <c r="CF82" i="9" l="1"/>
  <c r="CH82" i="9" s="1"/>
  <c r="CF83" i="9" s="1"/>
  <c r="AB34" i="10"/>
  <c r="AG34" i="10"/>
  <c r="S26" i="10"/>
  <c r="AD34" i="10"/>
  <c r="AE34" i="10" s="1"/>
  <c r="CF118" i="9"/>
  <c r="CH118" i="9" s="1"/>
  <c r="CF119" i="9" s="1"/>
  <c r="AJ60" i="9"/>
  <c r="AN60" i="9" s="1"/>
  <c r="AJ61" i="9" s="1"/>
  <c r="BW15" i="9"/>
  <c r="BU16" i="9" s="1"/>
  <c r="AN15" i="9"/>
  <c r="AL16" i="9" s="1"/>
  <c r="CD15" i="9"/>
  <c r="CL15" i="9" s="1"/>
  <c r="BW82" i="9"/>
  <c r="BU83" i="9" s="1"/>
  <c r="CD48" i="9"/>
  <c r="CL48" i="9" s="1"/>
  <c r="BU118" i="9"/>
  <c r="BW118" i="9" s="1"/>
  <c r="CA117" i="9"/>
  <c r="BS48" i="9"/>
  <c r="BU48" i="9"/>
  <c r="CL82" i="9" l="1"/>
  <c r="S27" i="10"/>
  <c r="G42" i="10" s="1"/>
  <c r="G43" i="10" s="1"/>
  <c r="G59" i="10" s="1"/>
  <c r="AF34" i="10"/>
  <c r="CL118" i="9"/>
  <c r="CD119" i="9"/>
  <c r="CH119" i="9" s="1"/>
  <c r="AR60" i="9"/>
  <c r="CD83" i="9"/>
  <c r="CH83" i="9" s="1"/>
  <c r="CD84" i="9" s="1"/>
  <c r="BS83" i="9"/>
  <c r="CA83" i="9" s="1"/>
  <c r="BS16" i="9"/>
  <c r="CA16" i="9" s="1"/>
  <c r="AJ16" i="9"/>
  <c r="AR16" i="9" s="1"/>
  <c r="CH15" i="9"/>
  <c r="CF16" i="9" s="1"/>
  <c r="CH48" i="9"/>
  <c r="CF49" i="9" s="1"/>
  <c r="CA118" i="9"/>
  <c r="AL61" i="9"/>
  <c r="AR61" i="9" s="1"/>
  <c r="BU119" i="9"/>
  <c r="BS119" i="9"/>
  <c r="CA48" i="9"/>
  <c r="BW48" i="9"/>
  <c r="Q39" i="10" l="1"/>
  <c r="S39" i="10" s="1"/>
  <c r="Q40" i="10"/>
  <c r="S40" i="10" s="1"/>
  <c r="K11" i="10"/>
  <c r="K17" i="10" s="1"/>
  <c r="K6" i="10"/>
  <c r="K20" i="10" s="1"/>
  <c r="CL119" i="9"/>
  <c r="CD120" i="9"/>
  <c r="CF120" i="9"/>
  <c r="CL83" i="9"/>
  <c r="CF84" i="9"/>
  <c r="CL84" i="9" s="1"/>
  <c r="BW83" i="9"/>
  <c r="BU84" i="9" s="1"/>
  <c r="CD16" i="9"/>
  <c r="CH16" i="9" s="1"/>
  <c r="CD17" i="9" s="1"/>
  <c r="BW16" i="9"/>
  <c r="BU17" i="9" s="1"/>
  <c r="AN16" i="9"/>
  <c r="AJ17" i="9" s="1"/>
  <c r="CD49" i="9"/>
  <c r="CH49" i="9" s="1"/>
  <c r="AN61" i="9"/>
  <c r="AJ62" i="9" s="1"/>
  <c r="BW119" i="9"/>
  <c r="BS120" i="9" s="1"/>
  <c r="CA119" i="9"/>
  <c r="BU49" i="9"/>
  <c r="BS49" i="9"/>
  <c r="Q36" i="10" l="1"/>
  <c r="K7" i="10"/>
  <c r="K21" i="10"/>
  <c r="K32" i="10" s="1"/>
  <c r="K33" i="10" s="1"/>
  <c r="K37" i="10"/>
  <c r="K45" i="10"/>
  <c r="CL120" i="9"/>
  <c r="CH120" i="9"/>
  <c r="AL17" i="9"/>
  <c r="AR17" i="9" s="1"/>
  <c r="BS17" i="9"/>
  <c r="CA17" i="9" s="1"/>
  <c r="BS84" i="9"/>
  <c r="BW84" i="9" s="1"/>
  <c r="CH84" i="9"/>
  <c r="CF85" i="9" s="1"/>
  <c r="CL16" i="9"/>
  <c r="AL62" i="9"/>
  <c r="AR62" i="9" s="1"/>
  <c r="CL49" i="9"/>
  <c r="CF17" i="9"/>
  <c r="CH17" i="9" s="1"/>
  <c r="CD18" i="9" s="1"/>
  <c r="BU120" i="9"/>
  <c r="CA120" i="9" s="1"/>
  <c r="CD50" i="9"/>
  <c r="CF50" i="9"/>
  <c r="BW49" i="9"/>
  <c r="BS50" i="9" s="1"/>
  <c r="CA49" i="9"/>
  <c r="S36" i="10" l="1"/>
  <c r="Q37" i="10"/>
  <c r="S37" i="10" s="1"/>
  <c r="K38" i="10"/>
  <c r="K41" i="10" s="1"/>
  <c r="K46" i="10"/>
  <c r="K49" i="10" s="1"/>
  <c r="AO4" i="10"/>
  <c r="AK4" i="10"/>
  <c r="AM4" i="10"/>
  <c r="CD121" i="9"/>
  <c r="CF121" i="9"/>
  <c r="CD85" i="9"/>
  <c r="CH85" i="9" s="1"/>
  <c r="CD86" i="9" s="1"/>
  <c r="AN17" i="9"/>
  <c r="AJ18" i="9" s="1"/>
  <c r="BW17" i="9"/>
  <c r="BU18" i="9" s="1"/>
  <c r="CA84" i="9"/>
  <c r="AN62" i="9"/>
  <c r="AJ63" i="9" s="1"/>
  <c r="CL17" i="9"/>
  <c r="BW120" i="9"/>
  <c r="BU121" i="9" s="1"/>
  <c r="CL50" i="9"/>
  <c r="CH50" i="9"/>
  <c r="CF18" i="9"/>
  <c r="CL18" i="9" s="1"/>
  <c r="BU50" i="9"/>
  <c r="BW50" i="9" s="1"/>
  <c r="BU85" i="9"/>
  <c r="BS85" i="9"/>
  <c r="CH121" i="9" l="1"/>
  <c r="CL121" i="9"/>
  <c r="BS18" i="9"/>
  <c r="BW18" i="9" s="1"/>
  <c r="BS19" i="9" s="1"/>
  <c r="CL85" i="9"/>
  <c r="AL18" i="9"/>
  <c r="AN18" i="9" s="1"/>
  <c r="AL63" i="9"/>
  <c r="AR63" i="9" s="1"/>
  <c r="CF86" i="9"/>
  <c r="CL86" i="9" s="1"/>
  <c r="BS121" i="9"/>
  <c r="BW121" i="9" s="1"/>
  <c r="CA50" i="9"/>
  <c r="CF51" i="9"/>
  <c r="CD51" i="9"/>
  <c r="CH18" i="9"/>
  <c r="CF19" i="9" s="1"/>
  <c r="BW85" i="9"/>
  <c r="BU86" i="9" s="1"/>
  <c r="CA85" i="9"/>
  <c r="BS51" i="9"/>
  <c r="BU51" i="9"/>
  <c r="CD122" i="9" l="1"/>
  <c r="CF122" i="9"/>
  <c r="BU19" i="9"/>
  <c r="CA19" i="9" s="1"/>
  <c r="CA18" i="9"/>
  <c r="AR18" i="9"/>
  <c r="AJ19" i="9"/>
  <c r="AL19" i="9"/>
  <c r="BS86" i="9"/>
  <c r="BW86" i="9" s="1"/>
  <c r="AN63" i="9"/>
  <c r="AL64" i="9" s="1"/>
  <c r="CH86" i="9"/>
  <c r="CF87" i="9" s="1"/>
  <c r="CA121" i="9"/>
  <c r="CD19" i="9"/>
  <c r="CH19" i="9" s="1"/>
  <c r="CF20" i="9" s="1"/>
  <c r="CH51" i="9"/>
  <c r="CL51" i="9"/>
  <c r="BU122" i="9"/>
  <c r="BS122" i="9"/>
  <c r="CA51" i="9"/>
  <c r="BW51" i="9"/>
  <c r="CH122" i="9" l="1"/>
  <c r="CL122" i="9"/>
  <c r="BW19" i="9"/>
  <c r="BS20" i="9" s="1"/>
  <c r="AJ64" i="9"/>
  <c r="AN64" i="9" s="1"/>
  <c r="AJ65" i="9" s="1"/>
  <c r="AN19" i="9"/>
  <c r="AL20" i="9" s="1"/>
  <c r="AR19" i="9"/>
  <c r="CA86" i="9"/>
  <c r="CD87" i="9"/>
  <c r="CL87" i="9" s="1"/>
  <c r="CL19" i="9"/>
  <c r="CF52" i="9"/>
  <c r="CD52" i="9"/>
  <c r="CA122" i="9"/>
  <c r="BW122" i="9"/>
  <c r="BS87" i="9"/>
  <c r="BU87" i="9"/>
  <c r="BU52" i="9"/>
  <c r="BS52" i="9"/>
  <c r="CD20" i="9"/>
  <c r="CL20" i="9" s="1"/>
  <c r="BU20" i="9" l="1"/>
  <c r="CA20" i="9" s="1"/>
  <c r="CF123" i="9"/>
  <c r="CD123" i="9"/>
  <c r="AR64" i="9"/>
  <c r="AJ20" i="9"/>
  <c r="AR20" i="9" s="1"/>
  <c r="CH87" i="9"/>
  <c r="AL65" i="9"/>
  <c r="AN65" i="9" s="1"/>
  <c r="CH52" i="9"/>
  <c r="CF53" i="9" s="1"/>
  <c r="CL52" i="9"/>
  <c r="BU123" i="9"/>
  <c r="BS123" i="9"/>
  <c r="BW52" i="9"/>
  <c r="BU53" i="9" s="1"/>
  <c r="BW87" i="9"/>
  <c r="CA87" i="9"/>
  <c r="CA52" i="9"/>
  <c r="CH20" i="9"/>
  <c r="CD21" i="9" s="1"/>
  <c r="BW20" i="9" l="1"/>
  <c r="BS21" i="9" s="1"/>
  <c r="CH123" i="9"/>
  <c r="CD124" i="9" s="1"/>
  <c r="CL123" i="9"/>
  <c r="AN20" i="9"/>
  <c r="AL21" i="9" s="1"/>
  <c r="CD53" i="9"/>
  <c r="CL53" i="9" s="1"/>
  <c r="CD88" i="9"/>
  <c r="CF88" i="9"/>
  <c r="AR65" i="9"/>
  <c r="AJ66" i="9"/>
  <c r="AL66" i="9"/>
  <c r="BS53" i="9"/>
  <c r="BW53" i="9" s="1"/>
  <c r="BU54" i="9" s="1"/>
  <c r="CA123" i="9"/>
  <c r="BW123" i="9"/>
  <c r="BS88" i="9"/>
  <c r="BU88" i="9"/>
  <c r="CF21" i="9"/>
  <c r="CL21" i="9" s="1"/>
  <c r="BU21" i="9" l="1"/>
  <c r="BW21" i="9" s="1"/>
  <c r="BU22" i="9" s="1"/>
  <c r="CF124" i="9"/>
  <c r="CH124" i="9" s="1"/>
  <c r="AJ21" i="9"/>
  <c r="AR21" i="9" s="1"/>
  <c r="CH53" i="9"/>
  <c r="CD54" i="9" s="1"/>
  <c r="CL88" i="9"/>
  <c r="CH88" i="9"/>
  <c r="AR66" i="9"/>
  <c r="AN66" i="9"/>
  <c r="CA88" i="9"/>
  <c r="BS54" i="9"/>
  <c r="CA54" i="9" s="1"/>
  <c r="CA53" i="9"/>
  <c r="BS124" i="9"/>
  <c r="BU124" i="9"/>
  <c r="BW88" i="9"/>
  <c r="CH21" i="9"/>
  <c r="CD22" i="9" s="1"/>
  <c r="CA21" i="9" l="1"/>
  <c r="CL124" i="9"/>
  <c r="CD125" i="9"/>
  <c r="CF125" i="9"/>
  <c r="AN21" i="9"/>
  <c r="AL22" i="9" s="1"/>
  <c r="CF54" i="9"/>
  <c r="CH54" i="9" s="1"/>
  <c r="CD55" i="9" s="1"/>
  <c r="CD89" i="9"/>
  <c r="CF89" i="9"/>
  <c r="BS22" i="9"/>
  <c r="BW22" i="9" s="1"/>
  <c r="AL67" i="9"/>
  <c r="AJ67" i="9"/>
  <c r="BW54" i="9"/>
  <c r="BU55" i="9" s="1"/>
  <c r="CF22" i="9"/>
  <c r="CH22" i="9" s="1"/>
  <c r="CD23" i="9" s="1"/>
  <c r="CA124" i="9"/>
  <c r="BW124" i="9"/>
  <c r="BS89" i="9"/>
  <c r="BU89" i="9"/>
  <c r="CH125" i="9" l="1"/>
  <c r="CL125" i="9"/>
  <c r="AJ22" i="9"/>
  <c r="AR22" i="9" s="1"/>
  <c r="CL54" i="9"/>
  <c r="CL89" i="9"/>
  <c r="CH89" i="9"/>
  <c r="CA22" i="9"/>
  <c r="CF55" i="9"/>
  <c r="CL55" i="9" s="1"/>
  <c r="BS23" i="9"/>
  <c r="BU23" i="9"/>
  <c r="AN67" i="9"/>
  <c r="AL68" i="9" s="1"/>
  <c r="AR67" i="9"/>
  <c r="BS55" i="9"/>
  <c r="CA55" i="9" s="1"/>
  <c r="CL22" i="9"/>
  <c r="CF23" i="9"/>
  <c r="CH23" i="9" s="1"/>
  <c r="CD24" i="9" s="1"/>
  <c r="BU125" i="9"/>
  <c r="BS125" i="9"/>
  <c r="CA89" i="9"/>
  <c r="BW89" i="9"/>
  <c r="CF126" i="9" l="1"/>
  <c r="CD126" i="9"/>
  <c r="AN22" i="9"/>
  <c r="AJ23" i="9" s="1"/>
  <c r="CD90" i="9"/>
  <c r="CF90" i="9"/>
  <c r="AJ68" i="9"/>
  <c r="AN68" i="9" s="1"/>
  <c r="AL69" i="9" s="1"/>
  <c r="CH55" i="9"/>
  <c r="CD56" i="9" s="1"/>
  <c r="CA23" i="9"/>
  <c r="BW23" i="9"/>
  <c r="BS24" i="9" s="1"/>
  <c r="BW55" i="9"/>
  <c r="BS56" i="9" s="1"/>
  <c r="BW125" i="9"/>
  <c r="BU126" i="9" s="1"/>
  <c r="CL23" i="9"/>
  <c r="CA125" i="9"/>
  <c r="CF24" i="9"/>
  <c r="CL24" i="9" s="1"/>
  <c r="BS90" i="9"/>
  <c r="BU90" i="9"/>
  <c r="CL126" i="9" l="1"/>
  <c r="CH126" i="9"/>
  <c r="AL23" i="9"/>
  <c r="AR23" i="9" s="1"/>
  <c r="CL90" i="9"/>
  <c r="CH90" i="9"/>
  <c r="AR68" i="9"/>
  <c r="CF56" i="9"/>
  <c r="CH56" i="9" s="1"/>
  <c r="CF57" i="9" s="1"/>
  <c r="AJ69" i="9"/>
  <c r="AN69" i="9" s="1"/>
  <c r="AJ70" i="9" s="1"/>
  <c r="BU24" i="9"/>
  <c r="CA24" i="9" s="1"/>
  <c r="BU56" i="9"/>
  <c r="CA56" i="9" s="1"/>
  <c r="BS126" i="9"/>
  <c r="CA126" i="9" s="1"/>
  <c r="CH24" i="9"/>
  <c r="CD25" i="9" s="1"/>
  <c r="BW90" i="9"/>
  <c r="CA90" i="9"/>
  <c r="CD127" i="9" l="1"/>
  <c r="CF127" i="9"/>
  <c r="AN23" i="9"/>
  <c r="AL24" i="9" s="1"/>
  <c r="CF91" i="9"/>
  <c r="CD91" i="9"/>
  <c r="CL56" i="9"/>
  <c r="AR69" i="9"/>
  <c r="CD57" i="9"/>
  <c r="CH57" i="9" s="1"/>
  <c r="CD58" i="9" s="1"/>
  <c r="AL70" i="9"/>
  <c r="AN70" i="9" s="1"/>
  <c r="BW24" i="9"/>
  <c r="BU25" i="9" s="1"/>
  <c r="BW56" i="9"/>
  <c r="BS57" i="9" s="1"/>
  <c r="BW126" i="9"/>
  <c r="BU127" i="9" s="1"/>
  <c r="CF25" i="9"/>
  <c r="CL25" i="9" s="1"/>
  <c r="BS91" i="9"/>
  <c r="BU91" i="9"/>
  <c r="CL127" i="9" l="1"/>
  <c r="CH127" i="9"/>
  <c r="AJ24" i="9"/>
  <c r="AN24" i="9" s="1"/>
  <c r="CH91" i="9"/>
  <c r="CD92" i="9" s="1"/>
  <c r="CL91" i="9"/>
  <c r="CL57" i="9"/>
  <c r="BS25" i="9"/>
  <c r="CA25" i="9" s="1"/>
  <c r="AR70" i="9"/>
  <c r="CF58" i="9"/>
  <c r="CL58" i="9" s="1"/>
  <c r="BU57" i="9"/>
  <c r="BW57" i="9" s="1"/>
  <c r="BS58" i="9" s="1"/>
  <c r="BS127" i="9"/>
  <c r="CA127" i="9" s="1"/>
  <c r="AL71" i="9"/>
  <c r="AJ71" i="9"/>
  <c r="CH25" i="9"/>
  <c r="CD26" i="9" s="1"/>
  <c r="CA91" i="9"/>
  <c r="BW91" i="9"/>
  <c r="CF128" i="9" l="1"/>
  <c r="CD128" i="9"/>
  <c r="AR24" i="9"/>
  <c r="CF92" i="9"/>
  <c r="CL92" i="9" s="1"/>
  <c r="CH58" i="9"/>
  <c r="CF59" i="9" s="1"/>
  <c r="BW25" i="9"/>
  <c r="BS26" i="9" s="1"/>
  <c r="AJ25" i="9"/>
  <c r="AL25" i="9"/>
  <c r="CA57" i="9"/>
  <c r="BU58" i="9"/>
  <c r="BW58" i="9" s="1"/>
  <c r="BU59" i="9" s="1"/>
  <c r="BW127" i="9"/>
  <c r="BS128" i="9" s="1"/>
  <c r="AN71" i="9"/>
  <c r="AR71" i="9"/>
  <c r="CF26" i="9"/>
  <c r="CL26" i="9" s="1"/>
  <c r="BS92" i="9"/>
  <c r="BU92" i="9"/>
  <c r="CL128" i="9" l="1"/>
  <c r="CH128" i="9"/>
  <c r="CH92" i="9"/>
  <c r="CD59" i="9"/>
  <c r="CH59" i="9" s="1"/>
  <c r="CD60" i="9" s="1"/>
  <c r="BU26" i="9"/>
  <c r="CA26" i="9" s="1"/>
  <c r="AN25" i="9"/>
  <c r="AR25" i="9"/>
  <c r="BS59" i="9"/>
  <c r="CA59" i="9" s="1"/>
  <c r="CA58" i="9"/>
  <c r="BU128" i="9"/>
  <c r="BW128" i="9" s="1"/>
  <c r="AL72" i="9"/>
  <c r="AJ72" i="9"/>
  <c r="CH26" i="9"/>
  <c r="CA92" i="9"/>
  <c r="BW92" i="9"/>
  <c r="CD129" i="9" l="1"/>
  <c r="CF129" i="9"/>
  <c r="CD93" i="9"/>
  <c r="CF93" i="9"/>
  <c r="CL59" i="9"/>
  <c r="CF60" i="9"/>
  <c r="CL60" i="9" s="1"/>
  <c r="BW26" i="9"/>
  <c r="BW59" i="9"/>
  <c r="BS60" i="9" s="1"/>
  <c r="AL26" i="9"/>
  <c r="AJ26" i="9"/>
  <c r="CA128" i="9"/>
  <c r="AN72" i="9"/>
  <c r="AL73" i="9" s="1"/>
  <c r="AR72" i="9"/>
  <c r="CD27" i="9"/>
  <c r="CF27" i="9"/>
  <c r="BU129" i="9"/>
  <c r="BS129" i="9"/>
  <c r="BU93" i="9"/>
  <c r="BS93" i="9"/>
  <c r="CH129" i="9" l="1"/>
  <c r="CL129" i="9"/>
  <c r="BU60" i="9"/>
  <c r="CA60" i="9" s="1"/>
  <c r="CL93" i="9"/>
  <c r="CH93" i="9"/>
  <c r="CH60" i="9"/>
  <c r="CF61" i="9" s="1"/>
  <c r="AJ73" i="9"/>
  <c r="AN73" i="9" s="1"/>
  <c r="AL74" i="9" s="1"/>
  <c r="BU27" i="9"/>
  <c r="BS27" i="9"/>
  <c r="AN26" i="9"/>
  <c r="AJ27" i="9" s="1"/>
  <c r="AR26" i="9"/>
  <c r="BW129" i="9"/>
  <c r="BS130" i="9" s="1"/>
  <c r="CL27" i="9"/>
  <c r="CH27" i="9"/>
  <c r="CA129" i="9"/>
  <c r="BW93" i="9"/>
  <c r="BU94" i="9" s="1"/>
  <c r="CA93" i="9"/>
  <c r="CD130" i="9" l="1"/>
  <c r="CF130" i="9"/>
  <c r="BW60" i="9"/>
  <c r="BU61" i="9" s="1"/>
  <c r="AL27" i="9"/>
  <c r="AN27" i="9" s="1"/>
  <c r="AJ28" i="9" s="1"/>
  <c r="CD94" i="9"/>
  <c r="CF94" i="9"/>
  <c r="CD61" i="9"/>
  <c r="CL61" i="9" s="1"/>
  <c r="AR73" i="9"/>
  <c r="BW27" i="9"/>
  <c r="BU28" i="9" s="1"/>
  <c r="CA27" i="9"/>
  <c r="AJ74" i="9"/>
  <c r="AR74" i="9" s="1"/>
  <c r="BU130" i="9"/>
  <c r="CA130" i="9" s="1"/>
  <c r="CF28" i="9"/>
  <c r="CD28" i="9"/>
  <c r="BS94" i="9"/>
  <c r="BW94" i="9" s="1"/>
  <c r="CL130" i="9" l="1"/>
  <c r="CH130" i="9"/>
  <c r="BS61" i="9"/>
  <c r="CA61" i="9" s="1"/>
  <c r="AR27" i="9"/>
  <c r="CL94" i="9"/>
  <c r="CH94" i="9"/>
  <c r="AL28" i="9"/>
  <c r="AR28" i="9" s="1"/>
  <c r="CH61" i="9"/>
  <c r="CF62" i="9" s="1"/>
  <c r="BS28" i="9"/>
  <c r="CA28" i="9" s="1"/>
  <c r="AN74" i="9"/>
  <c r="AJ75" i="9" s="1"/>
  <c r="BW130" i="9"/>
  <c r="BU131" i="9" s="1"/>
  <c r="CH28" i="9"/>
  <c r="CL28" i="9"/>
  <c r="CA94" i="9"/>
  <c r="BU95" i="9"/>
  <c r="BS95" i="9"/>
  <c r="CD131" i="9" l="1"/>
  <c r="CF131" i="9"/>
  <c r="BW61" i="9"/>
  <c r="BS62" i="9" s="1"/>
  <c r="CF95" i="9"/>
  <c r="CD95" i="9"/>
  <c r="CD62" i="9"/>
  <c r="CL62" i="9" s="1"/>
  <c r="AN28" i="9"/>
  <c r="AJ29" i="9" s="1"/>
  <c r="BW28" i="9"/>
  <c r="BU29" i="9" s="1"/>
  <c r="AL75" i="9"/>
  <c r="AR75" i="9" s="1"/>
  <c r="BS131" i="9"/>
  <c r="BW131" i="9" s="1"/>
  <c r="CD29" i="9"/>
  <c r="CF29" i="9"/>
  <c r="CA95" i="9"/>
  <c r="BW95" i="9"/>
  <c r="BS96" i="9" s="1"/>
  <c r="CL131" i="9" l="1"/>
  <c r="CH131" i="9"/>
  <c r="BU62" i="9"/>
  <c r="BW62" i="9" s="1"/>
  <c r="BS63" i="9" s="1"/>
  <c r="AL29" i="9"/>
  <c r="AR29" i="9" s="1"/>
  <c r="CH62" i="9"/>
  <c r="CD63" i="9" s="1"/>
  <c r="CH95" i="9"/>
  <c r="CL95" i="9"/>
  <c r="BS29" i="9"/>
  <c r="CA29" i="9" s="1"/>
  <c r="AN75" i="9"/>
  <c r="CA131" i="9"/>
  <c r="BU96" i="9"/>
  <c r="CA96" i="9" s="1"/>
  <c r="CL29" i="9"/>
  <c r="CH29" i="9"/>
  <c r="BS132" i="9"/>
  <c r="BU132" i="9"/>
  <c r="CF132" i="9" l="1"/>
  <c r="CD132" i="9"/>
  <c r="CA62" i="9"/>
  <c r="AN29" i="9"/>
  <c r="AL30" i="9" s="1"/>
  <c r="CF63" i="9"/>
  <c r="CL63" i="9" s="1"/>
  <c r="CF96" i="9"/>
  <c r="CD96" i="9"/>
  <c r="BW29" i="9"/>
  <c r="BU30" i="9" s="1"/>
  <c r="AJ76" i="9"/>
  <c r="AL76" i="9"/>
  <c r="BW96" i="9"/>
  <c r="BU97" i="9" s="1"/>
  <c r="BU63" i="9"/>
  <c r="CA63" i="9" s="1"/>
  <c r="CF30" i="9"/>
  <c r="CD30" i="9"/>
  <c r="CA132" i="9"/>
  <c r="BW132" i="9"/>
  <c r="CH132" i="9" l="1"/>
  <c r="CF133" i="9" s="1"/>
  <c r="CL132" i="9"/>
  <c r="AJ30" i="9"/>
  <c r="AN30" i="9" s="1"/>
  <c r="AL31" i="9" s="1"/>
  <c r="CH63" i="9"/>
  <c r="CD64" i="9" s="1"/>
  <c r="CH96" i="9"/>
  <c r="CF97" i="9" s="1"/>
  <c r="CL96" i="9"/>
  <c r="BS30" i="9"/>
  <c r="CA30" i="9" s="1"/>
  <c r="AR76" i="9"/>
  <c r="BS97" i="9"/>
  <c r="CA97" i="9" s="1"/>
  <c r="AN76" i="9"/>
  <c r="BW63" i="9"/>
  <c r="BS64" i="9" s="1"/>
  <c r="CH30" i="9"/>
  <c r="CF31" i="9" s="1"/>
  <c r="CL30" i="9"/>
  <c r="BS133" i="9"/>
  <c r="BU133" i="9"/>
  <c r="CD133" i="9" l="1"/>
  <c r="CH133" i="9" s="1"/>
  <c r="CF134" i="9" s="1"/>
  <c r="AR30" i="9"/>
  <c r="CF64" i="9"/>
  <c r="CL64" i="9" s="1"/>
  <c r="CD97" i="9"/>
  <c r="CL97" i="9" s="1"/>
  <c r="BW30" i="9"/>
  <c r="BU31" i="9" s="1"/>
  <c r="BW97" i="9"/>
  <c r="BU98" i="9" s="1"/>
  <c r="AL77" i="9"/>
  <c r="AJ77" i="9"/>
  <c r="AJ31" i="9"/>
  <c r="AR31" i="9" s="1"/>
  <c r="BU64" i="9"/>
  <c r="BW64" i="9" s="1"/>
  <c r="BS65" i="9" s="1"/>
  <c r="CD31" i="9"/>
  <c r="CL31" i="9" s="1"/>
  <c r="CA133" i="9"/>
  <c r="BW133" i="9"/>
  <c r="CL133" i="9" l="1"/>
  <c r="CD134" i="9"/>
  <c r="CL134" i="9" s="1"/>
  <c r="CH64" i="9"/>
  <c r="CF65" i="9" s="1"/>
  <c r="CH97" i="9"/>
  <c r="CF98" i="9" s="1"/>
  <c r="BS31" i="9"/>
  <c r="BW31" i="9" s="1"/>
  <c r="BU32" i="9" s="1"/>
  <c r="BS98" i="9"/>
  <c r="BW98" i="9" s="1"/>
  <c r="BS99" i="9" s="1"/>
  <c r="AN77" i="9"/>
  <c r="AJ78" i="9" s="1"/>
  <c r="AR77" i="9"/>
  <c r="CA64" i="9"/>
  <c r="AN31" i="9"/>
  <c r="AL32" i="9" s="1"/>
  <c r="CH31" i="9"/>
  <c r="CF32" i="9" s="1"/>
  <c r="BU65" i="9"/>
  <c r="CA65" i="9" s="1"/>
  <c r="BS134" i="9"/>
  <c r="BU134" i="9"/>
  <c r="CH134" i="9" l="1"/>
  <c r="CD135" i="9" s="1"/>
  <c r="CD65" i="9"/>
  <c r="CL65" i="9" s="1"/>
  <c r="CD98" i="9"/>
  <c r="CH98" i="9" s="1"/>
  <c r="CF99" i="9" s="1"/>
  <c r="AL78" i="9"/>
  <c r="AR78" i="9" s="1"/>
  <c r="CA98" i="9"/>
  <c r="CA31" i="9"/>
  <c r="BS32" i="9"/>
  <c r="CA32" i="9" s="1"/>
  <c r="AJ32" i="9"/>
  <c r="AN32" i="9" s="1"/>
  <c r="CD32" i="9"/>
  <c r="CH32" i="9" s="1"/>
  <c r="BU99" i="9"/>
  <c r="BW99" i="9" s="1"/>
  <c r="BS100" i="9" s="1"/>
  <c r="BW65" i="9"/>
  <c r="BU66" i="9" s="1"/>
  <c r="CA134" i="9"/>
  <c r="BW134" i="9"/>
  <c r="CF135" i="9" l="1"/>
  <c r="CL135" i="9" s="1"/>
  <c r="CH65" i="9"/>
  <c r="CF66" i="9" s="1"/>
  <c r="CD99" i="9"/>
  <c r="CL99" i="9" s="1"/>
  <c r="CL98" i="9"/>
  <c r="AN78" i="9"/>
  <c r="AJ79" i="9" s="1"/>
  <c r="AR32" i="9"/>
  <c r="BW32" i="9"/>
  <c r="BU33" i="9" s="1"/>
  <c r="CL32" i="9"/>
  <c r="CA99" i="9"/>
  <c r="AJ33" i="9"/>
  <c r="AL33" i="9"/>
  <c r="BU100" i="9"/>
  <c r="CA100" i="9" s="1"/>
  <c r="BS66" i="9"/>
  <c r="BW66" i="9" s="1"/>
  <c r="BS67" i="9" s="1"/>
  <c r="CD33" i="9"/>
  <c r="CF33" i="9"/>
  <c r="BS135" i="9"/>
  <c r="BU135" i="9"/>
  <c r="CH135" i="9" l="1"/>
  <c r="CF136" i="9" s="1"/>
  <c r="CD66" i="9"/>
  <c r="CH66" i="9" s="1"/>
  <c r="CH99" i="9"/>
  <c r="CD100" i="9" s="1"/>
  <c r="AL79" i="9"/>
  <c r="AR79" i="9" s="1"/>
  <c r="BS33" i="9"/>
  <c r="BW33" i="9" s="1"/>
  <c r="BU34" i="9" s="1"/>
  <c r="AR33" i="9"/>
  <c r="AN33" i="9"/>
  <c r="BW100" i="9"/>
  <c r="BU101" i="9" s="1"/>
  <c r="BU67" i="9"/>
  <c r="CA67" i="9" s="1"/>
  <c r="CA66" i="9"/>
  <c r="CL33" i="9"/>
  <c r="CH33" i="9"/>
  <c r="CA135" i="9"/>
  <c r="BW135" i="9"/>
  <c r="CD136" i="9" l="1"/>
  <c r="CH136" i="9" s="1"/>
  <c r="BO61" i="9" s="1"/>
  <c r="CL66" i="9"/>
  <c r="CD67" i="9"/>
  <c r="CF67" i="9"/>
  <c r="BS101" i="9"/>
  <c r="CA101" i="9" s="1"/>
  <c r="CF100" i="9"/>
  <c r="CL100" i="9" s="1"/>
  <c r="AN79" i="9"/>
  <c r="C6" i="9" s="1"/>
  <c r="BS34" i="9"/>
  <c r="BW34" i="9" s="1"/>
  <c r="BK4" i="9" s="1"/>
  <c r="CA33" i="9"/>
  <c r="AL34" i="9"/>
  <c r="AJ34" i="9"/>
  <c r="BW67" i="9"/>
  <c r="BU68" i="9" s="1"/>
  <c r="CF34" i="9"/>
  <c r="CD34" i="9"/>
  <c r="BS136" i="9"/>
  <c r="BU136" i="9"/>
  <c r="BO63" i="9" l="1"/>
  <c r="BO64" i="9" s="1"/>
  <c r="G12" i="9"/>
  <c r="G13" i="9" s="1"/>
  <c r="CL136" i="9"/>
  <c r="BO66" i="9"/>
  <c r="BO67" i="9"/>
  <c r="CL67" i="9"/>
  <c r="CH67" i="9"/>
  <c r="CD68" i="9" s="1"/>
  <c r="BW101" i="9"/>
  <c r="BS102" i="9" s="1"/>
  <c r="CH100" i="9"/>
  <c r="CD101" i="9" s="1"/>
  <c r="CA34" i="9"/>
  <c r="BK10" i="9"/>
  <c r="BK9" i="9"/>
  <c r="BK6" i="9"/>
  <c r="BK7" i="9" s="1"/>
  <c r="BS68" i="9"/>
  <c r="BW68" i="9" s="1"/>
  <c r="BK23" i="9" s="1"/>
  <c r="BK29" i="9" s="1"/>
  <c r="AN34" i="9"/>
  <c r="AJ35" i="9" s="1"/>
  <c r="AR34" i="9"/>
  <c r="CL34" i="9"/>
  <c r="CH34" i="9"/>
  <c r="BO4" i="9" s="1"/>
  <c r="CA136" i="9"/>
  <c r="BW136" i="9"/>
  <c r="BK61" i="9" s="1"/>
  <c r="BK12" i="9" l="1"/>
  <c r="BK13" i="9"/>
  <c r="BO69" i="9"/>
  <c r="BO70" i="9"/>
  <c r="BO68" i="9"/>
  <c r="CF68" i="9"/>
  <c r="CL68" i="9" s="1"/>
  <c r="BU102" i="9"/>
  <c r="BW102" i="9" s="1"/>
  <c r="BK42" i="9" s="1"/>
  <c r="BK48" i="9" s="1"/>
  <c r="CF101" i="9"/>
  <c r="CL101" i="9" s="1"/>
  <c r="BK11" i="9"/>
  <c r="CA68" i="9"/>
  <c r="AL35" i="9"/>
  <c r="AN35" i="9" s="1"/>
  <c r="AJ36" i="9" s="1"/>
  <c r="BK28" i="9"/>
  <c r="BK30" i="9" s="1"/>
  <c r="BK25" i="9"/>
  <c r="BK26" i="9" s="1"/>
  <c r="BO6" i="9"/>
  <c r="BO7" i="9" s="1"/>
  <c r="BO13" i="9" s="1"/>
  <c r="BO9" i="9"/>
  <c r="BO10" i="9"/>
  <c r="BK67" i="9"/>
  <c r="BK66" i="9"/>
  <c r="BK63" i="9"/>
  <c r="BK64" i="9" s="1"/>
  <c r="BK15" i="9" l="1"/>
  <c r="BK17" i="9" s="1"/>
  <c r="BK19" i="9" s="1"/>
  <c r="BK69" i="9"/>
  <c r="BK70" i="9"/>
  <c r="BK31" i="9"/>
  <c r="BK32" i="9"/>
  <c r="BO12" i="9"/>
  <c r="BO71" i="9"/>
  <c r="BO72" i="9"/>
  <c r="CH68" i="9"/>
  <c r="BO23" i="9" s="1"/>
  <c r="BO28" i="9" s="1"/>
  <c r="CA102" i="9"/>
  <c r="CH101" i="9"/>
  <c r="CD102" i="9" s="1"/>
  <c r="BK44" i="9"/>
  <c r="BK45" i="9" s="1"/>
  <c r="BK47" i="9"/>
  <c r="BK49" i="9" s="1"/>
  <c r="BK14" i="9"/>
  <c r="BK16" i="9" s="1"/>
  <c r="BK18" i="9" s="1"/>
  <c r="BC5" i="9" s="1"/>
  <c r="AR35" i="9"/>
  <c r="AL36" i="9"/>
  <c r="AN36" i="9" s="1"/>
  <c r="AJ37" i="9" s="1"/>
  <c r="BO11" i="9"/>
  <c r="BK68" i="9"/>
  <c r="BK33" i="9" l="1"/>
  <c r="BK35" i="9" s="1"/>
  <c r="BK37" i="9" s="1"/>
  <c r="BC14" i="9" s="1"/>
  <c r="BK50" i="9"/>
  <c r="BK51" i="9"/>
  <c r="BO29" i="9"/>
  <c r="BO30" i="9" s="1"/>
  <c r="BO25" i="9"/>
  <c r="BO26" i="9" s="1"/>
  <c r="CF102" i="9"/>
  <c r="CL102" i="9" s="1"/>
  <c r="AL37" i="9"/>
  <c r="AR37" i="9" s="1"/>
  <c r="AR36" i="9"/>
  <c r="BK34" i="9"/>
  <c r="BK36" i="9" s="1"/>
  <c r="BK38" i="9" s="1"/>
  <c r="BO74" i="9"/>
  <c r="BO76" i="9" s="1"/>
  <c r="BO73" i="9"/>
  <c r="BO75" i="9" s="1"/>
  <c r="BO15" i="9"/>
  <c r="BO17" i="9" s="1"/>
  <c r="BO19" i="9" s="1"/>
  <c r="BO14" i="9"/>
  <c r="BO16" i="9" s="1"/>
  <c r="BO18" i="9" s="1"/>
  <c r="BG5" i="9" s="1"/>
  <c r="BK72" i="9"/>
  <c r="BK74" i="9" s="1"/>
  <c r="BK76" i="9" s="1"/>
  <c r="BK71" i="9"/>
  <c r="BK73" i="9" s="1"/>
  <c r="BK75" i="9" s="1"/>
  <c r="BK53" i="9" l="1"/>
  <c r="BK55" i="9" s="1"/>
  <c r="BK57" i="9" s="1"/>
  <c r="BO31" i="9"/>
  <c r="BO32" i="9"/>
  <c r="CH102" i="9"/>
  <c r="BO42" i="9" s="1"/>
  <c r="BK52" i="9"/>
  <c r="BK54" i="9" s="1"/>
  <c r="BK56" i="9" s="1"/>
  <c r="BC23" i="9" s="1"/>
  <c r="AN37" i="9"/>
  <c r="AL38" i="9" s="1"/>
  <c r="BG32" i="9"/>
  <c r="BC32" i="9"/>
  <c r="BO33" i="9" l="1"/>
  <c r="BO35" i="9" s="1"/>
  <c r="BO37" i="9" s="1"/>
  <c r="BG14" i="9" s="1"/>
  <c r="BO47" i="9"/>
  <c r="BO44" i="9"/>
  <c r="BO34" i="9"/>
  <c r="BO36" i="9" s="1"/>
  <c r="BO38" i="9" s="1"/>
  <c r="BO48" i="9"/>
  <c r="AJ38" i="9"/>
  <c r="AN38" i="9" s="1"/>
  <c r="AL39" i="9" s="1"/>
  <c r="BO49" i="9" l="1"/>
  <c r="BO45" i="9"/>
  <c r="AR38" i="9"/>
  <c r="AJ39" i="9"/>
  <c r="AN39" i="9" s="1"/>
  <c r="AL40" i="9" s="1"/>
  <c r="BO50" i="9" l="1"/>
  <c r="BO51" i="9"/>
  <c r="AR39" i="9"/>
  <c r="AJ40" i="9"/>
  <c r="AN40" i="9" s="1"/>
  <c r="BO52" i="9" l="1"/>
  <c r="BO54" i="9" s="1"/>
  <c r="BO56" i="9" s="1"/>
  <c r="BG23" i="9" s="1"/>
  <c r="BO53" i="9"/>
  <c r="BO55" i="9" s="1"/>
  <c r="BO57" i="9" s="1"/>
  <c r="AR40" i="9"/>
  <c r="AL41" i="9"/>
  <c r="AJ41" i="9"/>
  <c r="AN41" i="9" l="1"/>
  <c r="AJ42" i="9" s="1"/>
  <c r="AR41" i="9"/>
  <c r="AL42" i="9" l="1"/>
  <c r="AR42" i="9" s="1"/>
  <c r="AN42" i="9" l="1"/>
  <c r="AJ43" i="9" s="1"/>
  <c r="AU4" i="9"/>
  <c r="AY6" i="9" s="1"/>
  <c r="AY7" i="9" s="1"/>
  <c r="AL43" i="9" l="1"/>
  <c r="AY5" i="9"/>
  <c r="BO77" i="9" l="1"/>
  <c r="CI106" i="9" s="1"/>
  <c r="BK20" i="9"/>
  <c r="AN43" i="9"/>
  <c r="AR43" i="9"/>
  <c r="BG33" i="9"/>
  <c r="BG34" i="9" s="1"/>
  <c r="BG37" i="9" s="1"/>
  <c r="BC15" i="9"/>
  <c r="BC16" i="9" s="1"/>
  <c r="BC19" i="9" s="1"/>
  <c r="BK39" i="9"/>
  <c r="BC24" i="9"/>
  <c r="BC25" i="9" s="1"/>
  <c r="BK58" i="9"/>
  <c r="BG24" i="9"/>
  <c r="BG25" i="9" s="1"/>
  <c r="BC6" i="9"/>
  <c r="BC7" i="9" s="1"/>
  <c r="BC10" i="9" s="1"/>
  <c r="BO58" i="9"/>
  <c r="CE72" i="9" s="1"/>
  <c r="BC33" i="9"/>
  <c r="BC34" i="9" s="1"/>
  <c r="BK77" i="9"/>
  <c r="BG6" i="9"/>
  <c r="BG7" i="9" s="1"/>
  <c r="BO20" i="9"/>
  <c r="BG15" i="9"/>
  <c r="BG16" i="9" s="1"/>
  <c r="BO39" i="9"/>
  <c r="BC36" i="9" l="1"/>
  <c r="BC37" i="9"/>
  <c r="BG27" i="9"/>
  <c r="BG28" i="9"/>
  <c r="BC27" i="9"/>
  <c r="BC28" i="9"/>
  <c r="BG18" i="9"/>
  <c r="BG19" i="9"/>
  <c r="BC18" i="9"/>
  <c r="BG9" i="9"/>
  <c r="BG10" i="9"/>
  <c r="BC9" i="9"/>
  <c r="AJ44" i="9"/>
  <c r="AL44" i="9"/>
  <c r="BG36" i="9"/>
  <c r="BG35" i="9"/>
  <c r="CE106" i="9"/>
  <c r="CG106" i="9"/>
  <c r="AY29" i="9"/>
  <c r="BT106" i="9"/>
  <c r="BX106" i="9"/>
  <c r="BV106" i="9"/>
  <c r="BG8" i="9"/>
  <c r="AY28" i="9"/>
  <c r="CG72" i="9"/>
  <c r="CI72" i="9"/>
  <c r="BC26" i="9"/>
  <c r="BC35" i="9"/>
  <c r="BC8" i="9"/>
  <c r="BX38" i="9"/>
  <c r="BT38" i="9"/>
  <c r="BV38" i="9"/>
  <c r="AY25" i="9"/>
  <c r="AY24" i="9"/>
  <c r="CI4" i="9"/>
  <c r="CE4" i="9"/>
  <c r="CG4" i="9"/>
  <c r="BX4" i="9"/>
  <c r="BT4" i="9"/>
  <c r="BV4" i="9"/>
  <c r="AY23" i="9"/>
  <c r="BG26" i="9"/>
  <c r="BT72" i="9"/>
  <c r="BV72" i="9"/>
  <c r="AY27" i="9"/>
  <c r="BX72" i="9"/>
  <c r="CI38" i="9"/>
  <c r="CG38" i="9"/>
  <c r="CE38" i="9"/>
  <c r="AY26" i="9"/>
  <c r="BG17" i="9"/>
  <c r="BC17" i="9"/>
  <c r="AY11" i="9" l="1"/>
  <c r="AY12" i="9" s="1"/>
  <c r="G18" i="9" s="1"/>
  <c r="AY10" i="9"/>
  <c r="AR44" i="9"/>
  <c r="AN44" i="9"/>
  <c r="C5" i="9" s="1"/>
  <c r="G55" i="9" s="1"/>
  <c r="AY30" i="9"/>
  <c r="AY15" i="9" l="1"/>
  <c r="AY16" i="9" s="1"/>
  <c r="O5" i="9"/>
  <c r="O6" i="9" s="1"/>
  <c r="K18" i="9"/>
  <c r="K19" i="9"/>
  <c r="AY18" i="9"/>
  <c r="AY19" i="9" s="1"/>
  <c r="G15" i="9"/>
  <c r="AY17" i="9"/>
  <c r="S5" i="9" l="1"/>
  <c r="K24" i="9"/>
  <c r="K23" i="9"/>
  <c r="K26" i="9"/>
  <c r="K25" i="9"/>
  <c r="K22" i="9"/>
  <c r="G14" i="9"/>
  <c r="K12" i="9"/>
  <c r="G54" i="9"/>
  <c r="K39" i="9"/>
  <c r="AY20" i="9"/>
  <c r="Q37" i="9" l="1"/>
  <c r="S6" i="9"/>
  <c r="S8" i="9" s="1"/>
  <c r="O8" i="9"/>
  <c r="O11" i="9" s="1"/>
  <c r="Q34" i="9"/>
  <c r="Q33" i="9"/>
  <c r="S33" i="9" s="1"/>
  <c r="K34" i="9"/>
  <c r="G16" i="9"/>
  <c r="K35" i="9"/>
  <c r="K42" i="9"/>
  <c r="K43" i="9"/>
  <c r="AO49" i="9" l="1"/>
  <c r="G17" i="9"/>
  <c r="S9" i="9"/>
  <c r="S10" i="9" s="1"/>
  <c r="S11" i="9"/>
  <c r="S34" i="9"/>
  <c r="O9" i="9"/>
  <c r="O10" i="9" s="1"/>
  <c r="O14" i="9" s="1"/>
  <c r="O19" i="9" s="1"/>
  <c r="O22" i="9" s="1"/>
  <c r="AM49" i="9"/>
  <c r="AK49" i="9"/>
  <c r="S14" i="9" l="1"/>
  <c r="S19" i="9" s="1"/>
  <c r="O15" i="9"/>
  <c r="O18" i="9" s="1"/>
  <c r="O16" i="9" s="1"/>
  <c r="K14" i="9" l="1"/>
  <c r="K15" i="9" s="1"/>
  <c r="S22" i="9"/>
  <c r="O21" i="9"/>
  <c r="O24" i="9" s="1"/>
  <c r="S15" i="9"/>
  <c r="S18" i="9" s="1"/>
  <c r="S16" i="9" s="1"/>
  <c r="S21" i="9" l="1"/>
  <c r="S24" i="9" s="1"/>
  <c r="G41" i="9"/>
  <c r="G31" i="9"/>
  <c r="AB39" i="9"/>
  <c r="S27" i="9" l="1"/>
  <c r="S29" i="9" s="1"/>
  <c r="AD39" i="9"/>
  <c r="AF39" i="9" s="1"/>
  <c r="AA40" i="9" s="1"/>
  <c r="AB40" i="9" s="1"/>
  <c r="Z39" i="9"/>
  <c r="O27" i="9"/>
  <c r="O29" i="9" s="1"/>
  <c r="AD4" i="9" l="1"/>
  <c r="AB4" i="9"/>
  <c r="Z4" i="9"/>
  <c r="AE39" i="9"/>
  <c r="Y40" i="9" s="1"/>
  <c r="Z40" i="9" s="1"/>
  <c r="AF4" i="9" l="1"/>
  <c r="AA5" i="9" s="1"/>
  <c r="AB5" i="9" s="1"/>
  <c r="AE4" i="9"/>
  <c r="Y5" i="9" s="1"/>
  <c r="Z5" i="9" s="1"/>
  <c r="AG40" i="9"/>
  <c r="AC40" i="9"/>
  <c r="AC5" i="9" l="1"/>
  <c r="AD5" i="9" s="1"/>
  <c r="AG5" i="9"/>
  <c r="AD40" i="9"/>
  <c r="AE40" i="9" s="1"/>
  <c r="Y41" i="9" s="1"/>
  <c r="Z41" i="9" s="1"/>
  <c r="AE5" i="9" l="1"/>
  <c r="Y6" i="9" s="1"/>
  <c r="Z6" i="9" s="1"/>
  <c r="AF5" i="9"/>
  <c r="AA6" i="9" s="1"/>
  <c r="AB6" i="9" s="1"/>
  <c r="AF40" i="9"/>
  <c r="AA41" i="9" s="1"/>
  <c r="AB41" i="9" s="1"/>
  <c r="AG6" i="9" l="1"/>
  <c r="AC6" i="9"/>
  <c r="AG41" i="9"/>
  <c r="AC41" i="9"/>
  <c r="AD41" i="9" s="1"/>
  <c r="AE41" i="9" s="1"/>
  <c r="Y42" i="9" s="1"/>
  <c r="Z42" i="9" s="1"/>
  <c r="AD6" i="9" l="1"/>
  <c r="AE6" i="9" s="1"/>
  <c r="Y7" i="9" s="1"/>
  <c r="Z7" i="9" s="1"/>
  <c r="AF41" i="9"/>
  <c r="AA42" i="9" s="1"/>
  <c r="AC42" i="9" s="1"/>
  <c r="AF6" i="9" l="1"/>
  <c r="AA7" i="9" s="1"/>
  <c r="AB7" i="9" s="1"/>
  <c r="AG42" i="9"/>
  <c r="AB42" i="9"/>
  <c r="AD42" i="9"/>
  <c r="AE42" i="9" s="1"/>
  <c r="Y43" i="9" s="1"/>
  <c r="AC7" i="9" l="1"/>
  <c r="AD7" i="9" s="1"/>
  <c r="AE7" i="9" s="1"/>
  <c r="Y8" i="9" s="1"/>
  <c r="Z8" i="9" s="1"/>
  <c r="AG7" i="9"/>
  <c r="Z43" i="9"/>
  <c r="AF42" i="9"/>
  <c r="AA43" i="9" s="1"/>
  <c r="AC43" i="9" s="1"/>
  <c r="AF7" i="9" l="1"/>
  <c r="AA8" i="9" s="1"/>
  <c r="AB8" i="9" s="1"/>
  <c r="AD43" i="9"/>
  <c r="AE43" i="9" s="1"/>
  <c r="Y44" i="9" s="1"/>
  <c r="AG43" i="9"/>
  <c r="AB43" i="9"/>
  <c r="AC8" i="9" l="1"/>
  <c r="AD8" i="9" s="1"/>
  <c r="AE8" i="9" s="1"/>
  <c r="Y9" i="9" s="1"/>
  <c r="Z9" i="9" s="1"/>
  <c r="AG8" i="9"/>
  <c r="Z44" i="9"/>
  <c r="AF43" i="9"/>
  <c r="AA44" i="9" s="1"/>
  <c r="AC44" i="9" s="1"/>
  <c r="AF8" i="9" l="1"/>
  <c r="AA9" i="9" s="1"/>
  <c r="AB9" i="9" s="1"/>
  <c r="AD44" i="9"/>
  <c r="AE44" i="9" s="1"/>
  <c r="Y45" i="9" s="1"/>
  <c r="AB44" i="9"/>
  <c r="AG44" i="9"/>
  <c r="AG9" i="9" l="1"/>
  <c r="AC9" i="9"/>
  <c r="AF44" i="9"/>
  <c r="AA45" i="9" s="1"/>
  <c r="AG45" i="9" s="1"/>
  <c r="Z45" i="9"/>
  <c r="AB45" i="9" l="1"/>
  <c r="AD9" i="9"/>
  <c r="AF9" i="9" s="1"/>
  <c r="AA10" i="9" s="1"/>
  <c r="AB10" i="9" s="1"/>
  <c r="AC45" i="9"/>
  <c r="AD45" i="9" s="1"/>
  <c r="AF45" i="9" l="1"/>
  <c r="AA46" i="9" s="1"/>
  <c r="AB46" i="9" s="1"/>
  <c r="AE9" i="9"/>
  <c r="Y10" i="9" s="1"/>
  <c r="AE45" i="9"/>
  <c r="Y46" i="9" s="1"/>
  <c r="Z10" i="9" l="1"/>
  <c r="AC10" i="9"/>
  <c r="AG10" i="9"/>
  <c r="Z46" i="9"/>
  <c r="AC46" i="9"/>
  <c r="AG46" i="9"/>
  <c r="AD10" i="9" l="1"/>
  <c r="AF10" i="9" s="1"/>
  <c r="AA11" i="9" s="1"/>
  <c r="AD46" i="9"/>
  <c r="AF46" i="9" s="1"/>
  <c r="AA47" i="9" s="1"/>
  <c r="AB11" i="9" l="1"/>
  <c r="AE10" i="9"/>
  <c r="Y11" i="9" s="1"/>
  <c r="AG11" i="9" s="1"/>
  <c r="AB47" i="9"/>
  <c r="AE46" i="9"/>
  <c r="Y47" i="9" s="1"/>
  <c r="Z11" i="9" l="1"/>
  <c r="AC11" i="9"/>
  <c r="Z47" i="9"/>
  <c r="AC47" i="9"/>
  <c r="AG47" i="9"/>
  <c r="AD11" i="9" l="1"/>
  <c r="AF11" i="9" s="1"/>
  <c r="AA12" i="9" s="1"/>
  <c r="AD47" i="9"/>
  <c r="AF47" i="9" s="1"/>
  <c r="AA48" i="9" s="1"/>
  <c r="AB12" i="9" l="1"/>
  <c r="AE11" i="9"/>
  <c r="Y12" i="9" s="1"/>
  <c r="AB48" i="9"/>
  <c r="AE47" i="9"/>
  <c r="Y48" i="9" s="1"/>
  <c r="Z12" i="9" l="1"/>
  <c r="AC12" i="9"/>
  <c r="AG12" i="9"/>
  <c r="Z48" i="9"/>
  <c r="AC48" i="9"/>
  <c r="AG48" i="9"/>
  <c r="AD12" i="9" l="1"/>
  <c r="AF12" i="9" s="1"/>
  <c r="AA13" i="9" s="1"/>
  <c r="AD48" i="9"/>
  <c r="AF48" i="9" s="1"/>
  <c r="AA49" i="9" s="1"/>
  <c r="AB13" i="9" l="1"/>
  <c r="AE12" i="9"/>
  <c r="Y13" i="9" s="1"/>
  <c r="AG13" i="9" s="1"/>
  <c r="AB49" i="9"/>
  <c r="AE48" i="9"/>
  <c r="Y49" i="9" s="1"/>
  <c r="Z13" i="9" l="1"/>
  <c r="AC13" i="9"/>
  <c r="Z49" i="9"/>
  <c r="AC49" i="9"/>
  <c r="AG49" i="9"/>
  <c r="AD13" i="9" l="1"/>
  <c r="AF13" i="9" s="1"/>
  <c r="AA14" i="9" s="1"/>
  <c r="AD49" i="9"/>
  <c r="AF49" i="9" s="1"/>
  <c r="AA50" i="9" s="1"/>
  <c r="AB14" i="9" l="1"/>
  <c r="AE13" i="9"/>
  <c r="Y14" i="9" s="1"/>
  <c r="AG14" i="9" s="1"/>
  <c r="AB50" i="9"/>
  <c r="AE49" i="9"/>
  <c r="Y50" i="9" s="1"/>
  <c r="Z14" i="9" l="1"/>
  <c r="AC14" i="9"/>
  <c r="Z50" i="9"/>
  <c r="AC50" i="9"/>
  <c r="AG50" i="9"/>
  <c r="AD14" i="9" l="1"/>
  <c r="AF14" i="9" s="1"/>
  <c r="AA15" i="9" s="1"/>
  <c r="AD50" i="9"/>
  <c r="AF50" i="9" s="1"/>
  <c r="AA51" i="9" s="1"/>
  <c r="AB15" i="9" l="1"/>
  <c r="AE14" i="9"/>
  <c r="Y15" i="9" s="1"/>
  <c r="AG15" i="9" s="1"/>
  <c r="AB51" i="9"/>
  <c r="AE50" i="9"/>
  <c r="Y51" i="9" s="1"/>
  <c r="Z15" i="9" l="1"/>
  <c r="AC15" i="9"/>
  <c r="Z51" i="9"/>
  <c r="AC51" i="9"/>
  <c r="AG51" i="9"/>
  <c r="AD15" i="9" l="1"/>
  <c r="AF15" i="9" s="1"/>
  <c r="AA16" i="9" s="1"/>
  <c r="AD51" i="9"/>
  <c r="AF51" i="9" s="1"/>
  <c r="AA52" i="9" s="1"/>
  <c r="AB16" i="9" l="1"/>
  <c r="AE15" i="9"/>
  <c r="Y16" i="9" s="1"/>
  <c r="AG16" i="9" s="1"/>
  <c r="AB52" i="9"/>
  <c r="AE51" i="9"/>
  <c r="Y52" i="9" s="1"/>
  <c r="AG52" i="9" s="1"/>
  <c r="Z16" i="9" l="1"/>
  <c r="AC16" i="9"/>
  <c r="Z52" i="9"/>
  <c r="AC52" i="9"/>
  <c r="AD16" i="9" l="1"/>
  <c r="AF16" i="9" s="1"/>
  <c r="AA17" i="9" s="1"/>
  <c r="AD52" i="9"/>
  <c r="AF52" i="9" s="1"/>
  <c r="AA53" i="9" s="1"/>
  <c r="AB17" i="9" l="1"/>
  <c r="AE16" i="9"/>
  <c r="Y17" i="9" s="1"/>
  <c r="AB53" i="9"/>
  <c r="AE52" i="9"/>
  <c r="Y53" i="9" s="1"/>
  <c r="AG53" i="9" s="1"/>
  <c r="Z17" i="9" l="1"/>
  <c r="AC17" i="9"/>
  <c r="AG17" i="9"/>
  <c r="Z53" i="9"/>
  <c r="AC53" i="9"/>
  <c r="AD17" i="9" l="1"/>
  <c r="AF17" i="9" s="1"/>
  <c r="AA18" i="9" s="1"/>
  <c r="AD53" i="9"/>
  <c r="AF53" i="9" s="1"/>
  <c r="AA54" i="9" s="1"/>
  <c r="AB18" i="9" l="1"/>
  <c r="AE17" i="9"/>
  <c r="Y18" i="9" s="1"/>
  <c r="AG18" i="9" s="1"/>
  <c r="AB54" i="9"/>
  <c r="AE53" i="9"/>
  <c r="Y54" i="9" s="1"/>
  <c r="Z18" i="9" l="1"/>
  <c r="AC18" i="9"/>
  <c r="Z54" i="9"/>
  <c r="AC54" i="9"/>
  <c r="AG54" i="9"/>
  <c r="AD18" i="9" l="1"/>
  <c r="AF18" i="9" s="1"/>
  <c r="AA19" i="9" s="1"/>
  <c r="AD54" i="9"/>
  <c r="AF54" i="9" s="1"/>
  <c r="AA55" i="9" s="1"/>
  <c r="AB19" i="9" l="1"/>
  <c r="AE18" i="9"/>
  <c r="Y19" i="9" s="1"/>
  <c r="AB55" i="9"/>
  <c r="AE54" i="9"/>
  <c r="Y55" i="9" s="1"/>
  <c r="Z19" i="9" l="1"/>
  <c r="AC19" i="9"/>
  <c r="AG19" i="9"/>
  <c r="Z55" i="9"/>
  <c r="AC55" i="9"/>
  <c r="AG55" i="9"/>
  <c r="AD19" i="9" l="1"/>
  <c r="AF19" i="9" s="1"/>
  <c r="AA20" i="9" s="1"/>
  <c r="AD55" i="9"/>
  <c r="AF55" i="9" s="1"/>
  <c r="AA56" i="9" s="1"/>
  <c r="AB20" i="9" l="1"/>
  <c r="AE19" i="9"/>
  <c r="Y20" i="9" s="1"/>
  <c r="AB56" i="9"/>
  <c r="AE55" i="9"/>
  <c r="Y56" i="9" s="1"/>
  <c r="Z20" i="9" l="1"/>
  <c r="AC20" i="9"/>
  <c r="AG20" i="9"/>
  <c r="Z56" i="9"/>
  <c r="AC56" i="9"/>
  <c r="AG56" i="9"/>
  <c r="AD20" i="9" l="1"/>
  <c r="AF20" i="9" s="1"/>
  <c r="AA21" i="9" s="1"/>
  <c r="AD56" i="9"/>
  <c r="AF56" i="9" s="1"/>
  <c r="AA57" i="9" s="1"/>
  <c r="AB21" i="9" l="1"/>
  <c r="AE20" i="9"/>
  <c r="Y21" i="9" s="1"/>
  <c r="AG21" i="9" s="1"/>
  <c r="AB57" i="9"/>
  <c r="AE56" i="9"/>
  <c r="Y57" i="9" s="1"/>
  <c r="AG57" i="9" s="1"/>
  <c r="Z21" i="9" l="1"/>
  <c r="AC21" i="9"/>
  <c r="AD21" i="9" s="1"/>
  <c r="AF21" i="9" s="1"/>
  <c r="AA22" i="9" s="1"/>
  <c r="Z57" i="9"/>
  <c r="AC57" i="9"/>
  <c r="AB22" i="9" l="1"/>
  <c r="AE21" i="9"/>
  <c r="Y22" i="9" s="1"/>
  <c r="AG22" i="9" s="1"/>
  <c r="AD57" i="9"/>
  <c r="AF57" i="9" s="1"/>
  <c r="AA58" i="9" s="1"/>
  <c r="Z22" i="9" l="1"/>
  <c r="AC22" i="9"/>
  <c r="AD22" i="9" s="1"/>
  <c r="AF22" i="9" s="1"/>
  <c r="AA23" i="9" s="1"/>
  <c r="AB58" i="9"/>
  <c r="AE57" i="9"/>
  <c r="Y58" i="9" s="1"/>
  <c r="AG58" i="9" s="1"/>
  <c r="AB23" i="9" l="1"/>
  <c r="AE22" i="9"/>
  <c r="Y23" i="9" s="1"/>
  <c r="AG23" i="9" s="1"/>
  <c r="Z58" i="9"/>
  <c r="AC58" i="9"/>
  <c r="Z23" i="9" l="1"/>
  <c r="AC23" i="9"/>
  <c r="AD23" i="9" s="1"/>
  <c r="AF23" i="9" s="1"/>
  <c r="AA24" i="9" s="1"/>
  <c r="AD58" i="9"/>
  <c r="AF58" i="9" s="1"/>
  <c r="AA59" i="9" s="1"/>
  <c r="AB24" i="9" l="1"/>
  <c r="AE23" i="9"/>
  <c r="Y24" i="9" s="1"/>
  <c r="AG24" i="9" s="1"/>
  <c r="AB59" i="9"/>
  <c r="AE58" i="9"/>
  <c r="Y59" i="9" s="1"/>
  <c r="Z24" i="9" l="1"/>
  <c r="AC24" i="9"/>
  <c r="AD24" i="9" s="1"/>
  <c r="AF24" i="9" s="1"/>
  <c r="AA25" i="9" s="1"/>
  <c r="Z59" i="9"/>
  <c r="AC59" i="9"/>
  <c r="AG59" i="9"/>
  <c r="AB25" i="9" l="1"/>
  <c r="AE24" i="9"/>
  <c r="Y25" i="9" s="1"/>
  <c r="AG25" i="9" s="1"/>
  <c r="AD59" i="9"/>
  <c r="AF59" i="9" s="1"/>
  <c r="AA60" i="9" s="1"/>
  <c r="Z25" i="9" l="1"/>
  <c r="AC25" i="9"/>
  <c r="AD25" i="9" s="1"/>
  <c r="AF25" i="9" s="1"/>
  <c r="AA26" i="9" s="1"/>
  <c r="AB60" i="9"/>
  <c r="AE59" i="9"/>
  <c r="Y60" i="9" s="1"/>
  <c r="AG60" i="9" s="1"/>
  <c r="AB26" i="9" l="1"/>
  <c r="AE25" i="9"/>
  <c r="Y26" i="9" s="1"/>
  <c r="AG26" i="9" s="1"/>
  <c r="Z60" i="9"/>
  <c r="AC60" i="9"/>
  <c r="AC26" i="9" l="1"/>
  <c r="AD26" i="9" s="1"/>
  <c r="AF26" i="9" s="1"/>
  <c r="AA27" i="9" s="1"/>
  <c r="Z26" i="9"/>
  <c r="AD60" i="9"/>
  <c r="AF60" i="9" s="1"/>
  <c r="AA61" i="9" s="1"/>
  <c r="AE26" i="9" l="1"/>
  <c r="Y27" i="9" s="1"/>
  <c r="Z27" i="9" s="1"/>
  <c r="AB27" i="9"/>
  <c r="AB61" i="9"/>
  <c r="AE60" i="9"/>
  <c r="Y61" i="9" s="1"/>
  <c r="AG27" i="9" l="1"/>
  <c r="AC27" i="9"/>
  <c r="AD27" i="9" s="1"/>
  <c r="AF27" i="9" s="1"/>
  <c r="AA28" i="9" s="1"/>
  <c r="Z61" i="9"/>
  <c r="AC61" i="9"/>
  <c r="AG61" i="9"/>
  <c r="AE27" i="9" l="1"/>
  <c r="Y28" i="9" s="1"/>
  <c r="Z28" i="9" s="1"/>
  <c r="AB28" i="9"/>
  <c r="AD61" i="9"/>
  <c r="AF61" i="9" s="1"/>
  <c r="AA62" i="9" s="1"/>
  <c r="AG28" i="9" l="1"/>
  <c r="AC28" i="9"/>
  <c r="AD28" i="9" s="1"/>
  <c r="AF28" i="9" s="1"/>
  <c r="AA29" i="9" s="1"/>
  <c r="AB62" i="9"/>
  <c r="AE61" i="9"/>
  <c r="Y62" i="9" s="1"/>
  <c r="AG62" i="9" s="1"/>
  <c r="AE28" i="9" l="1"/>
  <c r="Y29" i="9" s="1"/>
  <c r="Z29" i="9" s="1"/>
  <c r="AB29" i="9"/>
  <c r="Z62" i="9"/>
  <c r="AC62" i="9"/>
  <c r="AG29" i="9" l="1"/>
  <c r="AC29" i="9"/>
  <c r="AD29" i="9" s="1"/>
  <c r="AF29" i="9" s="1"/>
  <c r="AA30" i="9" s="1"/>
  <c r="AD62" i="9"/>
  <c r="AF62" i="9" s="1"/>
  <c r="AA63" i="9" s="1"/>
  <c r="AE29" i="9" l="1"/>
  <c r="Y30" i="9" s="1"/>
  <c r="Z30" i="9" s="1"/>
  <c r="AB30" i="9"/>
  <c r="AB63" i="9"/>
  <c r="AE62" i="9"/>
  <c r="Y63" i="9" s="1"/>
  <c r="AG63" i="9" s="1"/>
  <c r="AG30" i="9" l="1"/>
  <c r="AC30" i="9"/>
  <c r="AD30" i="9" s="1"/>
  <c r="AF30" i="9" s="1"/>
  <c r="AA31" i="9" s="1"/>
  <c r="AB31" i="9" s="1"/>
  <c r="Z63" i="9"/>
  <c r="AC63" i="9"/>
  <c r="AE30" i="9" l="1"/>
  <c r="Y31" i="9" s="1"/>
  <c r="AG31" i="9" s="1"/>
  <c r="AD63" i="9"/>
  <c r="AF63" i="9" s="1"/>
  <c r="AA64" i="9" s="1"/>
  <c r="AC31" i="9" l="1"/>
  <c r="AD31" i="9" s="1"/>
  <c r="AF31" i="9" s="1"/>
  <c r="AA32" i="9" s="1"/>
  <c r="AB32" i="9" s="1"/>
  <c r="Z31" i="9"/>
  <c r="AB64" i="9"/>
  <c r="AE63" i="9"/>
  <c r="Y64" i="9" s="1"/>
  <c r="AE31" i="9" l="1"/>
  <c r="Y32" i="9" s="1"/>
  <c r="AG32" i="9" s="1"/>
  <c r="Z64" i="9"/>
  <c r="AC64" i="9"/>
  <c r="AG64" i="9"/>
  <c r="Z32" i="9" l="1"/>
  <c r="AC32" i="9"/>
  <c r="AD32" i="9" s="1"/>
  <c r="AF32" i="9" s="1"/>
  <c r="AA33" i="9" s="1"/>
  <c r="AB33" i="9" s="1"/>
  <c r="AD64" i="9"/>
  <c r="AF64" i="9" s="1"/>
  <c r="AA65" i="9" s="1"/>
  <c r="AE32" i="9" l="1"/>
  <c r="Y33" i="9" s="1"/>
  <c r="Z33" i="9" s="1"/>
  <c r="AB65" i="9"/>
  <c r="AE64" i="9"/>
  <c r="Y65" i="9" s="1"/>
  <c r="AG65" i="9" s="1"/>
  <c r="AG33" i="9" l="1"/>
  <c r="AC33" i="9"/>
  <c r="AD33" i="9" s="1"/>
  <c r="AE33" i="9" s="1"/>
  <c r="Y34" i="9" s="1"/>
  <c r="Z34" i="9" s="1"/>
  <c r="Z65" i="9"/>
  <c r="AC65" i="9"/>
  <c r="AF33" i="9" l="1"/>
  <c r="AA34" i="9" s="1"/>
  <c r="AB34" i="9" s="1"/>
  <c r="AD65" i="9"/>
  <c r="AF65" i="9" s="1"/>
  <c r="AA66" i="9" s="1"/>
  <c r="AG34" i="9" l="1"/>
  <c r="AC34" i="9"/>
  <c r="AD34" i="9" s="1"/>
  <c r="AB66" i="9"/>
  <c r="AE65" i="9"/>
  <c r="Y66" i="9" s="1"/>
  <c r="AG66" i="9" s="1"/>
  <c r="S25" i="9" l="1"/>
  <c r="S26" i="9" s="1"/>
  <c r="G42" i="9" s="1"/>
  <c r="AF34" i="9"/>
  <c r="AE34" i="9"/>
  <c r="Z66" i="9"/>
  <c r="AC66" i="9"/>
  <c r="G43" i="9" l="1"/>
  <c r="S37" i="9"/>
  <c r="AD66" i="9"/>
  <c r="AF66" i="9" s="1"/>
  <c r="AA67" i="9" s="1"/>
  <c r="Q38" i="9" l="1"/>
  <c r="S38" i="9" s="1"/>
  <c r="Q39" i="9"/>
  <c r="G59" i="9"/>
  <c r="AB67" i="9"/>
  <c r="AE66" i="9"/>
  <c r="Y67" i="9" s="1"/>
  <c r="Z67" i="9" l="1"/>
  <c r="AC67" i="9"/>
  <c r="AD67" i="9" s="1"/>
  <c r="AF67" i="9" s="1"/>
  <c r="AA68" i="9" s="1"/>
  <c r="AG67" i="9"/>
  <c r="AB68" i="9" l="1"/>
  <c r="AE67" i="9"/>
  <c r="Y68" i="9" s="1"/>
  <c r="Z68" i="9" l="1"/>
  <c r="AC68" i="9"/>
  <c r="AD68" i="9" s="1"/>
  <c r="AF68" i="9" s="1"/>
  <c r="AA69" i="9" s="1"/>
  <c r="AG68" i="9"/>
  <c r="AB69" i="9" l="1"/>
  <c r="AE68" i="9"/>
  <c r="Y69" i="9" s="1"/>
  <c r="Z69" i="9" l="1"/>
  <c r="AC69" i="9"/>
  <c r="AG69" i="9"/>
  <c r="O25" i="9" l="1"/>
  <c r="AD69" i="9"/>
  <c r="AF69" i="9" s="1"/>
  <c r="O26" i="9" l="1"/>
  <c r="G35" i="9" s="1"/>
  <c r="G36" i="9" s="1"/>
  <c r="K4" i="9" s="1"/>
  <c r="K5" i="9" s="1"/>
  <c r="AE69" i="9"/>
  <c r="G48" i="9" l="1"/>
  <c r="K16" i="9"/>
  <c r="G6" i="9"/>
  <c r="K17" i="9"/>
  <c r="G23" i="9"/>
  <c r="K41" i="9" l="1"/>
  <c r="K8" i="9"/>
  <c r="K33" i="9"/>
  <c r="K13" i="9" l="1"/>
  <c r="K40" i="9" s="1"/>
  <c r="K44" i="9" s="1"/>
  <c r="K27" i="9" l="1"/>
  <c r="Q35" i="9"/>
  <c r="Q36" i="9" s="1"/>
  <c r="S39" i="9" s="1"/>
  <c r="K32" i="9"/>
  <c r="K36" i="9" s="1"/>
  <c r="AO4" i="9" l="1"/>
  <c r="K28" i="9"/>
  <c r="AM4" i="9"/>
  <c r="S35" i="9"/>
  <c r="AK4" i="9"/>
  <c r="S36" i="9"/>
</calcChain>
</file>

<file path=xl/sharedStrings.xml><?xml version="1.0" encoding="utf-8"?>
<sst xmlns="http://schemas.openxmlformats.org/spreadsheetml/2006/main" count="1728" uniqueCount="313">
  <si>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</si>
  <si>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</si>
  <si>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</si>
  <si>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</si>
  <si>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</si>
  <si>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</si>
  <si>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</si>
  <si>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</si>
  <si>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</si>
  <si>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</si>
  <si>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</si>
  <si>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</si>
  <si>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</si>
  <si>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</si>
  <si>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</si>
  <si>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</si>
  <si>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</si>
  <si>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</si>
  <si>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</si>
  <si>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</si>
  <si>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</si>
  <si>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</si>
  <si>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</si>
  <si>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</si>
  <si>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</si>
  <si>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</si>
  <si>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</si>
  <si>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</si>
  <si>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</si>
  <si>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</si>
  <si>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</si>
  <si>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</si>
  <si>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</si>
  <si>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</si>
  <si>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</si>
  <si>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</si>
  <si>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</si>
  <si>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</si>
  <si>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</si>
  <si>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</si>
  <si>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</si>
  <si>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</si>
  <si>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</si>
  <si>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</si>
  <si>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</si>
  <si>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</si>
  <si>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</si>
  <si>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</si>
  <si>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</si>
  <si>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</si>
  <si>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</si>
  <si>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</si>
  <si>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</si>
  <si>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</si>
  <si>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</si>
  <si>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</si>
  <si>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</si>
  <si>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</si>
  <si>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</si>
  <si>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</si>
  <si>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</si>
  <si>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</si>
  <si>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</si>
  <si>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</si>
  <si>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</si>
  <si>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</si>
  <si>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</si>
  <si>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</si>
  <si>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</si>
  <si>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</si>
  <si>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</si>
  <si>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</si>
  <si>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</si>
  <si>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</si>
  <si>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</si>
  <si>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</si>
  <si>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</si>
  <si>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</si>
  <si>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</si>
  <si>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</si>
  <si>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</si>
  <si>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</si>
  <si>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</si>
  <si>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</si>
  <si>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</si>
  <si>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</si>
  <si>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</si>
  <si>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</si>
  <si>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</si>
  <si>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</si>
  <si>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</si>
  <si>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</si>
  <si>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</si>
  <si>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</si>
  <si>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</si>
  <si>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</si>
  <si>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</si>
  <si>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</si>
  <si>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</si>
  <si>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</si>
  <si>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</si>
  <si>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</si>
  <si>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Aerodynamics in cruise</t>
  </si>
  <si>
    <t>Aerodynamics in climb</t>
  </si>
  <si>
    <t>Bisection method for solving RotorInflow lambda in cruise</t>
  </si>
  <si>
    <t>Bisection method for solving RotorInflow lambda in climb</t>
  </si>
  <si>
    <t>N_lift_rotor</t>
  </si>
  <si>
    <t>r_lift_rotor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</si>
  <si>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</si>
  <si>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</si>
  <si>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</si>
  <si>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</si>
  <si>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</si>
  <si>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</si>
  <si>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</si>
  <si>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</si>
  <si>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</si>
  <si>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</si>
  <si>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</si>
  <si>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</si>
  <si>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</si>
  <si>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</si>
  <si>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</si>
  <si>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</si>
  <si>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</si>
  <si>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</si>
  <si>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</si>
  <si>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</si>
  <si>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</si>
  <si>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</si>
  <si>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</si>
  <si>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</si>
  <si>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</si>
  <si>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</si>
  <si>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</si>
  <si>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</si>
  <si>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</si>
  <si>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</si>
  <si>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</si>
  <si>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</si>
  <si>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</si>
  <si>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</si>
  <si>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</si>
  <si>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</si>
  <si>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</si>
  <si>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</si>
  <si>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</si>
  <si>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</si>
  <si>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</si>
  <si>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</si>
  <si>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</si>
  <si>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</si>
  <si>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</si>
  <si>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</si>
  <si>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</si>
  <si>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</si>
  <si>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</si>
  <si>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</si>
  <si>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</si>
  <si>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</si>
  <si>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</si>
  <si>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</si>
  <si>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</si>
  <si>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</si>
  <si>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</si>
  <si>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</si>
  <si>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</si>
  <si>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</si>
  <si>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</si>
  <si>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</si>
  <si>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</si>
  <si>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</si>
  <si>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</si>
  <si>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</si>
  <si>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</si>
  <si>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</si>
  <si>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</si>
  <si>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</si>
  <si>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</si>
  <si>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</si>
  <si>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</si>
  <si>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</si>
  <si>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</si>
  <si>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</si>
  <si>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</si>
  <si>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</si>
  <si>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</si>
  <si>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</si>
  <si>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</si>
  <si>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</si>
  <si>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</si>
  <si>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</si>
  <si>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</si>
  <si>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</si>
  <si>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</si>
  <si>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</si>
  <si>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</si>
  <si>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</si>
  <si>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</si>
  <si>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</si>
  <si>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</si>
  <si>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</si>
  <si>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</si>
  <si>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</si>
  <si>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</si>
  <si>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</si>
  <si>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</si>
  <si>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</si>
  <si>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</si>
  <si>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</si>
  <si>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</si>
  <si>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</si>
  <si>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</si>
  <si>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</si>
  <si>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</si>
  <si>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</si>
  <si>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</si>
  <si>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</si>
  <si>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</si>
  <si>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</si>
  <si>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</si>
  <si>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</si>
  <si>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</si>
  <si>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</si>
  <si>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</si>
  <si>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</si>
  <si>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</si>
  <si>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</si>
  <si>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</si>
  <si>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</si>
  <si>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</si>
  <si>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</si>
  <si>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</si>
  <si>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</si>
  <si>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</si>
  <si>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</si>
  <si>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</si>
  <si>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</si>
  <si>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</si>
  <si>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</si>
  <si>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</si>
  <si>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</si>
  <si>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</si>
  <si>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</si>
  <si>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</si>
  <si>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</si>
  <si>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</si>
  <si>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</si>
  <si>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</si>
  <si>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Total drag</t>
  </si>
  <si>
    <t>L/D</t>
  </si>
  <si>
    <t>Propeller performance in climb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</si>
  <si>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</si>
  <si>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</si>
  <si>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</si>
  <si>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</si>
  <si>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</si>
  <si>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</si>
  <si>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</si>
  <si>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</si>
  <si>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</si>
  <si>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</si>
  <si>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</si>
  <si>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</si>
  <si>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</si>
  <si>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</si>
  <si>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</si>
  <si>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</si>
  <si>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</si>
  <si>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</si>
  <si>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</si>
  <si>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</si>
  <si>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</si>
  <si>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</si>
  <si>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</si>
  <si>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</si>
  <si>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</si>
  <si>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</si>
  <si>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Taxi segment</t>
  </si>
  <si>
    <t>taxi duration</t>
  </si>
  <si>
    <t>percent_max_power</t>
  </si>
  <si>
    <t>power_taxi</t>
  </si>
  <si>
    <t>Transition segment</t>
  </si>
  <si>
    <t>transition duration</t>
  </si>
  <si>
    <t>Hover segment</t>
  </si>
  <si>
    <t>hover duration</t>
  </si>
  <si>
    <t>Reserve cruise segment</t>
  </si>
  <si>
    <t>reserve cruise duration</t>
  </si>
  <si>
    <t>Environment at 6025 ft</t>
  </si>
  <si>
    <t>rho_softmax</t>
  </si>
  <si>
    <t>Environment at 10000 ft</t>
  </si>
  <si>
    <t>Environment at 8025 ft</t>
  </si>
  <si>
    <t>mission_time</t>
  </si>
  <si>
    <t>power_transition</t>
  </si>
  <si>
    <t>power_hover</t>
  </si>
  <si>
    <t>Published</t>
  </si>
  <si>
    <t>MTOW (kg)</t>
  </si>
  <si>
    <t>Calculated</t>
  </si>
  <si>
    <t>W_battery (kg)</t>
  </si>
  <si>
    <t>Disk loading (Pa)</t>
  </si>
  <si>
    <t>Diff (%)</t>
  </si>
  <si>
    <t>W_empty (kg)</t>
  </si>
  <si>
    <t>tf_propulsion</t>
  </si>
  <si>
    <t>tf_structure</t>
  </si>
  <si>
    <t>tf_equipments</t>
  </si>
  <si>
    <t>OEW (kg)</t>
  </si>
  <si>
    <t>P cruise (kW)</t>
  </si>
  <si>
    <t>LiftRotor|RPM_climb</t>
  </si>
  <si>
    <t>LiftRotor|RPM_cruise</t>
  </si>
  <si>
    <t>LiftRotor|RPM_hover</t>
  </si>
  <si>
    <t>Propeller|RPM_climb</t>
  </si>
  <si>
    <t>Propeller|RPM_cruise</t>
  </si>
  <si>
    <t>L/D = WV/P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</si>
</sst>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8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0" xfId="0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multirotor!$K$39:$K$43</c:f>
              <c:numCache>
                <c:formatCode>General</c:formatCode>
                <c:ptCount val="5"/>
                <c:pt idx="0">
                  <c:v>17.23</c:v>
                </c:pt>
                <c:pt idx="1">
                  <c:v>26.38</c:v>
                </c:pt>
                <c:pt idx="2">
                  <c:v>40.33</c:v>
                </c:pt>
                <c:pt idx="3">
                  <c:v>9.89</c:v>
                </c:pt>
                <c:pt idx="4">
                  <c:v>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548.39</c:v>
                </c:pt>
                <c:pt idx="1">
                  <c:v>839.46</c:v>
                </c:pt>
                <c:pt idx="2">
                  <c:v>1283.25</c:v>
                </c:pt>
                <c:pt idx="3">
                  <c:v>314.73</c:v>
                </c:pt>
                <c:pt idx="4">
                  <c:v>196.32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'lift+cruise'!$J$44:$J$48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'lift+cruise'!$K$44:$K$48</c:f>
              <c:numCache>
                <c:formatCode>General</c:formatCode>
                <c:ptCount val="5"/>
                <c:pt idx="0">
                  <c:v>548.39</c:v>
                </c:pt>
                <c:pt idx="1">
                  <c:v>1055.05</c:v>
                </c:pt>
                <c:pt idx="2">
                  <c:v>1149.56</c:v>
                </c:pt>
                <c:pt idx="3">
                  <c:v>1099.24</c:v>
                </c:pt>
                <c:pt idx="4">
                  <c:v>229.13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'lift+cruise'!$J$36:$J$40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'lift+cruise'!$K$36:$K$40</c:f>
              <c:numCache>
                <c:formatCode>General</c:formatCode>
                <c:ptCount val="5"/>
                <c:pt idx="0">
                  <c:v>13.44</c:v>
                </c:pt>
                <c:pt idx="1">
                  <c:v>25.85</c:v>
                </c:pt>
                <c:pt idx="2">
                  <c:v>28.17</c:v>
                </c:pt>
                <c:pt idx="3">
                  <c:v>26.93</c:v>
                </c:pt>
                <c:pt idx="4">
                  <c:v>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175210</xdr:colOff>
      <xdr:row>57</xdr:row>
      <xdr:rowOff>159439</xdr:rowOff>
    </xdr:from>
    <xdr:to>
      <xdr:col>12</xdr:col>
      <xdr:colOff>195317</xdr:colOff>
      <xdr:row>69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204589</xdr:colOff>
      <xdr:row>45</xdr:row>
      <xdr:rowOff>92200</xdr:rowOff>
    </xdr:from>
    <xdr:to>
      <xdr:col>12</xdr:col>
      <xdr:colOff>156356</xdr:colOff>
      <xdr:row>56</xdr:row>
      <xdr:rowOff>185333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L136"/>
  <sheetViews>
    <sheetView tabSelected="1" topLeftCell="AM1" zoomScale="106" workbookViewId="0">
      <selection activeCell="AU5" sqref="AU5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0.83203125" style="7"/>
    <col min="4" max="4" width="7.1640625" style="7" customWidth="1"/>
    <col min="5" max="5" width="5.6640625" style="7" customWidth="1"/>
    <col min="6" max="6" width="20.66406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3.1640625" style="7" customWidth="1"/>
    <col min="12" max="12" width="4.83203125" style="7" customWidth="1"/>
    <col min="13" max="13" width="6" style="7" customWidth="1"/>
    <col min="14" max="14" width="15.33203125" style="7" customWidth="1"/>
    <col min="15" max="15" width="11.1640625" style="7" customWidth="1"/>
    <col min="16" max="16" width="6.33203125" style="7" customWidth="1"/>
    <col min="17" max="17" width="6" style="7" customWidth="1"/>
    <col min="18" max="18" width="14.33203125" style="7" customWidth="1"/>
    <col min="19" max="19" width="11" style="7" bestFit="1" customWidth="1"/>
    <col min="20" max="20" width="6.33203125" style="7" customWidth="1"/>
    <col min="21" max="23" width="3.83203125" style="7" customWidth="1"/>
    <col min="24" max="24" width="5.5" style="7" customWidth="1"/>
    <col min="25" max="26" width="6.1640625" style="7" customWidth="1"/>
    <col min="27" max="27" width="6.6640625" style="7" customWidth="1"/>
    <col min="28" max="28" width="7" style="7" customWidth="1"/>
    <col min="29" max="29" width="14.6640625" style="7" customWidth="1"/>
    <col min="30" max="30" width="7.83203125" style="7" customWidth="1"/>
    <col min="31" max="31" width="10" style="7" customWidth="1"/>
    <col min="32" max="32" width="9.5" style="7" customWidth="1"/>
    <col min="33" max="33" width="13.6640625" style="7" customWidth="1"/>
    <col min="34" max="34" width="10.83203125" style="7"/>
    <col min="35" max="35" width="5.1640625" style="7" customWidth="1"/>
    <col min="36" max="36" width="11.83203125" style="7" bestFit="1" customWidth="1"/>
    <col min="37" max="37" width="16.5" style="7" bestFit="1" customWidth="1"/>
    <col min="38" max="38" width="11.83203125" style="7" bestFit="1" customWidth="1"/>
    <col min="39" max="39" width="14.1640625" style="7" bestFit="1" customWidth="1"/>
    <col min="40" max="40" width="18.33203125" style="7" customWidth="1"/>
    <col min="41" max="44" width="11.83203125" style="7" bestFit="1" customWidth="1"/>
    <col min="45" max="46" width="10.83203125" style="7"/>
    <col min="47" max="47" width="11.33203125" style="7" bestFit="1" customWidth="1"/>
    <col min="48" max="48" width="10.83203125" style="7"/>
    <col min="49" max="49" width="3.5" style="7" customWidth="1"/>
    <col min="50" max="50" width="12.33203125" style="7" customWidth="1"/>
    <col min="51" max="51" width="13" style="7" bestFit="1" customWidth="1"/>
    <col min="52" max="52" width="12" style="7" customWidth="1"/>
    <col min="53" max="53" width="14.1640625" style="7" bestFit="1" customWidth="1"/>
    <col min="54" max="54" width="13.6640625" style="7" bestFit="1" customWidth="1"/>
    <col min="55" max="56" width="14.1640625" style="7" bestFit="1" customWidth="1"/>
    <col min="57" max="57" width="13.6640625" style="7" bestFit="1" customWidth="1"/>
    <col min="58" max="58" width="14.1640625" style="7" bestFit="1" customWidth="1"/>
    <col min="59" max="59" width="13.6640625" style="7" bestFit="1" customWidth="1"/>
    <col min="60" max="60" width="10.83203125" style="7"/>
    <col min="61" max="61" width="3.33203125" style="7" customWidth="1"/>
    <col min="62" max="62" width="10.83203125" style="7"/>
    <col min="63" max="63" width="14.5" style="7" bestFit="1" customWidth="1"/>
    <col min="64" max="64" width="10.83203125" style="7"/>
    <col min="65" max="65" width="3.33203125" style="7" customWidth="1"/>
    <col min="66" max="66" width="10.83203125" style="7"/>
    <col min="67" max="67" width="13.5" style="7" bestFit="1" customWidth="1"/>
    <col min="68" max="68" width="10.83203125" style="7"/>
    <col min="69" max="69" width="3" style="7" customWidth="1"/>
    <col min="70" max="71" width="11" style="7" bestFit="1" customWidth="1"/>
    <col min="72" max="72" width="14.5" style="7" bestFit="1" customWidth="1"/>
    <col min="73" max="73" width="11" style="7" bestFit="1" customWidth="1"/>
    <col min="74" max="74" width="14.5" style="7" bestFit="1" customWidth="1"/>
    <col min="75" max="75" width="11" style="7" bestFit="1" customWidth="1"/>
    <col min="76" max="76" width="14.5" style="7" bestFit="1" customWidth="1"/>
    <col min="77" max="79" width="11" style="7" bestFit="1" customWidth="1"/>
    <col min="80" max="80" width="2.83203125" style="7" customWidth="1"/>
    <col min="81" max="82" width="11" style="7" bestFit="1" customWidth="1"/>
    <col min="83" max="83" width="14.5" style="7" bestFit="1" customWidth="1"/>
    <col min="84" max="84" width="11" style="7" bestFit="1" customWidth="1"/>
    <col min="85" max="16384" width="10.83203125" style="7"/>
  </cols>
  <sheetData>
    <row r="1" spans="2:90" x14ac:dyDescent="0.2">
      <c r="B1" s="65" t="s">
        <v>0</v>
      </c>
      <c r="C1" s="65"/>
      <c r="D1" s="65"/>
    </row>
    <row r="2" spans="2:90" x14ac:dyDescent="0.2">
      <c r="X2" s="17" t="s">
        <v>104</v>
      </c>
      <c r="AI2" s="17" t="s">
        <v>79</v>
      </c>
      <c r="AT2" s="74" t="s">
        <v>149</v>
      </c>
      <c r="AU2" s="74"/>
      <c r="AV2" s="74"/>
      <c r="AW2"/>
      <c r="AX2" s="74" t="s">
        <v>150</v>
      </c>
      <c r="AY2" s="74"/>
      <c r="AZ2" s="74"/>
      <c r="BA2"/>
      <c r="BB2" s="74" t="s">
        <v>151</v>
      </c>
      <c r="BC2" s="74"/>
      <c r="BD2" s="74"/>
      <c r="BE2" s="74"/>
      <c r="BF2" s="74"/>
      <c r="BG2" s="74"/>
      <c r="BH2" s="74"/>
      <c r="BI2"/>
      <c r="BJ2" s="74" t="s">
        <v>152</v>
      </c>
      <c r="BK2" s="74"/>
      <c r="BL2" s="74"/>
      <c r="BM2" s="74"/>
      <c r="BN2" s="74"/>
      <c r="BO2" s="74"/>
      <c r="BP2" s="74"/>
      <c r="BQ2"/>
      <c r="BR2" s="74" t="s">
        <v>153</v>
      </c>
      <c r="BS2" s="74"/>
      <c r="BT2" s="74"/>
      <c r="BU2" s="74"/>
      <c r="BV2" s="74"/>
      <c r="BW2" s="74"/>
      <c r="BX2" s="74"/>
      <c r="BY2" s="74"/>
      <c r="BZ2" s="74"/>
      <c r="CA2" s="74"/>
      <c r="CB2"/>
      <c r="CC2" s="74" t="s">
        <v>154</v>
      </c>
      <c r="CD2" s="74"/>
      <c r="CE2" s="74"/>
      <c r="CF2" s="74"/>
      <c r="CG2" s="74"/>
      <c r="CH2" s="74"/>
      <c r="CI2" s="74"/>
      <c r="CJ2" s="74"/>
      <c r="CK2" s="74"/>
      <c r="CL2" s="74"/>
    </row>
    <row r="3" spans="2:90" x14ac:dyDescent="0.2">
      <c r="B3" s="66" t="s">
        <v>139</v>
      </c>
      <c r="C3" s="67"/>
      <c r="D3" s="67"/>
      <c r="F3" s="66" t="s">
        <v>278</v>
      </c>
      <c r="G3" s="67"/>
      <c r="H3" s="67"/>
      <c r="J3" s="68" t="s">
        <v>113</v>
      </c>
      <c r="K3" s="68"/>
      <c r="L3" s="68"/>
      <c r="N3" s="68" t="s">
        <v>103</v>
      </c>
      <c r="O3" s="68"/>
      <c r="P3" s="68"/>
      <c r="R3" s="68" t="s">
        <v>102</v>
      </c>
      <c r="S3" s="68"/>
      <c r="T3" s="68"/>
      <c r="X3" s="8" t="s">
        <v>44</v>
      </c>
      <c r="Y3" s="8" t="s">
        <v>45</v>
      </c>
      <c r="Z3" s="8" t="s">
        <v>46</v>
      </c>
      <c r="AA3" s="8" t="s">
        <v>47</v>
      </c>
      <c r="AB3" s="8" t="s">
        <v>48</v>
      </c>
      <c r="AC3" s="8" t="s">
        <v>49</v>
      </c>
      <c r="AD3" s="8" t="s">
        <v>50</v>
      </c>
      <c r="AE3" s="8" t="s">
        <v>51</v>
      </c>
      <c r="AF3" s="8" t="s">
        <v>52</v>
      </c>
      <c r="AG3" s="8" t="s">
        <v>53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T3" s="3" t="s">
        <v>156</v>
      </c>
      <c r="AU3" s="3">
        <f>$G$9</f>
        <v>0.50800000000000001</v>
      </c>
      <c r="AV3" s="27" t="s">
        <v>10</v>
      </c>
      <c r="AW3"/>
      <c r="AX3" s="3" t="s">
        <v>157</v>
      </c>
      <c r="AY3" s="3">
        <f>0.5*AU9</f>
        <v>4.2062400000000002</v>
      </c>
      <c r="AZ3" s="27" t="s">
        <v>8</v>
      </c>
      <c r="BA3"/>
      <c r="BB3" s="75" t="s">
        <v>158</v>
      </c>
      <c r="BC3" s="75"/>
      <c r="BD3" s="75"/>
      <c r="BE3"/>
      <c r="BF3" s="75" t="s">
        <v>159</v>
      </c>
      <c r="BG3" s="75"/>
      <c r="BH3" s="75"/>
      <c r="BI3"/>
      <c r="BJ3" s="75" t="s">
        <v>158</v>
      </c>
      <c r="BK3" s="75"/>
      <c r="BL3" s="75"/>
      <c r="BM3" s="3"/>
      <c r="BN3" s="75" t="s">
        <v>159</v>
      </c>
      <c r="BO3" s="75"/>
      <c r="BP3" s="75"/>
      <c r="BQ3"/>
      <c r="BR3" s="8" t="s">
        <v>44</v>
      </c>
      <c r="BS3" s="8" t="s">
        <v>45</v>
      </c>
      <c r="BT3" s="8" t="s">
        <v>46</v>
      </c>
      <c r="BU3" s="8" t="s">
        <v>47</v>
      </c>
      <c r="BV3" s="8" t="s">
        <v>48</v>
      </c>
      <c r="BW3" s="8" t="s">
        <v>49</v>
      </c>
      <c r="BX3" s="8" t="s">
        <v>50</v>
      </c>
      <c r="BY3" s="8" t="s">
        <v>51</v>
      </c>
      <c r="BZ3" s="8" t="s">
        <v>52</v>
      </c>
      <c r="CA3" s="8" t="s">
        <v>53</v>
      </c>
      <c r="CB3"/>
      <c r="CC3" s="8" t="s">
        <v>44</v>
      </c>
      <c r="CD3" s="8" t="s">
        <v>45</v>
      </c>
      <c r="CE3" s="8" t="s">
        <v>46</v>
      </c>
      <c r="CF3" s="8" t="s">
        <v>47</v>
      </c>
      <c r="CG3" s="8" t="s">
        <v>48</v>
      </c>
      <c r="CH3" s="8" t="s">
        <v>49</v>
      </c>
      <c r="CI3" s="8" t="s">
        <v>50</v>
      </c>
      <c r="CJ3" s="8" t="s">
        <v>51</v>
      </c>
      <c r="CK3" s="8" t="s">
        <v>52</v>
      </c>
      <c r="CL3" s="8" t="s">
        <v>53</v>
      </c>
    </row>
    <row r="4" spans="2:90" x14ac:dyDescent="0.2">
      <c r="B4" s="7" t="s">
        <v>39</v>
      </c>
      <c r="C4" s="23" t="s">
        <v>75</v>
      </c>
      <c r="F4" s="7" t="s">
        <v>279</v>
      </c>
      <c r="G4" s="18">
        <f>15+15</f>
        <v>30</v>
      </c>
      <c r="H4" s="7" t="s">
        <v>14</v>
      </c>
      <c r="J4" t="s">
        <v>114</v>
      </c>
      <c r="K4" s="7">
        <f>MAX(G18,G36,G43,G55)</f>
        <v>1132.4443070548882</v>
      </c>
      <c r="L4" s="7" t="s">
        <v>116</v>
      </c>
      <c r="N4" s="7" t="s">
        <v>25</v>
      </c>
      <c r="O4" s="7">
        <f xml:space="preserve"> 0.5 * $C$47 * $G$26^2</f>
        <v>1054.3653364100057</v>
      </c>
      <c r="P4" s="7" t="s">
        <v>26</v>
      </c>
      <c r="R4" s="7" t="s">
        <v>25</v>
      </c>
      <c r="S4" s="7">
        <f xml:space="preserve"> 0.5 * $C$53 * $C$9^2</f>
        <v>991.49387063108361</v>
      </c>
      <c r="T4" s="7" t="s">
        <v>26</v>
      </c>
      <c r="X4" s="3">
        <v>0</v>
      </c>
      <c r="Y4" s="4">
        <v>0</v>
      </c>
      <c r="Z4" s="3">
        <f t="shared" ref="Z4:Z34" si="0" xml:space="preserve"> $S$21 * TAN($S$18/180*PI()) + $S$22 / (2 * SQRT($S$21^2 + Y4^2)) - Y4</f>
        <v>1.685625760349771E-2</v>
      </c>
      <c r="AA4" s="4">
        <v>1</v>
      </c>
      <c r="AB4" s="3">
        <f t="shared" ref="AB4:AB34" si="1" xml:space="preserve"> $S$21 * TAN($S$18/180*PI()) + $S$22 / (2 * SQRT($S$21^2 + AA4^2)) - AA4</f>
        <v>-0.98958413165327919</v>
      </c>
      <c r="AC4" s="3">
        <f xml:space="preserve"> (Y4 + AA4)/2</f>
        <v>0.5</v>
      </c>
      <c r="AD4" s="3">
        <f t="shared" ref="AD4:AD34" si="2" xml:space="preserve"> $S$21 * TAN($S$18/180*PI()) + $S$22 / (2 * SQRT($S$21^2 + AC4^2)) - AC4</f>
        <v>-0.48793572928276391</v>
      </c>
      <c r="AE4" s="3">
        <f>Z4*AD4</f>
        <v>-8.2247703467407899E-3</v>
      </c>
      <c r="AF4" s="3">
        <f>AB4*AD4</f>
        <v>0.48285345496489346</v>
      </c>
      <c r="AG4" s="3">
        <f>AA4-Y4</f>
        <v>1</v>
      </c>
      <c r="AI4" s="3">
        <v>0</v>
      </c>
      <c r="AJ4" s="3"/>
      <c r="AK4" s="3">
        <f>K27</f>
        <v>-1.2646523828152567E-9</v>
      </c>
      <c r="AL4" s="3"/>
      <c r="AM4" s="3">
        <f>K27</f>
        <v>-1.2646523828152567E-9</v>
      </c>
      <c r="AN4" s="3"/>
      <c r="AO4" s="3">
        <f>K27</f>
        <v>-1.2646523828152567E-9</v>
      </c>
      <c r="AP4" s="3"/>
      <c r="AQ4" s="3"/>
      <c r="AR4" s="3"/>
      <c r="AT4" s="3" t="s">
        <v>163</v>
      </c>
      <c r="AU4" s="3">
        <f>$C$6</f>
        <v>529.04065740294755</v>
      </c>
      <c r="AV4" s="27" t="s">
        <v>146</v>
      </c>
      <c r="AW4"/>
      <c r="AX4" s="3" t="s">
        <v>164</v>
      </c>
      <c r="AY4" s="3">
        <f>PI()*AY3^2</f>
        <v>55.582486455932624</v>
      </c>
      <c r="AZ4" s="27" t="s">
        <v>11</v>
      </c>
      <c r="BA4"/>
      <c r="BB4" s="3" t="s">
        <v>165</v>
      </c>
      <c r="BC4" s="3">
        <f>2*($AU$19 - $AU$10)</f>
        <v>0.46268639999999994</v>
      </c>
      <c r="BD4" s="27" t="s">
        <v>8</v>
      </c>
      <c r="BE4"/>
      <c r="BF4" s="3" t="s">
        <v>165</v>
      </c>
      <c r="BG4" s="3">
        <f>$AU$20-$AU$19</f>
        <v>0.46268639999999994</v>
      </c>
      <c r="BH4" s="27" t="s">
        <v>8</v>
      </c>
      <c r="BI4"/>
      <c r="BJ4" s="29" t="s">
        <v>166</v>
      </c>
      <c r="BK4" s="30">
        <f>BW34</f>
        <v>0.15158439119456729</v>
      </c>
      <c r="BL4" s="6" t="s">
        <v>167</v>
      </c>
      <c r="BM4" s="3"/>
      <c r="BN4" s="29" t="s">
        <v>166</v>
      </c>
      <c r="BO4" s="30">
        <f>CH34</f>
        <v>0.12112287768008834</v>
      </c>
      <c r="BP4" s="6" t="s">
        <v>167</v>
      </c>
      <c r="BQ4"/>
      <c r="BR4" s="31">
        <v>0</v>
      </c>
      <c r="BS4" s="31"/>
      <c r="BT4" s="31">
        <f>$BK$20</f>
        <v>8.1329997615037231E-9</v>
      </c>
      <c r="BU4" s="31"/>
      <c r="BV4" s="31">
        <f>$BK$20</f>
        <v>8.1329997615037231E-9</v>
      </c>
      <c r="BW4" s="31"/>
      <c r="BX4" s="31">
        <f>$BK$20</f>
        <v>8.1329997615037231E-9</v>
      </c>
      <c r="BY4" s="31"/>
      <c r="BZ4" s="31"/>
      <c r="CA4" s="31"/>
      <c r="CB4"/>
      <c r="CC4" s="31">
        <v>0</v>
      </c>
      <c r="CD4" s="31"/>
      <c r="CE4" s="31">
        <f>$BO$20</f>
        <v>-2.0333896597751755E-9</v>
      </c>
      <c r="CF4" s="31"/>
      <c r="CG4" s="31">
        <f>$BO$20</f>
        <v>-2.0333896597751755E-9</v>
      </c>
      <c r="CH4" s="31"/>
      <c r="CI4" s="31">
        <f>$BO$20</f>
        <v>-2.0333896597751755E-9</v>
      </c>
      <c r="CJ4" s="31"/>
      <c r="CK4" s="31"/>
      <c r="CL4" s="31"/>
    </row>
    <row r="5" spans="2:90" x14ac:dyDescent="0.2">
      <c r="B5" s="11" t="s">
        <v>40</v>
      </c>
      <c r="C5" s="11">
        <f>AN44</f>
        <v>3182.1592721566958</v>
      </c>
      <c r="D5" s="11" t="s">
        <v>7</v>
      </c>
      <c r="F5" s="7" t="s">
        <v>280</v>
      </c>
      <c r="G5" s="18">
        <v>10</v>
      </c>
      <c r="H5" s="7" t="s">
        <v>61</v>
      </c>
      <c r="J5" t="s">
        <v>115</v>
      </c>
      <c r="K5" s="7">
        <f>K4/$C$19</f>
        <v>283.11107676372205</v>
      </c>
      <c r="L5" s="7" t="s">
        <v>116</v>
      </c>
      <c r="N5" s="7" t="s">
        <v>131</v>
      </c>
      <c r="O5" s="7">
        <f xml:space="preserve"> $C$19 * 0.85 * ($C$5/$C$19 *2.20462/1000)^(2/3) * 0.3048^2</f>
        <v>0.45938056629270879</v>
      </c>
      <c r="P5" s="7" t="s">
        <v>132</v>
      </c>
      <c r="R5" s="7" t="s">
        <v>131</v>
      </c>
      <c r="S5" s="7">
        <f xml:space="preserve"> $C$19 * 0.85 * ($C$5/$C$19 *2.20462/1000)^(2/3) * 0.3048^2</f>
        <v>0.45938056629270879</v>
      </c>
      <c r="T5" s="7" t="s">
        <v>132</v>
      </c>
      <c r="X5" s="3">
        <v>1</v>
      </c>
      <c r="Y5" s="3">
        <f>IF(AE4&gt;0, AC4, Y4)</f>
        <v>0</v>
      </c>
      <c r="Z5" s="3">
        <f t="shared" si="0"/>
        <v>1.685625760349771E-2</v>
      </c>
      <c r="AA5" s="3">
        <f>IF(AF4&gt;0, AC4, AA4)</f>
        <v>0.5</v>
      </c>
      <c r="AB5" s="3">
        <f t="shared" si="1"/>
        <v>-0.48793572928276391</v>
      </c>
      <c r="AC5" s="3">
        <f t="shared" ref="AC5:AC34" si="3" xml:space="preserve"> (Y5 + AA5)/2</f>
        <v>0.25</v>
      </c>
      <c r="AD5" s="3">
        <f t="shared" si="2"/>
        <v>-0.2357651534166377</v>
      </c>
      <c r="AE5" s="3">
        <f t="shared" ref="AE5:AE34" si="4">Z5*AD5</f>
        <v>-3.974118159919003E-3</v>
      </c>
      <c r="AF5" s="3">
        <f t="shared" ref="AF5:AF34" si="5">AB5*AD5</f>
        <v>0.11503824207180983</v>
      </c>
      <c r="AG5" s="3">
        <f t="shared" ref="AG5:AG33" si="6">AA5-Y5</f>
        <v>0.5</v>
      </c>
      <c r="AI5" s="3">
        <v>1</v>
      </c>
      <c r="AJ5" s="4">
        <v>500</v>
      </c>
      <c r="AK5" s="3">
        <f t="dataTable" ref="AK5:AK44" dt2D="0" dtr="0" r1="C5" ca="1"/>
        <v>-1540.4407908395121</v>
      </c>
      <c r="AL5" s="4">
        <v>5000</v>
      </c>
      <c r="AM5" s="3">
        <f t="dataTable" ref="AM5:AM44" dt2D="0" dtr="0" r1="C5" ca="1"/>
        <v>1007.9071105936346</v>
      </c>
      <c r="AN5" s="3">
        <f>(AJ5+AL5)/2</f>
        <v>2750</v>
      </c>
      <c r="AO5" s="3">
        <f t="dataTable" ref="AO5:AO44" dt2D="0" dtr="0" r1="C5" ca="1"/>
        <v>-250.05042258750973</v>
      </c>
      <c r="AP5" s="3">
        <f>AK5*AO5</f>
        <v>385187.87072045769</v>
      </c>
      <c r="AQ5" s="3">
        <f>AM5*AO5</f>
        <v>-252027.59893289424</v>
      </c>
      <c r="AR5" s="3">
        <f>AL5-AJ5</f>
        <v>4500</v>
      </c>
      <c r="AT5" s="3" t="s">
        <v>169</v>
      </c>
      <c r="AU5" s="4">
        <v>4.0999999999999996</v>
      </c>
      <c r="AV5" s="27" t="s">
        <v>43</v>
      </c>
      <c r="AW5"/>
      <c r="AX5" s="3" t="s">
        <v>29</v>
      </c>
      <c r="AY5" s="3">
        <f>AU4*2*PI()/60</f>
        <v>55.401008091580486</v>
      </c>
      <c r="AZ5" s="27" t="s">
        <v>30</v>
      </c>
      <c r="BA5"/>
      <c r="BB5" s="3" t="s">
        <v>170</v>
      </c>
      <c r="BC5" s="3">
        <f>(1+$BK$18)*$AU$3</f>
        <v>6.036495740271234</v>
      </c>
      <c r="BD5" s="27" t="s">
        <v>10</v>
      </c>
      <c r="BE5"/>
      <c r="BF5" s="3" t="s">
        <v>170</v>
      </c>
      <c r="BG5" s="3">
        <f>(1+$BO$18)*$AU$3</f>
        <v>7.9185207767264547</v>
      </c>
      <c r="BH5" s="27" t="s">
        <v>10</v>
      </c>
      <c r="BI5"/>
      <c r="BJ5" s="3" t="s">
        <v>171</v>
      </c>
      <c r="BK5" s="3">
        <f>($AU$35+$AU$5)/180*PI()</f>
        <v>0.19198621771937624</v>
      </c>
      <c r="BL5" s="3" t="s">
        <v>167</v>
      </c>
      <c r="BM5" s="3"/>
      <c r="BN5" s="3" t="s">
        <v>171</v>
      </c>
      <c r="BO5" s="3">
        <f>($AU$36+$AU$5)/180*PI()</f>
        <v>0.16894787159305111</v>
      </c>
      <c r="BP5" s="3" t="s">
        <v>167</v>
      </c>
      <c r="BQ5"/>
      <c r="BR5" s="3">
        <v>1</v>
      </c>
      <c r="BS5" s="4">
        <f>0.01*PI()</f>
        <v>3.1415926535897934E-2</v>
      </c>
      <c r="BT5" s="3">
        <f t="dataTable" ref="BT5:BT34" dt2D="0" dtr="0" r1="BK4" ca="1"/>
        <v>-1.8269599568206716</v>
      </c>
      <c r="BU5" s="4">
        <f>0.9*PI()</f>
        <v>2.8274333882308138</v>
      </c>
      <c r="BV5" s="3">
        <f t="dataTable" ref="BV5:BV34" dt2D="0" dtr="0" r1="BK4"/>
        <v>0.45761531678030298</v>
      </c>
      <c r="BW5" s="3">
        <f t="shared" ref="BW5:BW34" si="7">(BS5+BU5)/2</f>
        <v>1.4294246573833558</v>
      </c>
      <c r="BX5" s="3">
        <f t="dataTable" ref="BX5:BX34" dt2D="0" dtr="0" r1="BK4" ca="1"/>
        <v>1.0998292744424449</v>
      </c>
      <c r="BY5" s="3">
        <f t="shared" ref="BY5:BY34" si="8">BT5*BX5</f>
        <v>-2.0093440437454797</v>
      </c>
      <c r="BZ5" s="3">
        <f t="shared" ref="BZ5:BZ34" si="9">BV5*BX5</f>
        <v>0.50329872182823021</v>
      </c>
      <c r="CA5" s="3">
        <f t="shared" ref="CA5:CA34" si="10">BU5-BS5</f>
        <v>2.7960174616949161</v>
      </c>
      <c r="CB5"/>
      <c r="CC5" s="3">
        <v>1</v>
      </c>
      <c r="CD5" s="4">
        <f>0.01*PI()</f>
        <v>3.1415926535897934E-2</v>
      </c>
      <c r="CE5" s="3">
        <f t="dataTable" ref="CE5:CE34" dt2D="0" dtr="0" r1="BO4" ca="1"/>
        <v>-0.95587790794780925</v>
      </c>
      <c r="CF5" s="4">
        <f>0.9*PI()</f>
        <v>2.8274333882308138</v>
      </c>
      <c r="CG5" s="3">
        <f t="dataTable" ref="CG5:CG34" dt2D="0" dtr="0" r1="BO4"/>
        <v>0.38899694133352231</v>
      </c>
      <c r="CH5" s="3">
        <f t="shared" ref="CH5:CH34" si="11">(CD5+CF5)/2</f>
        <v>1.4294246573833558</v>
      </c>
      <c r="CI5" s="3">
        <f t="dataTable" ref="CI5:CI34" dt2D="0" dtr="0" r1="BO4" ca="1"/>
        <v>1.042728858485737</v>
      </c>
      <c r="CJ5" s="3">
        <f t="shared" ref="CJ5:CJ34" si="12">CE5*CI5</f>
        <v>-0.99672147980615355</v>
      </c>
      <c r="CK5" s="3">
        <f t="shared" ref="CK5:CK34" si="13">CG5*CI5</f>
        <v>0.40561833659114693</v>
      </c>
      <c r="CL5" s="3">
        <f t="shared" ref="CL5:CL34" si="14">CF5-CD5</f>
        <v>2.7960174616949161</v>
      </c>
    </row>
    <row r="6" spans="2:90" x14ac:dyDescent="0.2">
      <c r="B6" s="11" t="s">
        <v>309</v>
      </c>
      <c r="C6" s="11">
        <f>AN79</f>
        <v>529.04065740294755</v>
      </c>
      <c r="D6" s="11" t="s">
        <v>146</v>
      </c>
      <c r="F6" s="44" t="s">
        <v>281</v>
      </c>
      <c r="G6" s="44">
        <f>$G$5/100*K4</f>
        <v>113.24443070548882</v>
      </c>
      <c r="H6" s="44" t="s">
        <v>116</v>
      </c>
      <c r="N6" t="s">
        <v>133</v>
      </c>
      <c r="O6">
        <f xml:space="preserve"> O5 / (PI() * $C$10^2)</f>
        <v>8.2648437589584768E-3</v>
      </c>
      <c r="R6" t="s">
        <v>133</v>
      </c>
      <c r="S6">
        <f xml:space="preserve"> S5 / (PI() * $C$10^2)</f>
        <v>8.2648437589584768E-3</v>
      </c>
      <c r="X6" s="3">
        <v>2</v>
      </c>
      <c r="Y6" s="3">
        <f t="shared" ref="Y6:Y34" si="15">IF(AE5&gt;0, AC5, Y5)</f>
        <v>0</v>
      </c>
      <c r="Z6" s="3">
        <f t="shared" si="0"/>
        <v>1.685625760349771E-2</v>
      </c>
      <c r="AA6" s="3">
        <f t="shared" ref="AA6:AA34" si="16">IF(AF5&gt;0, AC5, AA5)</f>
        <v>0.25</v>
      </c>
      <c r="AB6" s="3">
        <f t="shared" si="1"/>
        <v>-0.2357651534166377</v>
      </c>
      <c r="AC6" s="3">
        <f t="shared" si="3"/>
        <v>0.125</v>
      </c>
      <c r="AD6" s="3">
        <f t="shared" si="2"/>
        <v>-0.10911607565967334</v>
      </c>
      <c r="AE6" s="3">
        <f t="shared" si="4"/>
        <v>-1.8392886800022001E-3</v>
      </c>
      <c r="AF6" s="3">
        <f t="shared" si="5"/>
        <v>2.5725768318124332E-2</v>
      </c>
      <c r="AG6" s="3">
        <f t="shared" si="6"/>
        <v>0.25</v>
      </c>
      <c r="AI6" s="3">
        <v>2</v>
      </c>
      <c r="AJ6" s="3">
        <f>IF(AP5&gt;0, AN5, AJ5)</f>
        <v>2750</v>
      </c>
      <c r="AK6" s="3">
        <v>-250.05042258750973</v>
      </c>
      <c r="AL6" s="3">
        <f>IF(AQ5&gt;0, AN5, AL5)</f>
        <v>5000</v>
      </c>
      <c r="AM6" s="3">
        <v>1007.9071105936346</v>
      </c>
      <c r="AN6" s="3">
        <f t="shared" ref="AN6:AN43" si="17">(AJ6+AL6)/2</f>
        <v>3875</v>
      </c>
      <c r="AO6" s="3">
        <v>393.4813804395003</v>
      </c>
      <c r="AP6" s="3">
        <f t="shared" ref="AP6:AP44" si="18">AK6*AO6</f>
        <v>-98390.185459213739</v>
      </c>
      <c r="AQ6" s="3">
        <f t="shared" ref="AQ6:AQ44" si="19">AM6*AO6</f>
        <v>396592.68123117142</v>
      </c>
      <c r="AR6" s="3">
        <f t="shared" ref="AR6:AR44" si="20">AL6-AJ6</f>
        <v>2250</v>
      </c>
      <c r="AT6" s="3"/>
      <c r="AU6" s="3"/>
      <c r="AV6" s="27"/>
      <c r="AW6"/>
      <c r="AX6" s="3" t="s">
        <v>173</v>
      </c>
      <c r="AY6" s="34">
        <f>$AU$4/60</f>
        <v>8.8173442900491263</v>
      </c>
      <c r="AZ6" s="27" t="s">
        <v>174</v>
      </c>
      <c r="BA6"/>
      <c r="BB6" s="3" t="s">
        <v>175</v>
      </c>
      <c r="BC6" s="3">
        <f>(1-$BK$19)*$AY$5*$AU$19</f>
        <v>39.517217832236234</v>
      </c>
      <c r="BD6" s="27" t="s">
        <v>10</v>
      </c>
      <c r="BE6"/>
      <c r="BF6" s="3" t="s">
        <v>175</v>
      </c>
      <c r="BG6" s="3">
        <f>(1-$BO$19)*$AY$5*$AU$20</f>
        <v>65.055895169074844</v>
      </c>
      <c r="BH6" s="27" t="s">
        <v>10</v>
      </c>
      <c r="BI6"/>
      <c r="BJ6" s="3" t="s">
        <v>28</v>
      </c>
      <c r="BK6" s="3">
        <f>BK5-BK4</f>
        <v>4.0401826524808948E-2</v>
      </c>
      <c r="BL6" s="3" t="s">
        <v>167</v>
      </c>
      <c r="BM6" s="3"/>
      <c r="BN6" s="3" t="s">
        <v>28</v>
      </c>
      <c r="BO6" s="3">
        <f>BO5-BO4</f>
        <v>4.7824993912962771E-2</v>
      </c>
      <c r="BP6" s="3" t="s">
        <v>167</v>
      </c>
      <c r="BQ6"/>
      <c r="BR6" s="3">
        <v>2</v>
      </c>
      <c r="BS6" s="3">
        <f t="shared" ref="BS6:BS34" si="21">IF(BY5&gt;0,BW5,BS5)</f>
        <v>3.1415926535897934E-2</v>
      </c>
      <c r="BT6" s="3">
        <v>-1.8269599568206716</v>
      </c>
      <c r="BU6" s="3">
        <f t="shared" ref="BU6:BU34" si="22">IF(BZ5&gt;0,BW5,BU5)</f>
        <v>1.4294246573833558</v>
      </c>
      <c r="BV6" s="3">
        <v>1.0998292744424449</v>
      </c>
      <c r="BW6" s="3">
        <f t="shared" si="7"/>
        <v>0.73042029195962688</v>
      </c>
      <c r="BX6" s="3">
        <v>0.75454273213823719</v>
      </c>
      <c r="BY6" s="3">
        <f t="shared" si="8"/>
        <v>-1.3785193573266254</v>
      </c>
      <c r="BZ6" s="3">
        <f t="shared" si="9"/>
        <v>0.82986818562341746</v>
      </c>
      <c r="CA6" s="3">
        <f t="shared" si="10"/>
        <v>1.3980087308474578</v>
      </c>
      <c r="CB6"/>
      <c r="CC6" s="3">
        <v>2</v>
      </c>
      <c r="CD6" s="3">
        <f t="shared" ref="CD6:CD34" si="23">IF(CJ5&gt;0,CH5,CD5)</f>
        <v>3.1415926535897934E-2</v>
      </c>
      <c r="CE6" s="3">
        <v>-0.95587790794780925</v>
      </c>
      <c r="CF6" s="3">
        <f t="shared" ref="CF6:CF34" si="24">IF(CK5&gt;0,CH5,CF5)</f>
        <v>1.4294246573833558</v>
      </c>
      <c r="CG6" s="3">
        <v>1.042728858485737</v>
      </c>
      <c r="CH6" s="3">
        <f t="shared" si="11"/>
        <v>0.73042029195962688</v>
      </c>
      <c r="CI6" s="3">
        <v>0.70943127065079459</v>
      </c>
      <c r="CJ6" s="3">
        <f t="shared" si="12"/>
        <v>-0.67812967882243758</v>
      </c>
      <c r="CK6" s="3">
        <f t="shared" si="13"/>
        <v>0.73974445901978902</v>
      </c>
      <c r="CL6" s="3">
        <f t="shared" si="14"/>
        <v>1.3980087308474578</v>
      </c>
    </row>
    <row r="7" spans="2:90" x14ac:dyDescent="0.2">
      <c r="B7" s="7" t="s">
        <v>307</v>
      </c>
      <c r="C7" s="18">
        <v>300</v>
      </c>
      <c r="D7" s="7" t="s">
        <v>146</v>
      </c>
      <c r="J7" s="68" t="s">
        <v>23</v>
      </c>
      <c r="K7" s="68"/>
      <c r="L7" s="68"/>
      <c r="N7" t="s">
        <v>135</v>
      </c>
      <c r="O7" s="18">
        <v>1.2009870000000001E-2</v>
      </c>
      <c r="R7" t="s">
        <v>135</v>
      </c>
      <c r="S7" s="18">
        <v>1.209871E-2</v>
      </c>
      <c r="X7" s="3">
        <v>3</v>
      </c>
      <c r="Y7" s="3">
        <f t="shared" si="15"/>
        <v>0</v>
      </c>
      <c r="Z7" s="3">
        <f t="shared" si="0"/>
        <v>1.685625760349771E-2</v>
      </c>
      <c r="AA7" s="3">
        <f t="shared" si="16"/>
        <v>0.125</v>
      </c>
      <c r="AB7" s="3">
        <f t="shared" si="1"/>
        <v>-0.10911607565967334</v>
      </c>
      <c r="AC7" s="3">
        <f t="shared" si="3"/>
        <v>6.25E-2</v>
      </c>
      <c r="AD7" s="3">
        <f t="shared" si="2"/>
        <v>-4.5922344421585423E-2</v>
      </c>
      <c r="AE7" s="3">
        <f t="shared" si="4"/>
        <v>-7.7407886732678991E-4</v>
      </c>
      <c r="AF7" s="3">
        <f t="shared" si="5"/>
        <v>5.0108660083752928E-3</v>
      </c>
      <c r="AG7" s="3">
        <f t="shared" si="6"/>
        <v>0.125</v>
      </c>
      <c r="AI7" s="3">
        <v>3</v>
      </c>
      <c r="AJ7" s="3">
        <f t="shared" ref="AJ7:AJ44" si="25">IF(AP6&gt;0, AN6, AJ6)</f>
        <v>2750</v>
      </c>
      <c r="AK7" s="3">
        <v>-250.05042258750973</v>
      </c>
      <c r="AL7" s="3">
        <f t="shared" ref="AL7:AL44" si="26">IF(AQ6&gt;0, AN6, AL6)</f>
        <v>3875</v>
      </c>
      <c r="AM7" s="3">
        <v>393.4813804395003</v>
      </c>
      <c r="AN7" s="3">
        <f t="shared" si="17"/>
        <v>3312.5</v>
      </c>
      <c r="AO7" s="3">
        <v>74.771269826393109</v>
      </c>
      <c r="AP7" s="3">
        <f t="shared" si="18"/>
        <v>-18696.587617494311</v>
      </c>
      <c r="AQ7" s="3">
        <f t="shared" si="19"/>
        <v>29421.102468503515</v>
      </c>
      <c r="AR7" s="3">
        <f t="shared" si="20"/>
        <v>1125</v>
      </c>
      <c r="AT7" s="74" t="s">
        <v>177</v>
      </c>
      <c r="AU7" s="74"/>
      <c r="AV7" s="74"/>
      <c r="AW7"/>
      <c r="AX7" s="3" t="s">
        <v>178</v>
      </c>
      <c r="AY7" s="34">
        <f>$AU$3/(AY6*AU9)</f>
        <v>6.8486010575884229E-3</v>
      </c>
      <c r="AZ7"/>
      <c r="BA7"/>
      <c r="BB7" s="3" t="s">
        <v>179</v>
      </c>
      <c r="BC7" s="3">
        <f>SQRT(BC5^2 + BC6^2)</f>
        <v>39.975614892365599</v>
      </c>
      <c r="BD7" s="27" t="s">
        <v>10</v>
      </c>
      <c r="BE7"/>
      <c r="BF7" s="3" t="s">
        <v>179</v>
      </c>
      <c r="BG7" s="3">
        <f>SQRT(BG5^2 + BG6^2)</f>
        <v>65.536039455715539</v>
      </c>
      <c r="BH7" s="27" t="s">
        <v>10</v>
      </c>
      <c r="BI7"/>
      <c r="BJ7" s="3" t="s">
        <v>180</v>
      </c>
      <c r="BK7" s="3">
        <f>BK6/PI()*180</f>
        <v>2.3148541444912545</v>
      </c>
      <c r="BL7" s="3" t="s">
        <v>43</v>
      </c>
      <c r="BM7" s="3"/>
      <c r="BN7" s="3" t="s">
        <v>180</v>
      </c>
      <c r="BO7" s="3">
        <f>BO6/PI()*180</f>
        <v>2.7401703064516192</v>
      </c>
      <c r="BP7" s="3" t="s">
        <v>43</v>
      </c>
      <c r="BQ7"/>
      <c r="BR7" s="3">
        <v>3</v>
      </c>
      <c r="BS7" s="3">
        <f t="shared" si="21"/>
        <v>3.1415926535897934E-2</v>
      </c>
      <c r="BT7" s="3">
        <v>-1.8269599568206716</v>
      </c>
      <c r="BU7" s="3">
        <f t="shared" si="22"/>
        <v>0.73042029195962688</v>
      </c>
      <c r="BV7" s="3">
        <v>0.75454273213823719</v>
      </c>
      <c r="BW7" s="3">
        <f t="shared" si="7"/>
        <v>0.38091810924776243</v>
      </c>
      <c r="BX7" s="3">
        <v>0.52190594449596006</v>
      </c>
      <c r="BY7" s="3">
        <f t="shared" si="8"/>
        <v>-0.95350126182079098</v>
      </c>
      <c r="BZ7" s="3">
        <f t="shared" si="9"/>
        <v>0.39380033727916885</v>
      </c>
      <c r="CA7" s="3">
        <f t="shared" si="10"/>
        <v>0.6990043654237289</v>
      </c>
      <c r="CB7"/>
      <c r="CC7" s="3">
        <v>3</v>
      </c>
      <c r="CD7" s="3">
        <f t="shared" si="23"/>
        <v>3.1415926535897934E-2</v>
      </c>
      <c r="CE7" s="3">
        <v>-0.95587790794780925</v>
      </c>
      <c r="CF7" s="3">
        <f t="shared" si="24"/>
        <v>0.73042029195962688</v>
      </c>
      <c r="CG7" s="3">
        <v>0.70943127065079459</v>
      </c>
      <c r="CH7" s="3">
        <f t="shared" si="11"/>
        <v>0.38091810924776243</v>
      </c>
      <c r="CI7" s="3">
        <v>0.45699521021097461</v>
      </c>
      <c r="CJ7" s="3">
        <f t="shared" si="12"/>
        <v>-0.43683162547863574</v>
      </c>
      <c r="CK7" s="3">
        <f t="shared" si="13"/>
        <v>0.3242066926612987</v>
      </c>
      <c r="CL7" s="3">
        <f t="shared" si="14"/>
        <v>0.6990043654237289</v>
      </c>
    </row>
    <row r="8" spans="2:90" x14ac:dyDescent="0.2">
      <c r="B8" s="7" t="s">
        <v>308</v>
      </c>
      <c r="C8" s="18">
        <v>450</v>
      </c>
      <c r="D8" s="7" t="s">
        <v>146</v>
      </c>
      <c r="F8" s="66" t="s">
        <v>83</v>
      </c>
      <c r="G8" s="67"/>
      <c r="H8" s="67"/>
      <c r="J8" s="7" t="s">
        <v>109</v>
      </c>
      <c r="K8" s="7">
        <f xml:space="preserve"> $C$16 * (G6*G4 + G18*G11 + G23*G21 + G36*G29 + G43*G39 + G48*G46 + G55*G53)/3600 + G59*G58/3600</f>
        <v>352.57230078034053</v>
      </c>
      <c r="L8" s="7" t="s">
        <v>117</v>
      </c>
      <c r="N8" s="7" t="s">
        <v>134</v>
      </c>
      <c r="O8" s="7">
        <f xml:space="preserve"> $O$7 + O6</f>
        <v>2.0274713758958479E-2</v>
      </c>
      <c r="R8" s="7" t="s">
        <v>134</v>
      </c>
      <c r="S8" s="7">
        <f xml:space="preserve"> $S$7 + S6</f>
        <v>2.0363553758958479E-2</v>
      </c>
      <c r="X8" s="3">
        <v>4</v>
      </c>
      <c r="Y8" s="3">
        <f t="shared" si="15"/>
        <v>0</v>
      </c>
      <c r="Z8" s="3">
        <f t="shared" si="0"/>
        <v>1.685625760349771E-2</v>
      </c>
      <c r="AA8" s="3">
        <f t="shared" si="16"/>
        <v>6.25E-2</v>
      </c>
      <c r="AB8" s="3">
        <f t="shared" si="1"/>
        <v>-4.5922344421585423E-2</v>
      </c>
      <c r="AC8" s="3">
        <f t="shared" si="3"/>
        <v>3.125E-2</v>
      </c>
      <c r="AD8" s="3">
        <f t="shared" si="2"/>
        <v>-1.4466085754414222E-2</v>
      </c>
      <c r="AE8" s="3">
        <f t="shared" si="4"/>
        <v>-2.4384406799069462E-4</v>
      </c>
      <c r="AF8" s="3">
        <f t="shared" si="5"/>
        <v>6.6431657244640026E-4</v>
      </c>
      <c r="AG8" s="3">
        <f t="shared" si="6"/>
        <v>6.25E-2</v>
      </c>
      <c r="AI8" s="3">
        <v>4</v>
      </c>
      <c r="AJ8" s="3">
        <f t="shared" si="25"/>
        <v>2750</v>
      </c>
      <c r="AK8" s="3">
        <v>-250.05042258750973</v>
      </c>
      <c r="AL8" s="3">
        <f t="shared" si="26"/>
        <v>3312.5</v>
      </c>
      <c r="AM8" s="3">
        <v>74.771269826393109</v>
      </c>
      <c r="AN8" s="3">
        <f t="shared" si="17"/>
        <v>3031.25</v>
      </c>
      <c r="AO8" s="3">
        <v>-86.962439304657892</v>
      </c>
      <c r="AP8" s="3">
        <f t="shared" si="18"/>
        <v>21744.99469737037</v>
      </c>
      <c r="AQ8" s="3">
        <f t="shared" si="19"/>
        <v>-6502.2920140099086</v>
      </c>
      <c r="AR8" s="3">
        <f t="shared" si="20"/>
        <v>562.5</v>
      </c>
      <c r="AT8" s="3" t="s">
        <v>181</v>
      </c>
      <c r="AU8" s="3">
        <f>$C$20</f>
        <v>3</v>
      </c>
      <c r="AV8" s="27"/>
      <c r="AW8"/>
      <c r="AX8"/>
      <c r="AY8"/>
      <c r="AZ8"/>
      <c r="BA8"/>
      <c r="BB8" s="3" t="s">
        <v>182</v>
      </c>
      <c r="BC8" s="38">
        <f>$AU$45*BC7*$AU$27/$AU$46</f>
        <v>710378.21244262555</v>
      </c>
      <c r="BD8" s="27"/>
      <c r="BE8"/>
      <c r="BF8" s="3" t="s">
        <v>182</v>
      </c>
      <c r="BG8" s="38">
        <f>$AU$45*BG7*$AU$28/$AU$46</f>
        <v>1131192.1869717147</v>
      </c>
      <c r="BH8" s="27"/>
      <c r="BI8"/>
      <c r="BJ8" s="3" t="s">
        <v>183</v>
      </c>
      <c r="BK8" s="3">
        <f xml:space="preserve"> $AU$8*$AU$27 / (2*PI()*$AU$19)</f>
        <v>0.1950102781284552</v>
      </c>
      <c r="BL8" s="3"/>
      <c r="BM8" s="3"/>
      <c r="BN8" s="3" t="s">
        <v>183</v>
      </c>
      <c r="BO8" s="3">
        <f xml:space="preserve"> $AU$8*$AU$28 / (2*PI()*$AU$20)</f>
        <v>0.11630875709636669</v>
      </c>
      <c r="BP8" s="3"/>
      <c r="BQ8"/>
      <c r="BR8" s="3">
        <v>4</v>
      </c>
      <c r="BS8" s="3">
        <f t="shared" si="21"/>
        <v>3.1415926535897934E-2</v>
      </c>
      <c r="BT8" s="3">
        <v>-1.8269599568206716</v>
      </c>
      <c r="BU8" s="3">
        <f t="shared" si="22"/>
        <v>0.38091810924776243</v>
      </c>
      <c r="BV8" s="3">
        <v>0.52190594449596006</v>
      </c>
      <c r="BW8" s="3">
        <f t="shared" si="7"/>
        <v>0.20616701789183017</v>
      </c>
      <c r="BX8" s="3">
        <v>0.18208250718415775</v>
      </c>
      <c r="BY8" s="3">
        <f t="shared" si="8"/>
        <v>-0.33265744946296849</v>
      </c>
      <c r="BZ8" s="3">
        <f t="shared" si="9"/>
        <v>9.502994288814029E-2</v>
      </c>
      <c r="CA8" s="3">
        <f t="shared" si="10"/>
        <v>0.34950218271186451</v>
      </c>
      <c r="CB8"/>
      <c r="CC8" s="3">
        <v>4</v>
      </c>
      <c r="CD8" s="3">
        <f t="shared" si="23"/>
        <v>3.1415926535897934E-2</v>
      </c>
      <c r="CE8" s="3">
        <v>-0.95587790794780925</v>
      </c>
      <c r="CF8" s="3">
        <f t="shared" si="24"/>
        <v>0.38091810924776243</v>
      </c>
      <c r="CG8" s="3">
        <v>0.45699521021097461</v>
      </c>
      <c r="CH8" s="3">
        <f t="shared" si="11"/>
        <v>0.20616701789183017</v>
      </c>
      <c r="CI8" s="3">
        <v>0.21362557205990568</v>
      </c>
      <c r="CJ8" s="3">
        <f t="shared" si="12"/>
        <v>-0.2041999649047766</v>
      </c>
      <c r="CK8" s="3">
        <f t="shared" si="13"/>
        <v>9.7625863209956296E-2</v>
      </c>
      <c r="CL8" s="3">
        <f t="shared" si="14"/>
        <v>0.34950218271186451</v>
      </c>
    </row>
    <row r="9" spans="2:90" x14ac:dyDescent="0.2">
      <c r="B9" s="7" t="s">
        <v>9</v>
      </c>
      <c r="C9" s="18">
        <f>91/1.944</f>
        <v>46.81069958847737</v>
      </c>
      <c r="D9" s="7" t="s">
        <v>10</v>
      </c>
      <c r="E9" s="7">
        <f>C9*3.6</f>
        <v>168.51851851851853</v>
      </c>
      <c r="F9" t="s">
        <v>87</v>
      </c>
      <c r="G9" s="1">
        <f>100*0.3048/60</f>
        <v>0.50800000000000001</v>
      </c>
      <c r="H9" t="s">
        <v>10</v>
      </c>
      <c r="J9" s="7" t="s">
        <v>292</v>
      </c>
      <c r="K9" s="7">
        <f xml:space="preserve"> $C$16 * (G4 + G11 + G21 + G29 + G39 + G46 + G53)/60 + G58/60</f>
        <v>74.163139962844213</v>
      </c>
      <c r="L9" s="7" t="s">
        <v>118</v>
      </c>
      <c r="N9" s="7" t="s">
        <v>41</v>
      </c>
      <c r="O9" s="7">
        <f xml:space="preserve"> O4 *O8 * PI() * $C$10^2</f>
        <v>1188.184333604991</v>
      </c>
      <c r="P9" s="7" t="s">
        <v>22</v>
      </c>
      <c r="R9" s="7" t="s">
        <v>41</v>
      </c>
      <c r="S9" s="7">
        <f xml:space="preserve"> S4 *S8 * PI() * $C$10 * $C$10</f>
        <v>1122.2292293496355</v>
      </c>
      <c r="T9" s="7" t="s">
        <v>22</v>
      </c>
      <c r="X9" s="3">
        <v>5</v>
      </c>
      <c r="Y9" s="3">
        <f t="shared" si="15"/>
        <v>0</v>
      </c>
      <c r="Z9" s="3">
        <f t="shared" si="0"/>
        <v>1.685625760349771E-2</v>
      </c>
      <c r="AA9" s="3">
        <f t="shared" si="16"/>
        <v>3.125E-2</v>
      </c>
      <c r="AB9" s="3">
        <f t="shared" si="1"/>
        <v>-1.4466085754414222E-2</v>
      </c>
      <c r="AC9" s="3">
        <f t="shared" si="3"/>
        <v>1.5625E-2</v>
      </c>
      <c r="AD9" s="3">
        <f t="shared" si="2"/>
        <v>1.2129943073836968E-3</v>
      </c>
      <c r="AE9" s="3">
        <f t="shared" si="4"/>
        <v>2.0446544516835877E-5</v>
      </c>
      <c r="AF9" s="3">
        <f t="shared" si="5"/>
        <v>-1.7547279670228843E-5</v>
      </c>
      <c r="AG9" s="3">
        <f t="shared" si="6"/>
        <v>3.125E-2</v>
      </c>
      <c r="AI9" s="3">
        <v>5</v>
      </c>
      <c r="AJ9" s="3">
        <f t="shared" si="25"/>
        <v>3031.25</v>
      </c>
      <c r="AK9" s="3">
        <v>-86.962439304657892</v>
      </c>
      <c r="AL9" s="3">
        <f t="shared" si="26"/>
        <v>3312.5</v>
      </c>
      <c r="AM9" s="3">
        <v>74.771269826393109</v>
      </c>
      <c r="AN9" s="3">
        <f t="shared" si="17"/>
        <v>3171.875</v>
      </c>
      <c r="AO9" s="3">
        <v>-5.9133048219605371</v>
      </c>
      <c r="AP9" s="3">
        <f t="shared" si="18"/>
        <v>514.23541166968403</v>
      </c>
      <c r="AQ9" s="3">
        <f t="shared" si="19"/>
        <v>-442.14531040852279</v>
      </c>
      <c r="AR9" s="3">
        <f t="shared" si="20"/>
        <v>281.25</v>
      </c>
      <c r="AT9" s="3" t="s">
        <v>184</v>
      </c>
      <c r="AU9" s="3">
        <f>2*$C$10</f>
        <v>8.4124800000000004</v>
      </c>
      <c r="AV9" s="27" t="s">
        <v>8</v>
      </c>
      <c r="AW9"/>
      <c r="AX9" s="74" t="s">
        <v>185</v>
      </c>
      <c r="AY9" s="74"/>
      <c r="AZ9" s="74"/>
      <c r="BA9"/>
      <c r="BB9" s="3" t="s">
        <v>186</v>
      </c>
      <c r="BC9" s="34">
        <f xml:space="preserve"> $BK$8 * PI() * $AU$45 * BC7^2 *$BK$14 * $AU$19 * BC4</f>
        <v>142.05348251451761</v>
      </c>
      <c r="BD9" s="27" t="s">
        <v>22</v>
      </c>
      <c r="BE9"/>
      <c r="BF9" s="3" t="s">
        <v>186</v>
      </c>
      <c r="BG9" s="34">
        <f xml:space="preserve"> $BO$8 * PI() * $AU$45 * BG7^2 * $BO$14 * $AU$20 * BG4</f>
        <v>418.3240314833829</v>
      </c>
      <c r="BH9" s="27" t="s">
        <v>22</v>
      </c>
      <c r="BI9"/>
      <c r="BJ9" s="3" t="s">
        <v>187</v>
      </c>
      <c r="BK9" s="3">
        <f>IF(-$AU$8*($AY$3-$AU$19)/(2*$AU$19*SIN(BK4))&gt;500, 1, 2*ACOS(MIN(1, EXP(-$AU$8*($AY$3-$AU$19)/(2*$AU$19*SIN(BK4)))))/PI() )</f>
        <v>1</v>
      </c>
      <c r="BL9" s="3"/>
      <c r="BM9" s="3"/>
      <c r="BN9" s="3" t="s">
        <v>187</v>
      </c>
      <c r="BO9" s="3">
        <f>IF(-$AU$8*($AY$3-$AU$20)/(2*$AU$20*SIN(BO4))&gt;500, 1, 2*ACOS(MIN(1, EXP(-$AU$8*($AY$3-$AU$20)/(2*$AU$20*SIN(BO4)))))/PI() )</f>
        <v>0.99999999999998102</v>
      </c>
      <c r="BP9" s="3"/>
      <c r="BQ9"/>
      <c r="BR9" s="3">
        <v>5</v>
      </c>
      <c r="BS9" s="3">
        <f t="shared" si="21"/>
        <v>3.1415926535897934E-2</v>
      </c>
      <c r="BT9" s="3">
        <v>-1.8269599568206716</v>
      </c>
      <c r="BU9" s="3">
        <f t="shared" si="22"/>
        <v>0.20616701789183017</v>
      </c>
      <c r="BV9" s="3">
        <v>0.18208250718415775</v>
      </c>
      <c r="BW9" s="3">
        <f t="shared" si="7"/>
        <v>0.11879147221386405</v>
      </c>
      <c r="BX9" s="3">
        <v>-0.16130789687199454</v>
      </c>
      <c r="BY9" s="3">
        <f t="shared" si="8"/>
        <v>0.29470306830409249</v>
      </c>
      <c r="BZ9" s="3">
        <f t="shared" si="9"/>
        <v>-2.9371346291056324E-2</v>
      </c>
      <c r="CA9" s="3">
        <f t="shared" si="10"/>
        <v>0.17475109135593225</v>
      </c>
      <c r="CB9"/>
      <c r="CC9" s="3">
        <v>5</v>
      </c>
      <c r="CD9" s="3">
        <f t="shared" si="23"/>
        <v>3.1415926535897934E-2</v>
      </c>
      <c r="CE9" s="3">
        <v>-0.95587790794780925</v>
      </c>
      <c r="CF9" s="3">
        <f t="shared" si="24"/>
        <v>0.20616701789183017</v>
      </c>
      <c r="CG9" s="3">
        <v>0.21362557205990568</v>
      </c>
      <c r="CH9" s="3">
        <f t="shared" si="11"/>
        <v>0.11879147221386405</v>
      </c>
      <c r="CI9" s="3">
        <v>-8.4637154875871652E-3</v>
      </c>
      <c r="CJ9" s="3">
        <f t="shared" si="12"/>
        <v>8.0902786537402922E-3</v>
      </c>
      <c r="CK9" s="3">
        <f t="shared" si="13"/>
        <v>-1.8080660627880917E-3</v>
      </c>
      <c r="CL9" s="3">
        <f t="shared" si="14"/>
        <v>0.17475109135593225</v>
      </c>
    </row>
    <row r="10" spans="2:90" x14ac:dyDescent="0.2">
      <c r="B10" s="7" t="s">
        <v>107</v>
      </c>
      <c r="C10" s="18">
        <f>13.8*0.3048</f>
        <v>4.2062400000000002</v>
      </c>
      <c r="D10" s="7" t="s">
        <v>8</v>
      </c>
      <c r="E10" s="7">
        <f>140/E9*60</f>
        <v>49.84615384615384</v>
      </c>
      <c r="F10" t="s">
        <v>90</v>
      </c>
      <c r="G10" s="1">
        <f>50*0.3048</f>
        <v>15.24</v>
      </c>
      <c r="H10" t="s">
        <v>8</v>
      </c>
      <c r="N10" s="7" t="s">
        <v>42</v>
      </c>
      <c r="O10" s="7">
        <f xml:space="preserve"> O9</f>
        <v>1188.184333604991</v>
      </c>
      <c r="P10" s="7" t="s">
        <v>22</v>
      </c>
      <c r="R10" s="7" t="s">
        <v>42</v>
      </c>
      <c r="S10" s="7">
        <f xml:space="preserve"> S9</f>
        <v>1122.2292293496355</v>
      </c>
      <c r="T10" s="7" t="s">
        <v>22</v>
      </c>
      <c r="X10" s="3">
        <v>6</v>
      </c>
      <c r="Y10" s="3">
        <f t="shared" si="15"/>
        <v>1.5625E-2</v>
      </c>
      <c r="Z10" s="3">
        <f t="shared" si="0"/>
        <v>1.2129943073836968E-3</v>
      </c>
      <c r="AA10" s="3">
        <f t="shared" si="16"/>
        <v>3.125E-2</v>
      </c>
      <c r="AB10" s="3">
        <f t="shared" si="1"/>
        <v>-1.4466085754414222E-2</v>
      </c>
      <c r="AC10" s="3">
        <f t="shared" si="3"/>
        <v>2.34375E-2</v>
      </c>
      <c r="AD10" s="3">
        <f t="shared" si="2"/>
        <v>-6.6221673937938708E-3</v>
      </c>
      <c r="AE10" s="3">
        <f t="shared" si="4"/>
        <v>-8.0326513512138966E-6</v>
      </c>
      <c r="AF10" s="3">
        <f t="shared" si="5"/>
        <v>9.5796841398707871E-5</v>
      </c>
      <c r="AG10" s="3">
        <f t="shared" si="6"/>
        <v>1.5625E-2</v>
      </c>
      <c r="AI10" s="3">
        <v>6</v>
      </c>
      <c r="AJ10" s="3">
        <f t="shared" si="25"/>
        <v>3171.875</v>
      </c>
      <c r="AK10" s="3">
        <v>-5.9133048219605371</v>
      </c>
      <c r="AL10" s="3">
        <f t="shared" si="26"/>
        <v>3312.5</v>
      </c>
      <c r="AM10" s="3">
        <v>74.771269826393109</v>
      </c>
      <c r="AN10" s="3">
        <f t="shared" si="17"/>
        <v>3242.1875</v>
      </c>
      <c r="AO10" s="3">
        <v>34.475940397905561</v>
      </c>
      <c r="AP10" s="3">
        <f t="shared" si="18"/>
        <v>-203.86674459655902</v>
      </c>
      <c r="AQ10" s="3">
        <f t="shared" si="19"/>
        <v>2577.8098420104434</v>
      </c>
      <c r="AR10" s="3">
        <f t="shared" si="20"/>
        <v>140.625</v>
      </c>
      <c r="AT10" s="3" t="s">
        <v>188</v>
      </c>
      <c r="AU10" s="4">
        <f>0.12*($AU$9/2)</f>
        <v>0.5047488</v>
      </c>
      <c r="AV10" s="27" t="s">
        <v>8</v>
      </c>
      <c r="AW10"/>
      <c r="AX10" s="5" t="s">
        <v>189</v>
      </c>
      <c r="AY10" s="39">
        <f>BC9+BG9+BC18+BG18+BC27+BG27+BC36+BG36</f>
        <v>7797.0849096771817</v>
      </c>
      <c r="AZ10" s="27" t="s">
        <v>22</v>
      </c>
      <c r="BA10"/>
      <c r="BB10" s="3" t="s">
        <v>190</v>
      </c>
      <c r="BC10" s="34">
        <f xml:space="preserve"> $BK$8 * PI() * $AU$45 * BC7^2 * $BK$15 * $AU$19^2 * BC4</f>
        <v>23.888413210130093</v>
      </c>
      <c r="BD10" s="27" t="s">
        <v>191</v>
      </c>
      <c r="BE10"/>
      <c r="BF10" s="3" t="s">
        <v>190</v>
      </c>
      <c r="BG10" s="34">
        <f xml:space="preserve"> $BO$8 * PI() * $AU$45 * BG7^2 * $BO$15 * $AU$20^2 * BG4</f>
        <v>91.872739729261696</v>
      </c>
      <c r="BH10" s="27" t="s">
        <v>191</v>
      </c>
      <c r="BI10"/>
      <c r="BJ10" s="3" t="s">
        <v>192</v>
      </c>
      <c r="BK10" s="3">
        <f>IF(-$AU$8*($AU$19-$AU$10)/(2*$AU$19*SIN(BK4))&gt;500, 1, 2*ACOS(MIN(1, EXP(-$AU$8*($AU$19-$AU$10)/(2*$AU$19*SIN(BK4)))))/PI() )</f>
        <v>0.97193433471125223</v>
      </c>
      <c r="BL10" s="3"/>
      <c r="BM10" s="3"/>
      <c r="BN10" s="3" t="s">
        <v>192</v>
      </c>
      <c r="BO10" s="3">
        <f>IF(-$AU$8*($AU$20-$AU$10)/(2*$AU$20*SIN(BO4))&gt;500, 1, 2*ACOS(MIN(1, EXP(-$AU$8*($AU$20-$AU$10)/(2*$AU$20*SIN(BO4)))))/PI() )</f>
        <v>0.99951864046114547</v>
      </c>
      <c r="BP10" s="3"/>
      <c r="BQ10"/>
      <c r="BR10" s="3">
        <v>6</v>
      </c>
      <c r="BS10" s="3">
        <f t="shared" si="21"/>
        <v>0.11879147221386405</v>
      </c>
      <c r="BT10" s="3">
        <v>-0.16130789687199454</v>
      </c>
      <c r="BU10" s="3">
        <f t="shared" si="22"/>
        <v>0.20616701789183017</v>
      </c>
      <c r="BV10" s="3">
        <v>0.18208250718415775</v>
      </c>
      <c r="BW10" s="3">
        <f t="shared" si="7"/>
        <v>0.16247924505284711</v>
      </c>
      <c r="BX10" s="3">
        <v>4.2655420830755061E-2</v>
      </c>
      <c r="BY10" s="3">
        <f t="shared" si="8"/>
        <v>-6.8806562243989653E-3</v>
      </c>
      <c r="BZ10" s="3">
        <f t="shared" si="9"/>
        <v>7.7668059698592301E-3</v>
      </c>
      <c r="CA10" s="3">
        <f t="shared" si="10"/>
        <v>8.7375545677966127E-2</v>
      </c>
      <c r="CB10"/>
      <c r="CC10" s="3">
        <v>6</v>
      </c>
      <c r="CD10" s="3">
        <f t="shared" si="23"/>
        <v>0.11879147221386405</v>
      </c>
      <c r="CE10" s="3">
        <v>-8.4637154875871652E-3</v>
      </c>
      <c r="CF10" s="3">
        <f t="shared" si="24"/>
        <v>0.20616701789183017</v>
      </c>
      <c r="CG10" s="3">
        <v>0.21362557205990568</v>
      </c>
      <c r="CH10" s="3">
        <f t="shared" si="11"/>
        <v>0.16247924505284711</v>
      </c>
      <c r="CI10" s="3">
        <v>0.12099254498347503</v>
      </c>
      <c r="CJ10" s="3">
        <f t="shared" si="12"/>
        <v>-1.0240464768592244E-3</v>
      </c>
      <c r="CK10" s="3">
        <f t="shared" si="13"/>
        <v>2.5847101637078724E-2</v>
      </c>
      <c r="CL10" s="3">
        <f t="shared" si="14"/>
        <v>8.7375545677966127E-2</v>
      </c>
    </row>
    <row r="11" spans="2:90" x14ac:dyDescent="0.2">
      <c r="B11" s="7" t="s">
        <v>236</v>
      </c>
      <c r="C11" s="18">
        <f>(0.071475+0.069425+0.067375+0.065325+0.063275+0.061225+0.059175+0.057125)/8</f>
        <v>6.4299999999999982E-2</v>
      </c>
      <c r="F11" t="s">
        <v>91</v>
      </c>
      <c r="G11" s="9">
        <f>$G$10/$G$9</f>
        <v>30</v>
      </c>
      <c r="H11" s="7" t="s">
        <v>14</v>
      </c>
      <c r="J11" s="66" t="s">
        <v>54</v>
      </c>
      <c r="K11" s="66"/>
      <c r="L11" s="66"/>
      <c r="N11" s="7" t="s">
        <v>130</v>
      </c>
      <c r="O11" s="7">
        <f>(O8*PI()*$C$10^2)/(0.3048^2)/($C$5*2.20462/1000)^(2/3) + 0.85</f>
        <v>4.1599823124029038</v>
      </c>
      <c r="R11" s="7" t="s">
        <v>130</v>
      </c>
      <c r="S11" s="7">
        <f>($S$8*PI()*$C$10^2)/(0.3048^2)/($C$5*2.20462/1000)^(2/3) + 0.85</f>
        <v>4.1744860352238469</v>
      </c>
      <c r="X11" s="3">
        <v>7</v>
      </c>
      <c r="Y11" s="3">
        <f t="shared" si="15"/>
        <v>1.5625E-2</v>
      </c>
      <c r="Z11" s="3">
        <f t="shared" si="0"/>
        <v>1.2129943073836968E-3</v>
      </c>
      <c r="AA11" s="3">
        <f t="shared" si="16"/>
        <v>2.34375E-2</v>
      </c>
      <c r="AB11" s="3">
        <f t="shared" si="1"/>
        <v>-6.6221673937938708E-3</v>
      </c>
      <c r="AC11" s="3">
        <f t="shared" si="3"/>
        <v>1.953125E-2</v>
      </c>
      <c r="AD11" s="3">
        <f t="shared" si="2"/>
        <v>-2.703476347733498E-3</v>
      </c>
      <c r="AE11" s="3">
        <f t="shared" si="4"/>
        <v>-3.2793014199472008E-6</v>
      </c>
      <c r="AF11" s="3">
        <f t="shared" si="5"/>
        <v>1.7902872919853713E-5</v>
      </c>
      <c r="AG11" s="3">
        <f t="shared" si="6"/>
        <v>7.8125E-3</v>
      </c>
      <c r="AI11" s="3">
        <v>7</v>
      </c>
      <c r="AJ11" s="3">
        <f t="shared" si="25"/>
        <v>3171.875</v>
      </c>
      <c r="AK11" s="3">
        <v>-5.9133048219605371</v>
      </c>
      <c r="AL11" s="3">
        <f t="shared" si="26"/>
        <v>3242.1875</v>
      </c>
      <c r="AM11" s="3">
        <v>34.475940397905561</v>
      </c>
      <c r="AN11" s="3">
        <f t="shared" si="17"/>
        <v>3207.03125</v>
      </c>
      <c r="AO11" s="3">
        <v>14.292888325573131</v>
      </c>
      <c r="AP11" s="3">
        <f t="shared" si="18"/>
        <v>-84.518205455355059</v>
      </c>
      <c r="AQ11" s="3">
        <f t="shared" si="19"/>
        <v>492.76076602637949</v>
      </c>
      <c r="AR11" s="3">
        <f t="shared" si="20"/>
        <v>70.3125</v>
      </c>
      <c r="AT11" s="61" t="s">
        <v>193</v>
      </c>
      <c r="AU11" s="4" t="s">
        <v>231</v>
      </c>
      <c r="AV11" s="27"/>
      <c r="AW11"/>
      <c r="AX11" s="5" t="s">
        <v>194</v>
      </c>
      <c r="AY11" s="39">
        <f>BC10+BG10+BC19+BG19+BC28+BG28+BC37+BG37</f>
        <v>5110.2152562950851</v>
      </c>
      <c r="AZ11" s="27" t="s">
        <v>191</v>
      </c>
      <c r="BA11"/>
      <c r="BB11"/>
      <c r="BC11" s="34"/>
      <c r="BD11"/>
      <c r="BE11"/>
      <c r="BF11"/>
      <c r="BG11"/>
      <c r="BH11"/>
      <c r="BI11"/>
      <c r="BJ11" s="3" t="s">
        <v>195</v>
      </c>
      <c r="BK11" s="3">
        <f>IF(BK4=0,1,BK9*BK10)</f>
        <v>0.97193433471125223</v>
      </c>
      <c r="BL11" s="3"/>
      <c r="BM11" s="3"/>
      <c r="BN11" s="3" t="s">
        <v>195</v>
      </c>
      <c r="BO11" s="3">
        <f>IF(BO4=0,1,BO9*BO10)</f>
        <v>0.99951864046112648</v>
      </c>
      <c r="BP11" s="3"/>
      <c r="BQ11"/>
      <c r="BR11" s="3">
        <v>7</v>
      </c>
      <c r="BS11" s="3">
        <f t="shared" si="21"/>
        <v>0.11879147221386405</v>
      </c>
      <c r="BT11" s="3">
        <v>-0.16130789687199454</v>
      </c>
      <c r="BU11" s="3">
        <f t="shared" si="22"/>
        <v>0.16247924505284711</v>
      </c>
      <c r="BV11" s="3">
        <v>4.2655420830755061E-2</v>
      </c>
      <c r="BW11" s="3">
        <f t="shared" si="7"/>
        <v>0.14063535863335558</v>
      </c>
      <c r="BX11" s="3">
        <v>-4.7505991460076384E-2</v>
      </c>
      <c r="BY11" s="3">
        <f t="shared" si="8"/>
        <v>7.6630915712438546E-3</v>
      </c>
      <c r="BZ11" s="3">
        <f t="shared" si="9"/>
        <v>-2.0263880577118141E-3</v>
      </c>
      <c r="CA11" s="3">
        <f t="shared" si="10"/>
        <v>4.3687772838983063E-2</v>
      </c>
      <c r="CB11"/>
      <c r="CC11" s="3">
        <v>7</v>
      </c>
      <c r="CD11" s="3">
        <f t="shared" si="23"/>
        <v>0.11879147221386405</v>
      </c>
      <c r="CE11" s="3">
        <v>-8.4637154875871652E-3</v>
      </c>
      <c r="CF11" s="3">
        <f t="shared" si="24"/>
        <v>0.16247924505284711</v>
      </c>
      <c r="CG11" s="3">
        <v>0.12099254498347503</v>
      </c>
      <c r="CH11" s="3">
        <f t="shared" si="11"/>
        <v>0.14063535863335558</v>
      </c>
      <c r="CI11" s="3">
        <v>6.2926614493732186E-2</v>
      </c>
      <c r="CJ11" s="3">
        <f t="shared" si="12"/>
        <v>-5.3259296167202806E-4</v>
      </c>
      <c r="CK11" s="3">
        <f t="shared" si="13"/>
        <v>7.6136512347906833E-3</v>
      </c>
      <c r="CL11" s="3">
        <f t="shared" si="14"/>
        <v>4.3687772838983063E-2</v>
      </c>
    </row>
    <row r="12" spans="2:90" x14ac:dyDescent="0.2">
      <c r="F12" t="s">
        <v>142</v>
      </c>
      <c r="G12" s="9">
        <f>$C$6*2*PI()*$C$10/60</f>
        <v>233.0299362751295</v>
      </c>
      <c r="H12" s="7" t="s">
        <v>10</v>
      </c>
      <c r="J12" s="11" t="s">
        <v>82</v>
      </c>
      <c r="K12" s="7">
        <f>C5</f>
        <v>3182.1592721566958</v>
      </c>
      <c r="L12" s="7" t="s">
        <v>7</v>
      </c>
      <c r="X12" s="3">
        <v>8</v>
      </c>
      <c r="Y12" s="3">
        <f t="shared" si="15"/>
        <v>1.5625E-2</v>
      </c>
      <c r="Z12" s="3">
        <f t="shared" si="0"/>
        <v>1.2129943073836968E-3</v>
      </c>
      <c r="AA12" s="3">
        <f t="shared" si="16"/>
        <v>1.953125E-2</v>
      </c>
      <c r="AB12" s="3">
        <f t="shared" si="1"/>
        <v>-2.703476347733498E-3</v>
      </c>
      <c r="AC12" s="3">
        <f t="shared" si="3"/>
        <v>1.7578125E-2</v>
      </c>
      <c r="AD12" s="3">
        <f t="shared" si="2"/>
        <v>-7.4496179728533035E-4</v>
      </c>
      <c r="AE12" s="3">
        <f t="shared" si="4"/>
        <v>-9.0363441932543328E-7</v>
      </c>
      <c r="AF12" s="3">
        <f t="shared" si="5"/>
        <v>2.0139865989259273E-6</v>
      </c>
      <c r="AG12" s="3">
        <f t="shared" si="6"/>
        <v>3.90625E-3</v>
      </c>
      <c r="AI12" s="3">
        <v>8</v>
      </c>
      <c r="AJ12" s="3">
        <f t="shared" si="25"/>
        <v>3171.875</v>
      </c>
      <c r="AK12" s="3">
        <v>-5.9133048219605371</v>
      </c>
      <c r="AL12" s="3">
        <f t="shared" si="26"/>
        <v>3207.03125</v>
      </c>
      <c r="AM12" s="3">
        <v>14.292888325573131</v>
      </c>
      <c r="AN12" s="3">
        <f t="shared" si="17"/>
        <v>3189.453125</v>
      </c>
      <c r="AO12" s="3">
        <v>4.1926611621165648</v>
      </c>
      <c r="AP12" s="3">
        <f t="shared" si="18"/>
        <v>-24.79248346679055</v>
      </c>
      <c r="AQ12" s="3">
        <f t="shared" si="19"/>
        <v>59.925237777099724</v>
      </c>
      <c r="AR12" s="3">
        <f t="shared" si="20"/>
        <v>35.15625</v>
      </c>
      <c r="AT12" s="61"/>
      <c r="AU12" s="4" t="s">
        <v>231</v>
      </c>
      <c r="AV12" s="27"/>
      <c r="AW12"/>
      <c r="AX12" s="5" t="s">
        <v>196</v>
      </c>
      <c r="AY12" s="39">
        <f>AY11*AY5/1000</f>
        <v>283.11107676372205</v>
      </c>
      <c r="AZ12" s="27" t="s">
        <v>116</v>
      </c>
      <c r="BA12"/>
      <c r="BB12" s="75" t="s">
        <v>197</v>
      </c>
      <c r="BC12" s="75"/>
      <c r="BD12" s="75"/>
      <c r="BE12"/>
      <c r="BF12" s="75" t="s">
        <v>198</v>
      </c>
      <c r="BG12" s="75"/>
      <c r="BH12" s="75"/>
      <c r="BI12"/>
      <c r="BJ12" s="3" t="s">
        <v>199</v>
      </c>
      <c r="BK12" s="3">
        <f>IF(BK7&lt;$BC$49, $AY$50*BK7^6 + $AZ$50*BK7^5 + $BA$50*BK7^4 + $AY$51*BK7^3 + $AZ$51*BK7^2 + $BA$51*BK7 + $AY$52, IF(BK7&gt;$BD$49, $BE$50*BK7^6 + $BF$50*BK7^5 + $BG$50*BK7^4 + $BE$51*BK7^3 + $BF$51*BK7^2 + $BG$51*BK7 + $BE$52, $BB$50*BK7^6 + $BC$50*BK7^5 + $BD$50*BK7^4 + $BB$51*BK7^3 + $BC$51*BK7^2 + $BD$51*BK7 + $BB$52) )</f>
        <v>0.4259222550376735</v>
      </c>
      <c r="BL12" s="3"/>
      <c r="BM12" s="3"/>
      <c r="BN12" s="3" t="s">
        <v>199</v>
      </c>
      <c r="BO12" s="3">
        <f>IF(BO7&lt;$BC$49, $AY$50*BO7^6 + $AZ$50*BO7^5 + $BA$50*BO7^4 + $AY$51*BO7^3 + $AZ$51*BO7^2 + $BA$51*BO7 + $AY$52, IF(BO7&gt;$BD$49, $BE$50*BO7^6 + $BF$50*BO7^5 + $BG$50*BO7^4 + $BE$51*BO7^3 + $BF$51*BO7^2 + $BG$51*BO7 + $BE$52, $BB$50*BO7^6 + $BC$50*BO7^5 + $BD$50*BO7^4 + $BB$51*BO7^3 + $BC$51*BO7^2 + $BD$51*BO7 + $BB$52) )</f>
        <v>0.47660128346960284</v>
      </c>
      <c r="BP12" s="3"/>
      <c r="BQ12"/>
      <c r="BR12" s="3">
        <v>8</v>
      </c>
      <c r="BS12" s="3">
        <f t="shared" si="21"/>
        <v>0.14063535863335558</v>
      </c>
      <c r="BT12" s="3">
        <v>-4.7505991460076384E-2</v>
      </c>
      <c r="BU12" s="3">
        <f t="shared" si="22"/>
        <v>0.16247924505284711</v>
      </c>
      <c r="BV12" s="3">
        <v>4.2655420830755061E-2</v>
      </c>
      <c r="BW12" s="3">
        <f t="shared" si="7"/>
        <v>0.15155730184310134</v>
      </c>
      <c r="BX12" s="3">
        <v>-1.1137568470735368E-4</v>
      </c>
      <c r="BY12" s="3">
        <f t="shared" si="8"/>
        <v>5.2910123265677034E-6</v>
      </c>
      <c r="BZ12" s="3">
        <f t="shared" si="9"/>
        <v>-4.7507767015056621E-6</v>
      </c>
      <c r="CA12" s="3">
        <f t="shared" si="10"/>
        <v>2.1843886419491532E-2</v>
      </c>
      <c r="CB12"/>
      <c r="CC12" s="3">
        <v>8</v>
      </c>
      <c r="CD12" s="3">
        <f t="shared" si="23"/>
        <v>0.11879147221386405</v>
      </c>
      <c r="CE12" s="3">
        <v>-8.4637154875871652E-3</v>
      </c>
      <c r="CF12" s="3">
        <f t="shared" si="24"/>
        <v>0.14063535863335558</v>
      </c>
      <c r="CG12" s="3">
        <v>6.2926614493732186E-2</v>
      </c>
      <c r="CH12" s="3">
        <f t="shared" si="11"/>
        <v>0.12971341542360981</v>
      </c>
      <c r="CI12" s="3">
        <v>2.9303010030329178E-2</v>
      </c>
      <c r="CJ12" s="3">
        <f t="shared" si="12"/>
        <v>-2.4801233982661908E-4</v>
      </c>
      <c r="CK12" s="3">
        <f t="shared" si="13"/>
        <v>1.8439392156844917E-3</v>
      </c>
      <c r="CL12" s="3">
        <f t="shared" si="14"/>
        <v>2.1843886419491532E-2</v>
      </c>
    </row>
    <row r="13" spans="2:90" x14ac:dyDescent="0.2">
      <c r="B13" s="68" t="s">
        <v>12</v>
      </c>
      <c r="C13" s="68"/>
      <c r="D13" s="68"/>
      <c r="F13" s="7" t="s">
        <v>145</v>
      </c>
      <c r="G13" s="7">
        <f>G12/$C$43</f>
        <v>0.69918069609481648</v>
      </c>
      <c r="H13" s="7" t="s">
        <v>143</v>
      </c>
      <c r="J13" s="12" t="s">
        <v>55</v>
      </c>
      <c r="K13" s="7">
        <f xml:space="preserve"> K8 * 1000 / ($C$36 * $C$37 * $C$38)</f>
        <v>839.45785900081069</v>
      </c>
      <c r="L13" s="7" t="s">
        <v>7</v>
      </c>
      <c r="N13" s="66" t="s">
        <v>76</v>
      </c>
      <c r="O13" s="72"/>
      <c r="P13" s="72"/>
      <c r="R13" s="66" t="s">
        <v>76</v>
      </c>
      <c r="S13" s="72"/>
      <c r="T13" s="72"/>
      <c r="X13" s="3">
        <v>9</v>
      </c>
      <c r="Y13" s="3">
        <f t="shared" si="15"/>
        <v>1.5625E-2</v>
      </c>
      <c r="Z13" s="3">
        <f t="shared" si="0"/>
        <v>1.2129943073836968E-3</v>
      </c>
      <c r="AA13" s="3">
        <f t="shared" si="16"/>
        <v>1.7578125E-2</v>
      </c>
      <c r="AB13" s="3">
        <f t="shared" si="1"/>
        <v>-7.4496179728533035E-4</v>
      </c>
      <c r="AC13" s="3">
        <f t="shared" si="3"/>
        <v>1.66015625E-2</v>
      </c>
      <c r="AD13" s="3">
        <f t="shared" si="2"/>
        <v>2.3408625218187054E-4</v>
      </c>
      <c r="AE13" s="3">
        <f t="shared" si="4"/>
        <v>2.8394529133339345E-7</v>
      </c>
      <c r="AF13" s="3">
        <f t="shared" si="5"/>
        <v>-1.7438531514519337E-7</v>
      </c>
      <c r="AG13" s="3">
        <f t="shared" si="6"/>
        <v>1.953125E-3</v>
      </c>
      <c r="AI13" s="3">
        <v>9</v>
      </c>
      <c r="AJ13" s="3">
        <f t="shared" si="25"/>
        <v>3171.875</v>
      </c>
      <c r="AK13" s="3">
        <v>-5.9133048219605371</v>
      </c>
      <c r="AL13" s="3">
        <f t="shared" si="26"/>
        <v>3189.453125</v>
      </c>
      <c r="AM13" s="3">
        <v>4.1926611621165648</v>
      </c>
      <c r="AN13" s="3">
        <f t="shared" si="17"/>
        <v>3180.6640625</v>
      </c>
      <c r="AO13" s="3">
        <v>-0.859605190144066</v>
      </c>
      <c r="AP13" s="3">
        <f t="shared" si="18"/>
        <v>5.0831075158612098</v>
      </c>
      <c r="AQ13" s="3">
        <f t="shared" si="19"/>
        <v>-3.6040332954708503</v>
      </c>
      <c r="AR13" s="3">
        <f t="shared" si="20"/>
        <v>17.578125</v>
      </c>
      <c r="AT13" s="61"/>
      <c r="AU13" s="4" t="s">
        <v>231</v>
      </c>
      <c r="AV13" s="27"/>
      <c r="AW13"/>
      <c r="AX13"/>
      <c r="AY13"/>
      <c r="AZ13"/>
      <c r="BA13"/>
      <c r="BB13" s="3" t="s">
        <v>165</v>
      </c>
      <c r="BC13" s="3">
        <f>$AU$21-$AU$20</f>
        <v>0.46268640000000016</v>
      </c>
      <c r="BD13" s="27" t="s">
        <v>8</v>
      </c>
      <c r="BE13"/>
      <c r="BF13" s="3" t="s">
        <v>165</v>
      </c>
      <c r="BG13" s="3">
        <f>$AU$22-$AU$21</f>
        <v>0.46268639999999994</v>
      </c>
      <c r="BH13" s="27" t="s">
        <v>8</v>
      </c>
      <c r="BI13"/>
      <c r="BJ13" s="3" t="s">
        <v>200</v>
      </c>
      <c r="BK13" s="3">
        <f>IF(BK7&lt;$BC$49, $AY$53*BK7^6 + $AZ$53*BK7^5 + $BA$53*BK7^4 + $AY$54*BK7^3 + $AZ$54*BK7^2 + $BA$54*BK7 + $AY$55, IF(BK7&gt;$BD$49, $BE$53*BK7^6 + $BF$53*BK7^5 + $BG$53*BK7^4 + $BE$54*BK7^3 + $BF$54*BK7^2 + $BG$54*BK7 + $BE$55, $BB$53*BK7^6 + $BC$53*BK7^5 + $BD$53*BK7^4 + $BB$54*BK7^3 + $BC$54*BK7^2 + $BD$54*BK7 + $BB$55) )</f>
        <v>3.1155146150312833E-2</v>
      </c>
      <c r="BL13" s="3"/>
      <c r="BM13" s="3"/>
      <c r="BN13" s="3" t="s">
        <v>200</v>
      </c>
      <c r="BO13" s="3">
        <f>IF(BO7&lt;$BC$49, $AY$53*BO7^6 + $AZ$53*BO7^5 + $BA$53*BO7^4 + $AY$54*BO7^3 + $AZ$54*BO7^2 + $BA$54*BO7 + $AY$55, IF(BO7&gt;$BD$49, $BE$53*BO7^6 + $BF$53*BO7^5 + $BG$53*BO7^4 + $BE$54*BO7^3 + $BF$54*BO7^2 + $BG$54*BO7 + $BE$55, $BB$53*BO7^6 + $BC$53*BO7^5 + $BD$53*BO7^4 + $BB$54*BO7^3 + $BC$54*BO7^2 + $BD$54*BO7 + $BB$55) )</f>
        <v>2.8664767796458063E-2</v>
      </c>
      <c r="BP13" s="3"/>
      <c r="BQ13"/>
      <c r="BR13" s="3">
        <v>9</v>
      </c>
      <c r="BS13" s="3">
        <f t="shared" si="21"/>
        <v>0.15155730184310134</v>
      </c>
      <c r="BT13" s="3">
        <v>-1.1137568470735368E-4</v>
      </c>
      <c r="BU13" s="3">
        <f t="shared" si="22"/>
        <v>0.16247924505284711</v>
      </c>
      <c r="BV13" s="3">
        <v>4.2655420830755061E-2</v>
      </c>
      <c r="BW13" s="3">
        <f t="shared" si="7"/>
        <v>0.15701827344797423</v>
      </c>
      <c r="BX13" s="3">
        <v>2.179007891249226E-2</v>
      </c>
      <c r="BY13" s="3">
        <f t="shared" si="8"/>
        <v>-2.4268849587060942E-6</v>
      </c>
      <c r="BZ13" s="3">
        <f t="shared" si="9"/>
        <v>9.2946498594771894E-4</v>
      </c>
      <c r="CA13" s="3">
        <f t="shared" si="10"/>
        <v>1.0921943209745766E-2</v>
      </c>
      <c r="CB13"/>
      <c r="CC13" s="3">
        <v>9</v>
      </c>
      <c r="CD13" s="3">
        <f t="shared" si="23"/>
        <v>0.11879147221386405</v>
      </c>
      <c r="CE13" s="3">
        <v>-8.4637154875871652E-3</v>
      </c>
      <c r="CF13" s="3">
        <f t="shared" si="24"/>
        <v>0.12971341542360981</v>
      </c>
      <c r="CG13" s="3">
        <v>2.9303010030329178E-2</v>
      </c>
      <c r="CH13" s="3">
        <f t="shared" si="11"/>
        <v>0.12425244381873693</v>
      </c>
      <c r="CI13" s="3">
        <v>1.1003614536276848E-2</v>
      </c>
      <c r="CJ13" s="3">
        <f t="shared" si="12"/>
        <v>-9.3131462770125619E-5</v>
      </c>
      <c r="CK13" s="3">
        <f t="shared" si="13"/>
        <v>3.2243902712639639E-4</v>
      </c>
      <c r="CL13" s="3">
        <f t="shared" si="14"/>
        <v>1.0921943209745766E-2</v>
      </c>
    </row>
    <row r="14" spans="2:90" x14ac:dyDescent="0.2">
      <c r="B14" s="7" t="s">
        <v>71</v>
      </c>
      <c r="C14" s="7">
        <f>C25*(1209/6)*0.453592</f>
        <v>548.39272800000003</v>
      </c>
      <c r="D14" s="7" t="s">
        <v>7</v>
      </c>
      <c r="F14" t="s">
        <v>21</v>
      </c>
      <c r="G14" s="7">
        <f xml:space="preserve"> $C$5 * $C$44 / $C$19</f>
        <v>7797.0849400652369</v>
      </c>
      <c r="H14" s="7" t="s">
        <v>22</v>
      </c>
      <c r="J14" s="13" t="s">
        <v>147</v>
      </c>
      <c r="K14" s="7">
        <f xml:space="preserve"> $C$19 * (0.0095 * MAX(G14,O19,S19,G54) - 1.9275)</f>
        <v>289.83716585666679</v>
      </c>
      <c r="L14" s="7" t="s">
        <v>7</v>
      </c>
      <c r="N14" s="7" t="s">
        <v>77</v>
      </c>
      <c r="O14" s="7">
        <f>SQRT((O10*COS(G34/180*PI()))^2 + (O10*SIN(G34/180*PI())+$C$5*$C$50)^2)</f>
        <v>31320.754300701767</v>
      </c>
      <c r="P14" s="7" t="s">
        <v>22</v>
      </c>
      <c r="R14" s="7" t="s">
        <v>77</v>
      </c>
      <c r="S14" s="7">
        <f xml:space="preserve"> SQRT( ($C$5*$C$56)^2 + S10^2)</f>
        <v>31196.675670742468</v>
      </c>
      <c r="T14" s="7" t="s">
        <v>22</v>
      </c>
      <c r="X14" s="3">
        <v>10</v>
      </c>
      <c r="Y14" s="3">
        <f t="shared" si="15"/>
        <v>1.66015625E-2</v>
      </c>
      <c r="Z14" s="3">
        <f t="shared" si="0"/>
        <v>2.3408625218187054E-4</v>
      </c>
      <c r="AA14" s="3">
        <f t="shared" si="16"/>
        <v>1.7578125E-2</v>
      </c>
      <c r="AB14" s="3">
        <f t="shared" si="1"/>
        <v>-7.4496179728533035E-4</v>
      </c>
      <c r="AC14" s="3">
        <f t="shared" si="3"/>
        <v>1.708984375E-2</v>
      </c>
      <c r="AD14" s="3">
        <f t="shared" si="2"/>
        <v>-2.5542029638975228E-4</v>
      </c>
      <c r="AE14" s="3">
        <f t="shared" si="4"/>
        <v>-5.9790379913059675E-8</v>
      </c>
      <c r="AF14" s="3">
        <f t="shared" si="5"/>
        <v>1.9027836306166164E-7</v>
      </c>
      <c r="AG14" s="3">
        <f t="shared" si="6"/>
        <v>9.765625E-4</v>
      </c>
      <c r="AI14" s="3">
        <v>10</v>
      </c>
      <c r="AJ14" s="3">
        <f t="shared" si="25"/>
        <v>3180.6640625</v>
      </c>
      <c r="AK14" s="3">
        <v>-0.859605190144066</v>
      </c>
      <c r="AL14" s="3">
        <f t="shared" si="26"/>
        <v>3189.453125</v>
      </c>
      <c r="AM14" s="3">
        <v>4.1926611621165648</v>
      </c>
      <c r="AN14" s="3">
        <f t="shared" si="17"/>
        <v>3185.05859375</v>
      </c>
      <c r="AO14" s="3">
        <v>1.6667099702190171</v>
      </c>
      <c r="AP14" s="3">
        <f t="shared" si="18"/>
        <v>-1.4327125408651289</v>
      </c>
      <c r="AQ14" s="3">
        <f t="shared" si="19"/>
        <v>6.9879501606497296</v>
      </c>
      <c r="AR14" s="3">
        <f t="shared" si="20"/>
        <v>8.7890625</v>
      </c>
      <c r="AT14" s="61"/>
      <c r="AU14" s="4" t="s">
        <v>231</v>
      </c>
      <c r="AV14" s="27"/>
      <c r="AW14"/>
      <c r="AX14" s="74" t="s">
        <v>201</v>
      </c>
      <c r="AY14" s="74"/>
      <c r="AZ14" s="74"/>
      <c r="BA14"/>
      <c r="BB14" s="3" t="s">
        <v>170</v>
      </c>
      <c r="BC14" s="3">
        <f>(1+$BK$37)*$AU$3</f>
        <v>9.0729790993422075</v>
      </c>
      <c r="BD14" s="27" t="s">
        <v>10</v>
      </c>
      <c r="BE14"/>
      <c r="BF14" s="3" t="s">
        <v>170</v>
      </c>
      <c r="BG14" s="3">
        <f>(1+$BO$37)*$AU$3</f>
        <v>9.6463343623284441</v>
      </c>
      <c r="BH14" s="27" t="s">
        <v>10</v>
      </c>
      <c r="BI14"/>
      <c r="BJ14" s="3" t="s">
        <v>202</v>
      </c>
      <c r="BK14" s="3">
        <f xml:space="preserve"> BK12*COS(BK4) - BK13*SIN(BK4)</f>
        <v>0.41633366507209696</v>
      </c>
      <c r="BL14" s="3"/>
      <c r="BM14" s="3"/>
      <c r="BN14" s="3" t="s">
        <v>202</v>
      </c>
      <c r="BO14" s="3">
        <f xml:space="preserve"> BO12*COS(BO4) - BO13*SIN(BO4)</f>
        <v>0.46964603000922761</v>
      </c>
      <c r="BP14" s="3"/>
      <c r="BQ14"/>
      <c r="BR14" s="3">
        <v>10</v>
      </c>
      <c r="BS14" s="3">
        <f t="shared" si="21"/>
        <v>0.15155730184310134</v>
      </c>
      <c r="BT14" s="3">
        <v>-1.1137568470735368E-4</v>
      </c>
      <c r="BU14" s="3">
        <f t="shared" si="22"/>
        <v>0.15701827344797423</v>
      </c>
      <c r="BV14" s="3">
        <v>2.179007891249226E-2</v>
      </c>
      <c r="BW14" s="3">
        <f t="shared" si="7"/>
        <v>0.1542877876455378</v>
      </c>
      <c r="BX14" s="3">
        <v>1.0975738201779512E-2</v>
      </c>
      <c r="BY14" s="3">
        <f t="shared" si="8"/>
        <v>-1.2224303573918519E-6</v>
      </c>
      <c r="BZ14" s="3">
        <f t="shared" si="9"/>
        <v>2.3916220153963146E-4</v>
      </c>
      <c r="CA14" s="3">
        <f t="shared" si="10"/>
        <v>5.4609716048728829E-3</v>
      </c>
      <c r="CB14"/>
      <c r="CC14" s="3">
        <v>10</v>
      </c>
      <c r="CD14" s="3">
        <f t="shared" si="23"/>
        <v>0.11879147221386405</v>
      </c>
      <c r="CE14" s="3">
        <v>-8.4637154875871652E-3</v>
      </c>
      <c r="CF14" s="3">
        <f t="shared" si="24"/>
        <v>0.12425244381873693</v>
      </c>
      <c r="CG14" s="3">
        <v>1.1003614536276848E-2</v>
      </c>
      <c r="CH14" s="3">
        <f t="shared" si="11"/>
        <v>0.12152195801630049</v>
      </c>
      <c r="CI14" s="3">
        <v>1.4254796735554904E-3</v>
      </c>
      <c r="CJ14" s="3">
        <f t="shared" si="12"/>
        <v>-1.20648543903123E-5</v>
      </c>
      <c r="CK14" s="3">
        <f t="shared" si="13"/>
        <v>1.568542885710237E-5</v>
      </c>
      <c r="CL14" s="3">
        <f t="shared" si="14"/>
        <v>5.4609716048728829E-3</v>
      </c>
    </row>
    <row r="15" spans="2:90" x14ac:dyDescent="0.2">
      <c r="B15" s="7" t="s">
        <v>13</v>
      </c>
      <c r="C15" s="18">
        <f>37.5*1852</f>
        <v>69450</v>
      </c>
      <c r="D15" s="7" t="s">
        <v>8</v>
      </c>
      <c r="F15" s="7" t="s">
        <v>227</v>
      </c>
      <c r="G15" s="7">
        <f>AY10</f>
        <v>7797.0849096771817</v>
      </c>
      <c r="H15" s="7" t="s">
        <v>22</v>
      </c>
      <c r="J15" s="13" t="s">
        <v>148</v>
      </c>
      <c r="K15" s="7">
        <f xml:space="preserve"> C60 * C19 * 0.0037 * C20^0.28 * (C10*3.28084)^1.5 * (G12*3.28084)^0.43 * (0.01742 * C20^0.66 * (C11*C10)*3.28084 * (C10*3.28084)^1.3 * (G12*3.28084)^0.67 + 9.80665*3.28084 * 0.5*(K14/C19)*2.20462)^0.55 * 0.453592</f>
        <v>621.1798320378748</v>
      </c>
      <c r="L15" s="7" t="s">
        <v>7</v>
      </c>
      <c r="N15" s="7" t="s">
        <v>112</v>
      </c>
      <c r="O15" s="7">
        <f>ACOS(O10*COS(G34/180*PI())/O14) /PI() *180</f>
        <v>87.836304872778328</v>
      </c>
      <c r="P15" s="7" t="s">
        <v>43</v>
      </c>
      <c r="R15" s="7" t="s">
        <v>78</v>
      </c>
      <c r="S15" s="7">
        <f>$C$5*$C$56/S14</f>
        <v>0.99935277231312214</v>
      </c>
      <c r="X15" s="3">
        <v>11</v>
      </c>
      <c r="Y15" s="3">
        <f t="shared" si="15"/>
        <v>1.66015625E-2</v>
      </c>
      <c r="Z15" s="3">
        <f t="shared" si="0"/>
        <v>2.3408625218187054E-4</v>
      </c>
      <c r="AA15" s="3">
        <f t="shared" si="16"/>
        <v>1.708984375E-2</v>
      </c>
      <c r="AB15" s="3">
        <f t="shared" si="1"/>
        <v>-2.5542029638975228E-4</v>
      </c>
      <c r="AC15" s="3">
        <f t="shared" si="3"/>
        <v>1.6845703125E-2</v>
      </c>
      <c r="AD15" s="3">
        <f t="shared" si="2"/>
        <v>-1.066265012276621E-5</v>
      </c>
      <c r="AE15" s="3">
        <f t="shared" si="4"/>
        <v>-2.4959798055649037E-9</v>
      </c>
      <c r="AF15" s="3">
        <f t="shared" si="5"/>
        <v>2.7234572546571736E-9</v>
      </c>
      <c r="AG15" s="3">
        <f t="shared" si="6"/>
        <v>4.8828125E-4</v>
      </c>
      <c r="AI15" s="3">
        <v>11</v>
      </c>
      <c r="AJ15" s="3">
        <f t="shared" si="25"/>
        <v>3180.6640625</v>
      </c>
      <c r="AK15" s="3">
        <v>-0.859605190144066</v>
      </c>
      <c r="AL15" s="3">
        <f t="shared" si="26"/>
        <v>3185.05859375</v>
      </c>
      <c r="AM15" s="3">
        <v>1.6667099702190171</v>
      </c>
      <c r="AN15" s="3">
        <f t="shared" si="17"/>
        <v>3182.861328125</v>
      </c>
      <c r="AO15" s="3">
        <v>0.40359851629727928</v>
      </c>
      <c r="AP15" s="3">
        <f t="shared" si="18"/>
        <v>-0.34693537934358565</v>
      </c>
      <c r="AQ15" s="3">
        <f t="shared" si="19"/>
        <v>0.67268167107827781</v>
      </c>
      <c r="AR15" s="3">
        <f t="shared" si="20"/>
        <v>4.39453125</v>
      </c>
      <c r="AT15" s="61"/>
      <c r="AU15" s="4" t="s">
        <v>231</v>
      </c>
      <c r="AV15" s="27"/>
      <c r="AW15"/>
      <c r="AX15" s="3" t="s">
        <v>203</v>
      </c>
      <c r="AY15" s="3">
        <f>AY10*(AU3/2 + SQRT( (AU3/2)^2 + AY10/(2*AU45*PI()*AY3^2) ) )/1000</f>
        <v>66.563989773351821</v>
      </c>
      <c r="AZ15" s="27" t="s">
        <v>116</v>
      </c>
      <c r="BA15"/>
      <c r="BB15" s="3" t="s">
        <v>175</v>
      </c>
      <c r="BC15" s="3">
        <f>(1-$BK$38)*$AY$5*$AU$21</f>
        <v>90.642846112442285</v>
      </c>
      <c r="BD15" s="27" t="s">
        <v>10</v>
      </c>
      <c r="BE15"/>
      <c r="BF15" s="3" t="s">
        <v>175</v>
      </c>
      <c r="BG15" s="3">
        <f>(1-$BO$38)*$AY$5*$AU$22</f>
        <v>116.23845282350666</v>
      </c>
      <c r="BH15" s="27" t="s">
        <v>10</v>
      </c>
      <c r="BI15"/>
      <c r="BJ15" s="3" t="s">
        <v>204</v>
      </c>
      <c r="BK15" s="3">
        <f xml:space="preserve"> BK12*SIN(BK4) + BK13*COS(BK4)</f>
        <v>9.5114088313242903E-2</v>
      </c>
      <c r="BL15" s="3"/>
      <c r="BM15" s="3"/>
      <c r="BN15" s="3" t="s">
        <v>204</v>
      </c>
      <c r="BO15" s="3">
        <f xml:space="preserve"> BO12*SIN(BO4) + BO13*COS(BO4)</f>
        <v>8.6041029830362159E-2</v>
      </c>
      <c r="BP15" s="3"/>
      <c r="BQ15"/>
      <c r="BR15" s="3">
        <v>11</v>
      </c>
      <c r="BS15" s="3">
        <f t="shared" si="21"/>
        <v>0.15155730184310134</v>
      </c>
      <c r="BT15" s="3">
        <v>-1.1137568470735368E-4</v>
      </c>
      <c r="BU15" s="3">
        <f t="shared" si="22"/>
        <v>0.1542877876455378</v>
      </c>
      <c r="BV15" s="3">
        <v>1.0975738201779512E-2</v>
      </c>
      <c r="BW15" s="3">
        <f t="shared" si="7"/>
        <v>0.15292254474431957</v>
      </c>
      <c r="BX15" s="3">
        <v>5.467191737914533E-3</v>
      </c>
      <c r="BY15" s="3">
        <f t="shared" si="8"/>
        <v>-6.08912223236618E-7</v>
      </c>
      <c r="BZ15" s="3">
        <f t="shared" si="9"/>
        <v>6.0006465214281859E-5</v>
      </c>
      <c r="CA15" s="3">
        <f t="shared" si="10"/>
        <v>2.7304858024364553E-3</v>
      </c>
      <c r="CB15"/>
      <c r="CC15" s="3">
        <v>11</v>
      </c>
      <c r="CD15" s="3">
        <f t="shared" si="23"/>
        <v>0.11879147221386405</v>
      </c>
      <c r="CE15" s="3">
        <v>-8.4637154875871652E-3</v>
      </c>
      <c r="CF15" s="3">
        <f t="shared" si="24"/>
        <v>0.12152195801630049</v>
      </c>
      <c r="CG15" s="3">
        <v>1.4254796735554904E-3</v>
      </c>
      <c r="CH15" s="3">
        <f t="shared" si="11"/>
        <v>0.12015671511508227</v>
      </c>
      <c r="CI15" s="3">
        <v>-3.4789495817564098E-3</v>
      </c>
      <c r="CJ15" s="3">
        <f t="shared" si="12"/>
        <v>2.9444839455646615E-5</v>
      </c>
      <c r="CK15" s="3">
        <f t="shared" si="13"/>
        <v>-4.9591719141181368E-6</v>
      </c>
      <c r="CL15" s="3">
        <f t="shared" si="14"/>
        <v>2.7304858024364415E-3</v>
      </c>
    </row>
    <row r="16" spans="2:90" x14ac:dyDescent="0.2">
      <c r="B16" s="7" t="s">
        <v>277</v>
      </c>
      <c r="C16" s="18">
        <v>2</v>
      </c>
      <c r="F16" s="7" t="s">
        <v>228</v>
      </c>
      <c r="G16" s="7">
        <f>G14-G15</f>
        <v>3.0388055165531114E-5</v>
      </c>
      <c r="H16" s="7" t="s">
        <v>22</v>
      </c>
      <c r="J16" s="14" t="s">
        <v>56</v>
      </c>
      <c r="K16" s="7">
        <f xml:space="preserve"> 0.2138 * K4</f>
        <v>242.1165928483351</v>
      </c>
      <c r="L16" s="7" t="s">
        <v>7</v>
      </c>
      <c r="O16" s="7">
        <f>O18/180*PI()</f>
        <v>0.13558953831199075</v>
      </c>
      <c r="S16" s="7">
        <f>S18/180*PI()</f>
        <v>3.5980481269993758E-2</v>
      </c>
      <c r="X16" s="3">
        <v>12</v>
      </c>
      <c r="Y16" s="3">
        <f t="shared" si="15"/>
        <v>1.66015625E-2</v>
      </c>
      <c r="Z16" s="3">
        <f t="shared" si="0"/>
        <v>2.3408625218187054E-4</v>
      </c>
      <c r="AA16" s="3">
        <f t="shared" si="16"/>
        <v>1.6845703125E-2</v>
      </c>
      <c r="AB16" s="3">
        <f t="shared" si="1"/>
        <v>-1.066265012276621E-5</v>
      </c>
      <c r="AC16" s="3">
        <f t="shared" si="3"/>
        <v>1.67236328125E-2</v>
      </c>
      <c r="AD16" s="3">
        <f t="shared" si="2"/>
        <v>1.1171289438801496E-4</v>
      </c>
      <c r="AE16" s="3">
        <f t="shared" si="4"/>
        <v>2.615045276767954E-8</v>
      </c>
      <c r="AF16" s="3">
        <f t="shared" si="5"/>
        <v>-1.1911555070609364E-9</v>
      </c>
      <c r="AG16" s="3">
        <f t="shared" si="6"/>
        <v>2.44140625E-4</v>
      </c>
      <c r="AI16" s="3">
        <v>12</v>
      </c>
      <c r="AJ16" s="3">
        <f t="shared" si="25"/>
        <v>3180.6640625</v>
      </c>
      <c r="AK16" s="3">
        <v>-0.859605190144066</v>
      </c>
      <c r="AL16" s="3">
        <f t="shared" si="26"/>
        <v>3182.861328125</v>
      </c>
      <c r="AM16" s="3">
        <v>0.40359851629727928</v>
      </c>
      <c r="AN16" s="3">
        <f t="shared" si="17"/>
        <v>3181.7626953125</v>
      </c>
      <c r="AO16" s="3">
        <v>-0.22798901043415754</v>
      </c>
      <c r="AP16" s="3">
        <f t="shared" si="18"/>
        <v>0.19598053666501145</v>
      </c>
      <c r="AQ16" s="3">
        <f t="shared" si="19"/>
        <v>-9.2016026343310908E-2</v>
      </c>
      <c r="AR16" s="3">
        <f t="shared" si="20"/>
        <v>2.197265625</v>
      </c>
      <c r="AT16" s="61"/>
      <c r="AU16" s="4" t="s">
        <v>231</v>
      </c>
      <c r="AV16" s="27"/>
      <c r="AW16"/>
      <c r="AX16" s="3" t="s">
        <v>205</v>
      </c>
      <c r="AY16" s="3">
        <f>AY15/AY12</f>
        <v>0.23511616194693993</v>
      </c>
      <c r="AZ16" s="27"/>
      <c r="BA16"/>
      <c r="BB16" s="3" t="s">
        <v>179</v>
      </c>
      <c r="BC16" s="3">
        <f>SQRT(BC14^2 + BC15^2)</f>
        <v>91.095798482152802</v>
      </c>
      <c r="BD16" s="27" t="s">
        <v>10</v>
      </c>
      <c r="BE16"/>
      <c r="BF16" s="3" t="s">
        <v>179</v>
      </c>
      <c r="BG16" s="3">
        <f>SQRT(BG14^2 + BG15^2)</f>
        <v>116.63802845312682</v>
      </c>
      <c r="BH16" s="27" t="s">
        <v>10</v>
      </c>
      <c r="BI16"/>
      <c r="BJ16" s="3" t="s">
        <v>38</v>
      </c>
      <c r="BK16" s="3">
        <f xml:space="preserve"> 4*BK11*SIN(BK4)*SIN(BK4) / (BK8*BK14)</f>
        <v>1.0918875628861526</v>
      </c>
      <c r="BL16" s="3"/>
      <c r="BM16" s="3"/>
      <c r="BN16" s="3" t="s">
        <v>38</v>
      </c>
      <c r="BO16" s="3">
        <f xml:space="preserve"> 4*BO11*SIN(BO4)*SIN(BO4) / (BO8*BO14)</f>
        <v>1.068551187602824</v>
      </c>
      <c r="BP16" s="3"/>
      <c r="BQ16"/>
      <c r="BR16" s="3">
        <v>12</v>
      </c>
      <c r="BS16" s="3">
        <f t="shared" si="21"/>
        <v>0.15155730184310134</v>
      </c>
      <c r="BT16" s="3">
        <v>-1.1137568470735368E-4</v>
      </c>
      <c r="BU16" s="3">
        <f t="shared" si="22"/>
        <v>0.15292254474431957</v>
      </c>
      <c r="BV16" s="3">
        <v>5.467191737914533E-3</v>
      </c>
      <c r="BW16" s="3">
        <f t="shared" si="7"/>
        <v>0.15223992329371044</v>
      </c>
      <c r="BX16" s="3">
        <v>2.6867785271212693E-3</v>
      </c>
      <c r="BY16" s="3">
        <f t="shared" si="8"/>
        <v>-2.9924179811514659E-7</v>
      </c>
      <c r="BZ16" s="3">
        <f t="shared" si="9"/>
        <v>1.4689133365083582E-5</v>
      </c>
      <c r="CA16" s="3">
        <f t="shared" si="10"/>
        <v>1.3652429012182277E-3</v>
      </c>
      <c r="CB16"/>
      <c r="CC16" s="3">
        <v>12</v>
      </c>
      <c r="CD16" s="3">
        <f t="shared" si="23"/>
        <v>0.12015671511508227</v>
      </c>
      <c r="CE16" s="3">
        <v>-3.4789495817564098E-3</v>
      </c>
      <c r="CF16" s="3">
        <f t="shared" si="24"/>
        <v>0.12152195801630049</v>
      </c>
      <c r="CG16" s="3">
        <v>1.4254796735554904E-3</v>
      </c>
      <c r="CH16" s="3">
        <f t="shared" si="11"/>
        <v>0.12083933656569137</v>
      </c>
      <c r="CI16" s="3">
        <v>-1.0168580761640402E-3</v>
      </c>
      <c r="CJ16" s="3">
        <f t="shared" si="12"/>
        <v>3.5375979787765152E-6</v>
      </c>
      <c r="CK16" s="3">
        <f t="shared" si="13"/>
        <v>-1.44951051846258E-6</v>
      </c>
      <c r="CL16" s="3">
        <f t="shared" si="14"/>
        <v>1.3652429012182138E-3</v>
      </c>
    </row>
    <row r="17" spans="2:90" x14ac:dyDescent="0.2">
      <c r="F17" s="7" t="s">
        <v>229</v>
      </c>
      <c r="G17" s="5" t="str">
        <f>IF(ABS(G16)&lt;1, "TRUE", "FALSE")</f>
        <v>TRUE</v>
      </c>
      <c r="J17" s="14" t="s">
        <v>80</v>
      </c>
      <c r="K17" s="7">
        <f xml:space="preserve"> 0.1149 * K4</f>
        <v>130.11785088060665</v>
      </c>
      <c r="L17" s="7" t="s">
        <v>7</v>
      </c>
      <c r="N17" s="66" t="s">
        <v>27</v>
      </c>
      <c r="O17" s="72"/>
      <c r="P17" s="72"/>
      <c r="R17" s="66" t="s">
        <v>27</v>
      </c>
      <c r="S17" s="72"/>
      <c r="T17" s="72"/>
      <c r="X17" s="3">
        <v>13</v>
      </c>
      <c r="Y17" s="3">
        <f t="shared" si="15"/>
        <v>1.67236328125E-2</v>
      </c>
      <c r="Z17" s="3">
        <f t="shared" si="0"/>
        <v>1.1171289438801496E-4</v>
      </c>
      <c r="AA17" s="3">
        <f t="shared" si="16"/>
        <v>1.6845703125E-2</v>
      </c>
      <c r="AB17" s="3">
        <f t="shared" si="1"/>
        <v>-1.066265012276621E-5</v>
      </c>
      <c r="AC17" s="3">
        <f t="shared" si="3"/>
        <v>1.678466796875E-2</v>
      </c>
      <c r="AD17" s="3">
        <f t="shared" si="2"/>
        <v>5.0525395427040987E-5</v>
      </c>
      <c r="AE17" s="3">
        <f t="shared" si="4"/>
        <v>5.6443381632537241E-9</v>
      </c>
      <c r="AF17" s="3">
        <f t="shared" si="5"/>
        <v>-5.3873461375294989E-10</v>
      </c>
      <c r="AG17" s="3">
        <f t="shared" si="6"/>
        <v>1.220703125E-4</v>
      </c>
      <c r="AI17" s="3">
        <v>13</v>
      </c>
      <c r="AJ17" s="3">
        <f t="shared" si="25"/>
        <v>3181.7626953125</v>
      </c>
      <c r="AK17" s="3">
        <v>-0.22798901043415754</v>
      </c>
      <c r="AL17" s="3">
        <f t="shared" si="26"/>
        <v>3182.861328125</v>
      </c>
      <c r="AM17" s="3">
        <v>0.40359851629727928</v>
      </c>
      <c r="AN17" s="3">
        <f t="shared" si="17"/>
        <v>3182.31201171875</v>
      </c>
      <c r="AO17" s="3">
        <v>8.7804151961336174E-2</v>
      </c>
      <c r="AP17" s="3">
        <f t="shared" si="18"/>
        <v>-2.0018381717675428E-2</v>
      </c>
      <c r="AQ17" s="3">
        <f t="shared" si="19"/>
        <v>3.5437625456336122E-2</v>
      </c>
      <c r="AR17" s="3">
        <f t="shared" si="20"/>
        <v>1.0986328125</v>
      </c>
      <c r="AT17" s="61"/>
      <c r="AU17" s="4" t="s">
        <v>231</v>
      </c>
      <c r="AV17" s="27"/>
      <c r="AW17"/>
      <c r="AX17" s="3" t="s">
        <v>202</v>
      </c>
      <c r="AY17" s="3">
        <f>AY10/($AU$45*AY6^2*AU9^4)</f>
        <v>1.9568910322826479E-2</v>
      </c>
      <c r="AZ17" s="3"/>
      <c r="BA17"/>
      <c r="BB17" s="3" t="s">
        <v>182</v>
      </c>
      <c r="BC17" s="38">
        <f>$AU$45*BC16*$AU$29/$AU$46</f>
        <v>1525939.9436132836</v>
      </c>
      <c r="BD17" s="27"/>
      <c r="BE17"/>
      <c r="BF17" s="3" t="s">
        <v>182</v>
      </c>
      <c r="BG17" s="38">
        <f>$AU$45*BG16*$AU$30/$AU$46</f>
        <v>1894348.6151925917</v>
      </c>
      <c r="BH17" s="27"/>
      <c r="BI17"/>
      <c r="BJ17" s="3" t="s">
        <v>206</v>
      </c>
      <c r="BK17" s="3">
        <f xml:space="preserve"> 4*BK11*SIN(BK4)*COS(BK4) / (BK8*BK15)</f>
        <v>31.287854544304338</v>
      </c>
      <c r="BL17" s="3"/>
      <c r="BM17" s="3"/>
      <c r="BN17" s="3" t="s">
        <v>206</v>
      </c>
      <c r="BO17" s="3">
        <f xml:space="preserve"> 4*BO11*SIN(BO4)*COS(BO4) / (BO8*BO15)</f>
        <v>47.918487057985907</v>
      </c>
      <c r="BP17" s="3"/>
      <c r="BQ17"/>
      <c r="BR17" s="3">
        <v>13</v>
      </c>
      <c r="BS17" s="3">
        <f t="shared" si="21"/>
        <v>0.15155730184310134</v>
      </c>
      <c r="BT17" s="3">
        <v>-1.1137568470735368E-4</v>
      </c>
      <c r="BU17" s="3">
        <f t="shared" si="22"/>
        <v>0.15223992329371044</v>
      </c>
      <c r="BV17" s="3">
        <v>2.6867785271212693E-3</v>
      </c>
      <c r="BW17" s="3">
        <f t="shared" si="7"/>
        <v>0.15189861256840589</v>
      </c>
      <c r="BX17" s="3">
        <v>1.2899340172759753E-3</v>
      </c>
      <c r="BY17" s="3">
        <f t="shared" si="8"/>
        <v>-1.4366728440141914E-7</v>
      </c>
      <c r="BZ17" s="3">
        <f t="shared" si="9"/>
        <v>3.4657670190203667E-6</v>
      </c>
      <c r="CA17" s="3">
        <f t="shared" si="10"/>
        <v>6.8262145060909996E-4</v>
      </c>
      <c r="CB17"/>
      <c r="CC17" s="3">
        <v>13</v>
      </c>
      <c r="CD17" s="3">
        <f t="shared" si="23"/>
        <v>0.12083933656569137</v>
      </c>
      <c r="CE17" s="3">
        <v>-1.0168580761640402E-3</v>
      </c>
      <c r="CF17" s="3">
        <f t="shared" si="24"/>
        <v>0.12152195801630049</v>
      </c>
      <c r="CG17" s="3">
        <v>1.4254796735554904E-3</v>
      </c>
      <c r="CH17" s="3">
        <f t="shared" si="11"/>
        <v>0.12118064729099592</v>
      </c>
      <c r="CI17" s="3">
        <v>2.0675976966965087E-4</v>
      </c>
      <c r="CJ17" s="3">
        <f t="shared" si="12"/>
        <v>-2.1024534161440123E-7</v>
      </c>
      <c r="CK17" s="3">
        <f t="shared" si="13"/>
        <v>2.9473184897310229E-7</v>
      </c>
      <c r="CL17" s="3">
        <f t="shared" si="14"/>
        <v>6.8262145060911383E-4</v>
      </c>
    </row>
    <row r="18" spans="2:90" x14ac:dyDescent="0.2">
      <c r="B18" s="71" t="s">
        <v>127</v>
      </c>
      <c r="C18" s="71"/>
      <c r="D18" s="71"/>
      <c r="F18" s="43" t="s">
        <v>85</v>
      </c>
      <c r="G18" s="44">
        <f>$C$19 * AY12</f>
        <v>1132.4443070548882</v>
      </c>
      <c r="H18" s="44" t="s">
        <v>116</v>
      </c>
      <c r="J18" s="15" t="s">
        <v>63</v>
      </c>
      <c r="K18" s="7">
        <f xml:space="preserve"> $C$61 * (14.86 * ($C$5*2.20462)^0.144 * ($C$26/(PI()*$C$27))^0.778 * ($C$26*3.28084)^0.383 * $C$25^0.455 * 0.453592)</f>
        <v>173.74648551393526</v>
      </c>
      <c r="L18" s="7" t="s">
        <v>7</v>
      </c>
      <c r="N18" s="7" t="s">
        <v>28</v>
      </c>
      <c r="O18" s="7">
        <f xml:space="preserve"> 90 + G34 - O15</f>
        <v>7.768708291404451</v>
      </c>
      <c r="P18" s="7" t="s">
        <v>43</v>
      </c>
      <c r="R18" s="7" t="s">
        <v>28</v>
      </c>
      <c r="S18" s="7">
        <f xml:space="preserve"> ACOS(S15)/PI()*180</f>
        <v>2.0615297216201505</v>
      </c>
      <c r="T18" s="7" t="s">
        <v>43</v>
      </c>
      <c r="X18" s="3">
        <v>14</v>
      </c>
      <c r="Y18" s="3">
        <f t="shared" si="15"/>
        <v>1.678466796875E-2</v>
      </c>
      <c r="Z18" s="3">
        <f t="shared" si="0"/>
        <v>5.0525395427040987E-5</v>
      </c>
      <c r="AA18" s="3">
        <f t="shared" si="16"/>
        <v>1.6845703125E-2</v>
      </c>
      <c r="AB18" s="3">
        <f t="shared" si="1"/>
        <v>-1.066265012276621E-5</v>
      </c>
      <c r="AC18" s="3">
        <f t="shared" si="3"/>
        <v>1.6815185546875E-2</v>
      </c>
      <c r="AD18" s="3">
        <f t="shared" si="2"/>
        <v>1.9931440970073766E-5</v>
      </c>
      <c r="AE18" s="3">
        <f t="shared" si="4"/>
        <v>1.0070439364437024E-9</v>
      </c>
      <c r="AF18" s="3">
        <f t="shared" si="5"/>
        <v>-2.125219815064645E-10</v>
      </c>
      <c r="AG18" s="3">
        <f t="shared" si="6"/>
        <v>6.103515625E-5</v>
      </c>
      <c r="AI18" s="3">
        <v>14</v>
      </c>
      <c r="AJ18" s="3">
        <f t="shared" si="25"/>
        <v>3181.7626953125</v>
      </c>
      <c r="AK18" s="3">
        <v>-0.22798901043415754</v>
      </c>
      <c r="AL18" s="3">
        <f t="shared" si="26"/>
        <v>3182.31201171875</v>
      </c>
      <c r="AM18" s="3">
        <v>8.7804151961336174E-2</v>
      </c>
      <c r="AN18" s="3">
        <f t="shared" si="17"/>
        <v>3182.037353515625</v>
      </c>
      <c r="AO18" s="3">
        <v>-7.0099774869049725E-2</v>
      </c>
      <c r="AP18" s="3">
        <f t="shared" si="18"/>
        <v>1.5981978304051871E-2</v>
      </c>
      <c r="AQ18" s="3">
        <f t="shared" si="19"/>
        <v>-6.1550512850574966E-3</v>
      </c>
      <c r="AR18" s="3">
        <f t="shared" si="20"/>
        <v>0.54931640625</v>
      </c>
      <c r="AT18" s="61"/>
      <c r="AU18" s="4" t="s">
        <v>231</v>
      </c>
      <c r="AW18"/>
      <c r="AX18" s="3" t="s">
        <v>204</v>
      </c>
      <c r="AY18" s="3">
        <f>AY11/($AU$45*AY6^2*AU9^5)</f>
        <v>1.5245775798048667E-3</v>
      </c>
      <c r="AZ18" s="27"/>
      <c r="BA18"/>
      <c r="BB18" s="3" t="s">
        <v>186</v>
      </c>
      <c r="BC18" s="34">
        <f xml:space="preserve"> $BK$27 * PI() * $AU$45 * BC16^2 *$BK$33 * $AU$21 * BC13</f>
        <v>768.1578457576544</v>
      </c>
      <c r="BD18" s="27" t="s">
        <v>22</v>
      </c>
      <c r="BE18"/>
      <c r="BF18" s="3" t="s">
        <v>186</v>
      </c>
      <c r="BG18" s="34">
        <f xml:space="preserve"> $BO$27 * PI() * $AU$45 * BG16^2 * $BO$33 * $AU$22 * BG13</f>
        <v>1114.0469450913324</v>
      </c>
      <c r="BH18" s="27" t="s">
        <v>22</v>
      </c>
      <c r="BI18"/>
      <c r="BJ18" s="3" t="s">
        <v>45</v>
      </c>
      <c r="BK18" s="3">
        <f>1/(BK16-1)</f>
        <v>10.882865630455186</v>
      </c>
      <c r="BL18" s="3"/>
      <c r="BM18" s="3"/>
      <c r="BN18" s="3" t="s">
        <v>45</v>
      </c>
      <c r="BO18" s="3">
        <f>1/(BO16-1)</f>
        <v>14.587639324264675</v>
      </c>
      <c r="BP18" s="3"/>
      <c r="BQ18"/>
      <c r="BR18" s="3">
        <v>14</v>
      </c>
      <c r="BS18" s="3">
        <f t="shared" si="21"/>
        <v>0.15155730184310134</v>
      </c>
      <c r="BT18" s="3">
        <v>-1.1137568470735368E-4</v>
      </c>
      <c r="BU18" s="3">
        <f t="shared" si="22"/>
        <v>0.15189861256840589</v>
      </c>
      <c r="BV18" s="3">
        <v>1.2899340172759753E-3</v>
      </c>
      <c r="BW18" s="3">
        <f t="shared" si="7"/>
        <v>0.15172795720575361</v>
      </c>
      <c r="BX18" s="3">
        <v>5.8983920165648837E-4</v>
      </c>
      <c r="BY18" s="3">
        <f t="shared" si="8"/>
        <v>-6.569374495173026E-8</v>
      </c>
      <c r="BZ18" s="3">
        <f t="shared" si="9"/>
        <v>7.6085365093960814E-7</v>
      </c>
      <c r="CA18" s="3">
        <f t="shared" si="10"/>
        <v>3.4131072530454998E-4</v>
      </c>
      <c r="CB18"/>
      <c r="CC18" s="3">
        <v>14</v>
      </c>
      <c r="CD18" s="3">
        <f t="shared" si="23"/>
        <v>0.12083933656569137</v>
      </c>
      <c r="CE18" s="3">
        <v>-1.0168580761640402E-3</v>
      </c>
      <c r="CF18" s="3">
        <f t="shared" si="24"/>
        <v>0.12118064729099592</v>
      </c>
      <c r="CG18" s="3">
        <v>2.0675976966965087E-4</v>
      </c>
      <c r="CH18" s="3">
        <f t="shared" si="11"/>
        <v>0.12100999192834365</v>
      </c>
      <c r="CI18" s="3">
        <v>-4.0443439705389796E-4</v>
      </c>
      <c r="CJ18" s="3">
        <f t="shared" si="12"/>
        <v>4.1125238292279024E-7</v>
      </c>
      <c r="CK18" s="3">
        <f t="shared" si="13"/>
        <v>-8.3620762781348072E-8</v>
      </c>
      <c r="CL18" s="3">
        <f t="shared" si="14"/>
        <v>3.4131072530454998E-4</v>
      </c>
    </row>
    <row r="19" spans="2:90" x14ac:dyDescent="0.2">
      <c r="B19" s="7" t="s">
        <v>106</v>
      </c>
      <c r="C19" s="18">
        <v>4</v>
      </c>
      <c r="J19" s="15" t="s">
        <v>64</v>
      </c>
      <c r="K19" s="7">
        <f xml:space="preserve"> $C$61 * C31 * $C$5</f>
        <v>44.550229810193741</v>
      </c>
      <c r="L19" s="7" t="s">
        <v>7</v>
      </c>
      <c r="N19" s="7" t="s">
        <v>21</v>
      </c>
      <c r="O19" s="7">
        <f xml:space="preserve"> O14 / $C$19</f>
        <v>7830.1885751754417</v>
      </c>
      <c r="P19" s="7" t="s">
        <v>22</v>
      </c>
      <c r="R19" s="7" t="s">
        <v>21</v>
      </c>
      <c r="S19" s="7">
        <f xml:space="preserve"> S14 / $C$19</f>
        <v>7799.1689176856171</v>
      </c>
      <c r="T19" s="7" t="s">
        <v>22</v>
      </c>
      <c r="X19" s="3">
        <v>15</v>
      </c>
      <c r="Y19" s="3">
        <f t="shared" si="15"/>
        <v>1.6815185546875E-2</v>
      </c>
      <c r="Z19" s="3">
        <f t="shared" si="0"/>
        <v>1.9931440970073766E-5</v>
      </c>
      <c r="AA19" s="3">
        <f t="shared" si="16"/>
        <v>1.6845703125E-2</v>
      </c>
      <c r="AB19" s="3">
        <f t="shared" si="1"/>
        <v>-1.066265012276621E-5</v>
      </c>
      <c r="AC19" s="3">
        <f t="shared" si="3"/>
        <v>1.68304443359375E-2</v>
      </c>
      <c r="AD19" s="3">
        <f t="shared" si="2"/>
        <v>4.6344125024314065E-6</v>
      </c>
      <c r="AE19" s="3">
        <f t="shared" si="4"/>
        <v>9.2370519223183419E-11</v>
      </c>
      <c r="AF19" s="3">
        <f t="shared" si="5"/>
        <v>-4.941511903799949E-11</v>
      </c>
      <c r="AG19" s="3">
        <f t="shared" si="6"/>
        <v>3.0517578125E-5</v>
      </c>
      <c r="AI19" s="3">
        <v>15</v>
      </c>
      <c r="AJ19" s="3">
        <f t="shared" si="25"/>
        <v>3182.037353515625</v>
      </c>
      <c r="AK19" s="3">
        <v>-7.0099774869049725E-2</v>
      </c>
      <c r="AL19" s="3">
        <f t="shared" si="26"/>
        <v>3182.31201171875</v>
      </c>
      <c r="AM19" s="3">
        <v>8.7804151961336174E-2</v>
      </c>
      <c r="AN19" s="3">
        <f t="shared" si="17"/>
        <v>3182.1746826171875</v>
      </c>
      <c r="AO19" s="3">
        <v>8.8601296088199888E-3</v>
      </c>
      <c r="AP19" s="3">
        <f t="shared" si="18"/>
        <v>-6.2109309088888287E-4</v>
      </c>
      <c r="AQ19" s="3">
        <f t="shared" si="19"/>
        <v>7.7795616656996431E-4</v>
      </c>
      <c r="AR19" s="3">
        <f t="shared" si="20"/>
        <v>0.274658203125</v>
      </c>
      <c r="AT19" s="61" t="s">
        <v>207</v>
      </c>
      <c r="AU19" s="4">
        <f>0.175*($AU$9/2)</f>
        <v>0.73609199999999997</v>
      </c>
      <c r="AV19" s="27" t="s">
        <v>8</v>
      </c>
      <c r="AW19"/>
      <c r="AX19" s="3" t="s">
        <v>208</v>
      </c>
      <c r="AY19" s="3">
        <f>2*PI()*AY18</f>
        <v>9.5792034490853519E-3</v>
      </c>
      <c r="AZ19" s="27"/>
      <c r="BA19"/>
      <c r="BB19" s="3" t="s">
        <v>190</v>
      </c>
      <c r="BC19" s="34">
        <f xml:space="preserve"> $BK$27 * PI() * $AU$45 * BC16^2 * $BK$34 * $AU$21^2 * BC13</f>
        <v>209.20672136827454</v>
      </c>
      <c r="BD19" s="27" t="s">
        <v>191</v>
      </c>
      <c r="BE19"/>
      <c r="BF19" s="3" t="s">
        <v>190</v>
      </c>
      <c r="BG19" s="34">
        <f xml:space="preserve"> $BO$27 * PI() * $AU$45 * BG16^2 * $BO$34 * $AU$22^2 * BG13</f>
        <v>373.32490281905223</v>
      </c>
      <c r="BH19" s="27" t="s">
        <v>191</v>
      </c>
      <c r="BI19"/>
      <c r="BJ19" s="3" t="s">
        <v>209</v>
      </c>
      <c r="BK19" s="3">
        <f>1/(BK17+1)</f>
        <v>3.0971398196428093E-2</v>
      </c>
      <c r="BL19" s="3"/>
      <c r="BM19" s="3"/>
      <c r="BN19" s="3" t="s">
        <v>209</v>
      </c>
      <c r="BO19" s="3">
        <f>1/(BO17+1)</f>
        <v>2.0442169415718893E-2</v>
      </c>
      <c r="BP19" s="3"/>
      <c r="BQ19"/>
      <c r="BR19" s="3">
        <v>15</v>
      </c>
      <c r="BS19" s="3">
        <f t="shared" si="21"/>
        <v>0.15155730184310134</v>
      </c>
      <c r="BT19" s="3">
        <v>-1.1137568470735368E-4</v>
      </c>
      <c r="BU19" s="3">
        <f t="shared" si="22"/>
        <v>0.15172795720575361</v>
      </c>
      <c r="BV19" s="3">
        <v>5.8983920165648837E-4</v>
      </c>
      <c r="BW19" s="3">
        <f t="shared" si="7"/>
        <v>0.15164262952442747</v>
      </c>
      <c r="BX19" s="3">
        <v>2.393720040565761E-4</v>
      </c>
      <c r="BY19" s="3">
        <f t="shared" si="8"/>
        <v>-2.6660220851572606E-8</v>
      </c>
      <c r="BZ19" s="3">
        <f t="shared" si="9"/>
        <v>1.4119099177164456E-7</v>
      </c>
      <c r="CA19" s="3">
        <f t="shared" si="10"/>
        <v>1.7065536265226111E-4</v>
      </c>
      <c r="CB19"/>
      <c r="CC19" s="3">
        <v>15</v>
      </c>
      <c r="CD19" s="3">
        <f t="shared" si="23"/>
        <v>0.12100999192834365</v>
      </c>
      <c r="CE19" s="3">
        <v>-4.0443439705389796E-4</v>
      </c>
      <c r="CF19" s="3">
        <f t="shared" si="24"/>
        <v>0.12118064729099592</v>
      </c>
      <c r="CG19" s="3">
        <v>2.0675976966965087E-4</v>
      </c>
      <c r="CH19" s="3">
        <f t="shared" si="11"/>
        <v>0.12109531960966979</v>
      </c>
      <c r="CI19" s="3">
        <v>-9.8683939917384826E-5</v>
      </c>
      <c r="CJ19" s="3">
        <f t="shared" si="12"/>
        <v>3.9911179739390624E-8</v>
      </c>
      <c r="CK19" s="3">
        <f t="shared" si="13"/>
        <v>-2.0403868687412152E-8</v>
      </c>
      <c r="CL19" s="3">
        <f t="shared" si="14"/>
        <v>1.7065536265227499E-4</v>
      </c>
    </row>
    <row r="20" spans="2:90" x14ac:dyDescent="0.2">
      <c r="B20" t="s">
        <v>126</v>
      </c>
      <c r="C20" s="1">
        <v>3</v>
      </c>
      <c r="D20"/>
      <c r="F20" s="66" t="s">
        <v>282</v>
      </c>
      <c r="G20" s="67"/>
      <c r="H20" s="67"/>
      <c r="J20" s="15" t="s">
        <v>65</v>
      </c>
      <c r="K20" s="7">
        <f xml:space="preserve"> $C$61 * 0</f>
        <v>0</v>
      </c>
      <c r="L20" s="7" t="s">
        <v>7</v>
      </c>
      <c r="N20" s="7" t="s">
        <v>29</v>
      </c>
      <c r="O20" s="7">
        <f>$C$7*2*PI()/60</f>
        <v>31.415926535897931</v>
      </c>
      <c r="P20" s="7" t="s">
        <v>30</v>
      </c>
      <c r="R20" s="7" t="s">
        <v>29</v>
      </c>
      <c r="S20" s="7">
        <f>$C$8*2*PI()/60</f>
        <v>47.123889803846893</v>
      </c>
      <c r="T20" s="7" t="s">
        <v>30</v>
      </c>
      <c r="X20" s="3">
        <v>16</v>
      </c>
      <c r="Y20" s="3">
        <f t="shared" si="15"/>
        <v>1.68304443359375E-2</v>
      </c>
      <c r="Z20" s="3">
        <f t="shared" si="0"/>
        <v>4.6344125024314065E-6</v>
      </c>
      <c r="AA20" s="3">
        <f t="shared" si="16"/>
        <v>1.6845703125E-2</v>
      </c>
      <c r="AB20" s="3">
        <f t="shared" si="1"/>
        <v>-1.066265012276621E-5</v>
      </c>
      <c r="AC20" s="3">
        <f t="shared" si="3"/>
        <v>1.683807373046875E-2</v>
      </c>
      <c r="AD20" s="3">
        <f t="shared" si="2"/>
        <v>-3.0141145405636338E-6</v>
      </c>
      <c r="AE20" s="3">
        <f t="shared" si="4"/>
        <v>-1.3968650110548399E-11</v>
      </c>
      <c r="AF20" s="3">
        <f t="shared" si="5"/>
        <v>3.2138448775972246E-11</v>
      </c>
      <c r="AG20" s="3">
        <f t="shared" si="6"/>
        <v>1.52587890625E-5</v>
      </c>
      <c r="AI20" s="3">
        <v>16</v>
      </c>
      <c r="AJ20" s="3">
        <f t="shared" si="25"/>
        <v>3182.037353515625</v>
      </c>
      <c r="AK20" s="3">
        <v>-7.0099774869049725E-2</v>
      </c>
      <c r="AL20" s="3">
        <f t="shared" si="26"/>
        <v>3182.1746826171875</v>
      </c>
      <c r="AM20" s="3">
        <v>8.8601296088199888E-3</v>
      </c>
      <c r="AN20" s="3">
        <f t="shared" si="17"/>
        <v>3182.1060180664062</v>
      </c>
      <c r="AO20" s="3">
        <v>-3.0619832149568538E-2</v>
      </c>
      <c r="AP20" s="3">
        <f t="shared" si="18"/>
        <v>2.1464433402128454E-3</v>
      </c>
      <c r="AQ20" s="3">
        <f t="shared" si="19"/>
        <v>-2.7129568144549038E-4</v>
      </c>
      <c r="AR20" s="3">
        <f t="shared" si="20"/>
        <v>0.1373291015625</v>
      </c>
      <c r="AT20" s="61"/>
      <c r="AU20" s="4">
        <f>0.285*($AU$9/2)</f>
        <v>1.1987783999999999</v>
      </c>
      <c r="AV20" s="27" t="s">
        <v>8</v>
      </c>
      <c r="AW20"/>
      <c r="AX20" s="3" t="s">
        <v>210</v>
      </c>
      <c r="AY20" s="3">
        <f>AY17/AY19*AY7</f>
        <v>1.399068937674134E-2</v>
      </c>
      <c r="AZ20" s="40"/>
      <c r="BA20"/>
      <c r="BB20"/>
      <c r="BC20"/>
      <c r="BD20"/>
      <c r="BE20"/>
      <c r="BF20"/>
      <c r="BG20"/>
      <c r="BH20"/>
      <c r="BI20"/>
      <c r="BJ20" s="8" t="s">
        <v>211</v>
      </c>
      <c r="BK20" s="41">
        <f>SIN(BK4)/(1+BK18) - $AU$3*COS(BK4)/($AY$5*$AU$19*(1-BK19))</f>
        <v>8.1329997615037231E-9</v>
      </c>
      <c r="BL20" s="41"/>
      <c r="BM20" s="3"/>
      <c r="BN20" s="8" t="s">
        <v>211</v>
      </c>
      <c r="BO20" s="41">
        <f>SIN(BO4)/(1+BO18) - $AU$3*COS(BO4)/($AY$5*$AU$20*(1-BO19))</f>
        <v>-2.0333896597751755E-9</v>
      </c>
      <c r="BP20" s="41"/>
      <c r="BQ20"/>
      <c r="BR20" s="3">
        <v>16</v>
      </c>
      <c r="BS20" s="3">
        <f t="shared" si="21"/>
        <v>0.15155730184310134</v>
      </c>
      <c r="BT20" s="3">
        <v>-1.1137568470735368E-4</v>
      </c>
      <c r="BU20" s="3">
        <f t="shared" si="22"/>
        <v>0.15164262952442747</v>
      </c>
      <c r="BV20" s="3">
        <v>2.393720040565761E-4</v>
      </c>
      <c r="BW20" s="3">
        <f t="shared" si="7"/>
        <v>0.15159996568376441</v>
      </c>
      <c r="BX20" s="3">
        <v>6.4033250721755655E-5</v>
      </c>
      <c r="BY20" s="3">
        <f t="shared" si="8"/>
        <v>-7.1317471431731852E-9</v>
      </c>
      <c r="BZ20" s="3">
        <f t="shared" si="9"/>
        <v>1.532776755152385E-8</v>
      </c>
      <c r="CA20" s="3">
        <f t="shared" si="10"/>
        <v>8.5327681326130556E-5</v>
      </c>
      <c r="CB20"/>
      <c r="CC20" s="3">
        <v>16</v>
      </c>
      <c r="CD20" s="3">
        <f t="shared" si="23"/>
        <v>0.12109531960966979</v>
      </c>
      <c r="CE20" s="3">
        <v>-9.8683939917384826E-5</v>
      </c>
      <c r="CF20" s="3">
        <f t="shared" si="24"/>
        <v>0.12118064729099592</v>
      </c>
      <c r="CG20" s="3">
        <v>2.0675976966965087E-4</v>
      </c>
      <c r="CH20" s="3">
        <f t="shared" si="11"/>
        <v>0.12113798345033286</v>
      </c>
      <c r="CI20" s="3">
        <v>5.4076219006532651E-5</v>
      </c>
      <c r="CJ20" s="3">
        <f t="shared" si="12"/>
        <v>-5.3364543474000115E-9</v>
      </c>
      <c r="CK20" s="3">
        <f t="shared" si="13"/>
        <v>1.1180786586396288E-8</v>
      </c>
      <c r="CL20" s="3">
        <f t="shared" si="14"/>
        <v>8.5327681326130556E-5</v>
      </c>
    </row>
    <row r="21" spans="2:90" x14ac:dyDescent="0.2">
      <c r="B21" s="7" t="s">
        <v>140</v>
      </c>
      <c r="C21" s="7">
        <f>$C$20*$C$11/PI()</f>
        <v>6.1401977044853208E-2</v>
      </c>
      <c r="F21" s="7" t="s">
        <v>283</v>
      </c>
      <c r="G21" s="18">
        <f>10+10</f>
        <v>20</v>
      </c>
      <c r="H21" s="7" t="s">
        <v>14</v>
      </c>
      <c r="J21" s="15" t="s">
        <v>66</v>
      </c>
      <c r="K21" s="7">
        <f xml:space="preserve"> $C$61 * 0</f>
        <v>0</v>
      </c>
      <c r="L21" s="7" t="s">
        <v>7</v>
      </c>
      <c r="N21" s="7" t="s">
        <v>31</v>
      </c>
      <c r="O21" s="7">
        <f xml:space="preserve"> $G$26 * COS(O18/180*PI()) / (O20 * $C$10)</f>
        <v>0.35099163715896858</v>
      </c>
      <c r="R21" s="7" t="s">
        <v>31</v>
      </c>
      <c r="S21" s="7">
        <f xml:space="preserve"> $C$9 * COS(S18/180*PI()) / (S20 * $C$10)</f>
        <v>0.23600911290550367</v>
      </c>
      <c r="X21" s="3">
        <v>17</v>
      </c>
      <c r="Y21" s="3">
        <f t="shared" si="15"/>
        <v>1.68304443359375E-2</v>
      </c>
      <c r="Z21" s="3">
        <f t="shared" si="0"/>
        <v>4.6344125024314065E-6</v>
      </c>
      <c r="AA21" s="3">
        <f t="shared" si="16"/>
        <v>1.683807373046875E-2</v>
      </c>
      <c r="AB21" s="3">
        <f t="shared" si="1"/>
        <v>-3.0141145405636338E-6</v>
      </c>
      <c r="AC21" s="3">
        <f t="shared" si="3"/>
        <v>1.6834259033203125E-2</v>
      </c>
      <c r="AD21" s="3">
        <f t="shared" si="2"/>
        <v>8.1015004834567028E-7</v>
      </c>
      <c r="AE21" s="3">
        <f t="shared" si="4"/>
        <v>3.7545695128985831E-12</v>
      </c>
      <c r="AF21" s="3">
        <f t="shared" si="5"/>
        <v>-2.4418850407570158E-12</v>
      </c>
      <c r="AG21" s="3">
        <f t="shared" si="6"/>
        <v>7.62939453125E-6</v>
      </c>
      <c r="AI21" s="3">
        <v>17</v>
      </c>
      <c r="AJ21" s="3">
        <f t="shared" si="25"/>
        <v>3182.1060180664062</v>
      </c>
      <c r="AK21" s="3">
        <v>-3.0619832149568538E-2</v>
      </c>
      <c r="AL21" s="3">
        <f t="shared" si="26"/>
        <v>3182.1746826171875</v>
      </c>
      <c r="AM21" s="3">
        <v>8.8601296088199888E-3</v>
      </c>
      <c r="AN21" s="3">
        <f t="shared" si="17"/>
        <v>3182.1403503417969</v>
      </c>
      <c r="AO21" s="3">
        <v>-1.0887832350817916E-2</v>
      </c>
      <c r="AP21" s="3">
        <f t="shared" si="18"/>
        <v>3.3338359905468685E-4</v>
      </c>
      <c r="AQ21" s="3">
        <f t="shared" si="19"/>
        <v>-9.6467605787349967E-5</v>
      </c>
      <c r="AR21" s="3">
        <f t="shared" si="20"/>
        <v>6.866455078125E-2</v>
      </c>
      <c r="AT21" s="61"/>
      <c r="AU21" s="4">
        <f>0.395*($AU$9/2)</f>
        <v>1.6614648000000001</v>
      </c>
      <c r="AV21" s="27" t="s">
        <v>8</v>
      </c>
      <c r="AW21"/>
      <c r="AX21"/>
      <c r="AY21"/>
      <c r="AZ21" s="40"/>
      <c r="BA21"/>
      <c r="BB21" s="75" t="s">
        <v>212</v>
      </c>
      <c r="BC21" s="75"/>
      <c r="BD21" s="75"/>
      <c r="BE21"/>
      <c r="BF21" s="75" t="s">
        <v>213</v>
      </c>
      <c r="BG21" s="75"/>
      <c r="BH21" s="75"/>
      <c r="BI21"/>
      <c r="BJ21" s="3"/>
      <c r="BK21" s="3"/>
      <c r="BL21" s="3"/>
      <c r="BM21" s="3"/>
      <c r="BN21" s="3"/>
      <c r="BO21" s="3"/>
      <c r="BP21" s="3"/>
      <c r="BQ21"/>
      <c r="BR21" s="3">
        <v>17</v>
      </c>
      <c r="BS21" s="3">
        <f t="shared" si="21"/>
        <v>0.15155730184310134</v>
      </c>
      <c r="BT21" s="3">
        <v>-1.1137568470735368E-4</v>
      </c>
      <c r="BU21" s="3">
        <f t="shared" si="22"/>
        <v>0.15159996568376441</v>
      </c>
      <c r="BV21" s="3">
        <v>6.4033250721755655E-5</v>
      </c>
      <c r="BW21" s="3">
        <f t="shared" si="7"/>
        <v>0.15157863376343289</v>
      </c>
      <c r="BX21" s="3">
        <v>-2.3662440520769851E-5</v>
      </c>
      <c r="BY21" s="3">
        <f t="shared" si="8"/>
        <v>2.6354205148477726E-9</v>
      </c>
      <c r="BZ21" s="3">
        <f t="shared" si="9"/>
        <v>-1.5151829865550862E-9</v>
      </c>
      <c r="CA21" s="3">
        <f t="shared" si="10"/>
        <v>4.2663840663065278E-5</v>
      </c>
      <c r="CB21"/>
      <c r="CC21" s="3">
        <v>17</v>
      </c>
      <c r="CD21" s="3">
        <f t="shared" si="23"/>
        <v>0.12109531960966979</v>
      </c>
      <c r="CE21" s="3">
        <v>-9.8683939917384826E-5</v>
      </c>
      <c r="CF21" s="3">
        <f t="shared" si="24"/>
        <v>0.12113798345033286</v>
      </c>
      <c r="CG21" s="3">
        <v>5.4076219006532651E-5</v>
      </c>
      <c r="CH21" s="3">
        <f t="shared" si="11"/>
        <v>0.12111665153000133</v>
      </c>
      <c r="CI21" s="3">
        <v>-2.2294279512934459E-5</v>
      </c>
      <c r="CJ21" s="3">
        <f t="shared" si="12"/>
        <v>2.2000873399558076E-9</v>
      </c>
      <c r="CK21" s="3">
        <f t="shared" si="13"/>
        <v>-1.2055903415342979E-9</v>
      </c>
      <c r="CL21" s="3">
        <f t="shared" si="14"/>
        <v>4.2663840663065278E-5</v>
      </c>
    </row>
    <row r="22" spans="2:90" x14ac:dyDescent="0.2">
      <c r="B22" s="7" t="s">
        <v>141</v>
      </c>
      <c r="C22" s="18">
        <v>0.75</v>
      </c>
      <c r="F22" s="7" t="s">
        <v>280</v>
      </c>
      <c r="G22" s="18">
        <v>100</v>
      </c>
      <c r="H22" s="7" t="s">
        <v>61</v>
      </c>
      <c r="J22" s="15" t="s">
        <v>129</v>
      </c>
      <c r="K22" s="7">
        <f>$C$61*(0.14*$G$18*1000/745.7)*0.453592</f>
        <v>96.437541823239528</v>
      </c>
      <c r="L22" s="7" t="s">
        <v>7</v>
      </c>
      <c r="N22" s="7" t="s">
        <v>32</v>
      </c>
      <c r="O22" s="7">
        <f xml:space="preserve"> O19 / ($C$47 * PI() * $C$10^2 * O20^2 * $C$10^2)</f>
        <v>8.3833105670278445E-3</v>
      </c>
      <c r="R22" s="7" t="s">
        <v>32</v>
      </c>
      <c r="S22" s="7">
        <f xml:space="preserve"> S19 / ($C$53 * PI() * $C$10^2 * S20^2 * $C$10^2)</f>
        <v>3.9464829252960215E-3</v>
      </c>
      <c r="X22" s="3">
        <v>18</v>
      </c>
      <c r="Y22" s="3">
        <f t="shared" si="15"/>
        <v>1.6834259033203125E-2</v>
      </c>
      <c r="Z22" s="3">
        <f t="shared" si="0"/>
        <v>8.1015004834567028E-7</v>
      </c>
      <c r="AA22" s="3">
        <f t="shared" si="16"/>
        <v>1.683807373046875E-2</v>
      </c>
      <c r="AB22" s="3">
        <f t="shared" si="1"/>
        <v>-3.0141145405636338E-6</v>
      </c>
      <c r="AC22" s="3">
        <f t="shared" si="3"/>
        <v>1.6836166381835938E-2</v>
      </c>
      <c r="AD22" s="3">
        <f t="shared" si="2"/>
        <v>-1.1019819792582042E-6</v>
      </c>
      <c r="AE22" s="3">
        <f t="shared" si="4"/>
        <v>-8.9277075377209159E-13</v>
      </c>
      <c r="AF22" s="3">
        <f t="shared" si="5"/>
        <v>3.3214999071212458E-12</v>
      </c>
      <c r="AG22" s="3">
        <f t="shared" si="6"/>
        <v>3.814697265625E-6</v>
      </c>
      <c r="AI22" s="3">
        <v>18</v>
      </c>
      <c r="AJ22" s="3">
        <f t="shared" si="25"/>
        <v>3182.1403503417969</v>
      </c>
      <c r="AK22" s="3">
        <v>-1.0887832350817916E-2</v>
      </c>
      <c r="AL22" s="3">
        <f t="shared" si="26"/>
        <v>3182.1746826171875</v>
      </c>
      <c r="AM22" s="3">
        <v>8.8601296088199888E-3</v>
      </c>
      <c r="AN22" s="3">
        <f t="shared" si="17"/>
        <v>3182.1575164794922</v>
      </c>
      <c r="AO22" s="3">
        <v>-1.0138519851352612E-3</v>
      </c>
      <c r="AP22" s="3">
        <f t="shared" si="18"/>
        <v>1.1038650442696662E-5</v>
      </c>
      <c r="AQ22" s="3">
        <f t="shared" si="19"/>
        <v>-8.9828599924578515E-6</v>
      </c>
      <c r="AR22" s="3">
        <f t="shared" si="20"/>
        <v>3.4332275390625E-2</v>
      </c>
      <c r="AT22" s="61"/>
      <c r="AU22" s="4">
        <f>0.505*($AU$9/2)</f>
        <v>2.1241512</v>
      </c>
      <c r="AV22" s="27" t="s">
        <v>8</v>
      </c>
      <c r="AW22"/>
      <c r="AX22" s="74" t="s">
        <v>214</v>
      </c>
      <c r="AY22" s="74"/>
      <c r="AZ22" s="74"/>
      <c r="BA22"/>
      <c r="BB22" s="3" t="s">
        <v>165</v>
      </c>
      <c r="BC22" s="3">
        <f>$AU$23-$AU$22</f>
        <v>0.46268639999999994</v>
      </c>
      <c r="BD22" s="27" t="s">
        <v>8</v>
      </c>
      <c r="BE22"/>
      <c r="BF22" s="3" t="s">
        <v>165</v>
      </c>
      <c r="BG22" s="3">
        <f>$AU$24-$AU$23</f>
        <v>0.46268639999999994</v>
      </c>
      <c r="BH22" s="27" t="s">
        <v>8</v>
      </c>
      <c r="BI22"/>
      <c r="BJ22" s="75" t="s">
        <v>197</v>
      </c>
      <c r="BK22" s="75"/>
      <c r="BL22" s="75"/>
      <c r="BM22" s="3"/>
      <c r="BN22" s="75" t="s">
        <v>198</v>
      </c>
      <c r="BO22" s="75"/>
      <c r="BP22" s="75"/>
      <c r="BQ22"/>
      <c r="BR22" s="3">
        <v>18</v>
      </c>
      <c r="BS22" s="3">
        <f t="shared" si="21"/>
        <v>0.15157863376343289</v>
      </c>
      <c r="BT22" s="3">
        <v>-2.3662440520769851E-5</v>
      </c>
      <c r="BU22" s="3">
        <f t="shared" si="22"/>
        <v>0.15159996568376441</v>
      </c>
      <c r="BV22" s="3">
        <v>6.4033250721755655E-5</v>
      </c>
      <c r="BW22" s="3">
        <f t="shared" si="7"/>
        <v>0.15158929972359864</v>
      </c>
      <c r="BX22" s="3">
        <v>2.0187598754458844E-5</v>
      </c>
      <c r="BY22" s="3">
        <f t="shared" si="8"/>
        <v>-4.7768785478454994E-10</v>
      </c>
      <c r="BZ22" s="3">
        <f t="shared" si="9"/>
        <v>1.2926775725144653E-9</v>
      </c>
      <c r="CA22" s="3">
        <f t="shared" si="10"/>
        <v>2.1331920331518761E-5</v>
      </c>
      <c r="CB22"/>
      <c r="CC22" s="3">
        <v>18</v>
      </c>
      <c r="CD22" s="3">
        <f t="shared" si="23"/>
        <v>0.12111665153000133</v>
      </c>
      <c r="CE22" s="3">
        <v>-2.2294279512934459E-5</v>
      </c>
      <c r="CF22" s="3">
        <f t="shared" si="24"/>
        <v>0.12113798345033286</v>
      </c>
      <c r="CG22" s="3">
        <v>5.4076219006532651E-5</v>
      </c>
      <c r="CH22" s="3">
        <f t="shared" si="11"/>
        <v>0.12112731749016709</v>
      </c>
      <c r="CI22" s="3">
        <v>1.5893364368375212E-5</v>
      </c>
      <c r="CJ22" s="3">
        <f t="shared" si="12"/>
        <v>-3.5433110762947003E-10</v>
      </c>
      <c r="CK22" s="3">
        <f t="shared" si="13"/>
        <v>8.5945305233488045E-10</v>
      </c>
      <c r="CL22" s="3">
        <f t="shared" si="14"/>
        <v>2.1331920331532639E-5</v>
      </c>
    </row>
    <row r="23" spans="2:90" x14ac:dyDescent="0.2">
      <c r="F23" s="44" t="s">
        <v>293</v>
      </c>
      <c r="G23" s="44">
        <f>$G$22/100*K4</f>
        <v>1132.4443070548882</v>
      </c>
      <c r="H23" s="44" t="s">
        <v>116</v>
      </c>
      <c r="J23" s="16" t="s">
        <v>67</v>
      </c>
      <c r="K23" s="7">
        <f xml:space="preserve"> $C$62 * (0.0268 * $C$5)</f>
        <v>85.28186849379945</v>
      </c>
      <c r="L23" s="7" t="s">
        <v>7</v>
      </c>
      <c r="N23" s="7" t="s">
        <v>1</v>
      </c>
      <c r="O23" s="18">
        <v>8.8999999999999999E-3</v>
      </c>
      <c r="R23" s="7" t="s">
        <v>1</v>
      </c>
      <c r="S23" s="18">
        <v>8.8999999999999999E-3</v>
      </c>
      <c r="X23" s="3">
        <v>19</v>
      </c>
      <c r="Y23" s="3">
        <f t="shared" si="15"/>
        <v>1.6834259033203125E-2</v>
      </c>
      <c r="Z23" s="3">
        <f t="shared" si="0"/>
        <v>8.1015004834567028E-7</v>
      </c>
      <c r="AA23" s="3">
        <f t="shared" si="16"/>
        <v>1.6836166381835938E-2</v>
      </c>
      <c r="AB23" s="3">
        <f t="shared" si="1"/>
        <v>-1.1019819792582042E-6</v>
      </c>
      <c r="AC23" s="3">
        <f t="shared" si="3"/>
        <v>1.6835212707519531E-2</v>
      </c>
      <c r="AD23" s="3">
        <f t="shared" si="2"/>
        <v>-1.4591589874227151E-7</v>
      </c>
      <c r="AE23" s="3">
        <f t="shared" si="4"/>
        <v>-1.182137724204532E-13</v>
      </c>
      <c r="AF23" s="3">
        <f t="shared" si="5"/>
        <v>1.6079669090124807E-13</v>
      </c>
      <c r="AG23" s="3">
        <f t="shared" si="6"/>
        <v>1.9073486328125E-6</v>
      </c>
      <c r="AI23" s="3">
        <v>19</v>
      </c>
      <c r="AJ23" s="3">
        <f t="shared" si="25"/>
        <v>3182.1575164794922</v>
      </c>
      <c r="AK23" s="3">
        <v>-1.0138519851352612E-3</v>
      </c>
      <c r="AL23" s="3">
        <f t="shared" si="26"/>
        <v>3182.1746826171875</v>
      </c>
      <c r="AM23" s="3">
        <v>8.8601296088199888E-3</v>
      </c>
      <c r="AN23" s="3">
        <f t="shared" si="17"/>
        <v>3182.1660995483398</v>
      </c>
      <c r="AO23" s="3">
        <v>3.9231386558640224E-3</v>
      </c>
      <c r="AP23" s="3">
        <f t="shared" si="18"/>
        <v>-3.9774819142086198E-6</v>
      </c>
      <c r="AQ23" s="3">
        <f t="shared" si="19"/>
        <v>3.4759516964327077E-5</v>
      </c>
      <c r="AR23" s="3">
        <f t="shared" si="20"/>
        <v>1.71661376953125E-2</v>
      </c>
      <c r="AT23" s="61"/>
      <c r="AU23" s="4">
        <f>0.615*($AU$9/2)</f>
        <v>2.5868376</v>
      </c>
      <c r="AV23" s="27" t="s">
        <v>8</v>
      </c>
      <c r="AW23"/>
      <c r="AX23" s="64" t="s">
        <v>215</v>
      </c>
      <c r="AY23" s="61">
        <f>BK20</f>
        <v>8.1329997615037231E-9</v>
      </c>
      <c r="AZ23" s="61"/>
      <c r="BA23"/>
      <c r="BB23" s="3" t="s">
        <v>170</v>
      </c>
      <c r="BC23" s="3">
        <f>(1+$BK$56)*$AU$3</f>
        <v>9.7212859428018312</v>
      </c>
      <c r="BD23" s="27" t="s">
        <v>10</v>
      </c>
      <c r="BE23"/>
      <c r="BF23" s="3" t="s">
        <v>170</v>
      </c>
      <c r="BG23" s="3">
        <f>(1+$BO$56)*$AU$3</f>
        <v>9.3310899480534317</v>
      </c>
      <c r="BH23" s="27" t="s">
        <v>10</v>
      </c>
      <c r="BI23"/>
      <c r="BJ23" s="29" t="s">
        <v>166</v>
      </c>
      <c r="BK23" s="30">
        <f>BW68</f>
        <v>9.9763667489535746E-2</v>
      </c>
      <c r="BL23" s="6" t="s">
        <v>167</v>
      </c>
      <c r="BM23" s="3"/>
      <c r="BN23" s="29" t="s">
        <v>166</v>
      </c>
      <c r="BO23" s="30">
        <f>CH68</f>
        <v>8.2797598594037458E-2</v>
      </c>
      <c r="BP23" s="6" t="s">
        <v>167</v>
      </c>
      <c r="BQ23"/>
      <c r="BR23" s="3">
        <v>19</v>
      </c>
      <c r="BS23" s="3">
        <f t="shared" si="21"/>
        <v>0.15157863376343289</v>
      </c>
      <c r="BT23" s="3">
        <v>-2.3662440520769851E-5</v>
      </c>
      <c r="BU23" s="3">
        <f t="shared" si="22"/>
        <v>0.15158929972359864</v>
      </c>
      <c r="BV23" s="3">
        <v>2.0187598754458844E-5</v>
      </c>
      <c r="BW23" s="3">
        <f t="shared" si="7"/>
        <v>0.15158396674351576</v>
      </c>
      <c r="BX23" s="3">
        <v>-1.7368724116312295E-6</v>
      </c>
      <c r="BY23" s="3">
        <f t="shared" si="8"/>
        <v>4.1098640132390059E-11</v>
      </c>
      <c r="BZ23" s="3">
        <f t="shared" si="9"/>
        <v>-3.5063283333700538E-11</v>
      </c>
      <c r="CA23" s="3">
        <f t="shared" si="10"/>
        <v>1.0665960165745503E-5</v>
      </c>
      <c r="CB23"/>
      <c r="CC23" s="3">
        <v>19</v>
      </c>
      <c r="CD23" s="3">
        <f t="shared" si="23"/>
        <v>0.12111665153000133</v>
      </c>
      <c r="CE23" s="3">
        <v>-2.2294279512934459E-5</v>
      </c>
      <c r="CF23" s="3">
        <f t="shared" si="24"/>
        <v>0.12112731749016709</v>
      </c>
      <c r="CG23" s="3">
        <v>1.5893364368375212E-5</v>
      </c>
      <c r="CH23" s="3">
        <f t="shared" si="11"/>
        <v>0.12112198451008421</v>
      </c>
      <c r="CI23" s="3">
        <v>-3.1998588401064079E-6</v>
      </c>
      <c r="CJ23" s="3">
        <f t="shared" si="12"/>
        <v>7.1338547383266515E-11</v>
      </c>
      <c r="CK23" s="3">
        <f t="shared" si="13"/>
        <v>-5.085652247317762E-11</v>
      </c>
      <c r="CL23" s="3">
        <f t="shared" si="14"/>
        <v>1.0665960165759381E-5</v>
      </c>
    </row>
    <row r="24" spans="2:90" x14ac:dyDescent="0.2">
      <c r="B24" s="71" t="s">
        <v>119</v>
      </c>
      <c r="C24" s="71"/>
      <c r="D24" s="71"/>
      <c r="J24" s="16" t="s">
        <v>68</v>
      </c>
      <c r="K24" s="7">
        <f xml:space="preserve"> $C$62 * (11.5 * ($C$5*2.20462/1000)^0.4 * 0.453592)</f>
        <v>11.370655166045539</v>
      </c>
      <c r="L24" s="7" t="s">
        <v>7</v>
      </c>
      <c r="N24" s="7" t="s">
        <v>33</v>
      </c>
      <c r="O24" s="7">
        <f xml:space="preserve"> ($C$21 * O23 / 8) * (1 + 4.65 *$O$21^ 2) * ( PI() * $C$47 * O20^3 *$C$10^ 5)</f>
        <v>13260.878593313493</v>
      </c>
      <c r="P24" s="7" t="s">
        <v>20</v>
      </c>
      <c r="R24" s="7" t="s">
        <v>33</v>
      </c>
      <c r="S24" s="7">
        <f xml:space="preserve"> ($C$21 * S23 / 8) * (1 + 4.65 *S21^ 2) * ( PI() * $C$53 * S20^3 *$C$10^ 5)</f>
        <v>33688.648775422982</v>
      </c>
      <c r="T24" s="7" t="s">
        <v>20</v>
      </c>
      <c r="X24" s="3">
        <v>20</v>
      </c>
      <c r="Y24" s="3">
        <f t="shared" si="15"/>
        <v>1.6834259033203125E-2</v>
      </c>
      <c r="Z24" s="3">
        <f t="shared" si="0"/>
        <v>8.1015004834567028E-7</v>
      </c>
      <c r="AA24" s="3">
        <f t="shared" si="16"/>
        <v>1.6835212707519531E-2</v>
      </c>
      <c r="AB24" s="3">
        <f t="shared" si="1"/>
        <v>-1.4591589874227151E-7</v>
      </c>
      <c r="AC24" s="3">
        <f t="shared" si="3"/>
        <v>1.6834735870361328E-2</v>
      </c>
      <c r="AD24" s="3">
        <f t="shared" si="2"/>
        <v>3.3211709148106561E-7</v>
      </c>
      <c r="AE24" s="3">
        <f t="shared" si="4"/>
        <v>2.6906467771980872E-13</v>
      </c>
      <c r="AF24" s="3">
        <f t="shared" si="5"/>
        <v>-4.8461163891128891E-14</v>
      </c>
      <c r="AG24" s="3">
        <f t="shared" si="6"/>
        <v>9.5367431640625E-7</v>
      </c>
      <c r="AI24" s="3">
        <v>20</v>
      </c>
      <c r="AJ24" s="3">
        <f t="shared" si="25"/>
        <v>3182.1575164794922</v>
      </c>
      <c r="AK24" s="3">
        <v>-1.0138519851352612E-3</v>
      </c>
      <c r="AL24" s="3">
        <f t="shared" si="26"/>
        <v>3182.1660995483398</v>
      </c>
      <c r="AM24" s="3">
        <v>3.9231386558640224E-3</v>
      </c>
      <c r="AN24" s="3">
        <f t="shared" si="17"/>
        <v>3182.161808013916</v>
      </c>
      <c r="AO24" s="3">
        <v>1.4546432962561084E-3</v>
      </c>
      <c r="AP24" s="3">
        <f t="shared" si="18"/>
        <v>-1.4747929935729555E-6</v>
      </c>
      <c r="AQ24" s="3">
        <f t="shared" si="19"/>
        <v>5.7067673460357999E-6</v>
      </c>
      <c r="AR24" s="3">
        <f t="shared" si="20"/>
        <v>8.58306884765625E-3</v>
      </c>
      <c r="AT24" s="61"/>
      <c r="AU24" s="4">
        <f>0.725*($AU$9/2)</f>
        <v>3.0495239999999999</v>
      </c>
      <c r="AV24" s="27" t="s">
        <v>8</v>
      </c>
      <c r="AW24"/>
      <c r="AX24" s="64"/>
      <c r="AY24" s="61">
        <f>BO20</f>
        <v>-2.0333896597751755E-9</v>
      </c>
      <c r="AZ24" s="61"/>
      <c r="BA24"/>
      <c r="BB24" s="3" t="s">
        <v>175</v>
      </c>
      <c r="BC24" s="3">
        <f>(1-$BK$57)*$AY$5*$AU$23</f>
        <v>141.79980875353081</v>
      </c>
      <c r="BD24" s="27" t="s">
        <v>10</v>
      </c>
      <c r="BE24"/>
      <c r="BF24" s="3" t="s">
        <v>175</v>
      </c>
      <c r="BG24" s="3">
        <f>(1-$BO$57)*$AY$5*$AU$24</f>
        <v>167.2799286180811</v>
      </c>
      <c r="BH24" s="27" t="s">
        <v>10</v>
      </c>
      <c r="BI24"/>
      <c r="BJ24" s="3" t="s">
        <v>171</v>
      </c>
      <c r="BK24" s="3">
        <f>($AU$37+$AU$5)/180*PI()</f>
        <v>0.14590952546672595</v>
      </c>
      <c r="BL24" s="3" t="s">
        <v>167</v>
      </c>
      <c r="BM24" s="3"/>
      <c r="BN24" s="3" t="s">
        <v>171</v>
      </c>
      <c r="BO24" s="3">
        <f>($AU$38+$AU$5)/180*PI()</f>
        <v>0.12287117934040077</v>
      </c>
      <c r="BP24" s="3" t="s">
        <v>167</v>
      </c>
      <c r="BQ24"/>
      <c r="BR24" s="3">
        <v>20</v>
      </c>
      <c r="BS24" s="3">
        <f t="shared" si="21"/>
        <v>0.15158396674351576</v>
      </c>
      <c r="BT24" s="3">
        <v>-1.7368724116312295E-6</v>
      </c>
      <c r="BU24" s="3">
        <f t="shared" si="22"/>
        <v>0.15158929972359864</v>
      </c>
      <c r="BV24" s="3">
        <v>2.0187598754458844E-5</v>
      </c>
      <c r="BW24" s="3">
        <f t="shared" si="7"/>
        <v>0.1515866332335572</v>
      </c>
      <c r="BX24" s="3">
        <v>9.2255002820170601E-6</v>
      </c>
      <c r="BY24" s="3">
        <f t="shared" si="8"/>
        <v>-1.6023516923331561E-11</v>
      </c>
      <c r="BZ24" s="3">
        <f t="shared" si="9"/>
        <v>1.8624069800250731E-10</v>
      </c>
      <c r="CA24" s="3">
        <f t="shared" si="10"/>
        <v>5.3329800828727514E-6</v>
      </c>
      <c r="CB24"/>
      <c r="CC24" s="3">
        <v>20</v>
      </c>
      <c r="CD24" s="3">
        <f t="shared" si="23"/>
        <v>0.12112198451008421</v>
      </c>
      <c r="CE24" s="3">
        <v>-3.1998588401064079E-6</v>
      </c>
      <c r="CF24" s="3">
        <f t="shared" si="24"/>
        <v>0.12112731749016709</v>
      </c>
      <c r="CG24" s="3">
        <v>1.5893364368375212E-5</v>
      </c>
      <c r="CH24" s="3">
        <f t="shared" si="11"/>
        <v>0.12112465100012565</v>
      </c>
      <c r="CI24" s="3">
        <v>6.3469024375812158E-6</v>
      </c>
      <c r="CJ24" s="3">
        <f t="shared" si="12"/>
        <v>-2.0309191872187161E-11</v>
      </c>
      <c r="CK24" s="3">
        <f t="shared" si="13"/>
        <v>1.0087363305100708E-10</v>
      </c>
      <c r="CL24" s="3">
        <f t="shared" si="14"/>
        <v>5.3329800828727514E-6</v>
      </c>
    </row>
    <row r="25" spans="2:90" x14ac:dyDescent="0.2">
      <c r="B25" t="s">
        <v>120</v>
      </c>
      <c r="C25" s="1">
        <v>6</v>
      </c>
      <c r="D25"/>
      <c r="F25" s="69" t="s">
        <v>95</v>
      </c>
      <c r="G25" s="70"/>
      <c r="H25" s="70"/>
      <c r="J25" s="16" t="s">
        <v>69</v>
      </c>
      <c r="K25" s="7">
        <f xml:space="preserve"> $C$62 * (8 * ($C$5/1000))</f>
        <v>25.457274177253566</v>
      </c>
      <c r="L25" s="7" t="s">
        <v>7</v>
      </c>
      <c r="N25" s="7" t="s">
        <v>34</v>
      </c>
      <c r="O25" s="19">
        <f>AC69</f>
        <v>5.9658065903931856E-2</v>
      </c>
      <c r="R25" s="7" t="s">
        <v>34</v>
      </c>
      <c r="S25" s="19">
        <f>AC34</f>
        <v>1.6835066955536604E-2</v>
      </c>
      <c r="X25" s="3">
        <v>21</v>
      </c>
      <c r="Y25" s="3">
        <f t="shared" si="15"/>
        <v>1.6834735870361328E-2</v>
      </c>
      <c r="Z25" s="3">
        <f t="shared" si="0"/>
        <v>3.3211709148106561E-7</v>
      </c>
      <c r="AA25" s="3">
        <f t="shared" si="16"/>
        <v>1.6835212707519531E-2</v>
      </c>
      <c r="AB25" s="3">
        <f t="shared" si="1"/>
        <v>-1.4591589874227151E-7</v>
      </c>
      <c r="AC25" s="3">
        <f t="shared" si="3"/>
        <v>1.683497428894043E-2</v>
      </c>
      <c r="AD25" s="3">
        <f t="shared" si="2"/>
        <v>9.3100600537937561E-8</v>
      </c>
      <c r="AE25" s="3">
        <f t="shared" si="4"/>
        <v>3.0920300665800357E-14</v>
      </c>
      <c r="AF25" s="3">
        <f t="shared" si="5"/>
        <v>-1.3584857800938366E-14</v>
      </c>
      <c r="AG25" s="3">
        <f t="shared" si="6"/>
        <v>4.76837158203125E-7</v>
      </c>
      <c r="AI25" s="3">
        <v>21</v>
      </c>
      <c r="AJ25" s="3">
        <f t="shared" si="25"/>
        <v>3182.1575164794922</v>
      </c>
      <c r="AK25" s="3">
        <v>-1.0138519851352612E-3</v>
      </c>
      <c r="AL25" s="3">
        <f t="shared" si="26"/>
        <v>3182.161808013916</v>
      </c>
      <c r="AM25" s="3">
        <v>1.4546432962561084E-3</v>
      </c>
      <c r="AN25" s="3">
        <f t="shared" si="17"/>
        <v>3182.1596622467041</v>
      </c>
      <c r="AO25" s="3">
        <v>2.2915754925634246E-4</v>
      </c>
      <c r="AP25" s="3">
        <f t="shared" si="18"/>
        <v>-2.3233183622227421E-7</v>
      </c>
      <c r="AQ25" s="3">
        <f t="shared" si="19"/>
        <v>3.3334249281221754E-7</v>
      </c>
      <c r="AR25" s="3">
        <f t="shared" si="20"/>
        <v>4.291534423828125E-3</v>
      </c>
      <c r="AT25" s="61"/>
      <c r="AU25" s="4">
        <f>0.835*($AU$9/2)</f>
        <v>3.5122103999999998</v>
      </c>
      <c r="AV25" s="27" t="s">
        <v>8</v>
      </c>
      <c r="AW25"/>
      <c r="AX25" s="64"/>
      <c r="AY25" s="61">
        <f>BK39</f>
        <v>2.5499580398602451E-9</v>
      </c>
      <c r="AZ25" s="61"/>
      <c r="BA25"/>
      <c r="BB25" s="3" t="s">
        <v>179</v>
      </c>
      <c r="BC25" s="3">
        <f>SQRT(BC23^2 + BC24^2)</f>
        <v>142.13264636570878</v>
      </c>
      <c r="BD25" s="27" t="s">
        <v>10</v>
      </c>
      <c r="BE25"/>
      <c r="BF25" s="3" t="s">
        <v>179</v>
      </c>
      <c r="BG25" s="3">
        <f>SQRT(BG23^2 + BG24^2)</f>
        <v>167.53997659689753</v>
      </c>
      <c r="BH25" s="27" t="s">
        <v>10</v>
      </c>
      <c r="BI25"/>
      <c r="BJ25" s="3" t="s">
        <v>28</v>
      </c>
      <c r="BK25" s="3">
        <f>BK24-BK23</f>
        <v>4.6145857977190202E-2</v>
      </c>
      <c r="BL25" s="3" t="s">
        <v>167</v>
      </c>
      <c r="BM25" s="3"/>
      <c r="BN25" s="3" t="s">
        <v>28</v>
      </c>
      <c r="BO25" s="3">
        <f>BO24-BO23</f>
        <v>4.0073580746363316E-2</v>
      </c>
      <c r="BP25" s="3" t="s">
        <v>167</v>
      </c>
      <c r="BQ25"/>
      <c r="BR25" s="3">
        <v>21</v>
      </c>
      <c r="BS25" s="3">
        <f t="shared" si="21"/>
        <v>0.15158396674351576</v>
      </c>
      <c r="BT25" s="3">
        <v>-1.7368724116312295E-6</v>
      </c>
      <c r="BU25" s="3">
        <f t="shared" si="22"/>
        <v>0.1515866332335572</v>
      </c>
      <c r="BV25" s="3">
        <v>9.2255002820170601E-6</v>
      </c>
      <c r="BW25" s="3">
        <f t="shared" si="7"/>
        <v>0.15158529998853648</v>
      </c>
      <c r="BX25" s="3">
        <v>3.7443482137963086E-6</v>
      </c>
      <c r="BY25" s="3">
        <f t="shared" si="8"/>
        <v>-6.5034551120834813E-12</v>
      </c>
      <c r="BZ25" s="3">
        <f t="shared" si="9"/>
        <v>3.4543485502347917E-11</v>
      </c>
      <c r="CA25" s="3">
        <f t="shared" si="10"/>
        <v>2.6664900414363757E-6</v>
      </c>
      <c r="CB25"/>
      <c r="CC25" s="3">
        <v>21</v>
      </c>
      <c r="CD25" s="3">
        <f t="shared" si="23"/>
        <v>0.12112198451008421</v>
      </c>
      <c r="CE25" s="3">
        <v>-3.1998588401064079E-6</v>
      </c>
      <c r="CF25" s="3">
        <f t="shared" si="24"/>
        <v>0.12112465100012565</v>
      </c>
      <c r="CG25" s="3">
        <v>6.3469024375812158E-6</v>
      </c>
      <c r="CH25" s="3">
        <f t="shared" si="11"/>
        <v>0.12112331775510493</v>
      </c>
      <c r="CI25" s="3">
        <v>1.5735592182762256E-6</v>
      </c>
      <c r="CJ25" s="3">
        <f t="shared" si="12"/>
        <v>-5.0351673750321089E-12</v>
      </c>
      <c r="CK25" s="3">
        <f t="shared" si="13"/>
        <v>9.9872268381557683E-12</v>
      </c>
      <c r="CL25" s="3">
        <f t="shared" si="14"/>
        <v>2.6664900414363757E-6</v>
      </c>
    </row>
    <row r="26" spans="2:90" x14ac:dyDescent="0.2">
      <c r="B26" t="s">
        <v>121</v>
      </c>
      <c r="C26" s="1">
        <v>6.4008000000000003</v>
      </c>
      <c r="D26" t="s">
        <v>8</v>
      </c>
      <c r="F26" s="2" t="s">
        <v>110</v>
      </c>
      <c r="G26" s="1">
        <f>C9</f>
        <v>46.81069958847737</v>
      </c>
      <c r="H26" t="s">
        <v>10</v>
      </c>
      <c r="J26" s="16" t="s">
        <v>70</v>
      </c>
      <c r="K26" s="7">
        <f xml:space="preserve"> $C$62 * (13 * ($C$5*2.20462/1000)^1.3 * 0.453592)</f>
        <v>74.213188549200069</v>
      </c>
      <c r="L26" s="7" t="s">
        <v>7</v>
      </c>
      <c r="N26" s="7" t="s">
        <v>35</v>
      </c>
      <c r="O26" s="7">
        <f xml:space="preserve"> O20 * $C$10 * O25 - $G$26 * SIN(O18/180*PI())</f>
        <v>1.5557803104703725</v>
      </c>
      <c r="P26" s="7" t="s">
        <v>10</v>
      </c>
      <c r="R26" s="7" t="s">
        <v>35</v>
      </c>
      <c r="S26" s="7">
        <f xml:space="preserve"> S20 * $C$10 * S25 - $C$9 * SIN(S18/180*PI())</f>
        <v>1.6530444163366087</v>
      </c>
      <c r="T26" s="7" t="s">
        <v>10</v>
      </c>
      <c r="X26" s="3">
        <v>22</v>
      </c>
      <c r="Y26" s="3">
        <f t="shared" si="15"/>
        <v>1.683497428894043E-2</v>
      </c>
      <c r="Z26" s="3">
        <f t="shared" si="0"/>
        <v>9.3100600537937561E-8</v>
      </c>
      <c r="AA26" s="3">
        <f t="shared" si="16"/>
        <v>1.6835212707519531E-2</v>
      </c>
      <c r="AB26" s="3">
        <f t="shared" si="1"/>
        <v>-1.4591589874227151E-7</v>
      </c>
      <c r="AC26" s="3">
        <f t="shared" si="3"/>
        <v>1.683509349822998E-2</v>
      </c>
      <c r="AD26" s="3">
        <f t="shared" si="2"/>
        <v>-2.6407648061332889E-8</v>
      </c>
      <c r="AE26" s="3">
        <f t="shared" si="4"/>
        <v>-2.4585678933045948E-15</v>
      </c>
      <c r="AF26" s="3">
        <f t="shared" si="5"/>
        <v>3.8532957005389921E-15</v>
      </c>
      <c r="AG26" s="3">
        <f t="shared" si="6"/>
        <v>2.384185791015625E-7</v>
      </c>
      <c r="AI26" s="3">
        <v>22</v>
      </c>
      <c r="AJ26" s="3">
        <f t="shared" si="25"/>
        <v>3182.1575164794922</v>
      </c>
      <c r="AK26" s="3">
        <v>-1.0138519851352612E-3</v>
      </c>
      <c r="AL26" s="3">
        <f t="shared" si="26"/>
        <v>3182.1596622467041</v>
      </c>
      <c r="AM26" s="3">
        <v>2.2915754925634246E-4</v>
      </c>
      <c r="AN26" s="3">
        <f t="shared" si="17"/>
        <v>3182.1585893630981</v>
      </c>
      <c r="AO26" s="3">
        <v>-4.0110912459567771E-4</v>
      </c>
      <c r="AP26" s="3">
        <f t="shared" si="18"/>
        <v>4.0666528222719468E-7</v>
      </c>
      <c r="AQ26" s="3">
        <f t="shared" si="19"/>
        <v>-9.1917183976702419E-8</v>
      </c>
      <c r="AR26" s="3">
        <f t="shared" si="20"/>
        <v>2.1457672119140625E-3</v>
      </c>
      <c r="AT26" s="61"/>
      <c r="AU26" s="4">
        <f>0.945*($AU$9/2)</f>
        <v>3.9748967999999998</v>
      </c>
      <c r="AV26" s="7" t="s">
        <v>8</v>
      </c>
      <c r="AW26"/>
      <c r="AX26" s="64"/>
      <c r="AY26" s="61">
        <f>BO39</f>
        <v>-7.3433022839547446E-9</v>
      </c>
      <c r="AZ26" s="61"/>
      <c r="BA26"/>
      <c r="BB26" s="3" t="s">
        <v>182</v>
      </c>
      <c r="BC26" s="38">
        <f>$AU$45*BC25*$AU$31/$AU$46</f>
        <v>2235971.7508202507</v>
      </c>
      <c r="BD26" s="27"/>
      <c r="BE26"/>
      <c r="BF26" s="3" t="s">
        <v>182</v>
      </c>
      <c r="BG26" s="38">
        <f>$AU$45*BG25*$AU$32/$AU$46</f>
        <v>2550278.2119583283</v>
      </c>
      <c r="BH26" s="27"/>
      <c r="BI26"/>
      <c r="BJ26" s="3" t="s">
        <v>180</v>
      </c>
      <c r="BK26" s="3">
        <f>BK25/PI()*180</f>
        <v>2.643962904103101</v>
      </c>
      <c r="BL26" s="3" t="s">
        <v>43</v>
      </c>
      <c r="BM26" s="3"/>
      <c r="BN26" s="3" t="s">
        <v>180</v>
      </c>
      <c r="BO26" s="3">
        <f>BO25/PI()*180</f>
        <v>2.2960470467433334</v>
      </c>
      <c r="BP26" s="3" t="s">
        <v>43</v>
      </c>
      <c r="BQ26"/>
      <c r="BR26" s="3">
        <v>22</v>
      </c>
      <c r="BS26" s="3">
        <f t="shared" si="21"/>
        <v>0.15158396674351576</v>
      </c>
      <c r="BT26" s="3">
        <v>-1.7368724116312295E-6</v>
      </c>
      <c r="BU26" s="3">
        <f t="shared" si="22"/>
        <v>0.15158529998853648</v>
      </c>
      <c r="BV26" s="3">
        <v>3.7443482137963086E-6</v>
      </c>
      <c r="BW26" s="3">
        <f t="shared" si="7"/>
        <v>0.15158463336602612</v>
      </c>
      <c r="BX26" s="3">
        <v>1.0037464708064631E-6</v>
      </c>
      <c r="BY26" s="3">
        <f t="shared" si="8"/>
        <v>-1.743379553415957E-12</v>
      </c>
      <c r="BZ26" s="3">
        <f t="shared" si="9"/>
        <v>3.7583763050685289E-12</v>
      </c>
      <c r="CA26" s="3">
        <f t="shared" si="10"/>
        <v>1.3332450207181878E-6</v>
      </c>
      <c r="CB26"/>
      <c r="CC26" s="3">
        <v>22</v>
      </c>
      <c r="CD26" s="3">
        <f t="shared" si="23"/>
        <v>0.12112198451008421</v>
      </c>
      <c r="CE26" s="3">
        <v>-3.1998588401064079E-6</v>
      </c>
      <c r="CF26" s="3">
        <f t="shared" si="24"/>
        <v>0.12112331775510493</v>
      </c>
      <c r="CG26" s="3">
        <v>1.5735592182762256E-6</v>
      </c>
      <c r="CH26" s="3">
        <f t="shared" si="11"/>
        <v>0.12112265113259457</v>
      </c>
      <c r="CI26" s="3">
        <v>-8.1314045585843125E-7</v>
      </c>
      <c r="CJ26" s="3">
        <f t="shared" si="12"/>
        <v>2.6019346759267556E-12</v>
      </c>
      <c r="CK26" s="3">
        <f t="shared" si="13"/>
        <v>-1.2795246600693668E-12</v>
      </c>
      <c r="CL26" s="3">
        <f t="shared" si="14"/>
        <v>1.3332450207181878E-6</v>
      </c>
    </row>
    <row r="27" spans="2:90" x14ac:dyDescent="0.2">
      <c r="B27" t="s">
        <v>122</v>
      </c>
      <c r="C27" s="1">
        <v>2.0560284000000002</v>
      </c>
      <c r="D27" t="s">
        <v>8</v>
      </c>
      <c r="F27" t="s">
        <v>97</v>
      </c>
      <c r="G27" s="1">
        <f>900*0.3048/60</f>
        <v>4.5720000000000001</v>
      </c>
      <c r="H27" t="s">
        <v>10</v>
      </c>
      <c r="J27" s="11" t="s">
        <v>57</v>
      </c>
      <c r="K27" s="11">
        <f>$C$5 - $C$14 - SUM(K13:K26)</f>
        <v>-1.2646523828152567E-9</v>
      </c>
      <c r="L27" s="11" t="s">
        <v>7</v>
      </c>
      <c r="N27" s="7" t="s">
        <v>36</v>
      </c>
      <c r="O27" s="7">
        <f xml:space="preserve"> 1/$C$22 - O24 * SQRT( (2*$C$47*PI()*$C$10^2) / O19^3 )</f>
        <v>1.1353797461784125</v>
      </c>
      <c r="R27" s="7" t="s">
        <v>36</v>
      </c>
      <c r="S27" s="7">
        <f xml:space="preserve"> 1/$C$22 - S24 * SQRT( (2*$C$53*PI()*$C$10^2) / S19^3 )</f>
        <v>0.8427531869244913</v>
      </c>
      <c r="X27" s="3">
        <v>23</v>
      </c>
      <c r="Y27" s="3">
        <f t="shared" si="15"/>
        <v>1.683497428894043E-2</v>
      </c>
      <c r="Z27" s="3">
        <f t="shared" si="0"/>
        <v>9.3100600537937561E-8</v>
      </c>
      <c r="AA27" s="3">
        <f t="shared" si="16"/>
        <v>1.683509349822998E-2</v>
      </c>
      <c r="AB27" s="3">
        <f t="shared" si="1"/>
        <v>-2.6407648061332889E-8</v>
      </c>
      <c r="AC27" s="3">
        <f t="shared" si="3"/>
        <v>1.6835033893585205E-2</v>
      </c>
      <c r="AD27" s="3">
        <f t="shared" si="2"/>
        <v>3.3346476500245581E-8</v>
      </c>
      <c r="AE27" s="3">
        <f t="shared" si="4"/>
        <v>3.1045769879970859E-15</v>
      </c>
      <c r="AF27" s="3">
        <f t="shared" si="5"/>
        <v>-8.8060201550399296E-16</v>
      </c>
      <c r="AG27" s="3">
        <f t="shared" si="6"/>
        <v>1.1920928955078125E-7</v>
      </c>
      <c r="AI27" s="3">
        <v>23</v>
      </c>
      <c r="AJ27" s="3">
        <f t="shared" si="25"/>
        <v>3182.1585893630981</v>
      </c>
      <c r="AK27" s="3">
        <v>-4.0110912459567771E-4</v>
      </c>
      <c r="AL27" s="3">
        <f t="shared" si="26"/>
        <v>3182.1596622467041</v>
      </c>
      <c r="AM27" s="3">
        <v>2.2915754925634246E-4</v>
      </c>
      <c r="AN27" s="3">
        <f t="shared" si="17"/>
        <v>3182.1591258049011</v>
      </c>
      <c r="AO27" s="3">
        <v>-8.5975788351788651E-5</v>
      </c>
      <c r="AP27" s="3">
        <f t="shared" si="18"/>
        <v>3.4485673202209211E-8</v>
      </c>
      <c r="AQ27" s="3">
        <f t="shared" si="19"/>
        <v>-1.9702000954077881E-8</v>
      </c>
      <c r="AR27" s="3">
        <f t="shared" si="20"/>
        <v>1.0728836059570312E-3</v>
      </c>
      <c r="AT27" s="61" t="s">
        <v>216</v>
      </c>
      <c r="AU27" s="4">
        <f>0.071475*($AU$9/2)</f>
        <v>0.30064100399999999</v>
      </c>
      <c r="AV27" s="27" t="s">
        <v>8</v>
      </c>
      <c r="AW27"/>
      <c r="AX27" s="64"/>
      <c r="AY27" s="61">
        <f>BK58</f>
        <v>5.7998362848477036E-9</v>
      </c>
      <c r="AZ27" s="61"/>
      <c r="BA27"/>
      <c r="BB27" s="3" t="s">
        <v>186</v>
      </c>
      <c r="BC27" s="34">
        <f xml:space="preserve"> $BK$46 * PI() * $AU$45 * BC25^2 * $BK$52 * $AU$23 * BC22</f>
        <v>1378.4752412931709</v>
      </c>
      <c r="BD27" s="27" t="s">
        <v>22</v>
      </c>
      <c r="BE27"/>
      <c r="BF27" s="3" t="s">
        <v>186</v>
      </c>
      <c r="BG27" s="34">
        <f xml:space="preserve"> $BO$46 * PI() * $AU$45 * BG25^2 * $BO$52 * $AU$24 * BG22</f>
        <v>1493.7095161408595</v>
      </c>
      <c r="BH27" s="27" t="s">
        <v>22</v>
      </c>
      <c r="BI27"/>
      <c r="BJ27" s="3" t="s">
        <v>183</v>
      </c>
      <c r="BK27" s="3">
        <f xml:space="preserve"> $AU$8*$AU$29 / (2*PI()*$AU$21)</f>
        <v>8.1440994613795822E-2</v>
      </c>
      <c r="BL27" s="3"/>
      <c r="BM27" s="3"/>
      <c r="BN27" s="3" t="s">
        <v>183</v>
      </c>
      <c r="BO27" s="3">
        <f xml:space="preserve"> $AU$8*$AU$30 / (2*PI()*$AU$22)</f>
        <v>6.1763148460265704E-2</v>
      </c>
      <c r="BP27" s="3"/>
      <c r="BQ27"/>
      <c r="BR27" s="3">
        <v>23</v>
      </c>
      <c r="BS27" s="3">
        <f t="shared" si="21"/>
        <v>0.15158396674351576</v>
      </c>
      <c r="BT27" s="3">
        <v>-1.7368724116312295E-6</v>
      </c>
      <c r="BU27" s="3">
        <f t="shared" si="22"/>
        <v>0.15158463336602612</v>
      </c>
      <c r="BV27" s="3">
        <v>1.0037464708064631E-6</v>
      </c>
      <c r="BW27" s="3">
        <f t="shared" si="7"/>
        <v>0.15158430005477094</v>
      </c>
      <c r="BX27" s="3">
        <v>-3.6656082794649103E-7</v>
      </c>
      <c r="BY27" s="3">
        <f t="shared" si="8"/>
        <v>6.3666938924496204E-13</v>
      </c>
      <c r="BZ27" s="3">
        <f t="shared" si="9"/>
        <v>-3.6793413738718551E-13</v>
      </c>
      <c r="CA27" s="3">
        <f t="shared" si="10"/>
        <v>6.6662251035909392E-7</v>
      </c>
      <c r="CB27"/>
      <c r="CC27" s="3">
        <v>23</v>
      </c>
      <c r="CD27" s="3">
        <f t="shared" si="23"/>
        <v>0.12112265113259457</v>
      </c>
      <c r="CE27" s="3">
        <v>-8.1314045585843125E-7</v>
      </c>
      <c r="CF27" s="3">
        <f t="shared" si="24"/>
        <v>0.12112331775510493</v>
      </c>
      <c r="CG27" s="3">
        <v>1.5735592182762256E-6</v>
      </c>
      <c r="CH27" s="3">
        <f t="shared" si="11"/>
        <v>0.12112298444384975</v>
      </c>
      <c r="CI27" s="3">
        <v>3.8021171997262848E-7</v>
      </c>
      <c r="CJ27" s="3">
        <f t="shared" si="12"/>
        <v>-3.0916553130126135E-13</v>
      </c>
      <c r="CK27" s="3">
        <f t="shared" si="13"/>
        <v>5.9828565685958848E-13</v>
      </c>
      <c r="CL27" s="3">
        <f t="shared" si="14"/>
        <v>6.6662251035909392E-7</v>
      </c>
    </row>
    <row r="28" spans="2:90" x14ac:dyDescent="0.2">
      <c r="F28" t="s">
        <v>96</v>
      </c>
      <c r="G28" s="1">
        <f>(10000-6050)*0.3048</f>
        <v>1203.96</v>
      </c>
      <c r="H28" t="s">
        <v>8</v>
      </c>
      <c r="J28" s="7" t="s">
        <v>58</v>
      </c>
      <c r="K28" s="5" t="str">
        <f>IF(ABS(K27)&lt;1, "TRUE", "FALSE")</f>
        <v>TRUE</v>
      </c>
      <c r="N28" s="7" t="s">
        <v>37</v>
      </c>
      <c r="O28" s="18">
        <v>1.1499999999999999</v>
      </c>
      <c r="R28" s="7" t="s">
        <v>37</v>
      </c>
      <c r="S28" s="18">
        <v>1.1499999999999999</v>
      </c>
      <c r="X28" s="3">
        <v>24</v>
      </c>
      <c r="Y28" s="3">
        <f t="shared" si="15"/>
        <v>1.6835033893585205E-2</v>
      </c>
      <c r="Z28" s="3">
        <f t="shared" si="0"/>
        <v>3.3346476500245581E-8</v>
      </c>
      <c r="AA28" s="3">
        <f t="shared" si="16"/>
        <v>1.683509349822998E-2</v>
      </c>
      <c r="AB28" s="3">
        <f t="shared" si="1"/>
        <v>-2.6407648061332889E-8</v>
      </c>
      <c r="AC28" s="3">
        <f t="shared" si="3"/>
        <v>1.6835063695907593E-2</v>
      </c>
      <c r="AD28" s="3">
        <f t="shared" si="2"/>
        <v>3.4694142836411146E-9</v>
      </c>
      <c r="AE28" s="3">
        <f t="shared" si="4"/>
        <v>1.1569274187905478E-16</v>
      </c>
      <c r="AF28" s="3">
        <f t="shared" si="5"/>
        <v>-9.1619071381355909E-17</v>
      </c>
      <c r="AG28" s="3">
        <f t="shared" si="6"/>
        <v>5.9604644775390625E-8</v>
      </c>
      <c r="AI28" s="3">
        <v>24</v>
      </c>
      <c r="AJ28" s="3">
        <f t="shared" si="25"/>
        <v>3182.1591258049011</v>
      </c>
      <c r="AK28" s="3">
        <v>-8.5975788351788651E-5</v>
      </c>
      <c r="AL28" s="3">
        <f t="shared" si="26"/>
        <v>3182.1596622467041</v>
      </c>
      <c r="AM28" s="3">
        <v>2.2915754925634246E-4</v>
      </c>
      <c r="AN28" s="3">
        <f t="shared" si="17"/>
        <v>3182.1593940258026</v>
      </c>
      <c r="AO28" s="3">
        <v>7.1590879997529555E-5</v>
      </c>
      <c r="AP28" s="3">
        <f t="shared" si="18"/>
        <v>-6.1550823465859007E-9</v>
      </c>
      <c r="AQ28" s="3">
        <f t="shared" si="19"/>
        <v>1.6405590609338783E-8</v>
      </c>
      <c r="AR28" s="3">
        <f t="shared" si="20"/>
        <v>5.3644180297851562E-4</v>
      </c>
      <c r="AT28" s="61"/>
      <c r="AU28" s="4">
        <f>0.069425*($AU$9/2)</f>
        <v>0.292018212</v>
      </c>
      <c r="AV28" s="27" t="s">
        <v>8</v>
      </c>
      <c r="AW28"/>
      <c r="AX28" s="64"/>
      <c r="AY28" s="61">
        <f>BO58</f>
        <v>2.3940355743830299E-9</v>
      </c>
      <c r="AZ28" s="61"/>
      <c r="BA28"/>
      <c r="BB28" s="3" t="s">
        <v>190</v>
      </c>
      <c r="BC28" s="34">
        <f xml:space="preserve"> $BK$46 * PI() * $AU$45 * BC25^2 * $BK$53 * $AU$23^2 * BC22</f>
        <v>585.82053224402648</v>
      </c>
      <c r="BD28" s="27" t="s">
        <v>191</v>
      </c>
      <c r="BE28"/>
      <c r="BF28" s="3" t="s">
        <v>190</v>
      </c>
      <c r="BG28" s="34">
        <f xml:space="preserve"> $BO$46 * PI() * $AU$45 * BG25^2 * $BO$53 * $AU$24^2 * BG22</f>
        <v>860.50654702608415</v>
      </c>
      <c r="BH28" s="27" t="s">
        <v>191</v>
      </c>
      <c r="BI28"/>
      <c r="BJ28" s="3" t="s">
        <v>187</v>
      </c>
      <c r="BK28" s="3">
        <f>IF(-$AU$8*($AY$3-$AU$21)/(2*$AU$21*SIN(BK23))&gt;500, 1, 2*ACOS(MIN(1, EXP(-$AU$8*($AY$3-$AU$21)/(2*$AU$21*SIN(BK23)))))/PI() )</f>
        <v>0.99999999993892619</v>
      </c>
      <c r="BL28" s="3"/>
      <c r="BM28" s="3"/>
      <c r="BN28" s="3" t="s">
        <v>187</v>
      </c>
      <c r="BO28" s="3">
        <f>IF(-$AU$8*($AY$3-$AU$22)/(2*$AU$22*SIN(BO23))&gt;500, 1, 2*ACOS(MIN(1, EXP(-$AU$8*($AY$3-$AU$22)/(2*$AU$22*SIN(BO23)))))/PI() )</f>
        <v>0.99999998789459732</v>
      </c>
      <c r="BP28" s="3"/>
      <c r="BQ28"/>
      <c r="BR28" s="3">
        <v>24</v>
      </c>
      <c r="BS28" s="3">
        <f t="shared" si="21"/>
        <v>0.15158430005477094</v>
      </c>
      <c r="BT28" s="3">
        <v>-3.6656082794649103E-7</v>
      </c>
      <c r="BU28" s="3">
        <f t="shared" si="22"/>
        <v>0.15158463336602612</v>
      </c>
      <c r="BV28" s="3">
        <v>1.0037464708064631E-6</v>
      </c>
      <c r="BW28" s="3">
        <f t="shared" si="7"/>
        <v>0.15158446671039855</v>
      </c>
      <c r="BX28" s="3">
        <v>3.1859335706228842E-7</v>
      </c>
      <c r="BY28" s="3">
        <f t="shared" si="8"/>
        <v>-1.1678384474300448E-13</v>
      </c>
      <c r="BZ28" s="3">
        <f t="shared" si="9"/>
        <v>3.1978695777365533E-13</v>
      </c>
      <c r="CA28" s="3">
        <f t="shared" si="10"/>
        <v>3.3331125517954696E-7</v>
      </c>
      <c r="CB28"/>
      <c r="CC28" s="3">
        <v>24</v>
      </c>
      <c r="CD28" s="3">
        <f t="shared" si="23"/>
        <v>0.12112265113259457</v>
      </c>
      <c r="CE28" s="3">
        <v>-8.1314045585843125E-7</v>
      </c>
      <c r="CF28" s="3">
        <f t="shared" si="24"/>
        <v>0.12112298444384975</v>
      </c>
      <c r="CG28" s="3">
        <v>3.8021171997262848E-7</v>
      </c>
      <c r="CH28" s="3">
        <f t="shared" si="11"/>
        <v>0.12112281778822216</v>
      </c>
      <c r="CI28" s="3">
        <v>-2.1646378324698123E-7</v>
      </c>
      <c r="CJ28" s="3">
        <f t="shared" si="12"/>
        <v>1.7601545938629098E-13</v>
      </c>
      <c r="CK28" s="3">
        <f t="shared" si="13"/>
        <v>-8.2302067340116976E-14</v>
      </c>
      <c r="CL28" s="3">
        <f t="shared" si="14"/>
        <v>3.3331125517954696E-7</v>
      </c>
    </row>
    <row r="29" spans="2:90" x14ac:dyDescent="0.2">
      <c r="B29" s="71" t="s">
        <v>123</v>
      </c>
      <c r="C29" s="71"/>
      <c r="D29" s="71"/>
      <c r="F29" t="s">
        <v>101</v>
      </c>
      <c r="G29" s="9">
        <f>$G$28/$G$27</f>
        <v>263.33333333333331</v>
      </c>
      <c r="H29" t="s">
        <v>14</v>
      </c>
      <c r="N29" s="7" t="s">
        <v>38</v>
      </c>
      <c r="O29" s="7">
        <f xml:space="preserve"> 1/$C$59 * LN( EXP($C$59 * O27) + EXP($C$59 * O28) )</f>
        <v>1.1665900045241309</v>
      </c>
      <c r="R29" s="7" t="s">
        <v>38</v>
      </c>
      <c r="S29" s="7">
        <f xml:space="preserve"> 1/$C$59 * LN( EXP($C$59 * S27) + EXP($C$59 * S28) )</f>
        <v>1.1500033097052531</v>
      </c>
      <c r="X29" s="3">
        <v>25</v>
      </c>
      <c r="Y29" s="3">
        <f t="shared" si="15"/>
        <v>1.6835063695907593E-2</v>
      </c>
      <c r="Z29" s="3">
        <f t="shared" si="0"/>
        <v>3.4694142836411146E-9</v>
      </c>
      <c r="AA29" s="3">
        <f t="shared" si="16"/>
        <v>1.683509349822998E-2</v>
      </c>
      <c r="AB29" s="3">
        <f t="shared" si="1"/>
        <v>-2.6407648061332889E-8</v>
      </c>
      <c r="AC29" s="3">
        <f t="shared" si="3"/>
        <v>1.6835078597068787E-2</v>
      </c>
      <c r="AD29" s="3">
        <f t="shared" si="2"/>
        <v>-1.1469116871498652E-8</v>
      </c>
      <c r="AE29" s="3">
        <f t="shared" si="4"/>
        <v>-3.9791117894726717E-17</v>
      </c>
      <c r="AF29" s="3">
        <f t="shared" si="5"/>
        <v>3.0287240191683171E-16</v>
      </c>
      <c r="AG29" s="3">
        <f t="shared" si="6"/>
        <v>2.9802322387695312E-8</v>
      </c>
      <c r="AI29" s="3">
        <v>25</v>
      </c>
      <c r="AJ29" s="3">
        <f t="shared" si="25"/>
        <v>3182.1591258049011</v>
      </c>
      <c r="AK29" s="3">
        <v>-8.5975788351788651E-5</v>
      </c>
      <c r="AL29" s="3">
        <f t="shared" si="26"/>
        <v>3182.1593940258026</v>
      </c>
      <c r="AM29" s="3">
        <v>7.1590879997529555E-5</v>
      </c>
      <c r="AN29" s="3">
        <f t="shared" si="17"/>
        <v>3182.1592599153519</v>
      </c>
      <c r="AO29" s="3">
        <v>-7.1924564508663025E-6</v>
      </c>
      <c r="AP29" s="3">
        <f t="shared" si="18"/>
        <v>6.1837711354913819E-10</v>
      </c>
      <c r="AQ29" s="3">
        <f t="shared" si="19"/>
        <v>-5.1491428666142679E-10</v>
      </c>
      <c r="AR29" s="3">
        <f t="shared" si="20"/>
        <v>2.6822090148925781E-4</v>
      </c>
      <c r="AT29" s="61"/>
      <c r="AU29" s="4">
        <f>0.067375*($AU$9/2)</f>
        <v>0.28339542000000001</v>
      </c>
      <c r="AV29" s="27" t="s">
        <v>8</v>
      </c>
      <c r="AW29"/>
      <c r="AX29" s="64"/>
      <c r="AY29" s="61">
        <f>BK77</f>
        <v>3.7601054162644809E-9</v>
      </c>
      <c r="AZ29" s="61"/>
      <c r="BA29"/>
      <c r="BB29"/>
      <c r="BC29"/>
      <c r="BD29"/>
      <c r="BE29"/>
      <c r="BF29"/>
      <c r="BG29"/>
      <c r="BH29"/>
      <c r="BI29"/>
      <c r="BJ29" s="3" t="s">
        <v>192</v>
      </c>
      <c r="BK29" s="3">
        <f>IF(-$AU$8*($AU$21-$AU$10)/(2*$AU$21*SIN(BK23))&gt;500, 1, 2*ACOS(MIN(1, EXP(-$AU$8*($AU$21-$AU$10)/(2*$AU$21*SIN(BK23)))))/PI() )</f>
        <v>0.99998220767818291</v>
      </c>
      <c r="BL29" s="3"/>
      <c r="BM29" s="3"/>
      <c r="BN29" s="3" t="s">
        <v>192</v>
      </c>
      <c r="BO29" s="3">
        <f>IF(-$AU$8*($AU$22-$AU$10)/(2*$AU$22*SIN(BO23))&gt;500, 1, 2*ACOS(MIN(1, EXP(-$AU$8*($AU$22-$AU$10)/(2*$AU$22*SIN(BO23)))))/PI() )</f>
        <v>0.99999937087782431</v>
      </c>
      <c r="BP29" s="3"/>
      <c r="BQ29"/>
      <c r="BR29" s="3">
        <v>25</v>
      </c>
      <c r="BS29" s="3">
        <f t="shared" si="21"/>
        <v>0.15158430005477094</v>
      </c>
      <c r="BT29" s="3">
        <v>-3.6656082794649103E-7</v>
      </c>
      <c r="BU29" s="3">
        <f t="shared" si="22"/>
        <v>0.15158446671039855</v>
      </c>
      <c r="BV29" s="3">
        <v>3.1859335706228842E-7</v>
      </c>
      <c r="BW29" s="3">
        <f t="shared" si="7"/>
        <v>0.15158438338258473</v>
      </c>
      <c r="BX29" s="3">
        <v>-2.3983601552673983E-8</v>
      </c>
      <c r="BY29" s="3">
        <f t="shared" si="8"/>
        <v>8.7914488422869227E-15</v>
      </c>
      <c r="BZ29" s="3">
        <f t="shared" si="9"/>
        <v>-7.6410161331107179E-15</v>
      </c>
      <c r="CA29" s="3">
        <f t="shared" si="10"/>
        <v>1.6665562760365127E-7</v>
      </c>
      <c r="CB29"/>
      <c r="CC29" s="3">
        <v>25</v>
      </c>
      <c r="CD29" s="3">
        <f t="shared" si="23"/>
        <v>0.12112281778822216</v>
      </c>
      <c r="CE29" s="3">
        <v>-2.1646378324698123E-7</v>
      </c>
      <c r="CF29" s="3">
        <f t="shared" si="24"/>
        <v>0.12112298444384975</v>
      </c>
      <c r="CG29" s="3">
        <v>3.8021171997262848E-7</v>
      </c>
      <c r="CH29" s="3">
        <f t="shared" si="11"/>
        <v>0.12112290111603596</v>
      </c>
      <c r="CI29" s="3">
        <v>8.1874114545368859E-8</v>
      </c>
      <c r="CJ29" s="3">
        <f t="shared" si="12"/>
        <v>-1.7722780584487237E-14</v>
      </c>
      <c r="CK29" s="3">
        <f t="shared" si="13"/>
        <v>3.112949791253069E-14</v>
      </c>
      <c r="CL29" s="3">
        <f t="shared" si="14"/>
        <v>1.6665562758977348E-7</v>
      </c>
    </row>
    <row r="30" spans="2:90" x14ac:dyDescent="0.2">
      <c r="B30" s="7" t="s">
        <v>136</v>
      </c>
      <c r="C30" s="22" t="s">
        <v>274</v>
      </c>
      <c r="F30" t="s">
        <v>142</v>
      </c>
      <c r="G30" s="9">
        <f>O20*$C$10</f>
        <v>132.14292683235533</v>
      </c>
      <c r="H30" s="7" t="s">
        <v>10</v>
      </c>
      <c r="J30" s="68" t="s">
        <v>128</v>
      </c>
      <c r="K30" s="68"/>
      <c r="L30" s="68"/>
      <c r="X30" s="3">
        <v>26</v>
      </c>
      <c r="Y30" s="3">
        <f t="shared" si="15"/>
        <v>1.6835063695907593E-2</v>
      </c>
      <c r="Z30" s="3">
        <f t="shared" si="0"/>
        <v>3.4694142836411146E-9</v>
      </c>
      <c r="AA30" s="3">
        <f t="shared" si="16"/>
        <v>1.6835078597068787E-2</v>
      </c>
      <c r="AB30" s="3">
        <f t="shared" si="1"/>
        <v>-1.1469116871498652E-8</v>
      </c>
      <c r="AC30" s="3">
        <f t="shared" si="3"/>
        <v>1.683507114648819E-2</v>
      </c>
      <c r="AD30" s="3">
        <f t="shared" si="2"/>
        <v>-3.999851290459322E-9</v>
      </c>
      <c r="AE30" s="3">
        <f t="shared" si="4"/>
        <v>-1.3877141199559917E-17</v>
      </c>
      <c r="AF30" s="3">
        <f t="shared" si="5"/>
        <v>4.5874761918892664E-17</v>
      </c>
      <c r="AG30" s="3">
        <f t="shared" si="6"/>
        <v>1.4901161193847656E-8</v>
      </c>
      <c r="AI30" s="3">
        <v>26</v>
      </c>
      <c r="AJ30" s="3">
        <f t="shared" si="25"/>
        <v>3182.1592599153519</v>
      </c>
      <c r="AK30" s="3">
        <v>-7.1924564508663025E-6</v>
      </c>
      <c r="AL30" s="3">
        <f t="shared" si="26"/>
        <v>3182.1593940258026</v>
      </c>
      <c r="AM30" s="3">
        <v>7.1590879997529555E-5</v>
      </c>
      <c r="AN30" s="3">
        <f t="shared" si="17"/>
        <v>3182.1593269705772</v>
      </c>
      <c r="AO30" s="3">
        <v>3.2199212000705302E-5</v>
      </c>
      <c r="AP30" s="3">
        <f t="shared" si="18"/>
        <v>-2.3159143006728451E-10</v>
      </c>
      <c r="AQ30" s="3">
        <f t="shared" si="19"/>
        <v>2.3051699223575068E-9</v>
      </c>
      <c r="AR30" s="3">
        <f t="shared" si="20"/>
        <v>1.3411045074462891E-4</v>
      </c>
      <c r="AT30" s="61"/>
      <c r="AU30" s="4">
        <f>0.065325*($AU$9/2)</f>
        <v>0.27477262799999996</v>
      </c>
      <c r="AV30" s="27" t="s">
        <v>8</v>
      </c>
      <c r="AW30"/>
      <c r="AX30" s="39" t="s">
        <v>217</v>
      </c>
      <c r="AY30" s="61" t="b">
        <f>IF(AY23&lt;0.00001,IF(AY24&lt;0.00001,IF(AY25&lt;0.00001,IF(AY26&lt;0.00001,IF(AY27&lt;0.00001,IF(AY28&lt;0.00001,IF(AY29&lt;0.00001,TRUE,FALSE),FALSE),FALSE),FALSE),FALSE),FALSE),FALSE)</f>
        <v>1</v>
      </c>
      <c r="AZ30" s="61"/>
      <c r="BA30"/>
      <c r="BB30" s="75" t="s">
        <v>218</v>
      </c>
      <c r="BC30" s="75"/>
      <c r="BD30" s="75"/>
      <c r="BE30"/>
      <c r="BF30" s="75" t="s">
        <v>232</v>
      </c>
      <c r="BG30" s="75"/>
      <c r="BH30" s="75"/>
      <c r="BI30"/>
      <c r="BJ30" s="3" t="s">
        <v>195</v>
      </c>
      <c r="BK30" s="3">
        <f>IF(BK23=0,1,BK28*BK29)</f>
        <v>0.99998220761711021</v>
      </c>
      <c r="BL30" s="3"/>
      <c r="BM30" s="3"/>
      <c r="BN30" s="3" t="s">
        <v>195</v>
      </c>
      <c r="BO30" s="3">
        <f>IF(BO23=0,1,BO28*BO29)</f>
        <v>0.99999935877242929</v>
      </c>
      <c r="BP30" s="3"/>
      <c r="BQ30"/>
      <c r="BR30" s="3">
        <v>26</v>
      </c>
      <c r="BS30" s="3">
        <f t="shared" si="21"/>
        <v>0.15158438338258473</v>
      </c>
      <c r="BT30" s="3">
        <v>-2.3983601552673983E-8</v>
      </c>
      <c r="BU30" s="3">
        <f t="shared" si="22"/>
        <v>0.15158446671039855</v>
      </c>
      <c r="BV30" s="3">
        <v>3.1859335706228842E-7</v>
      </c>
      <c r="BW30" s="3">
        <f t="shared" si="7"/>
        <v>0.15158442504649164</v>
      </c>
      <c r="BX30" s="3">
        <v>1.4730491121675571E-7</v>
      </c>
      <c r="BY30" s="3">
        <f t="shared" si="8"/>
        <v>-3.5329022973746854E-15</v>
      </c>
      <c r="BZ30" s="3">
        <f t="shared" si="9"/>
        <v>4.6930366176308543E-14</v>
      </c>
      <c r="CA30" s="3">
        <f t="shared" si="10"/>
        <v>8.3327813815703422E-8</v>
      </c>
      <c r="CB30"/>
      <c r="CC30" s="3">
        <v>26</v>
      </c>
      <c r="CD30" s="3">
        <f t="shared" si="23"/>
        <v>0.12112281778822216</v>
      </c>
      <c r="CE30" s="3">
        <v>-2.1646378324698123E-7</v>
      </c>
      <c r="CF30" s="3">
        <f t="shared" si="24"/>
        <v>0.12112290111603596</v>
      </c>
      <c r="CG30" s="3">
        <v>8.1874114545368859E-8</v>
      </c>
      <c r="CH30" s="3">
        <f t="shared" si="11"/>
        <v>0.12112285945212906</v>
      </c>
      <c r="CI30" s="3">
        <v>-6.7294797856561062E-8</v>
      </c>
      <c r="CJ30" s="3">
        <f t="shared" si="12"/>
        <v>1.456688653687205E-14</v>
      </c>
      <c r="CK30" s="3">
        <f t="shared" si="13"/>
        <v>-5.5097019880155234E-15</v>
      </c>
      <c r="CL30" s="3">
        <f t="shared" si="14"/>
        <v>8.3327813801825634E-8</v>
      </c>
    </row>
    <row r="31" spans="2:90" x14ac:dyDescent="0.2">
      <c r="B31" s="7" t="s">
        <v>138</v>
      </c>
      <c r="C31" s="7">
        <f>IF(C30="wheeled",0.0325,0.014)</f>
        <v>1.4E-2</v>
      </c>
      <c r="F31" s="7" t="s">
        <v>145</v>
      </c>
      <c r="G31" s="7">
        <f>G30/$C$49</f>
        <v>0.3993551286260078</v>
      </c>
      <c r="H31" s="7" t="s">
        <v>143</v>
      </c>
      <c r="J31" s="7" t="s">
        <v>60</v>
      </c>
      <c r="K31" s="7">
        <f>ROUND($C$14,2)</f>
        <v>548.39</v>
      </c>
      <c r="L31" s="7" t="s">
        <v>7</v>
      </c>
      <c r="X31" s="3">
        <v>27</v>
      </c>
      <c r="Y31" s="3">
        <f t="shared" si="15"/>
        <v>1.6835063695907593E-2</v>
      </c>
      <c r="Z31" s="3">
        <f t="shared" si="0"/>
        <v>3.4694142836411146E-9</v>
      </c>
      <c r="AA31" s="3">
        <f t="shared" si="16"/>
        <v>1.683507114648819E-2</v>
      </c>
      <c r="AB31" s="3">
        <f t="shared" si="1"/>
        <v>-3.999851290459322E-9</v>
      </c>
      <c r="AC31" s="3">
        <f t="shared" si="3"/>
        <v>1.6835067421197891E-2</v>
      </c>
      <c r="AD31" s="3">
        <f t="shared" si="2"/>
        <v>-2.6521849993965674E-10</v>
      </c>
      <c r="AE31" s="3">
        <f t="shared" si="4"/>
        <v>-9.2015285197651517E-19</v>
      </c>
      <c r="AF31" s="3">
        <f t="shared" si="5"/>
        <v>1.0608345592373217E-18</v>
      </c>
      <c r="AG31" s="3">
        <f t="shared" si="6"/>
        <v>7.4505805969238281E-9</v>
      </c>
      <c r="AI31" s="3">
        <v>27</v>
      </c>
      <c r="AJ31" s="3">
        <f t="shared" si="25"/>
        <v>3182.1592599153519</v>
      </c>
      <c r="AK31" s="3">
        <v>-7.1924564508663025E-6</v>
      </c>
      <c r="AL31" s="3">
        <f t="shared" si="26"/>
        <v>3182.1593269705772</v>
      </c>
      <c r="AM31" s="3">
        <v>3.2199212000705302E-5</v>
      </c>
      <c r="AN31" s="3">
        <f t="shared" si="17"/>
        <v>3182.1592934429646</v>
      </c>
      <c r="AO31" s="3">
        <v>1.2503376638051122E-5</v>
      </c>
      <c r="AP31" s="3">
        <f t="shared" si="18"/>
        <v>-8.9929991957961817E-11</v>
      </c>
      <c r="AQ31" s="3">
        <f t="shared" si="19"/>
        <v>4.0259887509327401E-10</v>
      </c>
      <c r="AR31" s="3">
        <f t="shared" si="20"/>
        <v>6.7055225372314453E-5</v>
      </c>
      <c r="AT31" s="61"/>
      <c r="AU31" s="4">
        <f>0.063275*($AU$9/2)</f>
        <v>0.26614983600000003</v>
      </c>
      <c r="AV31" s="27" t="s">
        <v>8</v>
      </c>
      <c r="AW31"/>
      <c r="AX31"/>
      <c r="AY31"/>
      <c r="AZ31"/>
      <c r="BA31"/>
      <c r="BB31" s="3" t="s">
        <v>165</v>
      </c>
      <c r="BC31" s="3">
        <f>$AU$25-$AU$24</f>
        <v>0.46268639999999994</v>
      </c>
      <c r="BD31" s="27" t="s">
        <v>8</v>
      </c>
      <c r="BE31"/>
      <c r="BF31" s="3" t="s">
        <v>165</v>
      </c>
      <c r="BG31" s="3">
        <f>2*($AU$9/2 - $AU$26)</f>
        <v>0.46268640000000083</v>
      </c>
      <c r="BH31" s="27" t="s">
        <v>8</v>
      </c>
      <c r="BI31"/>
      <c r="BJ31" s="3" t="s">
        <v>199</v>
      </c>
      <c r="BK31" s="3">
        <f>IF(BK26&lt;$BC$49, $AY$50*BK26^6 + $AZ$50*BK26^5 + $BA$50*BK26^4 + $AY$51*BK26^3 + $AZ$51*BK26^2 + $BA$51*BK26 + $AY$52, IF(BK26&gt;$BD$49, $BE$50*BK26^6 + $BF$50*BK26^5 + $BG$50*BK26^4 + $BE$51*BK26^3 + $BF$51*BK26^2 + $BG$51*BK26 + $BE$52, $BB$50*BK26^6 + $BC$50*BK26^5 + $BD$50*BK26^4 + $BB$51*BK26^3 + $BC$51*BK26^2 + $BD$51*BK26 + $BB$52) )</f>
        <v>0.46514921278810079</v>
      </c>
      <c r="BL31" s="3"/>
      <c r="BM31" s="3"/>
      <c r="BN31" s="3" t="s">
        <v>199</v>
      </c>
      <c r="BO31" s="3">
        <f>IF(BO26&lt;$BC$49, $AY$50*BO26^6 + $AZ$50*BO26^5 + $BA$50*BO26^4 + $AY$51*BO26^3 + $AZ$51*BO26^2 + $BA$51*BO26 + $AY$52, IF(BO26&gt;$BD$49, $BE$50*BO26^6 + $BF$50*BO26^5 + $BG$50*BO26^4 + $BE$51*BO26^3 + $BF$51*BO26^2 + $BG$51*BO26 + $BE$52, $BB$50*BO26^6 + $BC$50*BO26^5 + $BD$50*BO26^4 + $BB$51*BO26^3 + $BC$51*BO26^2 + $BD$51*BO26 + $BB$52) )</f>
        <v>0.42367851188703648</v>
      </c>
      <c r="BP31" s="3"/>
      <c r="BQ31"/>
      <c r="BR31" s="3">
        <v>27</v>
      </c>
      <c r="BS31" s="3">
        <f t="shared" si="21"/>
        <v>0.15158438338258473</v>
      </c>
      <c r="BT31" s="3">
        <v>-2.3983601552673983E-8</v>
      </c>
      <c r="BU31" s="3">
        <f t="shared" si="22"/>
        <v>0.15158442504649164</v>
      </c>
      <c r="BV31" s="3">
        <v>1.4730491121675571E-7</v>
      </c>
      <c r="BW31" s="3">
        <f t="shared" si="7"/>
        <v>0.15158440421453817</v>
      </c>
      <c r="BX31" s="3">
        <v>6.1660663162182994E-8</v>
      </c>
      <c r="BY31" s="3">
        <f t="shared" si="8"/>
        <v>-1.4788447767554395E-15</v>
      </c>
      <c r="BZ31" s="3">
        <f t="shared" si="9"/>
        <v>9.0829185126716454E-15</v>
      </c>
      <c r="CA31" s="3">
        <f t="shared" si="10"/>
        <v>4.1663906907851711E-8</v>
      </c>
      <c r="CB31"/>
      <c r="CC31" s="3">
        <v>27</v>
      </c>
      <c r="CD31" s="3">
        <f t="shared" si="23"/>
        <v>0.12112285945212906</v>
      </c>
      <c r="CE31" s="3">
        <v>-6.7294797856561062E-8</v>
      </c>
      <c r="CF31" s="3">
        <f t="shared" si="24"/>
        <v>0.12112290111603596</v>
      </c>
      <c r="CG31" s="3">
        <v>8.1874114545368859E-8</v>
      </c>
      <c r="CH31" s="3">
        <f t="shared" si="11"/>
        <v>0.12112288028408251</v>
      </c>
      <c r="CI31" s="3">
        <v>7.2896674972386388E-9</v>
      </c>
      <c r="CJ31" s="3">
        <f t="shared" si="12"/>
        <v>-4.9055670066821758E-16</v>
      </c>
      <c r="CK31" s="3">
        <f t="shared" si="13"/>
        <v>5.968350716665686E-16</v>
      </c>
      <c r="CL31" s="3">
        <f t="shared" si="14"/>
        <v>4.1663906907851711E-8</v>
      </c>
    </row>
    <row r="32" spans="2:90" x14ac:dyDescent="0.2">
      <c r="B32" t="s">
        <v>275</v>
      </c>
      <c r="C32" s="1">
        <v>2.8540374719999999</v>
      </c>
      <c r="D32" t="s">
        <v>8</v>
      </c>
      <c r="F32" t="s">
        <v>98</v>
      </c>
      <c r="G32" s="9">
        <f>SQRT($G$26^2-$G$27^2)</f>
        <v>46.586890988374357</v>
      </c>
      <c r="H32" t="s">
        <v>10</v>
      </c>
      <c r="J32" s="12" t="s">
        <v>55</v>
      </c>
      <c r="K32" s="7">
        <f>ROUND(K13,2)</f>
        <v>839.46</v>
      </c>
      <c r="L32" s="7" t="s">
        <v>7</v>
      </c>
      <c r="O32" s="61" t="s">
        <v>295</v>
      </c>
      <c r="P32" s="61"/>
      <c r="Q32" s="61" t="s">
        <v>297</v>
      </c>
      <c r="R32" s="61"/>
      <c r="S32" s="7" t="s">
        <v>300</v>
      </c>
      <c r="X32" s="3">
        <v>28</v>
      </c>
      <c r="Y32" s="3">
        <f t="shared" si="15"/>
        <v>1.6835063695907593E-2</v>
      </c>
      <c r="Z32" s="3">
        <f t="shared" si="0"/>
        <v>3.4694142836411146E-9</v>
      </c>
      <c r="AA32" s="3">
        <f t="shared" si="16"/>
        <v>1.6835067421197891E-2</v>
      </c>
      <c r="AB32" s="3">
        <f t="shared" si="1"/>
        <v>-2.6521849993965674E-10</v>
      </c>
      <c r="AC32" s="3">
        <f t="shared" si="3"/>
        <v>1.6835065558552742E-2</v>
      </c>
      <c r="AD32" s="3">
        <f t="shared" si="2"/>
        <v>1.6020978918507289E-9</v>
      </c>
      <c r="AE32" s="3">
        <f t="shared" si="4"/>
        <v>5.5583413097782364E-18</v>
      </c>
      <c r="AF32" s="3">
        <f t="shared" si="5"/>
        <v>-4.2490599963313674E-19</v>
      </c>
      <c r="AG32" s="3">
        <f t="shared" si="6"/>
        <v>3.7252902984619141E-9</v>
      </c>
      <c r="AI32" s="3">
        <v>28</v>
      </c>
      <c r="AJ32" s="3">
        <f t="shared" si="25"/>
        <v>3182.1592599153519</v>
      </c>
      <c r="AK32" s="3">
        <v>-7.1924564508663025E-6</v>
      </c>
      <c r="AL32" s="3">
        <f t="shared" si="26"/>
        <v>3182.1592934429646</v>
      </c>
      <c r="AM32" s="3">
        <v>1.2503376638051122E-5</v>
      </c>
      <c r="AN32" s="3">
        <f t="shared" si="17"/>
        <v>3182.1592766791582</v>
      </c>
      <c r="AO32" s="3">
        <v>2.6554612304607872E-6</v>
      </c>
      <c r="AP32" s="3">
        <f t="shared" si="18"/>
        <v>-1.9099289257053058E-11</v>
      </c>
      <c r="AQ32" s="3">
        <f t="shared" si="19"/>
        <v>3.3202231912193894E-11</v>
      </c>
      <c r="AR32" s="3">
        <f t="shared" si="20"/>
        <v>3.3527612686157227E-5</v>
      </c>
      <c r="AT32" s="61"/>
      <c r="AU32" s="4">
        <f>0.061225*($AU$9/2)</f>
        <v>0.25752704400000004</v>
      </c>
      <c r="AV32" s="27" t="s">
        <v>8</v>
      </c>
      <c r="AW32"/>
      <c r="AX32"/>
      <c r="AY32"/>
      <c r="AZ32"/>
      <c r="BA32"/>
      <c r="BB32" s="3" t="s">
        <v>170</v>
      </c>
      <c r="BC32" s="3">
        <f>(1+$BK$75)*$AU$3</f>
        <v>8.4697367832395933</v>
      </c>
      <c r="BD32" s="27" t="s">
        <v>10</v>
      </c>
      <c r="BE32"/>
      <c r="BF32" s="3" t="s">
        <v>170</v>
      </c>
      <c r="BG32" s="3">
        <f>(1+$BO$75)*$AU$3</f>
        <v>7.1545627707694637</v>
      </c>
      <c r="BH32" s="27" t="s">
        <v>10</v>
      </c>
      <c r="BI32"/>
      <c r="BJ32" s="3" t="s">
        <v>200</v>
      </c>
      <c r="BK32" s="3">
        <f>IF(BK26&lt;$BC$49, $AY$53*BK26^6 + $AZ$53*BK26^5 + $BA$53*BK26^4 + $AY$54*BK26^3 + $AZ$54*BK26^2 + $BA$54*BK26 + $AY$55, IF(BK26&gt;$BD$49, $BE$53*BK26^6 + $BF$53*BK26^5 + $BG$53*BK26^4 + $BE$54*BK26^3 + $BF$54*BK26^2 + $BG$54*BK26 + $BE$55, $BB$53*BK26^6 + $BC$53*BK26^5 + $BD$53*BK26^4 + $BB$54*BK26^3 + $BC$54*BK26^2 + $BD$54*BK26 + $BB$55) )</f>
        <v>2.9208810439983503E-2</v>
      </c>
      <c r="BL32" s="3"/>
      <c r="BM32" s="3"/>
      <c r="BN32" s="3" t="s">
        <v>200</v>
      </c>
      <c r="BO32" s="3">
        <f>IF(BO26&lt;$BC$49, $AY$53*BO26^6 + $AZ$53*BO26^5 + $BA$53*BO26^4 + $AY$54*BO26^3 + $AZ$54*BO26^2 + $BA$54*BO26 + $AY$55, IF(BO26&gt;$BD$49, $BE$53*BO26^6 + $BF$53*BO26^5 + $BG$53*BO26^4 + $BE$54*BO26^3 + $BF$54*BO26^2 + $BG$54*BO26 + $BE$55, $BB$53*BO26^6 + $BC$53*BO26^5 + $BD$53*BO26^4 + $BB$54*BO26^3 + $BC$54*BO26^2 + $BD$54*BO26 + $BB$55) )</f>
        <v>3.1270357214756565E-2</v>
      </c>
      <c r="BP32" s="3"/>
      <c r="BQ32"/>
      <c r="BR32" s="3">
        <v>28</v>
      </c>
      <c r="BS32" s="3">
        <f t="shared" si="21"/>
        <v>0.15158438338258473</v>
      </c>
      <c r="BT32" s="3">
        <v>-2.3983601552673983E-8</v>
      </c>
      <c r="BU32" s="3">
        <f t="shared" si="22"/>
        <v>0.15158440421453817</v>
      </c>
      <c r="BV32" s="3">
        <v>6.1660663162182994E-8</v>
      </c>
      <c r="BW32" s="3">
        <f t="shared" si="7"/>
        <v>0.15158439379856145</v>
      </c>
      <c r="BX32" s="3">
        <v>1.883853285346293E-8</v>
      </c>
      <c r="BY32" s="3">
        <f t="shared" si="8"/>
        <v>-4.5181586579441337E-16</v>
      </c>
      <c r="BZ32" s="3">
        <f t="shared" si="9"/>
        <v>1.1615964287470958E-15</v>
      </c>
      <c r="CA32" s="3">
        <f t="shared" si="10"/>
        <v>2.0831953440048068E-8</v>
      </c>
      <c r="CB32"/>
      <c r="CC32" s="3">
        <v>28</v>
      </c>
      <c r="CD32" s="3">
        <f t="shared" si="23"/>
        <v>0.12112285945212906</v>
      </c>
      <c r="CE32" s="3">
        <v>-6.7294797856561062E-8</v>
      </c>
      <c r="CF32" s="3">
        <f t="shared" si="24"/>
        <v>0.12112288028408251</v>
      </c>
      <c r="CG32" s="3">
        <v>7.2896674972386388E-9</v>
      </c>
      <c r="CH32" s="3">
        <f t="shared" si="11"/>
        <v>0.12112286986810578</v>
      </c>
      <c r="CI32" s="3">
        <v>-3.0002562947072098E-8</v>
      </c>
      <c r="CJ32" s="3">
        <f t="shared" si="12"/>
        <v>2.0190164087019657E-15</v>
      </c>
      <c r="CK32" s="3">
        <f t="shared" si="13"/>
        <v>-2.1870870794912777E-16</v>
      </c>
      <c r="CL32" s="3">
        <f t="shared" si="14"/>
        <v>2.0831953453925856E-8</v>
      </c>
    </row>
    <row r="33" spans="2:90" x14ac:dyDescent="0.2">
      <c r="B33" t="s">
        <v>276</v>
      </c>
      <c r="C33" s="1">
        <f>(0.750222528+0.849998808)/2</f>
        <v>0.80011066800000008</v>
      </c>
      <c r="D33"/>
      <c r="F33" t="s">
        <v>99</v>
      </c>
      <c r="G33" s="9">
        <f>$G$32*($G$28/$G$27)</f>
        <v>12267.881293605247</v>
      </c>
      <c r="H33" t="s">
        <v>8</v>
      </c>
      <c r="J33" s="20" t="s">
        <v>81</v>
      </c>
      <c r="K33" s="7">
        <f>ROUND(SUM(K14:K17),2)</f>
        <v>1283.25</v>
      </c>
      <c r="L33" s="7" t="s">
        <v>7</v>
      </c>
      <c r="N33" s="7" t="s">
        <v>296</v>
      </c>
      <c r="O33" s="61">
        <f>7221*0.453592</f>
        <v>3275.3878319999999</v>
      </c>
      <c r="P33" s="61"/>
      <c r="Q33" s="61">
        <f>K12</f>
        <v>3182.1592721566958</v>
      </c>
      <c r="R33" s="61"/>
      <c r="S33" s="50">
        <f>(Q33-O33)/O33</f>
        <v>-2.8463365141824244E-2</v>
      </c>
      <c r="X33" s="3">
        <v>29</v>
      </c>
      <c r="Y33" s="3">
        <f t="shared" si="15"/>
        <v>1.6835065558552742E-2</v>
      </c>
      <c r="Z33" s="3">
        <f t="shared" si="0"/>
        <v>1.6020978918507289E-9</v>
      </c>
      <c r="AA33" s="3">
        <f t="shared" si="16"/>
        <v>1.6835067421197891E-2</v>
      </c>
      <c r="AB33" s="3">
        <f t="shared" si="1"/>
        <v>-2.6521849993965674E-10</v>
      </c>
      <c r="AC33" s="3">
        <f t="shared" si="3"/>
        <v>1.6835066489875317E-2</v>
      </c>
      <c r="AD33" s="3">
        <f t="shared" si="2"/>
        <v>6.684396959555361E-10</v>
      </c>
      <c r="AE33" s="3">
        <f t="shared" si="4"/>
        <v>1.0709058277197066E-18</v>
      </c>
      <c r="AF33" s="3">
        <f t="shared" si="5"/>
        <v>-1.7728257346144752E-19</v>
      </c>
      <c r="AG33" s="3">
        <f t="shared" si="6"/>
        <v>1.862645149230957E-9</v>
      </c>
      <c r="AI33" s="3">
        <v>29</v>
      </c>
      <c r="AJ33" s="3">
        <f t="shared" si="25"/>
        <v>3182.1592599153519</v>
      </c>
      <c r="AK33" s="3">
        <v>-7.1924564508663025E-6</v>
      </c>
      <c r="AL33" s="3">
        <f t="shared" si="26"/>
        <v>3182.1592766791582</v>
      </c>
      <c r="AM33" s="3">
        <v>2.6554612304607872E-6</v>
      </c>
      <c r="AN33" s="3">
        <f t="shared" si="17"/>
        <v>3182.159268297255</v>
      </c>
      <c r="AO33" s="3">
        <v>-2.2684971554554068E-6</v>
      </c>
      <c r="AP33" s="3">
        <f t="shared" si="18"/>
        <v>1.6316066999527098E-11</v>
      </c>
      <c r="AQ33" s="3">
        <f t="shared" si="19"/>
        <v>-6.0239062477224101E-12</v>
      </c>
      <c r="AR33" s="3">
        <f t="shared" si="20"/>
        <v>1.6763806343078613E-5</v>
      </c>
      <c r="AT33" s="61"/>
      <c r="AU33" s="4">
        <f>0.059175*($AU$9/2)</f>
        <v>0.24890425199999999</v>
      </c>
      <c r="AV33" s="27" t="s">
        <v>8</v>
      </c>
      <c r="AW33"/>
      <c r="AX33"/>
      <c r="AY33"/>
      <c r="AZ33"/>
      <c r="BA33"/>
      <c r="BB33" s="3" t="s">
        <v>175</v>
      </c>
      <c r="BC33" s="3">
        <f>(1-$BK$76)*$AY$5*$AU$25</f>
        <v>192.60317305661269</v>
      </c>
      <c r="BD33" s="27" t="s">
        <v>10</v>
      </c>
      <c r="BE33"/>
      <c r="BF33" s="3" t="s">
        <v>175</v>
      </c>
      <c r="BG33" s="3">
        <f>(1-$BO$76)*$AY$5*$AU$26</f>
        <v>217.50846742611503</v>
      </c>
      <c r="BH33" s="27" t="s">
        <v>10</v>
      </c>
      <c r="BI33"/>
      <c r="BJ33" s="3" t="s">
        <v>202</v>
      </c>
      <c r="BK33" s="3">
        <f xml:space="preserve"> BK31*COS(BK23) - BK32*SIN(BK23)</f>
        <v>0.45992721919462959</v>
      </c>
      <c r="BL33" s="3"/>
      <c r="BM33"/>
      <c r="BN33" s="3" t="s">
        <v>202</v>
      </c>
      <c r="BO33" s="3">
        <f xml:space="preserve"> BO31*COS(BO23) - BO32*SIN(BO23)</f>
        <v>0.41964093629807619</v>
      </c>
      <c r="BP33" s="3"/>
      <c r="BQ33"/>
      <c r="BR33" s="3">
        <v>29</v>
      </c>
      <c r="BS33" s="3">
        <f t="shared" si="21"/>
        <v>0.15158438338258473</v>
      </c>
      <c r="BT33" s="3">
        <v>-2.3983601552673983E-8</v>
      </c>
      <c r="BU33" s="3">
        <f t="shared" si="22"/>
        <v>0.15158439379856145</v>
      </c>
      <c r="BV33" s="3">
        <v>1.883853285346293E-8</v>
      </c>
      <c r="BW33" s="3">
        <f t="shared" si="7"/>
        <v>0.1515843885905731</v>
      </c>
      <c r="BX33" s="3">
        <v>-2.5725337745446941E-9</v>
      </c>
      <c r="BY33" s="3">
        <f t="shared" si="8"/>
        <v>6.169862502947639E-17</v>
      </c>
      <c r="BZ33" s="3">
        <f t="shared" si="9"/>
        <v>-4.8462762028403221E-17</v>
      </c>
      <c r="CA33" s="3">
        <f t="shared" si="10"/>
        <v>1.0415976720024034E-8</v>
      </c>
      <c r="CB33"/>
      <c r="CC33" s="3">
        <v>29</v>
      </c>
      <c r="CD33" s="3">
        <f t="shared" si="23"/>
        <v>0.12112286986810578</v>
      </c>
      <c r="CE33" s="3">
        <v>-3.0002562947072098E-8</v>
      </c>
      <c r="CF33" s="3">
        <f t="shared" si="24"/>
        <v>0.12112288028408251</v>
      </c>
      <c r="CG33" s="3">
        <v>7.2896674972386388E-9</v>
      </c>
      <c r="CH33" s="3">
        <f t="shared" si="11"/>
        <v>0.12112287507609415</v>
      </c>
      <c r="CI33" s="3">
        <v>-1.1356447109089896E-8</v>
      </c>
      <c r="CJ33" s="3">
        <f t="shared" si="12"/>
        <v>3.4072251924556452E-16</v>
      </c>
      <c r="CK33" s="3">
        <f t="shared" si="13"/>
        <v>-8.278472337524232E-17</v>
      </c>
      <c r="CL33" s="3">
        <f t="shared" si="14"/>
        <v>1.0415976733901822E-8</v>
      </c>
    </row>
    <row r="34" spans="2:90" x14ac:dyDescent="0.2">
      <c r="F34" t="s">
        <v>108</v>
      </c>
      <c r="G34" s="9">
        <f>ATAN(G27/G32)/PI()*180</f>
        <v>5.6050131641827781</v>
      </c>
      <c r="H34" t="s">
        <v>43</v>
      </c>
      <c r="J34" s="21" t="s">
        <v>72</v>
      </c>
      <c r="K34" s="7">
        <f>ROUND(SUM(K18:K22),2)</f>
        <v>314.73</v>
      </c>
      <c r="L34" s="7" t="s">
        <v>7</v>
      </c>
      <c r="N34" s="7" t="s">
        <v>305</v>
      </c>
      <c r="O34" s="61">
        <f>6012*0.453592</f>
        <v>2726.9951040000001</v>
      </c>
      <c r="P34" s="61"/>
      <c r="Q34" s="61">
        <f>K12-C14</f>
        <v>2633.766544156696</v>
      </c>
      <c r="R34" s="61"/>
      <c r="S34" s="50">
        <f t="shared" ref="S34" si="27">(Q34-O34)/O34</f>
        <v>-3.4187285377430612E-2</v>
      </c>
      <c r="X34" s="3">
        <v>30</v>
      </c>
      <c r="Y34" s="3">
        <f t="shared" si="15"/>
        <v>1.6835066489875317E-2</v>
      </c>
      <c r="Z34" s="3">
        <f t="shared" si="0"/>
        <v>6.684396959555361E-10</v>
      </c>
      <c r="AA34" s="3">
        <f t="shared" si="16"/>
        <v>1.6835067421197891E-2</v>
      </c>
      <c r="AB34" s="3">
        <f t="shared" si="1"/>
        <v>-2.6521849993965674E-10</v>
      </c>
      <c r="AC34" s="3">
        <f t="shared" si="3"/>
        <v>1.6835066955536604E-2</v>
      </c>
      <c r="AD34" s="3">
        <f t="shared" si="2"/>
        <v>2.016105962732162E-10</v>
      </c>
      <c r="AE34" s="3">
        <f t="shared" si="4"/>
        <v>1.3476452567428298E-19</v>
      </c>
      <c r="AF34" s="3">
        <f t="shared" si="5"/>
        <v>-5.347085991552215E-20</v>
      </c>
      <c r="AG34" s="3">
        <f>AA34-Y34</f>
        <v>9.3132257461547852E-10</v>
      </c>
      <c r="AI34" s="3">
        <v>30</v>
      </c>
      <c r="AJ34" s="3">
        <f t="shared" si="25"/>
        <v>3182.159268297255</v>
      </c>
      <c r="AK34" s="3">
        <v>-2.2684971554554068E-6</v>
      </c>
      <c r="AL34" s="3">
        <f t="shared" si="26"/>
        <v>3182.1592766791582</v>
      </c>
      <c r="AM34" s="3">
        <v>2.6554612304607872E-6</v>
      </c>
      <c r="AN34" s="3">
        <f t="shared" si="17"/>
        <v>3182.1592724882066</v>
      </c>
      <c r="AO34" s="3">
        <v>1.9348135538166389E-7</v>
      </c>
      <c r="AP34" s="3">
        <f t="shared" si="18"/>
        <v>-4.3891190431696119E-13</v>
      </c>
      <c r="AQ34" s="3">
        <f t="shared" si="19"/>
        <v>5.1378223803301404E-13</v>
      </c>
      <c r="AR34" s="3">
        <f t="shared" si="20"/>
        <v>8.3819031715393066E-6</v>
      </c>
      <c r="AT34" s="61"/>
      <c r="AU34" s="4">
        <f>0.057125*($AU$9/2)</f>
        <v>0.24028146000000003</v>
      </c>
      <c r="AV34" s="27" t="s">
        <v>8</v>
      </c>
      <c r="AW34"/>
      <c r="AX34"/>
      <c r="AY34"/>
      <c r="AZ34"/>
      <c r="BA34"/>
      <c r="BB34" s="3" t="s">
        <v>179</v>
      </c>
      <c r="BC34" s="3">
        <f>SQRT(BC32^2 + BC33^2)</f>
        <v>192.7893117178773</v>
      </c>
      <c r="BD34" s="27" t="s">
        <v>10</v>
      </c>
      <c r="BE34"/>
      <c r="BF34" s="3" t="s">
        <v>179</v>
      </c>
      <c r="BG34" s="3">
        <f>SQRT(BG32^2 + BG33^2)</f>
        <v>217.62610406497248</v>
      </c>
      <c r="BH34" s="27" t="s">
        <v>10</v>
      </c>
      <c r="BI34"/>
      <c r="BJ34" s="3" t="s">
        <v>204</v>
      </c>
      <c r="BK34" s="3">
        <f xml:space="preserve"> BK31*SIN(BK23) + BK32*COS(BK23)</f>
        <v>7.5391629565913609E-2</v>
      </c>
      <c r="BL34" s="3"/>
      <c r="BM34"/>
      <c r="BN34" s="3" t="s">
        <v>204</v>
      </c>
      <c r="BO34" s="3">
        <f xml:space="preserve"> BO31*SIN(BO23) + BO32*COS(BO23)</f>
        <v>6.6202728478712641E-2</v>
      </c>
      <c r="BP34" s="3"/>
      <c r="BQ34"/>
      <c r="BR34" s="3">
        <v>30</v>
      </c>
      <c r="BS34" s="3">
        <f t="shared" si="21"/>
        <v>0.1515843885905731</v>
      </c>
      <c r="BT34" s="3">
        <v>-2.5725337745446941E-9</v>
      </c>
      <c r="BU34" s="3">
        <f t="shared" si="22"/>
        <v>0.15158439379856145</v>
      </c>
      <c r="BV34" s="3">
        <v>1.883853285346293E-8</v>
      </c>
      <c r="BW34" s="6">
        <f t="shared" si="7"/>
        <v>0.15158439119456729</v>
      </c>
      <c r="BX34" s="3">
        <v>8.1329997615037231E-9</v>
      </c>
      <c r="BY34" s="3">
        <f t="shared" si="8"/>
        <v>-2.0922416574832271E-17</v>
      </c>
      <c r="BZ34" s="3">
        <f t="shared" si="9"/>
        <v>1.5321378320429407E-16</v>
      </c>
      <c r="CA34" s="3">
        <f t="shared" si="10"/>
        <v>5.2079883461342291E-9</v>
      </c>
      <c r="CB34"/>
      <c r="CC34" s="3">
        <v>30</v>
      </c>
      <c r="CD34" s="3">
        <f t="shared" si="23"/>
        <v>0.12112287507609415</v>
      </c>
      <c r="CE34" s="3">
        <v>-1.1356447109089896E-8</v>
      </c>
      <c r="CF34" s="3">
        <f t="shared" si="24"/>
        <v>0.12112288028408251</v>
      </c>
      <c r="CG34" s="3">
        <v>7.2896674972386388E-9</v>
      </c>
      <c r="CH34" s="6">
        <f t="shared" si="11"/>
        <v>0.12112287768008834</v>
      </c>
      <c r="CI34" s="3">
        <v>-2.0333896597751755E-9</v>
      </c>
      <c r="CJ34" s="3">
        <f t="shared" si="12"/>
        <v>2.3092082123407077E-17</v>
      </c>
      <c r="CK34" s="3">
        <f t="shared" si="13"/>
        <v>-1.482273451208423E-17</v>
      </c>
      <c r="CL34" s="3">
        <f t="shared" si="14"/>
        <v>5.2079883600120169E-9</v>
      </c>
    </row>
    <row r="35" spans="2:90" x14ac:dyDescent="0.2">
      <c r="B35" s="68" t="s">
        <v>2</v>
      </c>
      <c r="C35" s="68"/>
      <c r="D35" s="68"/>
      <c r="F35" t="s">
        <v>111</v>
      </c>
      <c r="G35" s="7">
        <f xml:space="preserve"> 1/1000 * (O24 + O19 * (O29 * O26 + $G$26 * SIN(O18/180*PI())))</f>
        <v>77.01872846224046</v>
      </c>
      <c r="H35" t="s">
        <v>116</v>
      </c>
      <c r="J35" s="16" t="s">
        <v>73</v>
      </c>
      <c r="K35" s="7">
        <f>ROUND(SUM(K23:K26),2)</f>
        <v>196.32</v>
      </c>
      <c r="L35" s="7" t="s">
        <v>7</v>
      </c>
      <c r="N35" s="7" t="s">
        <v>298</v>
      </c>
      <c r="O35" s="61">
        <f>1742*0.453592</f>
        <v>790.15726399999994</v>
      </c>
      <c r="P35" s="61"/>
      <c r="Q35" s="61">
        <f>K13</f>
        <v>839.45785900081069</v>
      </c>
      <c r="R35" s="61"/>
      <c r="S35" s="50">
        <f t="shared" ref="S35:S36" si="28">(Q35-O35)/O35</f>
        <v>6.2393395906072124E-2</v>
      </c>
      <c r="AI35" s="3">
        <v>31</v>
      </c>
      <c r="AJ35" s="3">
        <f t="shared" si="25"/>
        <v>3182.159268297255</v>
      </c>
      <c r="AK35" s="3">
        <v>-2.2684971554554068E-6</v>
      </c>
      <c r="AL35" s="3">
        <f t="shared" si="26"/>
        <v>3182.1592724882066</v>
      </c>
      <c r="AM35" s="3">
        <v>1.9348135538166389E-7</v>
      </c>
      <c r="AN35" s="3">
        <f t="shared" si="17"/>
        <v>3182.1592703927308</v>
      </c>
      <c r="AO35" s="3">
        <v>-1.0375074452895205E-6</v>
      </c>
      <c r="AP35" s="3">
        <f t="shared" si="18"/>
        <v>2.3535826884030834E-12</v>
      </c>
      <c r="AQ35" s="3">
        <f t="shared" si="19"/>
        <v>-2.0073834673318393E-13</v>
      </c>
      <c r="AR35" s="3">
        <f t="shared" si="20"/>
        <v>4.1909515857696533E-6</v>
      </c>
      <c r="AT35" s="61" t="s">
        <v>235</v>
      </c>
      <c r="AU35" s="4">
        <v>6.9</v>
      </c>
      <c r="AV35" s="27" t="s">
        <v>43</v>
      </c>
      <c r="AW35"/>
      <c r="AX35"/>
      <c r="AY35"/>
      <c r="AZ35"/>
      <c r="BA35"/>
      <c r="BB35" s="3" t="s">
        <v>182</v>
      </c>
      <c r="BC35" s="38">
        <f>$AU$45*BC34*$AU$33/$AU$46</f>
        <v>2836361.1997734099</v>
      </c>
      <c r="BD35" s="27"/>
      <c r="BE35"/>
      <c r="BF35" s="3" t="s">
        <v>182</v>
      </c>
      <c r="BG35" s="38">
        <f>$AU$45*BG34*$AU$34/$AU$46</f>
        <v>3090847.0656027808</v>
      </c>
      <c r="BH35" s="27"/>
      <c r="BI35"/>
      <c r="BJ35" s="3" t="s">
        <v>38</v>
      </c>
      <c r="BK35" s="3">
        <f xml:space="preserve"> 4*BK30*SIN(BK23)*SIN(BK23) / (BK27*BK33)</f>
        <v>1.0593112947629977</v>
      </c>
      <c r="BL35" s="3"/>
      <c r="BM35"/>
      <c r="BN35" s="3" t="s">
        <v>38</v>
      </c>
      <c r="BO35" s="3">
        <f xml:space="preserve"> 4*BO30*SIN(BO23)*SIN(BO23) / (BO27*BO33)</f>
        <v>1.0555899992119091</v>
      </c>
      <c r="BP35" s="3"/>
      <c r="BQ35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/>
      <c r="CC35"/>
      <c r="CD35"/>
      <c r="CE35"/>
      <c r="CF35"/>
      <c r="CG35"/>
      <c r="CH35"/>
      <c r="CI35"/>
      <c r="CJ35"/>
      <c r="CK35"/>
      <c r="CL35"/>
    </row>
    <row r="36" spans="2:90" x14ac:dyDescent="0.2">
      <c r="B36" s="7" t="s">
        <v>3</v>
      </c>
      <c r="C36" s="18">
        <v>420</v>
      </c>
      <c r="D36" s="7" t="s">
        <v>4</v>
      </c>
      <c r="F36" s="43" t="s">
        <v>100</v>
      </c>
      <c r="G36" s="46">
        <f>$C$19*G35</f>
        <v>308.07491384896184</v>
      </c>
      <c r="H36" s="43" t="s">
        <v>116</v>
      </c>
      <c r="J36" s="11" t="s">
        <v>62</v>
      </c>
      <c r="K36" s="11">
        <f>SUM(K31:K35)</f>
        <v>3182.15</v>
      </c>
      <c r="L36" s="7" t="s">
        <v>7</v>
      </c>
      <c r="N36" s="7" t="s">
        <v>301</v>
      </c>
      <c r="O36" s="61">
        <f>O34-O35</f>
        <v>1936.8378400000001</v>
      </c>
      <c r="P36" s="61"/>
      <c r="Q36" s="61">
        <f>Q34-Q35</f>
        <v>1794.3086851558853</v>
      </c>
      <c r="R36" s="61"/>
      <c r="S36" s="50">
        <f t="shared" si="28"/>
        <v>-7.3588584392854914E-2</v>
      </c>
      <c r="AI36" s="3">
        <v>32</v>
      </c>
      <c r="AJ36" s="3">
        <f t="shared" si="25"/>
        <v>3182.1592703927308</v>
      </c>
      <c r="AK36" s="3">
        <v>-1.0375074452895205E-6</v>
      </c>
      <c r="AL36" s="3">
        <f t="shared" si="26"/>
        <v>3182.1592724882066</v>
      </c>
      <c r="AM36" s="3">
        <v>1.9348135538166389E-7</v>
      </c>
      <c r="AN36" s="3">
        <f t="shared" si="17"/>
        <v>3182.1592714404687</v>
      </c>
      <c r="AO36" s="3">
        <v>-4.2201281758025289E-7</v>
      </c>
      <c r="AP36" s="3">
        <f t="shared" si="18"/>
        <v>4.3784144024712064E-13</v>
      </c>
      <c r="AQ36" s="3">
        <f t="shared" si="19"/>
        <v>-8.1651611933862203E-14</v>
      </c>
      <c r="AR36" s="3">
        <f t="shared" si="20"/>
        <v>2.0954757928848267E-6</v>
      </c>
      <c r="AT36" s="61"/>
      <c r="AU36" s="4">
        <v>5.58</v>
      </c>
      <c r="AV36" s="27" t="s">
        <v>43</v>
      </c>
      <c r="AW36"/>
      <c r="AX36"/>
      <c r="AY36"/>
      <c r="AZ36"/>
      <c r="BA36"/>
      <c r="BB36" s="3" t="s">
        <v>186</v>
      </c>
      <c r="BC36" s="34">
        <f xml:space="preserve"> $BK$65 * PI() * $AU$45 * BC34^2 * $BK$71 * $AU$25 * BC31</f>
        <v>1408.0726576515835</v>
      </c>
      <c r="BD36" s="27" t="s">
        <v>22</v>
      </c>
      <c r="BE36"/>
      <c r="BF36" s="3" t="s">
        <v>186</v>
      </c>
      <c r="BG36" s="34">
        <f xml:space="preserve"> $BO$65 * PI() * $AU$45 * BG34^2 * $BO$71 * $AU$26 * BG31</f>
        <v>1074.2451897446799</v>
      </c>
      <c r="BH36" s="27" t="s">
        <v>22</v>
      </c>
      <c r="BI36"/>
      <c r="BJ36" s="3" t="s">
        <v>206</v>
      </c>
      <c r="BK36" s="3">
        <f xml:space="preserve"> 4*BK30*SIN(BK23)*COS(BK23) / (BK27*BK34)</f>
        <v>64.561410414816223</v>
      </c>
      <c r="BL36" s="3"/>
      <c r="BM36"/>
      <c r="BN36" s="3" t="s">
        <v>206</v>
      </c>
      <c r="BO36" s="3">
        <f xml:space="preserve"> 4*BO30*SIN(BO23)*COS(BO23) / (BO27*BO34)</f>
        <v>80.627922014944431</v>
      </c>
      <c r="BP36" s="3"/>
      <c r="BQ36"/>
      <c r="BR36" s="74" t="s">
        <v>219</v>
      </c>
      <c r="BS36" s="74"/>
      <c r="BT36" s="74"/>
      <c r="BU36" s="74"/>
      <c r="BV36" s="74"/>
      <c r="BW36" s="74"/>
      <c r="BX36" s="74"/>
      <c r="BY36" s="74"/>
      <c r="BZ36" s="74"/>
      <c r="CA36" s="74"/>
      <c r="CB36"/>
      <c r="CC36" s="74" t="s">
        <v>220</v>
      </c>
      <c r="CD36" s="74"/>
      <c r="CE36" s="74"/>
      <c r="CF36" s="74"/>
      <c r="CG36" s="74"/>
      <c r="CH36" s="74"/>
      <c r="CI36" s="74"/>
      <c r="CJ36" s="74"/>
      <c r="CK36" s="74"/>
      <c r="CL36" s="74"/>
    </row>
    <row r="37" spans="2:90" x14ac:dyDescent="0.2">
      <c r="B37" s="7" t="s">
        <v>5</v>
      </c>
      <c r="C37" s="18">
        <v>1</v>
      </c>
      <c r="N37" s="7" t="s">
        <v>299</v>
      </c>
      <c r="O37" s="61">
        <f>3*4.882*C44</f>
        <v>143.5454309674443</v>
      </c>
      <c r="P37" s="61"/>
      <c r="Q37" s="61">
        <f>K12*C44/(C19*PI()*C10^2)</f>
        <v>140.27952754950945</v>
      </c>
      <c r="R37" s="61"/>
      <c r="S37" s="50">
        <f>(Q37-O37)/O37</f>
        <v>-2.2751705825283623E-2</v>
      </c>
      <c r="X37" s="17" t="s">
        <v>105</v>
      </c>
      <c r="AI37" s="3">
        <v>33</v>
      </c>
      <c r="AJ37" s="3">
        <f t="shared" si="25"/>
        <v>3182.1592714404687</v>
      </c>
      <c r="AK37" s="3">
        <v>-4.2201281758025289E-7</v>
      </c>
      <c r="AL37" s="3">
        <f t="shared" si="26"/>
        <v>3182.1592724882066</v>
      </c>
      <c r="AM37" s="3">
        <v>1.9348135538166389E-7</v>
      </c>
      <c r="AN37" s="3">
        <f t="shared" si="17"/>
        <v>3182.1592719643377</v>
      </c>
      <c r="AO37" s="3">
        <v>-1.1426664059399627E-7</v>
      </c>
      <c r="AP37" s="3">
        <f t="shared" si="18"/>
        <v>4.8221986952502468E-14</v>
      </c>
      <c r="AQ37" s="3">
        <f t="shared" si="19"/>
        <v>-2.2108464497035854E-14</v>
      </c>
      <c r="AR37" s="3">
        <f t="shared" si="20"/>
        <v>1.0477378964424133E-6</v>
      </c>
      <c r="AT37" s="61"/>
      <c r="AU37" s="4">
        <v>4.26</v>
      </c>
      <c r="AV37" s="27" t="s">
        <v>43</v>
      </c>
      <c r="AW37"/>
      <c r="AX37"/>
      <c r="AY37"/>
      <c r="AZ37"/>
      <c r="BA37"/>
      <c r="BB37" s="3" t="s">
        <v>190</v>
      </c>
      <c r="BC37" s="34">
        <f xml:space="preserve"> $BK$65 * PI() * $AU$45 * BC34^2 * $BK$72 * $AU$25^2 * BC31</f>
        <v>1227.9059419290741</v>
      </c>
      <c r="BD37" s="27" t="s">
        <v>191</v>
      </c>
      <c r="BE37"/>
      <c r="BF37" s="3" t="s">
        <v>190</v>
      </c>
      <c r="BG37" s="34">
        <f xml:space="preserve"> $BO$65 * PI() * $AU$45 * BG34^2 * $BO$72 * $AU$26^2 * BG31</f>
        <v>1737.6894579691814</v>
      </c>
      <c r="BH37" s="27" t="s">
        <v>191</v>
      </c>
      <c r="BI37"/>
      <c r="BJ37" s="3" t="s">
        <v>45</v>
      </c>
      <c r="BK37" s="3">
        <f>1/(BK35-1)</f>
        <v>16.86019507744529</v>
      </c>
      <c r="BL37" s="3"/>
      <c r="BM37"/>
      <c r="BN37" s="3" t="s">
        <v>45</v>
      </c>
      <c r="BO37" s="3">
        <f>1/(BO35-1)</f>
        <v>17.98884716993788</v>
      </c>
      <c r="BP37" s="3"/>
      <c r="BQ37"/>
      <c r="BR37" s="8" t="s">
        <v>44</v>
      </c>
      <c r="BS37" s="8" t="s">
        <v>45</v>
      </c>
      <c r="BT37" s="8" t="s">
        <v>46</v>
      </c>
      <c r="BU37" s="8" t="s">
        <v>47</v>
      </c>
      <c r="BV37" s="8" t="s">
        <v>48</v>
      </c>
      <c r="BW37" s="8" t="s">
        <v>49</v>
      </c>
      <c r="BX37" s="8" t="s">
        <v>50</v>
      </c>
      <c r="BY37" s="8" t="s">
        <v>51</v>
      </c>
      <c r="BZ37" s="8" t="s">
        <v>52</v>
      </c>
      <c r="CA37" s="8" t="s">
        <v>53</v>
      </c>
      <c r="CB37"/>
      <c r="CC37" s="8" t="s">
        <v>44</v>
      </c>
      <c r="CD37" s="8" t="s">
        <v>45</v>
      </c>
      <c r="CE37" s="8" t="s">
        <v>46</v>
      </c>
      <c r="CF37" s="8" t="s">
        <v>47</v>
      </c>
      <c r="CG37" s="8" t="s">
        <v>48</v>
      </c>
      <c r="CH37" s="8" t="s">
        <v>49</v>
      </c>
      <c r="CI37" s="8" t="s">
        <v>50</v>
      </c>
      <c r="CJ37" s="8" t="s">
        <v>51</v>
      </c>
      <c r="CK37" s="8" t="s">
        <v>52</v>
      </c>
      <c r="CL37" s="8" t="s">
        <v>53</v>
      </c>
    </row>
    <row r="38" spans="2:90" x14ac:dyDescent="0.2">
      <c r="B38" s="7" t="s">
        <v>6</v>
      </c>
      <c r="C38" s="18">
        <v>1</v>
      </c>
      <c r="F38" s="66" t="s">
        <v>89</v>
      </c>
      <c r="G38" s="67"/>
      <c r="H38" s="67"/>
      <c r="J38" s="68" t="s">
        <v>59</v>
      </c>
      <c r="K38" s="68"/>
      <c r="L38" s="68"/>
      <c r="N38" s="7" t="s">
        <v>306</v>
      </c>
      <c r="O38" s="61">
        <f>O33*C50*C9/O39/1000</f>
        <v>259.04017894061036</v>
      </c>
      <c r="P38" s="61"/>
      <c r="Q38" s="61">
        <f>G43</f>
        <v>246.59201521065162</v>
      </c>
      <c r="R38" s="61"/>
      <c r="S38" s="50">
        <f t="shared" ref="S38" si="29">(Q38-O38)/O38</f>
        <v>-4.8054953408647474E-2</v>
      </c>
      <c r="X38" s="8" t="s">
        <v>44</v>
      </c>
      <c r="Y38" s="8" t="s">
        <v>45</v>
      </c>
      <c r="Z38" s="8" t="s">
        <v>46</v>
      </c>
      <c r="AA38" s="8" t="s">
        <v>47</v>
      </c>
      <c r="AB38" s="8" t="s">
        <v>48</v>
      </c>
      <c r="AC38" s="8" t="s">
        <v>49</v>
      </c>
      <c r="AD38" s="8" t="s">
        <v>50</v>
      </c>
      <c r="AE38" s="8" t="s">
        <v>51</v>
      </c>
      <c r="AF38" s="8" t="s">
        <v>52</v>
      </c>
      <c r="AG38" s="8" t="s">
        <v>53</v>
      </c>
      <c r="AI38" s="3">
        <v>34</v>
      </c>
      <c r="AJ38" s="3">
        <f t="shared" si="25"/>
        <v>3182.1592719643377</v>
      </c>
      <c r="AK38" s="3">
        <v>-1.1426664059399627E-7</v>
      </c>
      <c r="AL38" s="3">
        <f t="shared" si="26"/>
        <v>3182.1592724882066</v>
      </c>
      <c r="AM38" s="3">
        <v>1.9348135538166389E-7</v>
      </c>
      <c r="AN38" s="3">
        <f t="shared" si="17"/>
        <v>3182.1592722262722</v>
      </c>
      <c r="AO38" s="3">
        <v>3.9608039514860138E-8</v>
      </c>
      <c r="AP38" s="3">
        <f t="shared" si="18"/>
        <v>-4.5258776158773259E-15</v>
      </c>
      <c r="AQ38" s="3">
        <f t="shared" si="19"/>
        <v>7.6634171693456406E-15</v>
      </c>
      <c r="AR38" s="3">
        <f t="shared" si="20"/>
        <v>5.2386894822120667E-7</v>
      </c>
      <c r="AT38" s="61"/>
      <c r="AU38" s="4">
        <v>2.94</v>
      </c>
      <c r="AV38" s="27" t="s">
        <v>43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 s="3" t="s">
        <v>209</v>
      </c>
      <c r="BK38" s="3">
        <f>1/(BK36+1)</f>
        <v>1.525287503232252E-2</v>
      </c>
      <c r="BL38" s="3"/>
      <c r="BM38"/>
      <c r="BN38" s="3" t="s">
        <v>209</v>
      </c>
      <c r="BO38" s="3">
        <f>1/(BO36+1)</f>
        <v>1.2250709993780315E-2</v>
      </c>
      <c r="BP38" s="3"/>
      <c r="BQ38"/>
      <c r="BR38" s="31">
        <v>0</v>
      </c>
      <c r="BS38" s="31"/>
      <c r="BT38" s="31">
        <f>$BK$39</f>
        <v>2.5499580398602451E-9</v>
      </c>
      <c r="BU38" s="31"/>
      <c r="BV38" s="31">
        <f>$BK$39</f>
        <v>2.5499580398602451E-9</v>
      </c>
      <c r="BW38" s="31"/>
      <c r="BX38" s="31">
        <f>$BK$39</f>
        <v>2.5499580398602451E-9</v>
      </c>
      <c r="BY38" s="31"/>
      <c r="BZ38" s="31"/>
      <c r="CA38" s="31"/>
      <c r="CB38"/>
      <c r="CC38" s="31">
        <v>0</v>
      </c>
      <c r="CD38" s="31"/>
      <c r="CE38" s="31">
        <f>$BO$39</f>
        <v>-7.3433022839547446E-9</v>
      </c>
      <c r="CF38" s="31"/>
      <c r="CG38" s="31">
        <f>$BO$39</f>
        <v>-7.3433022839547446E-9</v>
      </c>
      <c r="CH38" s="31"/>
      <c r="CI38" s="31">
        <f>$BO$39</f>
        <v>-7.3433022839547446E-9</v>
      </c>
      <c r="CJ38" s="31"/>
      <c r="CK38" s="31"/>
      <c r="CL38" s="31"/>
    </row>
    <row r="39" spans="2:90" x14ac:dyDescent="0.2">
      <c r="F39" s="10" t="s">
        <v>92</v>
      </c>
      <c r="G39" s="7">
        <f xml:space="preserve"> ($C$15-G33)/$C$9</f>
        <v>1221.5608655519932</v>
      </c>
      <c r="H39" s="7" t="s">
        <v>14</v>
      </c>
      <c r="J39" s="7" t="s">
        <v>60</v>
      </c>
      <c r="K39" s="7">
        <f>ROUND($C$14/$C$5 * 100, 2)</f>
        <v>17.23</v>
      </c>
      <c r="L39" s="7" t="s">
        <v>61</v>
      </c>
      <c r="N39" s="7" t="s">
        <v>312</v>
      </c>
      <c r="O39" s="61">
        <f>5.8</f>
        <v>5.8</v>
      </c>
      <c r="P39" s="61"/>
      <c r="Q39" s="61">
        <f>K12*C50*C9/(G43*1000)</f>
        <v>5.9193674071360078</v>
      </c>
      <c r="R39" s="61"/>
      <c r="S39" s="50">
        <f>(Q39-O39)/O39</f>
        <v>2.0580587437242764E-2</v>
      </c>
      <c r="X39" s="3">
        <v>0</v>
      </c>
      <c r="Y39" s="4">
        <v>0</v>
      </c>
      <c r="Z39" s="3">
        <f t="shared" ref="Z39:Z69" si="30" xml:space="preserve"> $O$21 * TAN($O$18/180*PI()) + $O$22 / (2 * SQRT($O$21^2 + Y39^2)) - Y39</f>
        <v>5.9826921872897697E-2</v>
      </c>
      <c r="AA39" s="4">
        <v>1</v>
      </c>
      <c r="AB39" s="3">
        <f t="shared" ref="AB39:AB69" si="31" xml:space="preserve"> $O$21 * TAN($O$18/180*PI()) + $O$22 / (2 * SQRT($O$21^2 + AA39^2)) - AA39</f>
        <v>-0.94816029608747532</v>
      </c>
      <c r="AC39" s="3">
        <f xml:space="preserve"> (Y39 + AA39)/2</f>
        <v>0.5</v>
      </c>
      <c r="AD39" s="3">
        <f t="shared" ref="AD39:AD69" si="32" xml:space="preserve"> $O$21 * TAN($O$18/180*PI()) + $O$22 / (2 * SQRT($O$21^2 + AC39^2)) - AC39</f>
        <v>-0.44525392407263126</v>
      </c>
      <c r="AE39" s="3">
        <f>Z39*AD39</f>
        <v>-2.6638171729094433E-2</v>
      </c>
      <c r="AF39" s="3">
        <f>AB39*AD39</f>
        <v>0.42217209248281629</v>
      </c>
      <c r="AG39" s="3">
        <f>AA39-Y39</f>
        <v>1</v>
      </c>
      <c r="AI39" s="3">
        <v>35</v>
      </c>
      <c r="AJ39" s="3">
        <f t="shared" si="25"/>
        <v>3182.1592719643377</v>
      </c>
      <c r="AK39" s="3">
        <v>-1.1426664059399627E-7</v>
      </c>
      <c r="AL39" s="3">
        <f t="shared" si="26"/>
        <v>3182.1592722262722</v>
      </c>
      <c r="AM39" s="3">
        <v>3.9608039514860138E-8</v>
      </c>
      <c r="AN39" s="3">
        <f t="shared" si="17"/>
        <v>3182.1592720953049</v>
      </c>
      <c r="AO39" s="3">
        <v>-3.7328391044866294E-8</v>
      </c>
      <c r="AP39" s="3">
        <f t="shared" si="18"/>
        <v>4.2653898434758857E-15</v>
      </c>
      <c r="AQ39" s="3">
        <f t="shared" si="19"/>
        <v>-1.4785043875312155E-15</v>
      </c>
      <c r="AR39" s="3">
        <f t="shared" si="20"/>
        <v>2.6193447411060333E-7</v>
      </c>
      <c r="AT39" s="61"/>
      <c r="AU39" s="4">
        <v>1.62</v>
      </c>
      <c r="AV39" s="27" t="s">
        <v>43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 s="8" t="s">
        <v>211</v>
      </c>
      <c r="BK39" s="41">
        <f>SIN(BK23)/(1+BK37) - $AU$3*COS(BK23)/($AY$5*$AU$21*(1-BK38))</f>
        <v>2.5499580398602451E-9</v>
      </c>
      <c r="BL39" s="41"/>
      <c r="BM39"/>
      <c r="BN39" s="8" t="s">
        <v>211</v>
      </c>
      <c r="BO39" s="41">
        <f>SIN(BO23)/(1+BO37) - $AU$3*COS(BO23)/($AY$5*$AU$22*(1-BO38))</f>
        <v>-7.3433022839547446E-9</v>
      </c>
      <c r="BP39" s="41"/>
      <c r="BQ39"/>
      <c r="BR39" s="3">
        <v>1</v>
      </c>
      <c r="BS39" s="4">
        <f>0.01*PI()</f>
        <v>3.1415926535897934E-2</v>
      </c>
      <c r="BT39" s="3">
        <f t="dataTable" ref="BT39:BT68" dt2D="0" dtr="0" r1="BK23" ca="1"/>
        <v>-0.56862187894300265</v>
      </c>
      <c r="BU39" s="4">
        <f>0.9*PI()</f>
        <v>2.8274333882308138</v>
      </c>
      <c r="BV39" s="3">
        <f t="dataTable" ref="BV39:BV68" dt2D="0" dtr="0" r1="BK23"/>
        <v>0.36410861898337987</v>
      </c>
      <c r="BW39" s="3">
        <f t="shared" ref="BW39:BW68" si="33">(BS39+BU39)/2</f>
        <v>1.4294246573833558</v>
      </c>
      <c r="BX39" s="3">
        <f t="dataTable" ref="BX39:BX68" dt2D="0" dtr="0" r1="BK23" ca="1"/>
        <v>1.0268446442058881</v>
      </c>
      <c r="BY39" s="3">
        <f t="shared" ref="BY39:BY68" si="34">BT39*BX39</f>
        <v>-0.58388633097091114</v>
      </c>
      <c r="BZ39" s="3">
        <f t="shared" ref="BZ39:BZ68" si="35">BV39*BX39</f>
        <v>0.37388298531228598</v>
      </c>
      <c r="CA39" s="3">
        <f t="shared" ref="CA39:CA68" si="36">BU39-BS39</f>
        <v>2.7960174616949161</v>
      </c>
      <c r="CB39"/>
      <c r="CC39" s="3">
        <v>1</v>
      </c>
      <c r="CD39" s="4">
        <f>0.01*PI()</f>
        <v>3.1415926535897934E-2</v>
      </c>
      <c r="CE39" s="3">
        <f t="dataTable" ref="CE39:CE68" dt2D="0" dtr="0" r1="BO23"/>
        <v>-0.35081209615114045</v>
      </c>
      <c r="CF39" s="4">
        <f>0.9*PI()</f>
        <v>2.8274333882308138</v>
      </c>
      <c r="CG39" s="3">
        <f t="dataTable" ref="CG39:CG68" dt2D="0" dtr="0" r1="BO23" ca="1"/>
        <v>0.3506755381009436</v>
      </c>
      <c r="CH39" s="3">
        <f t="shared" ref="CH39:CH68" si="37">(CD39+CF39)/2</f>
        <v>1.4294246573833558</v>
      </c>
      <c r="CI39" s="3">
        <f t="dataTable" ref="CI39:CI68" dt2D="0" dtr="0" r1="BO23" ca="1"/>
        <v>1.0200984944807581</v>
      </c>
      <c r="CJ39" s="3">
        <f t="shared" ref="CJ39:CJ68" si="38">CE39*CI39</f>
        <v>-0.35786289112941733</v>
      </c>
      <c r="CK39" s="3">
        <f t="shared" ref="CK39:CK68" si="39">CG39*CI39</f>
        <v>0.35772358846800228</v>
      </c>
      <c r="CL39" s="3">
        <f t="shared" ref="CL39:CL68" si="40">CF39-CD39</f>
        <v>2.7960174616949161</v>
      </c>
    </row>
    <row r="40" spans="2:90" x14ac:dyDescent="0.2">
      <c r="B40" s="68" t="s">
        <v>288</v>
      </c>
      <c r="C40" s="73"/>
      <c r="D40" s="73"/>
      <c r="F40" t="s">
        <v>142</v>
      </c>
      <c r="G40" s="9">
        <f>S20*$C$10</f>
        <v>198.21439024853296</v>
      </c>
      <c r="H40" s="7" t="s">
        <v>10</v>
      </c>
      <c r="J40" s="12" t="s">
        <v>55</v>
      </c>
      <c r="K40" s="7">
        <f>ROUND(K13/$C$5 * 100, 2)</f>
        <v>26.38</v>
      </c>
      <c r="L40" s="7" t="s">
        <v>61</v>
      </c>
      <c r="O40" s="61"/>
      <c r="P40" s="61"/>
      <c r="Q40" s="61"/>
      <c r="R40" s="61"/>
      <c r="S40" s="50"/>
      <c r="X40" s="3">
        <v>1</v>
      </c>
      <c r="Y40" s="3">
        <f>IF(AE39&gt;0, AC39, Y39)</f>
        <v>0</v>
      </c>
      <c r="Z40" s="3">
        <f t="shared" si="30"/>
        <v>5.9826921872897697E-2</v>
      </c>
      <c r="AA40" s="3">
        <f>IF(AF39&gt;0, AC39, AA39)</f>
        <v>0.5</v>
      </c>
      <c r="AB40" s="3">
        <f t="shared" si="31"/>
        <v>-0.44525392407263126</v>
      </c>
      <c r="AC40" s="3">
        <f t="shared" ref="AC40:AC69" si="41" xml:space="preserve"> (Y40 + AA40)/2</f>
        <v>0.25</v>
      </c>
      <c r="AD40" s="3">
        <f t="shared" si="32"/>
        <v>-0.19238825744555604</v>
      </c>
      <c r="AE40" s="3">
        <f t="shared" ref="AE40:AE69" si="42">Z40*AD40</f>
        <v>-1.1509997247458209E-2</v>
      </c>
      <c r="AF40" s="3">
        <f t="shared" ref="AF40:AF69" si="43">AB40*AD40</f>
        <v>8.5661626573129451E-2</v>
      </c>
      <c r="AG40" s="3">
        <f t="shared" ref="AG40:AG69" si="44">AA40-Y40</f>
        <v>0.5</v>
      </c>
      <c r="AI40" s="3">
        <v>36</v>
      </c>
      <c r="AJ40" s="3">
        <f t="shared" si="25"/>
        <v>3182.1592720953049</v>
      </c>
      <c r="AK40" s="3">
        <v>-3.7328391044866294E-8</v>
      </c>
      <c r="AL40" s="3">
        <f t="shared" si="26"/>
        <v>3182.1592722262722</v>
      </c>
      <c r="AM40" s="3">
        <v>3.9608039514860138E-8</v>
      </c>
      <c r="AN40" s="3">
        <f t="shared" si="17"/>
        <v>3182.1592721607885</v>
      </c>
      <c r="AO40" s="3">
        <v>1.1382326192688197E-9</v>
      </c>
      <c r="AP40" s="3">
        <f t="shared" si="18"/>
        <v>-4.2488392312088914E-17</v>
      </c>
      <c r="AQ40" s="3">
        <f t="shared" si="19"/>
        <v>4.5083162561102166E-17</v>
      </c>
      <c r="AR40" s="3">
        <f t="shared" si="20"/>
        <v>1.3096723705530167E-7</v>
      </c>
      <c r="AT40" s="61"/>
      <c r="AU40" s="4">
        <v>0.3</v>
      </c>
      <c r="AV40" s="27" t="s">
        <v>43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3">
        <v>2</v>
      </c>
      <c r="BS40" s="3">
        <f t="shared" ref="BS40:BS68" si="45">IF(BY39&gt;0,BW39,BS39)</f>
        <v>3.1415926535897934E-2</v>
      </c>
      <c r="BT40" s="3">
        <v>-0.56862187894300265</v>
      </c>
      <c r="BU40" s="3">
        <f t="shared" ref="BU40:BU68" si="46">IF(BZ39&gt;0,BW39,BU39)</f>
        <v>1.4294246573833558</v>
      </c>
      <c r="BV40" s="3">
        <v>1.0268446442058881</v>
      </c>
      <c r="BW40" s="3">
        <f t="shared" si="33"/>
        <v>0.73042029195962688</v>
      </c>
      <c r="BX40" s="3">
        <v>0.69630135458997866</v>
      </c>
      <c r="BY40" s="3">
        <f t="shared" si="34"/>
        <v>-0.39593218455751161</v>
      </c>
      <c r="BZ40" s="3">
        <f t="shared" si="35"/>
        <v>0.71499331671402455</v>
      </c>
      <c r="CA40" s="3">
        <f t="shared" si="36"/>
        <v>1.3980087308474578</v>
      </c>
      <c r="CB40"/>
      <c r="CC40" s="3">
        <v>2</v>
      </c>
      <c r="CD40" s="3">
        <f t="shared" ref="CD40:CD68" si="47">IF(CJ39&gt;0,CH39,CD39)</f>
        <v>3.1415926535897934E-2</v>
      </c>
      <c r="CE40" s="3">
        <v>-0.35081209615114045</v>
      </c>
      <c r="CF40" s="3">
        <f t="shared" ref="CF40:CF68" si="48">IF(CK39&gt;0,CH39,CF39)</f>
        <v>1.4294246573833558</v>
      </c>
      <c r="CG40" s="3">
        <v>1.0200984944807581</v>
      </c>
      <c r="CH40" s="3">
        <f t="shared" si="37"/>
        <v>0.73042029195962688</v>
      </c>
      <c r="CI40" s="3">
        <v>0.69050880729816255</v>
      </c>
      <c r="CJ40" s="3">
        <f t="shared" si="38"/>
        <v>-0.24223884209909233</v>
      </c>
      <c r="CK40" s="3">
        <f t="shared" si="39"/>
        <v>0.70438699475055955</v>
      </c>
      <c r="CL40" s="3">
        <f t="shared" si="40"/>
        <v>1.3980087308474578</v>
      </c>
    </row>
    <row r="41" spans="2:90" x14ac:dyDescent="0.2">
      <c r="B41" s="7" t="s">
        <v>15</v>
      </c>
      <c r="C41" s="18">
        <v>1.02327848692001</v>
      </c>
      <c r="D41" s="7" t="s">
        <v>16</v>
      </c>
      <c r="F41" s="7" t="s">
        <v>145</v>
      </c>
      <c r="G41" s="7">
        <f>G40/$C$55</f>
        <v>0.60338439497833862</v>
      </c>
      <c r="H41" s="7" t="s">
        <v>143</v>
      </c>
      <c r="J41" s="20" t="s">
        <v>81</v>
      </c>
      <c r="K41" s="7">
        <f>ROUND(SUM(K14:K17)/$C$5 * 100, 2)</f>
        <v>40.33</v>
      </c>
      <c r="L41" s="7" t="s">
        <v>61</v>
      </c>
      <c r="O41" s="61"/>
      <c r="P41" s="61"/>
      <c r="Q41" s="61"/>
      <c r="R41" s="61"/>
      <c r="S41" s="50"/>
      <c r="X41" s="3">
        <v>2</v>
      </c>
      <c r="Y41" s="3">
        <f t="shared" ref="Y41:Y69" si="49">IF(AE40&gt;0, AC40, Y40)</f>
        <v>0</v>
      </c>
      <c r="Z41" s="3">
        <f t="shared" si="30"/>
        <v>5.9826921872897697E-2</v>
      </c>
      <c r="AA41" s="3">
        <f t="shared" ref="AA41:AA69" si="50">IF(AF40&gt;0, AC40, AA40)</f>
        <v>0.25</v>
      </c>
      <c r="AB41" s="3">
        <f t="shared" si="31"/>
        <v>-0.19238825744555604</v>
      </c>
      <c r="AC41" s="3">
        <f t="shared" si="41"/>
        <v>0.125</v>
      </c>
      <c r="AD41" s="3">
        <f t="shared" si="32"/>
        <v>-6.5865223974582027E-2</v>
      </c>
      <c r="AE41" s="3">
        <f t="shared" si="42"/>
        <v>-3.9405136088682272E-3</v>
      </c>
      <c r="AF41" s="3">
        <f t="shared" si="43"/>
        <v>1.2671695666731098E-2</v>
      </c>
      <c r="AG41" s="3">
        <f t="shared" si="44"/>
        <v>0.25</v>
      </c>
      <c r="AI41" s="3">
        <v>37</v>
      </c>
      <c r="AJ41" s="3">
        <f t="shared" si="25"/>
        <v>3182.1592720953049</v>
      </c>
      <c r="AK41" s="3">
        <v>-3.7328391044866294E-8</v>
      </c>
      <c r="AL41" s="3">
        <f t="shared" si="26"/>
        <v>3182.1592721607885</v>
      </c>
      <c r="AM41" s="3">
        <v>1.1382326192688197E-9</v>
      </c>
      <c r="AN41" s="3">
        <f t="shared" si="17"/>
        <v>3182.1592721280467</v>
      </c>
      <c r="AO41" s="3">
        <v>-1.8093487597070634E-8</v>
      </c>
      <c r="AP41" s="3">
        <f t="shared" si="18"/>
        <v>6.7540078038889082E-16</v>
      </c>
      <c r="AQ41" s="3">
        <f t="shared" si="19"/>
        <v>-2.0594597779321611E-17</v>
      </c>
      <c r="AR41" s="3">
        <f t="shared" si="20"/>
        <v>6.5483618527650833E-8</v>
      </c>
      <c r="AT41" s="61"/>
      <c r="AU41" s="4">
        <v>-1.02</v>
      </c>
      <c r="AV41" s="27" t="s">
        <v>43</v>
      </c>
      <c r="AW41"/>
      <c r="AX41" s="24" t="s">
        <v>155</v>
      </c>
      <c r="AY41" s="63" t="s">
        <v>230</v>
      </c>
      <c r="AZ41" s="63"/>
      <c r="BA41" s="25"/>
      <c r="BB41" s="25"/>
      <c r="BC41" s="25"/>
      <c r="BD41" s="25"/>
      <c r="BE41" s="25"/>
      <c r="BF41" s="25"/>
      <c r="BG41" s="25"/>
      <c r="BH41" s="26"/>
      <c r="BI41"/>
      <c r="BJ41" s="75" t="s">
        <v>212</v>
      </c>
      <c r="BK41" s="75"/>
      <c r="BL41" s="75"/>
      <c r="BM41" s="3"/>
      <c r="BN41" s="75" t="s">
        <v>213</v>
      </c>
      <c r="BO41" s="75"/>
      <c r="BP41" s="75"/>
      <c r="BQ41"/>
      <c r="BR41" s="3">
        <v>3</v>
      </c>
      <c r="BS41" s="3">
        <f t="shared" si="45"/>
        <v>3.1415926535897934E-2</v>
      </c>
      <c r="BT41" s="3">
        <v>-0.56862187894300265</v>
      </c>
      <c r="BU41" s="3">
        <f t="shared" si="46"/>
        <v>0.73042029195962688</v>
      </c>
      <c r="BV41" s="3">
        <v>0.69630135458997866</v>
      </c>
      <c r="BW41" s="3">
        <f t="shared" si="33"/>
        <v>0.38091810924776243</v>
      </c>
      <c r="BX41" s="3">
        <v>0.42726741116365574</v>
      </c>
      <c r="BY41" s="3">
        <f t="shared" si="34"/>
        <v>-0.24295359814699038</v>
      </c>
      <c r="BZ41" s="3">
        <f t="shared" si="35"/>
        <v>0.29750687716540686</v>
      </c>
      <c r="CA41" s="3">
        <f t="shared" si="36"/>
        <v>0.6990043654237289</v>
      </c>
      <c r="CB41"/>
      <c r="CC41" s="3">
        <v>3</v>
      </c>
      <c r="CD41" s="3">
        <f t="shared" si="47"/>
        <v>3.1415926535897934E-2</v>
      </c>
      <c r="CE41" s="3">
        <v>-0.35081209615114045</v>
      </c>
      <c r="CF41" s="3">
        <f t="shared" si="48"/>
        <v>0.73042029195962688</v>
      </c>
      <c r="CG41" s="3">
        <v>0.69050880729816255</v>
      </c>
      <c r="CH41" s="3">
        <f t="shared" si="37"/>
        <v>0.38091810924776243</v>
      </c>
      <c r="CI41" s="3">
        <v>0.41210221791024537</v>
      </c>
      <c r="CJ41" s="3">
        <f t="shared" si="38"/>
        <v>-0.14457044289362722</v>
      </c>
      <c r="CK41" s="3">
        <f t="shared" si="39"/>
        <v>0.28456021097413103</v>
      </c>
      <c r="CL41" s="3">
        <f t="shared" si="40"/>
        <v>0.6990043654237289</v>
      </c>
    </row>
    <row r="42" spans="2:90" x14ac:dyDescent="0.2">
      <c r="B42" s="7" t="s">
        <v>226</v>
      </c>
      <c r="C42" s="42">
        <v>1.7312013277058499E-5</v>
      </c>
      <c r="D42" s="7" t="s">
        <v>222</v>
      </c>
      <c r="F42" s="10" t="s">
        <v>111</v>
      </c>
      <c r="G42" s="7">
        <f xml:space="preserve"> 1/1000 * (S24 + S19 * (S26 * S29 + $C$9 * SIN(S18/180*PI())))</f>
        <v>61.648003802662906</v>
      </c>
      <c r="H42" s="7" t="s">
        <v>116</v>
      </c>
      <c r="J42" s="21" t="s">
        <v>72</v>
      </c>
      <c r="K42" s="7">
        <f>ROUND(SUM(K18:K22)/$C$5 * 100, 2)</f>
        <v>9.89</v>
      </c>
      <c r="L42" s="7" t="s">
        <v>61</v>
      </c>
      <c r="O42" s="61"/>
      <c r="P42" s="61"/>
      <c r="Q42" s="61"/>
      <c r="R42" s="61"/>
      <c r="S42" s="50"/>
      <c r="X42" s="3">
        <v>3</v>
      </c>
      <c r="Y42" s="3">
        <f t="shared" si="49"/>
        <v>0</v>
      </c>
      <c r="Z42" s="3">
        <f t="shared" si="30"/>
        <v>5.9826921872897697E-2</v>
      </c>
      <c r="AA42" s="3">
        <f t="shared" si="50"/>
        <v>0.125</v>
      </c>
      <c r="AB42" s="3">
        <f t="shared" si="31"/>
        <v>-6.5865223974582027E-2</v>
      </c>
      <c r="AC42" s="3">
        <f t="shared" si="41"/>
        <v>6.25E-2</v>
      </c>
      <c r="AD42" s="3">
        <f t="shared" si="32"/>
        <v>-2.8580239483786754E-3</v>
      </c>
      <c r="AE42" s="3">
        <f t="shared" si="42"/>
        <v>-1.7098677547052162E-4</v>
      </c>
      <c r="AF42" s="3">
        <f t="shared" si="43"/>
        <v>1.8824438748468072E-4</v>
      </c>
      <c r="AG42" s="3">
        <f t="shared" si="44"/>
        <v>0.125</v>
      </c>
      <c r="AI42" s="3">
        <v>38</v>
      </c>
      <c r="AJ42" s="3">
        <f t="shared" si="25"/>
        <v>3182.1592721280467</v>
      </c>
      <c r="AK42" s="3">
        <v>-1.8093487597070634E-8</v>
      </c>
      <c r="AL42" s="3">
        <f t="shared" si="26"/>
        <v>3182.1592721607885</v>
      </c>
      <c r="AM42" s="3">
        <v>1.1382326192688197E-9</v>
      </c>
      <c r="AN42" s="3">
        <f t="shared" si="17"/>
        <v>3182.1592721444176</v>
      </c>
      <c r="AO42" s="3">
        <v>-8.4774001152254641E-9</v>
      </c>
      <c r="AP42" s="3">
        <f t="shared" si="18"/>
        <v>1.533857338402371E-16</v>
      </c>
      <c r="AQ42" s="3">
        <f t="shared" si="19"/>
        <v>-9.6492533377428739E-18</v>
      </c>
      <c r="AR42" s="3">
        <f t="shared" si="20"/>
        <v>3.2741809263825417E-8</v>
      </c>
      <c r="AT42" s="61"/>
      <c r="AU42" s="4">
        <v>-2.34</v>
      </c>
      <c r="AV42" s="27" t="s">
        <v>43</v>
      </c>
      <c r="AW42"/>
      <c r="AX42" s="28"/>
      <c r="AY42" s="64" t="s">
        <v>160</v>
      </c>
      <c r="AZ42" s="64"/>
      <c r="BA42" s="64"/>
      <c r="BB42" s="64" t="s">
        <v>161</v>
      </c>
      <c r="BC42" s="64"/>
      <c r="BD42" s="64"/>
      <c r="BE42" s="64"/>
      <c r="BF42" s="64" t="s">
        <v>162</v>
      </c>
      <c r="BG42" s="64"/>
      <c r="BH42" s="77"/>
      <c r="BI42"/>
      <c r="BJ42" s="29" t="s">
        <v>166</v>
      </c>
      <c r="BK42" s="30">
        <f>BW102</f>
        <v>6.8449418792585065E-2</v>
      </c>
      <c r="BL42" s="6" t="s">
        <v>167</v>
      </c>
      <c r="BM42" s="3"/>
      <c r="BN42" s="29" t="s">
        <v>166</v>
      </c>
      <c r="BO42" s="30">
        <f>CH102</f>
        <v>5.5723584653827186E-2</v>
      </c>
      <c r="BP42" s="6" t="s">
        <v>167</v>
      </c>
      <c r="BQ42"/>
      <c r="BR42" s="3">
        <v>4</v>
      </c>
      <c r="BS42" s="3">
        <f t="shared" si="45"/>
        <v>3.1415926535897934E-2</v>
      </c>
      <c r="BT42" s="3">
        <v>-0.56862187894300265</v>
      </c>
      <c r="BU42" s="3">
        <f t="shared" si="46"/>
        <v>0.38091810924776243</v>
      </c>
      <c r="BV42" s="3">
        <v>0.42726741116365574</v>
      </c>
      <c r="BW42" s="3">
        <f t="shared" si="33"/>
        <v>0.20616701789183017</v>
      </c>
      <c r="BX42" s="3">
        <v>0.22600674377752356</v>
      </c>
      <c r="BY42" s="3">
        <f t="shared" si="34"/>
        <v>-0.12851237930056522</v>
      </c>
      <c r="BZ42" s="3">
        <f t="shared" si="35"/>
        <v>9.6565316319350156E-2</v>
      </c>
      <c r="CA42" s="3">
        <f t="shared" si="36"/>
        <v>0.34950218271186451</v>
      </c>
      <c r="CB42"/>
      <c r="CC42" s="3">
        <v>4</v>
      </c>
      <c r="CD42" s="3">
        <f t="shared" si="47"/>
        <v>3.1415926535897934E-2</v>
      </c>
      <c r="CE42" s="3">
        <v>-0.35081209615114045</v>
      </c>
      <c r="CF42" s="3">
        <f t="shared" si="48"/>
        <v>0.38091810924776243</v>
      </c>
      <c r="CG42" s="3">
        <v>0.41210221791024537</v>
      </c>
      <c r="CH42" s="3">
        <f t="shared" si="37"/>
        <v>0.20616701789183017</v>
      </c>
      <c r="CI42" s="3">
        <v>0.23203643621796247</v>
      </c>
      <c r="CJ42" s="3">
        <f t="shared" si="38"/>
        <v>-8.1401188573063818E-2</v>
      </c>
      <c r="CK42" s="3">
        <f t="shared" si="39"/>
        <v>9.5622730001411527E-2</v>
      </c>
      <c r="CL42" s="3">
        <f t="shared" si="40"/>
        <v>0.34950218271186451</v>
      </c>
    </row>
    <row r="43" spans="2:90" x14ac:dyDescent="0.2">
      <c r="B43" s="7" t="s">
        <v>144</v>
      </c>
      <c r="C43" s="18">
        <v>333.29000296588299</v>
      </c>
      <c r="D43" s="7" t="s">
        <v>10</v>
      </c>
      <c r="F43" s="45" t="s">
        <v>237</v>
      </c>
      <c r="G43" s="44">
        <f>$C$19 * G42</f>
        <v>246.59201521065162</v>
      </c>
      <c r="H43" s="44" t="s">
        <v>116</v>
      </c>
      <c r="J43" s="16" t="s">
        <v>73</v>
      </c>
      <c r="K43" s="7">
        <f>ROUND(SUM(K23:K26)/$C$5*100, 2)</f>
        <v>6.17</v>
      </c>
      <c r="L43" s="7" t="s">
        <v>61</v>
      </c>
      <c r="O43" s="61"/>
      <c r="P43" s="61"/>
      <c r="Q43" s="61"/>
      <c r="R43" s="61"/>
      <c r="S43" s="50"/>
      <c r="X43" s="3">
        <v>4</v>
      </c>
      <c r="Y43" s="3">
        <f t="shared" si="49"/>
        <v>0</v>
      </c>
      <c r="Z43" s="3">
        <f t="shared" si="30"/>
        <v>5.9826921872897697E-2</v>
      </c>
      <c r="AA43" s="3">
        <f t="shared" si="50"/>
        <v>6.25E-2</v>
      </c>
      <c r="AB43" s="3">
        <f t="shared" si="31"/>
        <v>-2.8580239483786754E-3</v>
      </c>
      <c r="AC43" s="3">
        <f t="shared" si="41"/>
        <v>3.125E-2</v>
      </c>
      <c r="AD43" s="3">
        <f t="shared" si="32"/>
        <v>2.8529868294275687E-2</v>
      </c>
      <c r="AE43" s="3">
        <f t="shared" si="42"/>
        <v>1.7068542014856926E-3</v>
      </c>
      <c r="AF43" s="3">
        <f t="shared" si="43"/>
        <v>-8.153904682912938E-5</v>
      </c>
      <c r="AG43" s="3">
        <f t="shared" si="44"/>
        <v>6.25E-2</v>
      </c>
      <c r="AI43" s="3">
        <v>39</v>
      </c>
      <c r="AJ43" s="3">
        <f t="shared" si="25"/>
        <v>3182.1592721444176</v>
      </c>
      <c r="AK43" s="3">
        <v>-8.4774001152254641E-9</v>
      </c>
      <c r="AL43" s="3">
        <f t="shared" si="26"/>
        <v>3182.1592721607885</v>
      </c>
      <c r="AM43" s="3">
        <v>1.1382326192688197E-9</v>
      </c>
      <c r="AN43" s="3">
        <f t="shared" si="17"/>
        <v>3182.1592721526031</v>
      </c>
      <c r="AO43" s="3">
        <v>-3.668446879601106E-9</v>
      </c>
      <c r="AP43" s="3">
        <f t="shared" si="18"/>
        <v>3.1098891999828911E-17</v>
      </c>
      <c r="AQ43" s="3">
        <f t="shared" si="19"/>
        <v>-4.1755459004168954E-18</v>
      </c>
      <c r="AR43" s="3">
        <f t="shared" si="20"/>
        <v>1.6370904631912708E-8</v>
      </c>
      <c r="AT43" s="3"/>
      <c r="AU43" s="3"/>
      <c r="AV43" s="27"/>
      <c r="AW43"/>
      <c r="AX43" s="28"/>
      <c r="AY43" s="5" t="s">
        <v>168</v>
      </c>
      <c r="AZ43" s="3">
        <v>-180</v>
      </c>
      <c r="BA43" s="3">
        <v>-9.5</v>
      </c>
      <c r="BB43" s="64" t="s">
        <v>168</v>
      </c>
      <c r="BC43" s="64"/>
      <c r="BD43" s="3">
        <v>-9.5</v>
      </c>
      <c r="BE43" s="3">
        <v>18.5</v>
      </c>
      <c r="BF43" s="5" t="s">
        <v>168</v>
      </c>
      <c r="BG43" s="3">
        <v>18.5</v>
      </c>
      <c r="BH43" s="32">
        <v>180</v>
      </c>
      <c r="BI43"/>
      <c r="BJ43" s="3" t="s">
        <v>171</v>
      </c>
      <c r="BK43" s="3">
        <f>($AU$39+$AU$5)/180*PI()</f>
        <v>9.9832833214075656E-2</v>
      </c>
      <c r="BL43" s="3" t="s">
        <v>167</v>
      </c>
      <c r="BM43" s="3"/>
      <c r="BN43" s="3" t="s">
        <v>171</v>
      </c>
      <c r="BO43" s="3">
        <f>($AU$40+$AU$5)/180*PI()</f>
        <v>7.6794487087750496E-2</v>
      </c>
      <c r="BP43" s="3" t="s">
        <v>167</v>
      </c>
      <c r="BQ43"/>
      <c r="BR43" s="3">
        <v>5</v>
      </c>
      <c r="BS43" s="3">
        <f t="shared" si="45"/>
        <v>3.1415926535897934E-2</v>
      </c>
      <c r="BT43" s="3">
        <v>-0.56862187894300265</v>
      </c>
      <c r="BU43" s="3">
        <f t="shared" si="46"/>
        <v>0.20616701789183017</v>
      </c>
      <c r="BV43" s="3">
        <v>0.22600674377752356</v>
      </c>
      <c r="BW43" s="3">
        <f t="shared" si="33"/>
        <v>0.11879147221386405</v>
      </c>
      <c r="BX43" s="3">
        <v>5.6544310988943573E-2</v>
      </c>
      <c r="BY43" s="3">
        <f t="shared" si="34"/>
        <v>-3.2152332358070565E-2</v>
      </c>
      <c r="BZ43" s="3">
        <f t="shared" si="35"/>
        <v>1.277939560575478E-2</v>
      </c>
      <c r="CA43" s="3">
        <f t="shared" si="36"/>
        <v>0.17475109135593225</v>
      </c>
      <c r="CB43"/>
      <c r="CC43" s="3">
        <v>5</v>
      </c>
      <c r="CD43" s="3">
        <f t="shared" si="47"/>
        <v>3.1415926535897934E-2</v>
      </c>
      <c r="CE43" s="3">
        <v>-0.35081209615114045</v>
      </c>
      <c r="CF43" s="3">
        <f t="shared" si="48"/>
        <v>0.20616701789183017</v>
      </c>
      <c r="CG43" s="3">
        <v>0.23203643621796247</v>
      </c>
      <c r="CH43" s="3">
        <f t="shared" si="37"/>
        <v>0.11879147221386405</v>
      </c>
      <c r="CI43" s="3">
        <v>9.1973266136814016E-2</v>
      </c>
      <c r="CJ43" s="3">
        <f t="shared" si="38"/>
        <v>-3.2265334283322428E-2</v>
      </c>
      <c r="CK43" s="3">
        <f t="shared" si="39"/>
        <v>2.1341148901712532E-2</v>
      </c>
      <c r="CL43" s="3">
        <f t="shared" si="40"/>
        <v>0.17475109135593225</v>
      </c>
    </row>
    <row r="44" spans="2:90" x14ac:dyDescent="0.2">
      <c r="B44" s="7" t="s">
        <v>17</v>
      </c>
      <c r="C44" s="1">
        <v>9.80099897360674</v>
      </c>
      <c r="D44" s="7" t="s">
        <v>18</v>
      </c>
      <c r="J44" s="11" t="s">
        <v>62</v>
      </c>
      <c r="K44" s="11">
        <f>SUM(K39:K43)</f>
        <v>100</v>
      </c>
      <c r="L44" s="11" t="s">
        <v>61</v>
      </c>
      <c r="O44" s="61"/>
      <c r="P44" s="61"/>
      <c r="Q44" s="61"/>
      <c r="R44" s="61"/>
      <c r="S44" s="50"/>
      <c r="X44" s="3">
        <v>5</v>
      </c>
      <c r="Y44" s="3">
        <f t="shared" si="49"/>
        <v>3.125E-2</v>
      </c>
      <c r="Z44" s="3">
        <f t="shared" si="30"/>
        <v>2.8529868294275687E-2</v>
      </c>
      <c r="AA44" s="3">
        <f t="shared" si="50"/>
        <v>6.25E-2</v>
      </c>
      <c r="AB44" s="3">
        <f t="shared" si="31"/>
        <v>-2.8580239483786754E-3</v>
      </c>
      <c r="AC44" s="3">
        <f t="shared" si="41"/>
        <v>4.6875E-2</v>
      </c>
      <c r="AD44" s="3">
        <f t="shared" si="32"/>
        <v>1.28468260796821E-2</v>
      </c>
      <c r="AE44" s="3">
        <f t="shared" si="42"/>
        <v>3.6651825605279635E-4</v>
      </c>
      <c r="AF44" s="3">
        <f t="shared" si="43"/>
        <v>-3.6716536596387175E-5</v>
      </c>
      <c r="AG44" s="3">
        <f t="shared" si="44"/>
        <v>3.125E-2</v>
      </c>
      <c r="AI44" s="3">
        <v>40</v>
      </c>
      <c r="AJ44" s="3">
        <f t="shared" si="25"/>
        <v>3182.1592721526031</v>
      </c>
      <c r="AK44" s="3">
        <v>-3.668446879601106E-9</v>
      </c>
      <c r="AL44" s="3">
        <f t="shared" si="26"/>
        <v>3182.1592721607885</v>
      </c>
      <c r="AM44" s="3">
        <v>1.1382326192688197E-9</v>
      </c>
      <c r="AN44" s="6">
        <f>(AJ44+AL44)/2</f>
        <v>3182.1592721566958</v>
      </c>
      <c r="AO44" s="3">
        <v>-1.2646523828152567E-9</v>
      </c>
      <c r="AP44" s="3">
        <f t="shared" si="18"/>
        <v>4.6393100875187319E-18</v>
      </c>
      <c r="AQ44" s="3">
        <f t="shared" si="19"/>
        <v>-1.4394685941563637E-18</v>
      </c>
      <c r="AR44" s="3">
        <f t="shared" si="20"/>
        <v>8.1854523159563541E-9</v>
      </c>
      <c r="AT44" s="74" t="s">
        <v>221</v>
      </c>
      <c r="AU44" s="74"/>
      <c r="AV44" s="74"/>
      <c r="AW44"/>
      <c r="AX44" s="33" t="s">
        <v>172</v>
      </c>
      <c r="AY44" s="3">
        <v>-4.9719999999999998E-5</v>
      </c>
      <c r="AZ44" s="3">
        <v>-9.4228200000000002E-3</v>
      </c>
      <c r="BA44" s="3">
        <v>-0.58952914000000001</v>
      </c>
      <c r="BB44" s="3">
        <v>-2.3201E-4</v>
      </c>
      <c r="BC44" s="3">
        <v>1.5145600000000001E-3</v>
      </c>
      <c r="BD44" s="3">
        <v>0.11609899</v>
      </c>
      <c r="BE44" s="3">
        <v>0.17357117999999999</v>
      </c>
      <c r="BF44" s="3">
        <v>6.9132000000000004E-4</v>
      </c>
      <c r="BG44" s="3">
        <v>-0.13722607000000001</v>
      </c>
      <c r="BH44" s="32">
        <v>3.6431797299999999</v>
      </c>
      <c r="BI44"/>
      <c r="BJ44" s="3" t="s">
        <v>28</v>
      </c>
      <c r="BK44" s="3">
        <f>BK43-BK42</f>
        <v>3.1383414421490591E-2</v>
      </c>
      <c r="BL44" s="3" t="s">
        <v>167</v>
      </c>
      <c r="BM44" s="3"/>
      <c r="BN44" s="3" t="s">
        <v>28</v>
      </c>
      <c r="BO44" s="3">
        <f>BO43-BO42</f>
        <v>2.1070902433923309E-2</v>
      </c>
      <c r="BP44" s="3" t="s">
        <v>167</v>
      </c>
      <c r="BQ44"/>
      <c r="BR44" s="3">
        <v>6</v>
      </c>
      <c r="BS44" s="3">
        <f t="shared" si="45"/>
        <v>3.1415926535897934E-2</v>
      </c>
      <c r="BT44" s="3">
        <v>-0.56862187894300265</v>
      </c>
      <c r="BU44" s="3">
        <f t="shared" si="46"/>
        <v>0.11879147221386405</v>
      </c>
      <c r="BV44" s="3">
        <v>5.6544310988943573E-2</v>
      </c>
      <c r="BW44" s="3">
        <f t="shared" si="33"/>
        <v>7.5103699374880983E-2</v>
      </c>
      <c r="BX44" s="3">
        <v>-0.10120721767900323</v>
      </c>
      <c r="BY44" s="3">
        <f t="shared" si="34"/>
        <v>5.7548638279228292E-2</v>
      </c>
      <c r="BZ44" s="3">
        <f t="shared" si="35"/>
        <v>-5.7226923907672663E-3</v>
      </c>
      <c r="CA44" s="3">
        <f t="shared" si="36"/>
        <v>8.7375545677966113E-2</v>
      </c>
      <c r="CB44"/>
      <c r="CC44" s="3">
        <v>6</v>
      </c>
      <c r="CD44" s="3">
        <f t="shared" si="47"/>
        <v>3.1415926535897934E-2</v>
      </c>
      <c r="CE44" s="3">
        <v>-0.35081209615114045</v>
      </c>
      <c r="CF44" s="3">
        <f t="shared" si="48"/>
        <v>0.11879147221386405</v>
      </c>
      <c r="CG44" s="3">
        <v>9.1973266136814016E-2</v>
      </c>
      <c r="CH44" s="3">
        <f t="shared" si="37"/>
        <v>7.5103699374880983E-2</v>
      </c>
      <c r="CI44" s="3">
        <v>-2.6606846645567457E-2</v>
      </c>
      <c r="CJ44" s="3">
        <f t="shared" si="38"/>
        <v>9.334003643703459E-3</v>
      </c>
      <c r="CK44" s="3">
        <f t="shared" si="39"/>
        <v>-2.4471185875941728E-3</v>
      </c>
      <c r="CL44" s="3">
        <f t="shared" si="40"/>
        <v>8.7375545677966113E-2</v>
      </c>
    </row>
    <row r="45" spans="2:90" x14ac:dyDescent="0.2">
      <c r="F45" s="66" t="s">
        <v>284</v>
      </c>
      <c r="G45" s="67"/>
      <c r="H45" s="67"/>
      <c r="O45" s="61"/>
      <c r="P45" s="61"/>
      <c r="Q45" s="61"/>
      <c r="R45" s="61"/>
      <c r="S45" s="50"/>
      <c r="X45" s="3">
        <v>6</v>
      </c>
      <c r="Y45" s="3">
        <f t="shared" si="49"/>
        <v>4.6875E-2</v>
      </c>
      <c r="Z45" s="3">
        <f t="shared" si="30"/>
        <v>1.28468260796821E-2</v>
      </c>
      <c r="AA45" s="3">
        <f t="shared" si="50"/>
        <v>6.25E-2</v>
      </c>
      <c r="AB45" s="3">
        <f t="shared" si="31"/>
        <v>-2.8580239483786754E-3</v>
      </c>
      <c r="AC45" s="3">
        <f t="shared" si="41"/>
        <v>5.46875E-2</v>
      </c>
      <c r="AD45" s="3">
        <f t="shared" si="32"/>
        <v>4.9970511321729208E-3</v>
      </c>
      <c r="AE45" s="3">
        <f t="shared" si="42"/>
        <v>6.4196246806304038E-5</v>
      </c>
      <c r="AF45" s="3">
        <f t="shared" si="43"/>
        <v>-1.4281691807022981E-5</v>
      </c>
      <c r="AG45" s="3">
        <f t="shared" si="44"/>
        <v>1.5625E-2</v>
      </c>
      <c r="AT45" s="3" t="s">
        <v>19</v>
      </c>
      <c r="AU45" s="3">
        <f>$C$41</f>
        <v>1.02327848692001</v>
      </c>
      <c r="AV45" s="27" t="s">
        <v>16</v>
      </c>
      <c r="AW45"/>
      <c r="AX45" s="35" t="s">
        <v>176</v>
      </c>
      <c r="AY45" s="36">
        <v>-1.4875000000000001E-4</v>
      </c>
      <c r="AZ45" s="36">
        <v>-2.818766E-2</v>
      </c>
      <c r="BA45" s="36">
        <v>-0.15965826999999999</v>
      </c>
      <c r="BB45" s="36">
        <v>-4.4100000000000001E-6</v>
      </c>
      <c r="BC45" s="36">
        <v>3.8060999999999998E-4</v>
      </c>
      <c r="BD45" s="36">
        <v>-2.2518899999999999E-3</v>
      </c>
      <c r="BE45" s="36">
        <v>6.2865899999999999E-3</v>
      </c>
      <c r="BF45" s="36">
        <v>-2.0911000000000001E-4</v>
      </c>
      <c r="BG45" s="36">
        <v>4.150877E-2</v>
      </c>
      <c r="BH45" s="37">
        <v>-0.59881362999999999</v>
      </c>
      <c r="BI45"/>
      <c r="BJ45" s="3" t="s">
        <v>180</v>
      </c>
      <c r="BK45" s="3">
        <f>BK44/PI()*180</f>
        <v>1.798137193061413</v>
      </c>
      <c r="BL45" s="3" t="s">
        <v>43</v>
      </c>
      <c r="BM45" s="3"/>
      <c r="BN45" s="3" t="s">
        <v>180</v>
      </c>
      <c r="BO45" s="3">
        <f>BO44/PI()*180</f>
        <v>1.2072737799957396</v>
      </c>
      <c r="BP45" s="3" t="s">
        <v>43</v>
      </c>
      <c r="BQ45"/>
      <c r="BR45" s="3">
        <v>7</v>
      </c>
      <c r="BS45" s="3">
        <f t="shared" si="45"/>
        <v>7.5103699374880983E-2</v>
      </c>
      <c r="BT45" s="3">
        <v>-0.10120721767900323</v>
      </c>
      <c r="BU45" s="3">
        <f t="shared" si="46"/>
        <v>0.11879147221386405</v>
      </c>
      <c r="BV45" s="3">
        <v>5.6544310988943573E-2</v>
      </c>
      <c r="BW45" s="3">
        <f t="shared" si="33"/>
        <v>9.6947585794372515E-2</v>
      </c>
      <c r="BX45" s="3">
        <v>-9.6105411598381742E-3</v>
      </c>
      <c r="BY45" s="3">
        <f t="shared" si="34"/>
        <v>9.7265613117676229E-4</v>
      </c>
      <c r="BZ45" s="3">
        <f t="shared" si="35"/>
        <v>-5.434214281139322E-4</v>
      </c>
      <c r="CA45" s="3">
        <f t="shared" si="36"/>
        <v>4.3687772838983063E-2</v>
      </c>
      <c r="CB45"/>
      <c r="CC45" s="3">
        <v>7</v>
      </c>
      <c r="CD45" s="3">
        <f t="shared" si="47"/>
        <v>7.5103699374880983E-2</v>
      </c>
      <c r="CE45" s="3">
        <v>-2.6606846645567457E-2</v>
      </c>
      <c r="CF45" s="3">
        <f t="shared" si="48"/>
        <v>0.11879147221386405</v>
      </c>
      <c r="CG45" s="3">
        <v>9.1973266136814016E-2</v>
      </c>
      <c r="CH45" s="3">
        <f t="shared" si="37"/>
        <v>9.6947585794372515E-2</v>
      </c>
      <c r="CI45" s="3">
        <v>4.1129004372160854E-2</v>
      </c>
      <c r="CJ45" s="3">
        <f t="shared" si="38"/>
        <v>-1.0943131120149574E-3</v>
      </c>
      <c r="CK45" s="3">
        <f t="shared" si="39"/>
        <v>3.7827688650629377E-3</v>
      </c>
      <c r="CL45" s="3">
        <f t="shared" si="40"/>
        <v>4.3687772838983063E-2</v>
      </c>
    </row>
    <row r="46" spans="2:90" x14ac:dyDescent="0.2">
      <c r="B46" s="68" t="s">
        <v>291</v>
      </c>
      <c r="C46" s="73"/>
      <c r="D46" s="73"/>
      <c r="F46" s="7" t="s">
        <v>285</v>
      </c>
      <c r="G46" s="18">
        <v>30</v>
      </c>
      <c r="H46" s="7" t="s">
        <v>14</v>
      </c>
      <c r="O46" s="61"/>
      <c r="P46" s="61"/>
      <c r="Q46" s="61"/>
      <c r="R46" s="61"/>
      <c r="S46" s="50"/>
      <c r="X46" s="3">
        <v>7</v>
      </c>
      <c r="Y46" s="3">
        <f t="shared" si="49"/>
        <v>5.46875E-2</v>
      </c>
      <c r="Z46" s="3">
        <f t="shared" si="30"/>
        <v>4.9970511321729208E-3</v>
      </c>
      <c r="AA46" s="3">
        <f t="shared" si="50"/>
        <v>6.25E-2</v>
      </c>
      <c r="AB46" s="3">
        <f t="shared" si="31"/>
        <v>-2.8580239483786754E-3</v>
      </c>
      <c r="AC46" s="3">
        <f t="shared" si="41"/>
        <v>5.859375E-2</v>
      </c>
      <c r="AD46" s="3">
        <f t="shared" si="32"/>
        <v>1.0701655256652037E-3</v>
      </c>
      <c r="AE46" s="3">
        <f t="shared" si="42"/>
        <v>5.3476718516377355E-6</v>
      </c>
      <c r="AF46" s="3">
        <f t="shared" si="43"/>
        <v>-3.0585587010804061E-6</v>
      </c>
      <c r="AG46" s="3">
        <f t="shared" si="44"/>
        <v>7.8125E-3</v>
      </c>
      <c r="AT46" s="3" t="s">
        <v>31</v>
      </c>
      <c r="AU46" s="38">
        <f>$C$42</f>
        <v>1.7312013277058499E-5</v>
      </c>
      <c r="AV46" s="27" t="s">
        <v>222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 s="3" t="s">
        <v>183</v>
      </c>
      <c r="BK46" s="3">
        <f xml:space="preserve"> $AU$8*$AU$31 / (2*PI()*$AU$23)</f>
        <v>4.91245318250716E-2</v>
      </c>
      <c r="BL46" s="3"/>
      <c r="BM46" s="3"/>
      <c r="BN46" s="3" t="s">
        <v>183</v>
      </c>
      <c r="BO46" s="3">
        <f xml:space="preserve"> $AU$8*$AU$32 / (2*PI()*$AU$24)</f>
        <v>4.0321081617108803E-2</v>
      </c>
      <c r="BP46" s="3"/>
      <c r="BQ46"/>
      <c r="BR46" s="3">
        <v>8</v>
      </c>
      <c r="BS46" s="3">
        <f t="shared" si="45"/>
        <v>9.6947585794372515E-2</v>
      </c>
      <c r="BT46" s="3">
        <v>-9.6105411598381742E-3</v>
      </c>
      <c r="BU46" s="3">
        <f t="shared" si="46"/>
        <v>0.11879147221386405</v>
      </c>
      <c r="BV46" s="3">
        <v>5.6544310988943573E-2</v>
      </c>
      <c r="BW46" s="3">
        <f t="shared" si="33"/>
        <v>0.10786952900411828</v>
      </c>
      <c r="BX46" s="3">
        <v>2.5698721942368358E-2</v>
      </c>
      <c r="BY46" s="3">
        <f t="shared" si="34"/>
        <v>-2.4697862498236753E-4</v>
      </c>
      <c r="BZ46" s="3">
        <f t="shared" si="35"/>
        <v>1.4531165255276645E-3</v>
      </c>
      <c r="CA46" s="3">
        <f t="shared" si="36"/>
        <v>2.1843886419491532E-2</v>
      </c>
      <c r="CB46"/>
      <c r="CC46" s="3">
        <v>8</v>
      </c>
      <c r="CD46" s="3">
        <f t="shared" si="47"/>
        <v>7.5103699374880983E-2</v>
      </c>
      <c r="CE46" s="3">
        <v>-2.6606846645567457E-2</v>
      </c>
      <c r="CF46" s="3">
        <f t="shared" si="48"/>
        <v>9.6947585794372515E-2</v>
      </c>
      <c r="CG46" s="3">
        <v>4.1129004372160854E-2</v>
      </c>
      <c r="CH46" s="3">
        <f t="shared" si="37"/>
        <v>8.6025642584626749E-2</v>
      </c>
      <c r="CI46" s="3">
        <v>1.0161505203294889E-2</v>
      </c>
      <c r="CJ46" s="3">
        <f t="shared" si="38"/>
        <v>-2.703656106322029E-4</v>
      </c>
      <c r="CK46" s="3">
        <f t="shared" si="39"/>
        <v>4.1793259193405075E-4</v>
      </c>
      <c r="CL46" s="3">
        <f t="shared" si="40"/>
        <v>2.1843886419491532E-2</v>
      </c>
    </row>
    <row r="47" spans="2:90" x14ac:dyDescent="0.2">
      <c r="B47" s="7" t="s">
        <v>15</v>
      </c>
      <c r="C47" s="18">
        <v>0.96234512739503997</v>
      </c>
      <c r="D47" s="7" t="s">
        <v>16</v>
      </c>
      <c r="F47" s="7" t="s">
        <v>280</v>
      </c>
      <c r="G47" s="18">
        <v>100</v>
      </c>
      <c r="H47" s="7" t="s">
        <v>61</v>
      </c>
      <c r="O47" s="61"/>
      <c r="P47" s="61"/>
      <c r="Q47" s="61"/>
      <c r="R47" s="61"/>
      <c r="S47" s="50"/>
      <c r="X47" s="3">
        <v>8</v>
      </c>
      <c r="Y47" s="3">
        <f t="shared" si="49"/>
        <v>5.859375E-2</v>
      </c>
      <c r="Z47" s="3">
        <f t="shared" si="30"/>
        <v>1.0701655256652037E-3</v>
      </c>
      <c r="AA47" s="3">
        <f t="shared" si="50"/>
        <v>6.25E-2</v>
      </c>
      <c r="AB47" s="3">
        <f t="shared" si="31"/>
        <v>-2.8580239483786754E-3</v>
      </c>
      <c r="AC47" s="3">
        <f t="shared" si="41"/>
        <v>6.0546875E-2</v>
      </c>
      <c r="AD47" s="3">
        <f t="shared" si="32"/>
        <v>-8.937676144838147E-4</v>
      </c>
      <c r="AE47" s="3">
        <f t="shared" si="42"/>
        <v>-9.5647928897660666E-7</v>
      </c>
      <c r="AF47" s="3">
        <f t="shared" si="43"/>
        <v>2.554409246480022E-6</v>
      </c>
      <c r="AG47" s="3">
        <f t="shared" si="44"/>
        <v>3.90625E-3</v>
      </c>
      <c r="AI47" s="76" t="s">
        <v>234</v>
      </c>
      <c r="AJ47" s="76"/>
      <c r="AK47" s="76"/>
      <c r="AL47" s="76"/>
      <c r="AM47" s="3"/>
      <c r="AN47" s="3"/>
      <c r="AO47" s="3"/>
      <c r="AP47" s="3"/>
      <c r="AQ47" s="3"/>
      <c r="AR47" s="3"/>
      <c r="AW47"/>
      <c r="AX47" s="24" t="s">
        <v>155</v>
      </c>
      <c r="AY47" s="63" t="s">
        <v>230</v>
      </c>
      <c r="AZ47" s="63"/>
      <c r="BA47" s="25"/>
      <c r="BB47" s="25"/>
      <c r="BC47" s="25"/>
      <c r="BD47" s="25"/>
      <c r="BE47" s="25"/>
      <c r="BF47" s="25"/>
      <c r="BG47" s="25"/>
      <c r="BH47" s="28"/>
      <c r="BI47"/>
      <c r="BJ47" s="3" t="s">
        <v>187</v>
      </c>
      <c r="BK47" s="3">
        <f>IF(-$AU$8*($AY$3-$AU$23)/(2*$AU$23*SIN(BK42))&gt;500, 1, 2*ACOS(MIN(1, EXP(-$AU$8*($AY$3-$AU$23)/(2*$AU$23*SIN(BK42)))))/PI() )</f>
        <v>0.9999993060155955</v>
      </c>
      <c r="BL47" s="3"/>
      <c r="BM47" s="3"/>
      <c r="BN47" s="3" t="s">
        <v>187</v>
      </c>
      <c r="BO47" s="3">
        <f>IF(-$AU$8*($AY$3-$AU$24)/(2*$AU$24*SIN(BO42))&gt;500, 1, 2*ACOS(MIN(1, EXP(-$AU$8*($AY$3-$AU$24)/(2*$AU$24*SIN(BO42)))))/PI() )</f>
        <v>0.99997670719797727</v>
      </c>
      <c r="BP47" s="3"/>
      <c r="BQ47"/>
      <c r="BR47" s="3">
        <v>9</v>
      </c>
      <c r="BS47" s="3">
        <f t="shared" si="45"/>
        <v>9.6947585794372515E-2</v>
      </c>
      <c r="BT47" s="3">
        <v>-9.6105411598381742E-3</v>
      </c>
      <c r="BU47" s="3">
        <f t="shared" si="46"/>
        <v>0.10786952900411828</v>
      </c>
      <c r="BV47" s="3">
        <v>2.5698721942368358E-2</v>
      </c>
      <c r="BW47" s="3">
        <f t="shared" si="33"/>
        <v>0.1024085573992454</v>
      </c>
      <c r="BX47" s="3">
        <v>8.6890996554898521E-3</v>
      </c>
      <c r="BY47" s="3">
        <f t="shared" si="34"/>
        <v>-8.3506949881020923E-5</v>
      </c>
      <c r="BZ47" s="3">
        <f t="shared" si="35"/>
        <v>2.2329875597596239E-4</v>
      </c>
      <c r="CA47" s="3">
        <f t="shared" si="36"/>
        <v>1.0921943209745766E-2</v>
      </c>
      <c r="CB47"/>
      <c r="CC47" s="3">
        <v>9</v>
      </c>
      <c r="CD47" s="3">
        <f t="shared" si="47"/>
        <v>7.5103699374880983E-2</v>
      </c>
      <c r="CE47" s="3">
        <v>-2.6606846645567457E-2</v>
      </c>
      <c r="CF47" s="3">
        <f t="shared" si="48"/>
        <v>8.6025642584626749E-2</v>
      </c>
      <c r="CG47" s="3">
        <v>1.0161505203294889E-2</v>
      </c>
      <c r="CH47" s="3">
        <f t="shared" si="37"/>
        <v>8.0564670979753866E-2</v>
      </c>
      <c r="CI47" s="3">
        <v>-7.3522474588083257E-3</v>
      </c>
      <c r="CJ47" s="3">
        <f t="shared" si="38"/>
        <v>1.9562012063677615E-4</v>
      </c>
      <c r="CK47" s="3">
        <f t="shared" si="39"/>
        <v>-7.4709900808592425E-5</v>
      </c>
      <c r="CL47" s="3">
        <f t="shared" si="40"/>
        <v>1.0921943209745766E-2</v>
      </c>
    </row>
    <row r="48" spans="2:90" x14ac:dyDescent="0.2">
      <c r="B48" s="7" t="s">
        <v>226</v>
      </c>
      <c r="C48" s="42">
        <v>1.7116254418577599E-5</v>
      </c>
      <c r="D48" s="7" t="s">
        <v>222</v>
      </c>
      <c r="F48" s="44" t="s">
        <v>294</v>
      </c>
      <c r="G48" s="44">
        <f>$G$47/100*K4</f>
        <v>1132.4443070548882</v>
      </c>
      <c r="H48" s="44" t="s">
        <v>116</v>
      </c>
      <c r="O48" s="61"/>
      <c r="P48" s="61"/>
      <c r="Q48" s="61"/>
      <c r="R48" s="61"/>
      <c r="S48" s="50"/>
      <c r="X48" s="3">
        <v>9</v>
      </c>
      <c r="Y48" s="3">
        <f t="shared" si="49"/>
        <v>5.859375E-2</v>
      </c>
      <c r="Z48" s="3">
        <f t="shared" si="30"/>
        <v>1.0701655256652037E-3</v>
      </c>
      <c r="AA48" s="3">
        <f t="shared" si="50"/>
        <v>6.0546875E-2</v>
      </c>
      <c r="AB48" s="3">
        <f t="shared" si="31"/>
        <v>-8.937676144838147E-4</v>
      </c>
      <c r="AC48" s="3">
        <f t="shared" si="41"/>
        <v>5.95703125E-2</v>
      </c>
      <c r="AD48" s="3">
        <f t="shared" si="32"/>
        <v>8.823953087896963E-5</v>
      </c>
      <c r="AE48" s="3">
        <f t="shared" si="42"/>
        <v>9.4430903947543517E-8</v>
      </c>
      <c r="AF48" s="3">
        <f t="shared" si="43"/>
        <v>-7.8865635016867588E-8</v>
      </c>
      <c r="AG48" s="3">
        <f t="shared" si="44"/>
        <v>1.953125E-3</v>
      </c>
      <c r="AI48" s="8" t="s">
        <v>44</v>
      </c>
      <c r="AJ48" s="8" t="s">
        <v>45</v>
      </c>
      <c r="AK48" s="8" t="s">
        <v>46</v>
      </c>
      <c r="AL48" s="8" t="s">
        <v>47</v>
      </c>
      <c r="AM48" s="8" t="s">
        <v>48</v>
      </c>
      <c r="AN48" s="8" t="s">
        <v>49</v>
      </c>
      <c r="AO48" s="8" t="s">
        <v>50</v>
      </c>
      <c r="AP48" s="8" t="s">
        <v>51</v>
      </c>
      <c r="AQ48" s="8" t="s">
        <v>52</v>
      </c>
      <c r="AR48" s="8" t="s">
        <v>53</v>
      </c>
      <c r="AW48"/>
      <c r="AX48" s="28"/>
      <c r="AY48" s="64" t="s">
        <v>160</v>
      </c>
      <c r="AZ48" s="64"/>
      <c r="BA48" s="64"/>
      <c r="BB48" s="64" t="s">
        <v>161</v>
      </c>
      <c r="BC48" s="64"/>
      <c r="BD48" s="64"/>
      <c r="BE48" s="64" t="s">
        <v>162</v>
      </c>
      <c r="BF48" s="64"/>
      <c r="BG48" s="64"/>
      <c r="BH48" s="52"/>
      <c r="BI48"/>
      <c r="BJ48" s="3" t="s">
        <v>192</v>
      </c>
      <c r="BK48" s="3">
        <f>IF(-$AU$8*($AU$23-$AU$10)/(2*$AU$23*SIN(BK42))&gt;500, 1, 2*ACOS(MIN(1, EXP(-$AU$8*($AU$23-$AU$10)/(2*$AU$23*SIN(BK42)))))/PI() )</f>
        <v>0.99999998626686792</v>
      </c>
      <c r="BL48" s="3"/>
      <c r="BM48" s="3"/>
      <c r="BN48" s="3" t="s">
        <v>192</v>
      </c>
      <c r="BO48" s="3">
        <f>IF(-$AU$8*($AU$24-$AU$10)/(2*$AU$24*SIN(BO42))&gt;500, 1, 2*ACOS(MIN(1, EXP(-$AU$8*($AU$24-$AU$10)/(2*$AU$24*SIN(BO42)))))/PI() )</f>
        <v>0.99999999988953325</v>
      </c>
      <c r="BP48" s="3"/>
      <c r="BQ48"/>
      <c r="BR48" s="3">
        <v>10</v>
      </c>
      <c r="BS48" s="3">
        <f t="shared" si="45"/>
        <v>9.6947585794372515E-2</v>
      </c>
      <c r="BT48" s="3">
        <v>-9.6105411598381742E-3</v>
      </c>
      <c r="BU48" s="3">
        <f t="shared" si="46"/>
        <v>0.1024085573992454</v>
      </c>
      <c r="BV48" s="3">
        <v>8.6890996554898521E-3</v>
      </c>
      <c r="BW48" s="3">
        <f t="shared" si="33"/>
        <v>9.9678071596808956E-2</v>
      </c>
      <c r="BX48" s="3">
        <v>-2.8651069769495673E-4</v>
      </c>
      <c r="BY48" s="3">
        <f t="shared" si="34"/>
        <v>2.7535228529313338E-6</v>
      </c>
      <c r="BZ48" s="3">
        <f t="shared" si="35"/>
        <v>-2.4895200046354058E-6</v>
      </c>
      <c r="CA48" s="3">
        <f t="shared" si="36"/>
        <v>5.4609716048728829E-3</v>
      </c>
      <c r="CB48"/>
      <c r="CC48" s="3">
        <v>10</v>
      </c>
      <c r="CD48" s="3">
        <f t="shared" si="47"/>
        <v>8.0564670979753866E-2</v>
      </c>
      <c r="CE48" s="3">
        <v>-7.3522474588083257E-3</v>
      </c>
      <c r="CF48" s="3">
        <f t="shared" si="48"/>
        <v>8.6025642584626749E-2</v>
      </c>
      <c r="CG48" s="3">
        <v>1.0161505203294889E-2</v>
      </c>
      <c r="CH48" s="3">
        <f t="shared" si="37"/>
        <v>8.3295156782190308E-2</v>
      </c>
      <c r="CI48" s="3">
        <v>1.6010974597555705E-3</v>
      </c>
      <c r="CJ48" s="3">
        <f t="shared" si="38"/>
        <v>-1.1771664729792358E-5</v>
      </c>
      <c r="CK48" s="3">
        <f t="shared" si="39"/>
        <v>1.626956016828846E-5</v>
      </c>
      <c r="CL48" s="3">
        <f t="shared" si="40"/>
        <v>5.4609716048728829E-3</v>
      </c>
    </row>
    <row r="49" spans="2:90" x14ac:dyDescent="0.2">
      <c r="B49" s="7" t="s">
        <v>144</v>
      </c>
      <c r="C49" s="18">
        <v>330.89077204791801</v>
      </c>
      <c r="D49" s="7" t="s">
        <v>10</v>
      </c>
      <c r="O49" s="61"/>
      <c r="P49" s="61"/>
      <c r="Q49" s="61"/>
      <c r="R49" s="61"/>
      <c r="S49" s="50"/>
      <c r="X49" s="3">
        <v>10</v>
      </c>
      <c r="Y49" s="3">
        <f t="shared" si="49"/>
        <v>5.95703125E-2</v>
      </c>
      <c r="Z49" s="3">
        <f t="shared" si="30"/>
        <v>8.823953087896963E-5</v>
      </c>
      <c r="AA49" s="3">
        <f t="shared" si="50"/>
        <v>6.0546875E-2</v>
      </c>
      <c r="AB49" s="3">
        <f t="shared" si="31"/>
        <v>-8.937676144838147E-4</v>
      </c>
      <c r="AC49" s="3">
        <f t="shared" si="41"/>
        <v>6.005859375E-2</v>
      </c>
      <c r="AD49" s="3">
        <f t="shared" si="32"/>
        <v>-4.027539198198718E-4</v>
      </c>
      <c r="AE49" s="3">
        <f t="shared" si="42"/>
        <v>-3.5538816944571636E-8</v>
      </c>
      <c r="AF49" s="3">
        <f t="shared" si="43"/>
        <v>3.5996841014141238E-7</v>
      </c>
      <c r="AG49" s="3">
        <f t="shared" si="44"/>
        <v>9.765625E-4</v>
      </c>
      <c r="AI49" s="3">
        <v>0</v>
      </c>
      <c r="AJ49" s="3"/>
      <c r="AK49" s="3">
        <f>G16</f>
        <v>3.0388055165531114E-5</v>
      </c>
      <c r="AL49" s="3"/>
      <c r="AM49" s="3">
        <f>G16</f>
        <v>3.0388055165531114E-5</v>
      </c>
      <c r="AN49" s="3"/>
      <c r="AO49" s="3">
        <f>G16</f>
        <v>3.0388055165531114E-5</v>
      </c>
      <c r="AP49" s="3"/>
      <c r="AQ49" s="3"/>
      <c r="AR49" s="3"/>
      <c r="AW49"/>
      <c r="AX49" s="28"/>
      <c r="AY49" s="5" t="s">
        <v>168</v>
      </c>
      <c r="AZ49" s="3">
        <v>-180</v>
      </c>
      <c r="BA49" s="3">
        <v>-13.25</v>
      </c>
      <c r="BB49" s="5" t="s">
        <v>168</v>
      </c>
      <c r="BC49" s="3">
        <v>-13.25</v>
      </c>
      <c r="BD49" s="3">
        <v>19.25</v>
      </c>
      <c r="BE49" s="5" t="s">
        <v>168</v>
      </c>
      <c r="BF49" s="3">
        <v>19.25</v>
      </c>
      <c r="BG49" s="3">
        <v>180</v>
      </c>
      <c r="BH49" s="53"/>
      <c r="BI49"/>
      <c r="BJ49" s="3" t="s">
        <v>195</v>
      </c>
      <c r="BK49" s="3">
        <f>IF(BK42=0,1,BK47*BK48)</f>
        <v>0.99999929228247297</v>
      </c>
      <c r="BL49" s="3"/>
      <c r="BM49" s="3"/>
      <c r="BN49" s="3" t="s">
        <v>195</v>
      </c>
      <c r="BO49" s="3">
        <f>IF(BO42=0,1,BO47*BO48)</f>
        <v>0.99997670708751307</v>
      </c>
      <c r="BP49" s="3"/>
      <c r="BQ49"/>
      <c r="BR49" s="3">
        <v>11</v>
      </c>
      <c r="BS49" s="3">
        <f t="shared" si="45"/>
        <v>9.9678071596808956E-2</v>
      </c>
      <c r="BT49" s="3">
        <v>-2.8651069769495673E-4</v>
      </c>
      <c r="BU49" s="3">
        <f t="shared" si="46"/>
        <v>0.1024085573992454</v>
      </c>
      <c r="BV49" s="3">
        <v>8.6890996554898521E-3</v>
      </c>
      <c r="BW49" s="3">
        <f t="shared" si="33"/>
        <v>0.10104331449802717</v>
      </c>
      <c r="BX49" s="3">
        <v>4.2431182864493093E-3</v>
      </c>
      <c r="BY49" s="3">
        <f t="shared" si="34"/>
        <v>-1.2156987806528209E-6</v>
      </c>
      <c r="BZ49" s="3">
        <f t="shared" si="35"/>
        <v>3.6868877640989383E-5</v>
      </c>
      <c r="CA49" s="3">
        <f t="shared" si="36"/>
        <v>2.7304858024364415E-3</v>
      </c>
      <c r="CB49"/>
      <c r="CC49" s="3">
        <v>11</v>
      </c>
      <c r="CD49" s="3">
        <f t="shared" si="47"/>
        <v>8.0564670979753866E-2</v>
      </c>
      <c r="CE49" s="3">
        <v>-7.3522474588083257E-3</v>
      </c>
      <c r="CF49" s="3">
        <f t="shared" si="48"/>
        <v>8.3295156782190308E-2</v>
      </c>
      <c r="CG49" s="3">
        <v>1.6010974597555705E-3</v>
      </c>
      <c r="CH49" s="3">
        <f t="shared" si="37"/>
        <v>8.1929913880972094E-2</v>
      </c>
      <c r="CI49" s="3">
        <v>-2.8240355349832013E-3</v>
      </c>
      <c r="CJ49" s="3">
        <f t="shared" si="38"/>
        <v>2.0763008085664653E-5</v>
      </c>
      <c r="CK49" s="3">
        <f t="shared" si="39"/>
        <v>-4.5215561213210674E-6</v>
      </c>
      <c r="CL49" s="3">
        <f t="shared" si="40"/>
        <v>2.7304858024364415E-3</v>
      </c>
    </row>
    <row r="50" spans="2:90" x14ac:dyDescent="0.2">
      <c r="B50" s="7" t="s">
        <v>17</v>
      </c>
      <c r="C50" s="1">
        <v>9.7991241940211005</v>
      </c>
      <c r="D50" s="7" t="s">
        <v>18</v>
      </c>
      <c r="F50" s="66" t="s">
        <v>84</v>
      </c>
      <c r="G50" s="67"/>
      <c r="H50" s="67"/>
      <c r="O50" s="61"/>
      <c r="P50" s="61"/>
      <c r="Q50" s="61"/>
      <c r="R50" s="61"/>
      <c r="S50" s="50"/>
      <c r="X50" s="3">
        <v>11</v>
      </c>
      <c r="Y50" s="3">
        <f t="shared" si="49"/>
        <v>5.95703125E-2</v>
      </c>
      <c r="Z50" s="3">
        <f t="shared" si="30"/>
        <v>8.823953087896963E-5</v>
      </c>
      <c r="AA50" s="3">
        <f t="shared" si="50"/>
        <v>6.005859375E-2</v>
      </c>
      <c r="AB50" s="3">
        <f t="shared" si="31"/>
        <v>-4.027539198198718E-4</v>
      </c>
      <c r="AC50" s="3">
        <f t="shared" si="41"/>
        <v>5.9814453125E-2</v>
      </c>
      <c r="AD50" s="3">
        <f t="shared" si="32"/>
        <v>-1.5725466123421572E-4</v>
      </c>
      <c r="AE50" s="3">
        <f t="shared" si="42"/>
        <v>-1.3876077535838486E-8</v>
      </c>
      <c r="AF50" s="3">
        <f t="shared" si="43"/>
        <v>6.3334931222026426E-8</v>
      </c>
      <c r="AG50" s="3">
        <f t="shared" si="44"/>
        <v>4.8828125E-4</v>
      </c>
      <c r="AI50" s="3">
        <v>1</v>
      </c>
      <c r="AJ50" s="4">
        <v>50</v>
      </c>
      <c r="AK50" s="3">
        <f t="dataTable" ref="AK50:AK79" dt2D="0" dtr="0" r1="C6" ca="1"/>
        <v>7688.2457603832227</v>
      </c>
      <c r="AL50" s="4">
        <v>1500</v>
      </c>
      <c r="AM50" s="3">
        <f t="dataTable" ref="AM50:AM79" dt2D="0" dtr="0" r1="C6" ca="1"/>
        <v>-54605.654419951999</v>
      </c>
      <c r="AN50" s="3">
        <f t="shared" ref="AN50:AN79" si="51">(AJ50+AL50)/2</f>
        <v>775</v>
      </c>
      <c r="AO50" s="3">
        <f t="dataTable" ref="AO50:AO79" dt2D="0" dtr="0" r1="C6" ca="1"/>
        <v>-8889.9696101898589</v>
      </c>
      <c r="AP50" s="3">
        <f t="shared" ref="AP50:AP79" si="52">AK50*AO50</f>
        <v>-68348271.165477872</v>
      </c>
      <c r="AQ50" s="3">
        <f t="shared" ref="AQ50:AQ79" si="53">AM50*AO50</f>
        <v>485442608.33790284</v>
      </c>
      <c r="AR50" s="3">
        <f t="shared" ref="AR50:AR79" si="54">AL50-AJ50</f>
        <v>1450</v>
      </c>
      <c r="AW50"/>
      <c r="AX50" s="59" t="s">
        <v>172</v>
      </c>
      <c r="AY50" s="54">
        <v>-8.3549000000000003E-12</v>
      </c>
      <c r="AZ50" s="25">
        <v>-4.7840743999999998E-9</v>
      </c>
      <c r="BA50" s="26">
        <v>-1.0649366135999999E-6</v>
      </c>
      <c r="BB50" s="54">
        <v>3.7015648000000001E-9</v>
      </c>
      <c r="BC50" s="25">
        <v>-1.9299895869999999E-7</v>
      </c>
      <c r="BD50" s="26">
        <v>-1.9025591952999999E-6</v>
      </c>
      <c r="BE50" s="3">
        <v>9.9660000000000001E-12</v>
      </c>
      <c r="BF50" s="3">
        <v>-5.5831206999999999E-9</v>
      </c>
      <c r="BG50" s="3">
        <v>1.2239417548000001E-6</v>
      </c>
      <c r="BH50" s="28"/>
      <c r="BI50"/>
      <c r="BJ50" s="3" t="s">
        <v>199</v>
      </c>
      <c r="BK50" s="3">
        <f>IF(BK45&lt;$BC$49, $AY$50*BK45^6 + $AZ$50*BK45^5 + $BA$50*BK45^4 + $AY$51*BK45^3 + $AZ$51*BK45^2 + $BA$51*BK45 + $AY$52, IF(BK45&gt;$BD$49, $BE$50*BK45^6 + $BF$50*BK45^5 + $BG$50*BK45^4 + $BE$51*BK45^3 + $BF$51*BK45^2 + $BG$51*BK45 + $BE$52, $BB$50*BK45^6 + $BC$50*BK45^5 + $BD$50*BK45^4 + $BB$51*BK45^3 + $BC$51*BK45^2 + $BD$51*BK45 + $BB$52) )</f>
        <v>0.36421603684348725</v>
      </c>
      <c r="BL50" s="3"/>
      <c r="BM50" s="3"/>
      <c r="BN50" s="3" t="s">
        <v>199</v>
      </c>
      <c r="BO50" s="3">
        <f>IF(BO45&lt;$BC$49, $AY$50*BO45^6 + $AZ$50*BO45^5 + $BA$50*BO45^4 + $AY$51*BO45^3 + $AZ$51*BO45^2 + $BA$51*BO45 + $AY$52, IF(BO45&gt;$BD$49, $BE$50*BO45^6 + $BF$50*BO45^5 + $BG$50*BO45^4 + $BE$51*BO45^3 + $BF$51*BO45^2 + $BG$51*BO45 + $BE$52, $BB$50*BO45^6 + $BC$50*BO45^5 + $BD$50*BO45^4 + $BB$51*BO45^3 + $BC$51*BO45^2 + $BD$51*BO45 + $BB$52) )</f>
        <v>0.29357053224003971</v>
      </c>
      <c r="BP50" s="3"/>
      <c r="BQ50"/>
      <c r="BR50" s="3">
        <v>12</v>
      </c>
      <c r="BS50" s="3">
        <f t="shared" si="45"/>
        <v>9.9678071596808956E-2</v>
      </c>
      <c r="BT50" s="3">
        <v>-2.8651069769495673E-4</v>
      </c>
      <c r="BU50" s="3">
        <f t="shared" si="46"/>
        <v>0.10104331449802717</v>
      </c>
      <c r="BV50" s="3">
        <v>4.2431182864493093E-3</v>
      </c>
      <c r="BW50" s="3">
        <f t="shared" si="33"/>
        <v>0.10036069304741807</v>
      </c>
      <c r="BX50" s="3">
        <v>1.9889685129116045E-3</v>
      </c>
      <c r="BY50" s="3">
        <f t="shared" si="34"/>
        <v>-5.6986075632760438E-7</v>
      </c>
      <c r="BZ50" s="3">
        <f t="shared" si="35"/>
        <v>8.4394286683071175E-6</v>
      </c>
      <c r="CA50" s="3">
        <f t="shared" si="36"/>
        <v>1.3652429012182138E-3</v>
      </c>
      <c r="CB50"/>
      <c r="CC50" s="3">
        <v>12</v>
      </c>
      <c r="CD50" s="3">
        <f t="shared" si="47"/>
        <v>8.1929913880972094E-2</v>
      </c>
      <c r="CE50" s="3">
        <v>-2.8240355349832013E-3</v>
      </c>
      <c r="CF50" s="3">
        <f t="shared" si="48"/>
        <v>8.3295156782190308E-2</v>
      </c>
      <c r="CG50" s="3">
        <v>1.6010974597555705E-3</v>
      </c>
      <c r="CH50" s="3">
        <f t="shared" si="37"/>
        <v>8.2612535331581194E-2</v>
      </c>
      <c r="CI50" s="3">
        <v>-5.9889945241142599E-4</v>
      </c>
      <c r="CJ50" s="3">
        <f t="shared" si="38"/>
        <v>1.6913133354918477E-6</v>
      </c>
      <c r="CK50" s="3">
        <f t="shared" si="39"/>
        <v>-9.5889639190493631E-7</v>
      </c>
      <c r="CL50" s="3">
        <f t="shared" si="40"/>
        <v>1.3652429012182138E-3</v>
      </c>
    </row>
    <row r="51" spans="2:90" x14ac:dyDescent="0.2">
      <c r="F51" t="s">
        <v>88</v>
      </c>
      <c r="G51" s="1">
        <f>100*0.3048/60</f>
        <v>0.50800000000000001</v>
      </c>
      <c r="H51" t="s">
        <v>10</v>
      </c>
      <c r="O51" s="61"/>
      <c r="P51" s="61"/>
      <c r="Q51" s="61"/>
      <c r="R51" s="61"/>
      <c r="S51" s="50"/>
      <c r="X51" s="3">
        <v>12</v>
      </c>
      <c r="Y51" s="3">
        <f t="shared" si="49"/>
        <v>5.95703125E-2</v>
      </c>
      <c r="Z51" s="3">
        <f t="shared" si="30"/>
        <v>8.823953087896963E-5</v>
      </c>
      <c r="AA51" s="3">
        <f t="shared" si="50"/>
        <v>5.9814453125E-2</v>
      </c>
      <c r="AB51" s="3">
        <f t="shared" si="31"/>
        <v>-1.5725466123421572E-4</v>
      </c>
      <c r="AC51" s="3">
        <f t="shared" si="41"/>
        <v>5.96923828125E-2</v>
      </c>
      <c r="AD51" s="3">
        <f t="shared" si="32"/>
        <v>-3.4506931526914753E-5</v>
      </c>
      <c r="AE51" s="3">
        <f t="shared" si="42"/>
        <v>-3.0448754500076851E-9</v>
      </c>
      <c r="AF51" s="3">
        <f t="shared" si="43"/>
        <v>5.4263758274972578E-9</v>
      </c>
      <c r="AG51" s="3">
        <f t="shared" si="44"/>
        <v>2.44140625E-4</v>
      </c>
      <c r="AI51" s="3">
        <v>2</v>
      </c>
      <c r="AJ51" s="3">
        <f t="shared" ref="AJ51:AJ79" si="55">IF(AP50&gt;0, AN50, AJ50)</f>
        <v>50</v>
      </c>
      <c r="AK51" s="3">
        <v>7688.2457603832227</v>
      </c>
      <c r="AL51" s="3">
        <f t="shared" ref="AL51:AL79" si="56">IF(AQ50&gt;0, AN50, AL50)</f>
        <v>775</v>
      </c>
      <c r="AM51" s="3">
        <v>-8889.9696101898589</v>
      </c>
      <c r="AN51" s="3">
        <f t="shared" si="51"/>
        <v>412.5</v>
      </c>
      <c r="AO51" s="3">
        <v>3041.3217549953133</v>
      </c>
      <c r="AP51" s="3">
        <f t="shared" si="52"/>
        <v>23382429.08880398</v>
      </c>
      <c r="AQ51" s="3">
        <f t="shared" si="53"/>
        <v>-27037257.976717625</v>
      </c>
      <c r="AR51" s="3">
        <f t="shared" si="54"/>
        <v>725</v>
      </c>
      <c r="AW51"/>
      <c r="AX51" s="59"/>
      <c r="AY51" s="28">
        <v>-1.144044407873E-4</v>
      </c>
      <c r="AZ51" s="3">
        <v>-5.9672629119978003E-3</v>
      </c>
      <c r="BA51" s="32">
        <v>-0.147383228322227</v>
      </c>
      <c r="BB51" s="28">
        <v>-7.5438890733199999E-5</v>
      </c>
      <c r="BC51" s="3">
        <v>3.1904994716390001E-4</v>
      </c>
      <c r="BD51" s="32">
        <v>0.11915386438570399</v>
      </c>
      <c r="BE51" s="3">
        <v>-1.3165317594420001E-4</v>
      </c>
      <c r="BF51" s="3">
        <v>7.1422773315944002E-3</v>
      </c>
      <c r="BG51" s="3">
        <v>-0.19867431185841999</v>
      </c>
      <c r="BH51" s="28"/>
      <c r="BI51"/>
      <c r="BJ51" s="3" t="s">
        <v>200</v>
      </c>
      <c r="BK51" s="3">
        <f>IF(BK45&lt;$BC$49, $AY$53*BK45^6 + $AZ$53*BK45^5 + $BA$53*BK45^4 + $AY$54*BK45^3 + $AZ$54*BK45^2 + $BA$54*BK45 + $AY$55, IF(BK45&gt;$BD$49, $BE$53*BK45^6 + $BF$53*BK45^5 + $BG$53*BK45^4 + $BE$54*BK45^3 + $BF$54*BK45^2 + $BG$54*BK45 + $BE$55, $BB$53*BK45^6 + $BC$53*BK45^5 + $BD$53*BK45^4 + $BB$54*BK45^3 + $BC$54*BK45^2 + $BD$54*BK45 + $BB$55) )</f>
        <v>3.4477335646296486E-2</v>
      </c>
      <c r="BL51" s="3"/>
      <c r="BM51" s="3"/>
      <c r="BN51" s="3" t="s">
        <v>200</v>
      </c>
      <c r="BO51" s="3">
        <f>IF(BO45&lt;$BC$49, $AY$53*BO45^6 + $AZ$53*BO45^5 + $BA$53*BO45^4 + $AY$54*BO45^3 + $AZ$54*BO45^2 + $BA$54*BO45 + $AY$55, IF(BO45&gt;$BD$49, $BE$53*BO45^6 + $BF$53*BO45^5 + $BG$53*BO45^4 + $BE$54*BO45^3 + $BF$54*BO45^2 + $BG$54*BO45 + $BE$55, $BB$53*BO45^6 + $BC$53*BO45^5 + $BD$53*BO45^4 + $BB$54*BO45^3 + $BC$54*BO45^2 + $BD$54*BO45 + $BB$55) )</f>
        <v>3.8675237841994156E-2</v>
      </c>
      <c r="BP51" s="3"/>
      <c r="BQ51"/>
      <c r="BR51" s="3">
        <v>13</v>
      </c>
      <c r="BS51" s="3">
        <f t="shared" si="45"/>
        <v>9.9678071596808956E-2</v>
      </c>
      <c r="BT51" s="3">
        <v>-2.8651069769495673E-4</v>
      </c>
      <c r="BU51" s="3">
        <f t="shared" si="46"/>
        <v>0.10036069304741807</v>
      </c>
      <c r="BV51" s="3">
        <v>1.9889685129116045E-3</v>
      </c>
      <c r="BW51" s="3">
        <f t="shared" si="33"/>
        <v>0.10001938232211352</v>
      </c>
      <c r="BX51" s="3">
        <v>8.5392180403252426E-4</v>
      </c>
      <c r="BY51" s="3">
        <f t="shared" si="34"/>
        <v>-2.4465773185029466E-7</v>
      </c>
      <c r="BZ51" s="3">
        <f t="shared" si="35"/>
        <v>1.6984235807093644E-6</v>
      </c>
      <c r="CA51" s="3">
        <f t="shared" si="36"/>
        <v>6.8262145060911383E-4</v>
      </c>
      <c r="CB51"/>
      <c r="CC51" s="3">
        <v>13</v>
      </c>
      <c r="CD51" s="3">
        <f t="shared" si="47"/>
        <v>8.2612535331581194E-2</v>
      </c>
      <c r="CE51" s="3">
        <v>-5.9889945241142599E-4</v>
      </c>
      <c r="CF51" s="3">
        <f t="shared" si="48"/>
        <v>8.3295156782190308E-2</v>
      </c>
      <c r="CG51" s="3">
        <v>1.6010974597555705E-3</v>
      </c>
      <c r="CH51" s="3">
        <f t="shared" si="37"/>
        <v>8.2953846056885744E-2</v>
      </c>
      <c r="CI51" s="3">
        <v>5.0420312330055547E-4</v>
      </c>
      <c r="CJ51" s="3">
        <f t="shared" si="38"/>
        <v>-3.0196697444883337E-7</v>
      </c>
      <c r="CK51" s="3">
        <f t="shared" si="39"/>
        <v>8.0727833991734406E-7</v>
      </c>
      <c r="CL51" s="3">
        <f t="shared" si="40"/>
        <v>6.8262145060911383E-4</v>
      </c>
    </row>
    <row r="52" spans="2:90" x14ac:dyDescent="0.2">
      <c r="B52" s="68" t="s">
        <v>290</v>
      </c>
      <c r="C52" s="73"/>
      <c r="D52" s="73"/>
      <c r="F52" t="s">
        <v>94</v>
      </c>
      <c r="G52" s="1">
        <f>50*0.3048</f>
        <v>15.24</v>
      </c>
      <c r="H52" t="s">
        <v>8</v>
      </c>
      <c r="O52" s="61"/>
      <c r="P52" s="61"/>
      <c r="Q52" s="61"/>
      <c r="R52" s="61"/>
      <c r="S52" s="50"/>
      <c r="X52" s="3">
        <v>13</v>
      </c>
      <c r="Y52" s="3">
        <f t="shared" si="49"/>
        <v>5.95703125E-2</v>
      </c>
      <c r="Z52" s="3">
        <f t="shared" si="30"/>
        <v>8.823953087896963E-5</v>
      </c>
      <c r="AA52" s="3">
        <f t="shared" si="50"/>
        <v>5.96923828125E-2</v>
      </c>
      <c r="AB52" s="3">
        <f t="shared" si="31"/>
        <v>-3.4506931526914753E-5</v>
      </c>
      <c r="AC52" s="3">
        <f t="shared" si="41"/>
        <v>5.963134765625E-2</v>
      </c>
      <c r="AD52" s="3">
        <f t="shared" si="32"/>
        <v>2.6866458131352688E-5</v>
      </c>
      <c r="AE52" s="3">
        <f t="shared" si="42"/>
        <v>2.3706836618900404E-9</v>
      </c>
      <c r="AF52" s="3">
        <f t="shared" si="43"/>
        <v>-9.2707903110930926E-10</v>
      </c>
      <c r="AG52" s="3">
        <f t="shared" si="44"/>
        <v>1.220703125E-4</v>
      </c>
      <c r="AI52" s="3">
        <v>3</v>
      </c>
      <c r="AJ52" s="3">
        <f t="shared" si="55"/>
        <v>412.5</v>
      </c>
      <c r="AK52" s="3">
        <v>3041.3217549953133</v>
      </c>
      <c r="AL52" s="3">
        <f t="shared" si="56"/>
        <v>775</v>
      </c>
      <c r="AM52" s="3">
        <v>-8889.9696101898589</v>
      </c>
      <c r="AN52" s="3">
        <f t="shared" si="51"/>
        <v>593.75</v>
      </c>
      <c r="AO52" s="3">
        <v>-2013.7780076226154</v>
      </c>
      <c r="AP52" s="3">
        <f t="shared" si="52"/>
        <v>-6124546.8643137785</v>
      </c>
      <c r="AQ52" s="3">
        <f t="shared" si="53"/>
        <v>17902425.289433733</v>
      </c>
      <c r="AR52" s="3">
        <f t="shared" si="54"/>
        <v>362.5</v>
      </c>
      <c r="AW52"/>
      <c r="AX52" s="59"/>
      <c r="AY52" s="56">
        <v>-2.2751380819795499</v>
      </c>
      <c r="AZ52" s="57"/>
      <c r="BA52" s="58"/>
      <c r="BB52" s="56">
        <v>0.14939144598517301</v>
      </c>
      <c r="BC52" s="57"/>
      <c r="BD52" s="58"/>
      <c r="BE52" s="61">
        <v>3.3811980767955601</v>
      </c>
      <c r="BF52" s="61"/>
      <c r="BG52" s="62"/>
      <c r="BH52" s="28"/>
      <c r="BI52"/>
      <c r="BJ52" s="3" t="s">
        <v>202</v>
      </c>
      <c r="BK52" s="3">
        <f xml:space="preserve"> BK50*COS(BK42) - BK51*SIN(BK42)</f>
        <v>0.36100502389580402</v>
      </c>
      <c r="BL52" s="3"/>
      <c r="BM52" s="3"/>
      <c r="BN52" s="3" t="s">
        <v>202</v>
      </c>
      <c r="BO52" s="3">
        <f xml:space="preserve"> BO50*COS(BO42) - BO51*SIN(BO42)</f>
        <v>0.29096085686689072</v>
      </c>
      <c r="BP52" s="3"/>
      <c r="BQ52"/>
      <c r="BR52" s="3">
        <v>14</v>
      </c>
      <c r="BS52" s="3">
        <f t="shared" si="45"/>
        <v>9.9678071596808956E-2</v>
      </c>
      <c r="BT52" s="3">
        <v>-2.8651069769495673E-4</v>
      </c>
      <c r="BU52" s="3">
        <f t="shared" si="46"/>
        <v>0.10001938232211352</v>
      </c>
      <c r="BV52" s="3">
        <v>8.5392180403252426E-4</v>
      </c>
      <c r="BW52" s="3">
        <f t="shared" si="33"/>
        <v>9.9848726959461231E-2</v>
      </c>
      <c r="BX52" s="3">
        <v>2.8438215667886142E-4</v>
      </c>
      <c r="BY52" s="3">
        <f t="shared" si="34"/>
        <v>-8.1478530122057077E-8</v>
      </c>
      <c r="BZ52" s="3">
        <f t="shared" si="35"/>
        <v>2.4284012426587331E-7</v>
      </c>
      <c r="CA52" s="3">
        <f t="shared" si="36"/>
        <v>3.4131072530456386E-4</v>
      </c>
      <c r="CB52"/>
      <c r="CC52" s="3">
        <v>14</v>
      </c>
      <c r="CD52" s="3">
        <f t="shared" si="47"/>
        <v>8.2612535331581194E-2</v>
      </c>
      <c r="CE52" s="3">
        <v>-5.9889945241142599E-4</v>
      </c>
      <c r="CF52" s="3">
        <f t="shared" si="48"/>
        <v>8.2953846056885744E-2</v>
      </c>
      <c r="CG52" s="3">
        <v>5.0420312330055547E-4</v>
      </c>
      <c r="CH52" s="3">
        <f t="shared" si="37"/>
        <v>8.2783190694233469E-2</v>
      </c>
      <c r="CI52" s="3">
        <v>-4.6567399308840296E-5</v>
      </c>
      <c r="CJ52" s="3">
        <f t="shared" si="38"/>
        <v>2.7889189946288671E-8</v>
      </c>
      <c r="CK52" s="3">
        <f t="shared" si="39"/>
        <v>-2.3479428175501404E-8</v>
      </c>
      <c r="CL52" s="3">
        <f t="shared" si="40"/>
        <v>3.4131072530454998E-4</v>
      </c>
    </row>
    <row r="53" spans="2:90" x14ac:dyDescent="0.2">
      <c r="B53" s="7" t="s">
        <v>15</v>
      </c>
      <c r="C53" s="18">
        <v>0.90496079707312405</v>
      </c>
      <c r="D53" s="7" t="s">
        <v>16</v>
      </c>
      <c r="F53" t="s">
        <v>93</v>
      </c>
      <c r="G53" s="9">
        <f>$G$52/$G$51</f>
        <v>30</v>
      </c>
      <c r="H53" t="s">
        <v>14</v>
      </c>
      <c r="O53" s="61"/>
      <c r="P53" s="61"/>
      <c r="Q53" s="61"/>
      <c r="R53" s="61"/>
      <c r="S53" s="50"/>
      <c r="X53" s="3">
        <v>14</v>
      </c>
      <c r="Y53" s="3">
        <f t="shared" si="49"/>
        <v>5.963134765625E-2</v>
      </c>
      <c r="Z53" s="3">
        <f t="shared" si="30"/>
        <v>2.6866458131352688E-5</v>
      </c>
      <c r="AA53" s="3">
        <f t="shared" si="50"/>
        <v>5.96923828125E-2</v>
      </c>
      <c r="AB53" s="3">
        <f t="shared" si="31"/>
        <v>-3.4506931526914753E-5</v>
      </c>
      <c r="AC53" s="3">
        <f t="shared" si="41"/>
        <v>5.9661865234375E-2</v>
      </c>
      <c r="AD53" s="3">
        <f t="shared" si="32"/>
        <v>-3.8201970892839943E-6</v>
      </c>
      <c r="AE53" s="3">
        <f t="shared" si="42"/>
        <v>-1.0263516515276385E-10</v>
      </c>
      <c r="AF53" s="3">
        <f t="shared" si="43"/>
        <v>1.3182327937924184E-10</v>
      </c>
      <c r="AG53" s="3">
        <f t="shared" si="44"/>
        <v>6.103515625E-5</v>
      </c>
      <c r="AI53" s="3">
        <v>4</v>
      </c>
      <c r="AJ53" s="3">
        <f t="shared" si="55"/>
        <v>412.5</v>
      </c>
      <c r="AK53" s="3">
        <v>3041.3217549953133</v>
      </c>
      <c r="AL53" s="3">
        <f t="shared" si="56"/>
        <v>593.75</v>
      </c>
      <c r="AM53" s="3">
        <v>-2013.7780076226154</v>
      </c>
      <c r="AN53" s="3">
        <f t="shared" si="51"/>
        <v>503.125</v>
      </c>
      <c r="AO53" s="3">
        <v>741.40835368001353</v>
      </c>
      <c r="AP53" s="3">
        <f t="shared" si="52"/>
        <v>2254861.3553822846</v>
      </c>
      <c r="AQ53" s="3">
        <f t="shared" si="53"/>
        <v>-1493031.8373085011</v>
      </c>
      <c r="AR53" s="3">
        <f t="shared" si="54"/>
        <v>181.25</v>
      </c>
      <c r="AW53"/>
      <c r="AX53" s="59" t="s">
        <v>176</v>
      </c>
      <c r="AY53" s="54">
        <v>-1.2341E-12</v>
      </c>
      <c r="AZ53" s="25">
        <v>-6.7451029999999997E-10</v>
      </c>
      <c r="BA53" s="26">
        <v>-1.110146934E-7</v>
      </c>
      <c r="BB53" s="3">
        <v>-1.1680000000000001E-12</v>
      </c>
      <c r="BC53" s="3">
        <v>6.2785870000000004E-10</v>
      </c>
      <c r="BD53" s="3">
        <v>-9.5512221100000005E-8</v>
      </c>
      <c r="BE53" s="54">
        <v>5.9967578999999996E-9</v>
      </c>
      <c r="BF53" s="25">
        <v>-6.3545459699999994E-8</v>
      </c>
      <c r="BG53" s="26">
        <v>-1.1663058908000001E-6</v>
      </c>
      <c r="BH53" s="28"/>
      <c r="BI53"/>
      <c r="BJ53" s="3" t="s">
        <v>204</v>
      </c>
      <c r="BK53" s="3">
        <f xml:space="preserve"> BK50*SIN(BK42) + BK51*COS(BK42)</f>
        <v>5.9307511237901567E-2</v>
      </c>
      <c r="BL53" s="3"/>
      <c r="BM53" s="3"/>
      <c r="BN53" s="3" t="s">
        <v>204</v>
      </c>
      <c r="BO53" s="3">
        <f xml:space="preserve"> BO50*SIN(BO42) + BO51*COS(BO42)</f>
        <v>5.4965545509161842E-2</v>
      </c>
      <c r="BP53" s="3"/>
      <c r="BQ53"/>
      <c r="BR53" s="3">
        <v>15</v>
      </c>
      <c r="BS53" s="3">
        <f t="shared" si="45"/>
        <v>9.9678071596808956E-2</v>
      </c>
      <c r="BT53" s="3">
        <v>-2.8651069769495673E-4</v>
      </c>
      <c r="BU53" s="3">
        <f t="shared" si="46"/>
        <v>9.9848726959461231E-2</v>
      </c>
      <c r="BV53" s="3">
        <v>2.8438215667886142E-4</v>
      </c>
      <c r="BW53" s="3">
        <f t="shared" si="33"/>
        <v>9.9763399278135101E-2</v>
      </c>
      <c r="BX53" s="3">
        <v>-8.9469468520821105E-7</v>
      </c>
      <c r="BY53" s="3">
        <f t="shared" si="34"/>
        <v>2.5633959848297422E-10</v>
      </c>
      <c r="BZ53" s="3">
        <f t="shared" si="35"/>
        <v>-2.5443520414862605E-10</v>
      </c>
      <c r="CA53" s="3">
        <f t="shared" si="36"/>
        <v>1.7065536265227499E-4</v>
      </c>
      <c r="CB53"/>
      <c r="CC53" s="3">
        <v>15</v>
      </c>
      <c r="CD53" s="3">
        <f t="shared" si="47"/>
        <v>8.2783190694233469E-2</v>
      </c>
      <c r="CE53" s="3">
        <v>-4.6567399308840296E-5</v>
      </c>
      <c r="CF53" s="3">
        <f t="shared" si="48"/>
        <v>8.2953846056885744E-2</v>
      </c>
      <c r="CG53" s="3">
        <v>5.0420312330055547E-4</v>
      </c>
      <c r="CH53" s="3">
        <f t="shared" si="37"/>
        <v>8.2868518375559613E-2</v>
      </c>
      <c r="CI53" s="3">
        <v>2.2901245834718378E-4</v>
      </c>
      <c r="CJ53" s="3">
        <f t="shared" si="38"/>
        <v>-1.0664514594552464E-8</v>
      </c>
      <c r="CK53" s="3">
        <f t="shared" si="39"/>
        <v>1.1546879677338844E-7</v>
      </c>
      <c r="CL53" s="3">
        <f t="shared" si="40"/>
        <v>1.7065536265227499E-4</v>
      </c>
    </row>
    <row r="54" spans="2:90" x14ac:dyDescent="0.2">
      <c r="B54" s="7" t="s">
        <v>226</v>
      </c>
      <c r="C54" s="42">
        <v>1.69216189172327E-5</v>
      </c>
      <c r="D54" s="7" t="s">
        <v>222</v>
      </c>
      <c r="F54" t="s">
        <v>21</v>
      </c>
      <c r="G54" s="7">
        <f xml:space="preserve"> $C$5 * $C$44 / $C$19</f>
        <v>7797.0849400652369</v>
      </c>
      <c r="H54" t="s">
        <v>22</v>
      </c>
      <c r="O54" s="61"/>
      <c r="P54" s="61"/>
      <c r="Q54" s="61"/>
      <c r="R54" s="61"/>
      <c r="S54" s="50"/>
      <c r="X54" s="3">
        <v>15</v>
      </c>
      <c r="Y54" s="3">
        <f t="shared" si="49"/>
        <v>5.963134765625E-2</v>
      </c>
      <c r="Z54" s="3">
        <f t="shared" si="30"/>
        <v>2.6866458131352688E-5</v>
      </c>
      <c r="AA54" s="3">
        <f t="shared" si="50"/>
        <v>5.9661865234375E-2</v>
      </c>
      <c r="AB54" s="3">
        <f t="shared" si="31"/>
        <v>-3.8201970892839943E-6</v>
      </c>
      <c r="AC54" s="3">
        <f t="shared" si="41"/>
        <v>5.96466064453125E-2</v>
      </c>
      <c r="AD54" s="3">
        <f t="shared" si="32"/>
        <v>1.152314042382474E-5</v>
      </c>
      <c r="AE54" s="3">
        <f t="shared" si="42"/>
        <v>3.0958596973838506E-10</v>
      </c>
      <c r="AF54" s="3">
        <f t="shared" si="43"/>
        <v>-4.4020667506506003E-11</v>
      </c>
      <c r="AG54" s="3">
        <f t="shared" si="44"/>
        <v>3.0517578125E-5</v>
      </c>
      <c r="AI54" s="3">
        <v>5</v>
      </c>
      <c r="AJ54" s="3">
        <f t="shared" si="55"/>
        <v>503.125</v>
      </c>
      <c r="AK54" s="3">
        <v>741.40835368001353</v>
      </c>
      <c r="AL54" s="3">
        <f t="shared" si="56"/>
        <v>593.75</v>
      </c>
      <c r="AM54" s="3">
        <v>-2013.7780076226154</v>
      </c>
      <c r="AN54" s="3">
        <f t="shared" si="51"/>
        <v>548.4375</v>
      </c>
      <c r="AO54" s="3">
        <v>-579.27570697288502</v>
      </c>
      <c r="AP54" s="3">
        <f t="shared" si="52"/>
        <v>-429479.84823359264</v>
      </c>
      <c r="AQ54" s="3">
        <f t="shared" si="53"/>
        <v>1166532.6790520384</v>
      </c>
      <c r="AR54" s="3">
        <f t="shared" si="54"/>
        <v>90.625</v>
      </c>
      <c r="AW54"/>
      <c r="AX54" s="59"/>
      <c r="AY54" s="28">
        <v>-3.2678211540000002E-6</v>
      </c>
      <c r="AZ54" s="3">
        <v>3.7180150473579998E-4</v>
      </c>
      <c r="BA54" s="32">
        <v>9.4028821535900006E-5</v>
      </c>
      <c r="BB54" s="3">
        <v>5.4952748939999995E-7</v>
      </c>
      <c r="BC54" s="3">
        <v>6.0855451546649997E-4</v>
      </c>
      <c r="BD54" s="3">
        <v>-8.9360891379086007E-3</v>
      </c>
      <c r="BE54" s="28">
        <v>9.3163166799000006E-6</v>
      </c>
      <c r="BF54" s="3">
        <v>1.3750111154190001E-4</v>
      </c>
      <c r="BG54" s="32">
        <v>-3.8347379998870002E-4</v>
      </c>
      <c r="BH54"/>
      <c r="BI54"/>
      <c r="BJ54" s="3" t="s">
        <v>38</v>
      </c>
      <c r="BK54" s="3">
        <f xml:space="preserve"> 4*BK49*SIN(BK42)*SIN(BK42) / (BK46*BK52)</f>
        <v>1.0551377655218539</v>
      </c>
      <c r="BL54" s="3"/>
      <c r="BM54" s="3"/>
      <c r="BN54" s="3" t="s">
        <v>38</v>
      </c>
      <c r="BO54" s="3">
        <f xml:space="preserve"> 4*BO49*SIN(BO42)*SIN(BO42) / (BO46*BO52)</f>
        <v>1.0575762009671086</v>
      </c>
      <c r="BP54" s="3"/>
      <c r="BQ54"/>
      <c r="BR54" s="3">
        <v>16</v>
      </c>
      <c r="BS54" s="3">
        <f t="shared" si="45"/>
        <v>9.9763399278135101E-2</v>
      </c>
      <c r="BT54" s="3">
        <v>-8.9469468520821105E-7</v>
      </c>
      <c r="BU54" s="3">
        <f t="shared" si="46"/>
        <v>9.9848726959461231E-2</v>
      </c>
      <c r="BV54" s="3">
        <v>2.8438215667886142E-4</v>
      </c>
      <c r="BW54" s="3">
        <f t="shared" si="33"/>
        <v>9.9806063118798166E-2</v>
      </c>
      <c r="BX54" s="3">
        <v>1.4178607172125532E-4</v>
      </c>
      <c r="BY54" s="3">
        <f t="shared" si="34"/>
        <v>-1.2685524480555737E-10</v>
      </c>
      <c r="BZ54" s="3">
        <f t="shared" si="35"/>
        <v>4.0321428863114309E-8</v>
      </c>
      <c r="CA54" s="3">
        <f t="shared" si="36"/>
        <v>8.5327681326130556E-5</v>
      </c>
      <c r="CB54"/>
      <c r="CC54" s="3">
        <v>16</v>
      </c>
      <c r="CD54" s="3">
        <f t="shared" si="47"/>
        <v>8.2783190694233469E-2</v>
      </c>
      <c r="CE54" s="3">
        <v>-4.6567399308840296E-5</v>
      </c>
      <c r="CF54" s="3">
        <f t="shared" si="48"/>
        <v>8.2868518375559613E-2</v>
      </c>
      <c r="CG54" s="3">
        <v>2.2901245834718378E-4</v>
      </c>
      <c r="CH54" s="3">
        <f t="shared" si="37"/>
        <v>8.2825854534896548E-2</v>
      </c>
      <c r="CI54" s="3">
        <v>9.1271252785799645E-5</v>
      </c>
      <c r="CJ54" s="3">
        <f t="shared" si="38"/>
        <v>-4.2502648738944347E-9</v>
      </c>
      <c r="CK54" s="3">
        <f t="shared" si="39"/>
        <v>2.0902253976903224E-8</v>
      </c>
      <c r="CL54" s="3">
        <f t="shared" si="40"/>
        <v>8.5327681326144433E-5</v>
      </c>
    </row>
    <row r="55" spans="2:90" x14ac:dyDescent="0.2">
      <c r="B55" s="7" t="s">
        <v>144</v>
      </c>
      <c r="C55" s="18">
        <v>328.50433637026498</v>
      </c>
      <c r="D55" s="7" t="s">
        <v>10</v>
      </c>
      <c r="F55" s="43" t="s">
        <v>86</v>
      </c>
      <c r="G55" s="44">
        <f xml:space="preserve"> 1/1000 * IF($G$51&gt;= 2*SQRT(($C$5*$C$44)/(2*$C$41*$C$19*PI()*$C$10*$C$10)), ($C$5*$C$44)/$C$22 * ( ($G$51/2) - SQRT( ($G$51/2)^2 - ($C$5*$C$44)/(2*$C$41*$C$19*PI()*$C$10*$C$10 ) ) ), 1/$C$22 * SQRT(($C$5*$C$44)^3/(2*$C$41*$C$19*PI()*$C$10*$C$10)) )</f>
        <v>344.28350911686044</v>
      </c>
      <c r="H55" s="43" t="s">
        <v>116</v>
      </c>
      <c r="O55" s="61"/>
      <c r="P55" s="61"/>
      <c r="Q55" s="61"/>
      <c r="R55" s="61"/>
      <c r="S55" s="50"/>
      <c r="X55" s="3">
        <v>16</v>
      </c>
      <c r="Y55" s="3">
        <f t="shared" si="49"/>
        <v>5.96466064453125E-2</v>
      </c>
      <c r="Z55" s="3">
        <f t="shared" si="30"/>
        <v>1.152314042382474E-5</v>
      </c>
      <c r="AA55" s="3">
        <f t="shared" si="50"/>
        <v>5.9661865234375E-2</v>
      </c>
      <c r="AB55" s="3">
        <f t="shared" si="31"/>
        <v>-3.8201970892839943E-6</v>
      </c>
      <c r="AC55" s="3">
        <f t="shared" si="41"/>
        <v>5.965423583984375E-2</v>
      </c>
      <c r="AD55" s="3">
        <f t="shared" si="32"/>
        <v>3.8514741428907762E-6</v>
      </c>
      <c r="AE55" s="3">
        <f t="shared" si="42"/>
        <v>4.4381077387260444E-11</v>
      </c>
      <c r="AF55" s="3">
        <f t="shared" si="43"/>
        <v>-1.4713390310123911E-11</v>
      </c>
      <c r="AG55" s="3">
        <f t="shared" si="44"/>
        <v>1.52587890625E-5</v>
      </c>
      <c r="AI55" s="3">
        <v>6</v>
      </c>
      <c r="AJ55" s="3">
        <f t="shared" si="55"/>
        <v>503.125</v>
      </c>
      <c r="AK55" s="3">
        <v>741.40835368001353</v>
      </c>
      <c r="AL55" s="3">
        <f t="shared" si="56"/>
        <v>548.4375</v>
      </c>
      <c r="AM55" s="3">
        <v>-579.27570697288502</v>
      </c>
      <c r="AN55" s="3">
        <f t="shared" si="51"/>
        <v>525.78125</v>
      </c>
      <c r="AO55" s="3">
        <v>95.293603353167782</v>
      </c>
      <c r="AP55" s="3">
        <f t="shared" si="52"/>
        <v>70651.473578308345</v>
      </c>
      <c r="AQ55" s="3">
        <f t="shared" si="53"/>
        <v>-55201.269452399953</v>
      </c>
      <c r="AR55" s="3">
        <f t="shared" si="54"/>
        <v>45.3125</v>
      </c>
      <c r="AW55"/>
      <c r="AX55" s="60"/>
      <c r="AY55" s="56">
        <v>-2.92797950805124E-2</v>
      </c>
      <c r="AZ55" s="57"/>
      <c r="BA55" s="58"/>
      <c r="BB55" s="57">
        <v>4.8575804011639703E-2</v>
      </c>
      <c r="BC55" s="57"/>
      <c r="BD55" s="57"/>
      <c r="BE55" s="56">
        <v>7.4720850653456003E-3</v>
      </c>
      <c r="BF55" s="57"/>
      <c r="BG55" s="58"/>
      <c r="BH55"/>
      <c r="BI55"/>
      <c r="BJ55" s="3" t="s">
        <v>206</v>
      </c>
      <c r="BK55" s="3">
        <f xml:space="preserve"> 4*BK49*SIN(BK42)*COS(BK42) / (BK46*BK53)</f>
        <v>93.683678759543724</v>
      </c>
      <c r="BL55" s="3"/>
      <c r="BM55" s="3"/>
      <c r="BN55" s="3" t="s">
        <v>206</v>
      </c>
      <c r="BO55" s="3">
        <f xml:space="preserve"> 4*BO49*SIN(BO42)*COS(BO42) / (BO46*BO53)</f>
        <v>100.36142275576863</v>
      </c>
      <c r="BP55" s="3"/>
      <c r="BQ55"/>
      <c r="BR55" s="3">
        <v>17</v>
      </c>
      <c r="BS55" s="3">
        <f t="shared" si="45"/>
        <v>9.9763399278135101E-2</v>
      </c>
      <c r="BT55" s="3">
        <v>-8.9469468520821105E-7</v>
      </c>
      <c r="BU55" s="3">
        <f t="shared" si="46"/>
        <v>9.9806063118798166E-2</v>
      </c>
      <c r="BV55" s="3">
        <v>1.4178607172125532E-4</v>
      </c>
      <c r="BW55" s="3">
        <f t="shared" si="33"/>
        <v>9.9784731198466634E-2</v>
      </c>
      <c r="BX55" s="3">
        <v>7.0456280345954775E-5</v>
      </c>
      <c r="BY55" s="3">
        <f t="shared" si="34"/>
        <v>-6.303685956506548E-11</v>
      </c>
      <c r="BZ55" s="3">
        <f t="shared" si="35"/>
        <v>9.9897192183444145E-9</v>
      </c>
      <c r="CA55" s="3">
        <f t="shared" si="36"/>
        <v>4.2663840663065278E-5</v>
      </c>
      <c r="CB55"/>
      <c r="CC55" s="3">
        <v>17</v>
      </c>
      <c r="CD55" s="3">
        <f t="shared" si="47"/>
        <v>8.2783190694233469E-2</v>
      </c>
      <c r="CE55" s="3">
        <v>-4.6567399308840296E-5</v>
      </c>
      <c r="CF55" s="3">
        <f t="shared" si="48"/>
        <v>8.2825854534896548E-2</v>
      </c>
      <c r="CG55" s="3">
        <v>9.1271252785799645E-5</v>
      </c>
      <c r="CH55" s="3">
        <f t="shared" si="37"/>
        <v>8.2804522614565002E-2</v>
      </c>
      <c r="CI55" s="3">
        <v>2.2364116844177107E-5</v>
      </c>
      <c r="CJ55" s="3">
        <f t="shared" si="38"/>
        <v>-1.0414387592723566E-9</v>
      </c>
      <c r="CK55" s="3">
        <f t="shared" si="39"/>
        <v>2.0412009618160486E-9</v>
      </c>
      <c r="CL55" s="3">
        <f t="shared" si="40"/>
        <v>4.2663840663079156E-5</v>
      </c>
    </row>
    <row r="56" spans="2:90" x14ac:dyDescent="0.2">
      <c r="B56" s="7" t="s">
        <v>17</v>
      </c>
      <c r="C56" s="1">
        <v>9.7972733770111002</v>
      </c>
      <c r="D56" s="7" t="s">
        <v>18</v>
      </c>
      <c r="O56" s="61"/>
      <c r="P56" s="61"/>
      <c r="Q56" s="61"/>
      <c r="R56" s="61"/>
      <c r="S56" s="50"/>
      <c r="X56" s="3">
        <v>17</v>
      </c>
      <c r="Y56" s="3">
        <f t="shared" si="49"/>
        <v>5.965423583984375E-2</v>
      </c>
      <c r="Z56" s="3">
        <f t="shared" si="30"/>
        <v>3.8514741428907762E-6</v>
      </c>
      <c r="AA56" s="3">
        <f t="shared" si="50"/>
        <v>5.9661865234375E-2</v>
      </c>
      <c r="AB56" s="3">
        <f t="shared" si="31"/>
        <v>-3.8201970892839943E-6</v>
      </c>
      <c r="AC56" s="3">
        <f t="shared" si="41"/>
        <v>5.9658050537109375E-2</v>
      </c>
      <c r="AD56" s="3">
        <f t="shared" si="32"/>
        <v>1.5639145693746581E-8</v>
      </c>
      <c r="AE56" s="3">
        <f t="shared" si="42"/>
        <v>6.0233765256366589E-14</v>
      </c>
      <c r="AF56" s="3">
        <f t="shared" si="43"/>
        <v>-5.9744618858139006E-14</v>
      </c>
      <c r="AG56" s="3">
        <f t="shared" si="44"/>
        <v>7.62939453125E-6</v>
      </c>
      <c r="AI56" s="3">
        <v>7</v>
      </c>
      <c r="AJ56" s="3">
        <f t="shared" si="55"/>
        <v>525.78125</v>
      </c>
      <c r="AK56" s="3">
        <v>95.293603353167782</v>
      </c>
      <c r="AL56" s="3">
        <f t="shared" si="56"/>
        <v>548.4375</v>
      </c>
      <c r="AM56" s="3">
        <v>-579.27570697288502</v>
      </c>
      <c r="AN56" s="3">
        <f t="shared" si="51"/>
        <v>537.109375</v>
      </c>
      <c r="AO56" s="3">
        <v>-238.43423180995705</v>
      </c>
      <c r="AP56" s="3">
        <f t="shared" si="52"/>
        <v>-22721.257111915307</v>
      </c>
      <c r="AQ56" s="3">
        <f t="shared" si="53"/>
        <v>138119.15819824961</v>
      </c>
      <c r="AR56" s="3">
        <f t="shared" si="54"/>
        <v>22.65625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 s="3" t="s">
        <v>45</v>
      </c>
      <c r="BK56" s="3">
        <f>1/(BK54-1)</f>
        <v>18.136389651184707</v>
      </c>
      <c r="BL56" s="3"/>
      <c r="BM56" s="3"/>
      <c r="BN56" s="3" t="s">
        <v>45</v>
      </c>
      <c r="BO56" s="3">
        <f>1/(BO54-1)</f>
        <v>17.368287299317778</v>
      </c>
      <c r="BP56" s="3"/>
      <c r="BQ56"/>
      <c r="BR56" s="3">
        <v>18</v>
      </c>
      <c r="BS56" s="3">
        <f t="shared" si="45"/>
        <v>9.9763399278135101E-2</v>
      </c>
      <c r="BT56" s="3">
        <v>-8.9469468520821105E-7</v>
      </c>
      <c r="BU56" s="3">
        <f t="shared" si="46"/>
        <v>9.9784731198466634E-2</v>
      </c>
      <c r="BV56" s="3">
        <v>7.0456280345954775E-5</v>
      </c>
      <c r="BW56" s="3">
        <f t="shared" si="33"/>
        <v>9.9774065238300874E-2</v>
      </c>
      <c r="BX56" s="3">
        <v>3.4783441618849165E-5</v>
      </c>
      <c r="BY56" s="3">
        <f t="shared" si="34"/>
        <v>-3.1120560349634438E-11</v>
      </c>
      <c r="BZ56" s="3">
        <f t="shared" si="35"/>
        <v>2.4507119140947878E-9</v>
      </c>
      <c r="CA56" s="3">
        <f t="shared" si="36"/>
        <v>2.1331920331532639E-5</v>
      </c>
      <c r="CB56"/>
      <c r="CC56" s="3">
        <v>18</v>
      </c>
      <c r="CD56" s="3">
        <f t="shared" si="47"/>
        <v>8.2783190694233469E-2</v>
      </c>
      <c r="CE56" s="3">
        <v>-4.6567399308840296E-5</v>
      </c>
      <c r="CF56" s="3">
        <f t="shared" si="48"/>
        <v>8.2804522614565002E-2</v>
      </c>
      <c r="CG56" s="3">
        <v>2.2364116844177107E-5</v>
      </c>
      <c r="CH56" s="3">
        <f t="shared" si="37"/>
        <v>8.2793856654399228E-2</v>
      </c>
      <c r="CI56" s="3">
        <v>-1.2098592543773046E-5</v>
      </c>
      <c r="CJ56" s="3">
        <f t="shared" si="38"/>
        <v>5.6339999006083727E-10</v>
      </c>
      <c r="CK56" s="3">
        <f t="shared" si="39"/>
        <v>-2.7057433729903033E-10</v>
      </c>
      <c r="CL56" s="3">
        <f t="shared" si="40"/>
        <v>2.1331920331532639E-5</v>
      </c>
    </row>
    <row r="57" spans="2:90" x14ac:dyDescent="0.2">
      <c r="F57" s="66" t="s">
        <v>286</v>
      </c>
      <c r="G57" s="67"/>
      <c r="H57" s="67"/>
      <c r="O57" s="61"/>
      <c r="P57" s="61"/>
      <c r="Q57" s="61"/>
      <c r="R57" s="61"/>
      <c r="S57" s="50"/>
      <c r="X57" s="3">
        <v>18</v>
      </c>
      <c r="Y57" s="3">
        <f t="shared" si="49"/>
        <v>5.9658050537109375E-2</v>
      </c>
      <c r="Z57" s="3">
        <f t="shared" si="30"/>
        <v>1.5639145693746581E-8</v>
      </c>
      <c r="AA57" s="3">
        <f t="shared" si="50"/>
        <v>5.9661865234375E-2</v>
      </c>
      <c r="AB57" s="3">
        <f t="shared" si="31"/>
        <v>-3.8201970892839943E-6</v>
      </c>
      <c r="AC57" s="3">
        <f t="shared" si="41"/>
        <v>5.9659957885742188E-2</v>
      </c>
      <c r="AD57" s="3">
        <f t="shared" si="32"/>
        <v>-1.9022788170716676E-6</v>
      </c>
      <c r="AE57" s="3">
        <f t="shared" si="42"/>
        <v>-2.9750015570311709E-14</v>
      </c>
      <c r="AF57" s="3">
        <f t="shared" si="43"/>
        <v>7.2670799999837841E-12</v>
      </c>
      <c r="AG57" s="3">
        <f t="shared" si="44"/>
        <v>3.814697265625E-6</v>
      </c>
      <c r="AI57" s="3">
        <v>8</v>
      </c>
      <c r="AJ57" s="3">
        <f t="shared" si="55"/>
        <v>525.78125</v>
      </c>
      <c r="AK57" s="3">
        <v>95.293603353167782</v>
      </c>
      <c r="AL57" s="3">
        <f t="shared" si="56"/>
        <v>537.109375</v>
      </c>
      <c r="AM57" s="3">
        <v>-238.43423180995705</v>
      </c>
      <c r="AN57" s="3">
        <f t="shared" si="51"/>
        <v>531.4453125</v>
      </c>
      <c r="AO57" s="3">
        <v>-70.681109228416972</v>
      </c>
      <c r="AP57" s="3">
        <f t="shared" si="52"/>
        <v>-6735.4575873746935</v>
      </c>
      <c r="AQ57" s="3">
        <f t="shared" si="53"/>
        <v>16852.795982353266</v>
      </c>
      <c r="AR57" s="3">
        <f t="shared" si="54"/>
        <v>11.328125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 s="3" t="s">
        <v>209</v>
      </c>
      <c r="BK57" s="3">
        <f>1/(BK55+1)</f>
        <v>1.0561482328327935E-2</v>
      </c>
      <c r="BL57" s="3"/>
      <c r="BM57" s="3"/>
      <c r="BN57" s="3" t="s">
        <v>209</v>
      </c>
      <c r="BO57" s="3">
        <f>1/(BO55+1)</f>
        <v>9.8656863016762311E-3</v>
      </c>
      <c r="BP57" s="3"/>
      <c r="BQ57"/>
      <c r="BR57" s="3">
        <v>19</v>
      </c>
      <c r="BS57" s="3">
        <f t="shared" si="45"/>
        <v>9.9763399278135101E-2</v>
      </c>
      <c r="BT57" s="3">
        <v>-8.9469468520821105E-7</v>
      </c>
      <c r="BU57" s="3">
        <f t="shared" si="46"/>
        <v>9.9774065238300874E-2</v>
      </c>
      <c r="BV57" s="3">
        <v>3.4783441618849165E-5</v>
      </c>
      <c r="BW57" s="3">
        <f t="shared" si="33"/>
        <v>9.9768732258217988E-2</v>
      </c>
      <c r="BX57" s="3">
        <v>1.6945035767912918E-5</v>
      </c>
      <c r="BY57" s="3">
        <f t="shared" si="34"/>
        <v>-1.5160633442214726E-11</v>
      </c>
      <c r="BZ57" s="3">
        <f t="shared" si="35"/>
        <v>5.8940666236250987E-10</v>
      </c>
      <c r="CA57" s="3">
        <f t="shared" si="36"/>
        <v>1.0665960165773258E-5</v>
      </c>
      <c r="CB57"/>
      <c r="CC57" s="3">
        <v>19</v>
      </c>
      <c r="CD57" s="3">
        <f t="shared" si="47"/>
        <v>8.2793856654399228E-2</v>
      </c>
      <c r="CE57" s="3">
        <v>-1.2098592543773046E-5</v>
      </c>
      <c r="CF57" s="3">
        <f t="shared" si="48"/>
        <v>8.2804522614565002E-2</v>
      </c>
      <c r="CG57" s="3">
        <v>2.2364116844177107E-5</v>
      </c>
      <c r="CH57" s="3">
        <f t="shared" si="37"/>
        <v>8.2799189634482115E-2</v>
      </c>
      <c r="CI57" s="3">
        <v>5.1335241770368925E-6</v>
      </c>
      <c r="CJ57" s="3">
        <f t="shared" si="38"/>
        <v>-6.2108417331577213E-11</v>
      </c>
      <c r="CK57" s="3">
        <f t="shared" si="39"/>
        <v>1.1480673451766119E-10</v>
      </c>
      <c r="CL57" s="3">
        <f t="shared" si="40"/>
        <v>1.0665960165773258E-5</v>
      </c>
    </row>
    <row r="58" spans="2:90" x14ac:dyDescent="0.2">
      <c r="B58" s="68" t="s">
        <v>74</v>
      </c>
      <c r="C58" s="68"/>
      <c r="D58" s="68"/>
      <c r="F58" s="10" t="s">
        <v>287</v>
      </c>
      <c r="G58" s="18">
        <v>1200</v>
      </c>
      <c r="H58" s="7" t="s">
        <v>14</v>
      </c>
      <c r="O58" s="61"/>
      <c r="P58" s="61"/>
      <c r="Q58" s="61"/>
      <c r="R58" s="61"/>
      <c r="S58" s="50"/>
      <c r="X58" s="3">
        <v>19</v>
      </c>
      <c r="Y58" s="3">
        <f t="shared" si="49"/>
        <v>5.9658050537109375E-2</v>
      </c>
      <c r="Z58" s="3">
        <f t="shared" si="30"/>
        <v>1.5639145693746581E-8</v>
      </c>
      <c r="AA58" s="3">
        <f t="shared" si="50"/>
        <v>5.9659957885742188E-2</v>
      </c>
      <c r="AB58" s="3">
        <f t="shared" si="31"/>
        <v>-1.9022788170716676E-6</v>
      </c>
      <c r="AC58" s="3">
        <f t="shared" si="41"/>
        <v>5.9659004211425781E-2</v>
      </c>
      <c r="AD58" s="3">
        <f t="shared" si="32"/>
        <v>-9.4331979700462698E-7</v>
      </c>
      <c r="AE58" s="3">
        <f t="shared" si="42"/>
        <v>-1.475271574115081E-14</v>
      </c>
      <c r="AF58" s="3">
        <f t="shared" si="43"/>
        <v>1.7944572675662474E-12</v>
      </c>
      <c r="AG58" s="3">
        <f t="shared" si="44"/>
        <v>1.9073486328125E-6</v>
      </c>
      <c r="AI58" s="3">
        <v>9</v>
      </c>
      <c r="AJ58" s="3">
        <f t="shared" si="55"/>
        <v>525.78125</v>
      </c>
      <c r="AK58" s="3">
        <v>95.293603353167782</v>
      </c>
      <c r="AL58" s="3">
        <f t="shared" si="56"/>
        <v>531.4453125</v>
      </c>
      <c r="AM58" s="3">
        <v>-70.681109228416972</v>
      </c>
      <c r="AN58" s="3">
        <f t="shared" si="51"/>
        <v>528.61328125</v>
      </c>
      <c r="AO58" s="3">
        <v>12.528548312368002</v>
      </c>
      <c r="AP58" s="3">
        <f t="shared" si="52"/>
        <v>1193.8905134697961</v>
      </c>
      <c r="AQ58" s="3">
        <f t="shared" si="53"/>
        <v>-885.53169173998185</v>
      </c>
      <c r="AR58" s="3">
        <f t="shared" si="54"/>
        <v>5.6640625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 s="8" t="s">
        <v>211</v>
      </c>
      <c r="BK58" s="41">
        <f>SIN(BK42)/(1+BK56) - $AU$3*COS(BK42)/($AY$5*$AU$23*(1-BK57))</f>
        <v>5.7998362848477036E-9</v>
      </c>
      <c r="BL58" s="41"/>
      <c r="BM58" s="3"/>
      <c r="BN58" s="8" t="s">
        <v>211</v>
      </c>
      <c r="BO58" s="41">
        <f>SIN(BO42)/(1+BO56) - $AU$3*COS(BO42)/($AY$5*$AU$24*(1-BO57))</f>
        <v>2.3940355743830299E-9</v>
      </c>
      <c r="BP58" s="41"/>
      <c r="BQ58"/>
      <c r="BR58" s="3">
        <v>20</v>
      </c>
      <c r="BS58" s="3">
        <f t="shared" si="45"/>
        <v>9.9763399278135101E-2</v>
      </c>
      <c r="BT58" s="3">
        <v>-8.9469468520821105E-7</v>
      </c>
      <c r="BU58" s="3">
        <f t="shared" si="46"/>
        <v>9.9768732258217988E-2</v>
      </c>
      <c r="BV58" s="3">
        <v>1.6945035767912918E-5</v>
      </c>
      <c r="BW58" s="3">
        <f t="shared" si="33"/>
        <v>9.9766065768176537E-2</v>
      </c>
      <c r="BX58" s="3">
        <v>8.025336129601629E-6</v>
      </c>
      <c r="BY58" s="3">
        <f t="shared" si="34"/>
        <v>-7.1802255821640124E-12</v>
      </c>
      <c r="BZ58" s="3">
        <f t="shared" si="35"/>
        <v>1.3598960776562343E-10</v>
      </c>
      <c r="CA58" s="3">
        <f t="shared" si="36"/>
        <v>5.3329800828866292E-6</v>
      </c>
      <c r="CB58"/>
      <c r="CC58" s="3">
        <v>20</v>
      </c>
      <c r="CD58" s="3">
        <f t="shared" si="47"/>
        <v>8.2793856654399228E-2</v>
      </c>
      <c r="CE58" s="3">
        <v>-1.2098592543773046E-5</v>
      </c>
      <c r="CF58" s="3">
        <f t="shared" si="48"/>
        <v>8.2799189634482115E-2</v>
      </c>
      <c r="CG58" s="3">
        <v>5.1335241770368925E-6</v>
      </c>
      <c r="CH58" s="3">
        <f t="shared" si="37"/>
        <v>8.2796523144440665E-2</v>
      </c>
      <c r="CI58" s="3">
        <v>-3.4823436585043957E-6</v>
      </c>
      <c r="CJ58" s="3">
        <f t="shared" si="38"/>
        <v>4.213145702163663E-11</v>
      </c>
      <c r="CK58" s="3">
        <f t="shared" si="39"/>
        <v>-1.787669536368342E-11</v>
      </c>
      <c r="CL58" s="3">
        <f t="shared" si="40"/>
        <v>5.3329800828866292E-6</v>
      </c>
    </row>
    <row r="59" spans="2:90" x14ac:dyDescent="0.2">
      <c r="B59" s="7" t="s">
        <v>289</v>
      </c>
      <c r="C59" s="18">
        <v>30</v>
      </c>
      <c r="F59" s="45" t="s">
        <v>237</v>
      </c>
      <c r="G59" s="44">
        <f xml:space="preserve"> G43</f>
        <v>246.59201521065162</v>
      </c>
      <c r="H59" s="44" t="s">
        <v>116</v>
      </c>
      <c r="O59" s="61"/>
      <c r="P59" s="61"/>
      <c r="Q59" s="61"/>
      <c r="R59" s="61"/>
      <c r="S59" s="50"/>
      <c r="X59" s="3">
        <v>20</v>
      </c>
      <c r="Y59" s="3">
        <f t="shared" si="49"/>
        <v>5.9658050537109375E-2</v>
      </c>
      <c r="Z59" s="3">
        <f t="shared" si="30"/>
        <v>1.5639145693746581E-8</v>
      </c>
      <c r="AA59" s="3">
        <f t="shared" si="50"/>
        <v>5.9659004211425781E-2</v>
      </c>
      <c r="AB59" s="3">
        <f t="shared" si="31"/>
        <v>-9.4331979700462698E-7</v>
      </c>
      <c r="AC59" s="3">
        <f t="shared" si="41"/>
        <v>5.9658527374267578E-2</v>
      </c>
      <c r="AD59" s="3">
        <f t="shared" si="32"/>
        <v>-4.6384031598956099E-7</v>
      </c>
      <c r="AE59" s="3">
        <f t="shared" si="42"/>
        <v>-7.254066280394196E-15</v>
      </c>
      <c r="AF59" s="3">
        <f t="shared" si="43"/>
        <v>4.3754975272183472E-13</v>
      </c>
      <c r="AG59" s="3">
        <f t="shared" si="44"/>
        <v>9.5367431640625E-7</v>
      </c>
      <c r="AI59" s="3">
        <v>10</v>
      </c>
      <c r="AJ59" s="3">
        <f t="shared" si="55"/>
        <v>528.61328125</v>
      </c>
      <c r="AK59" s="3">
        <v>12.528548312368002</v>
      </c>
      <c r="AL59" s="3">
        <f t="shared" si="56"/>
        <v>531.4453125</v>
      </c>
      <c r="AM59" s="3">
        <v>-70.681109228416972</v>
      </c>
      <c r="AN59" s="3">
        <f t="shared" si="51"/>
        <v>530.029296875</v>
      </c>
      <c r="AO59" s="3">
        <v>-29.020705145527245</v>
      </c>
      <c r="AP59" s="3">
        <f t="shared" si="52"/>
        <v>-363.58730647472476</v>
      </c>
      <c r="AQ59" s="3">
        <f t="shared" si="53"/>
        <v>2051.2156302766934</v>
      </c>
      <c r="AR59" s="3">
        <f t="shared" si="54"/>
        <v>2.83203125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 s="3"/>
      <c r="BK59" s="3"/>
      <c r="BL59" s="3"/>
      <c r="BM59" s="3"/>
      <c r="BN59" s="3"/>
      <c r="BO59" s="3"/>
      <c r="BP59" s="3"/>
      <c r="BQ59"/>
      <c r="BR59" s="3">
        <v>21</v>
      </c>
      <c r="BS59" s="3">
        <f t="shared" si="45"/>
        <v>9.9763399278135101E-2</v>
      </c>
      <c r="BT59" s="3">
        <v>-8.9469468520821105E-7</v>
      </c>
      <c r="BU59" s="3">
        <f t="shared" si="46"/>
        <v>9.9766065768176537E-2</v>
      </c>
      <c r="BV59" s="3">
        <v>8.025336129601629E-6</v>
      </c>
      <c r="BW59" s="3">
        <f t="shared" si="33"/>
        <v>9.9764732523155819E-2</v>
      </c>
      <c r="BX59" s="3">
        <v>3.5653621208745975E-6</v>
      </c>
      <c r="BY59" s="3">
        <f t="shared" si="34"/>
        <v>-3.1899105403891779E-12</v>
      </c>
      <c r="BZ59" s="3">
        <f t="shared" si="35"/>
        <v>2.8613229443767999E-11</v>
      </c>
      <c r="CA59" s="3">
        <f t="shared" si="36"/>
        <v>2.6664900414363757E-6</v>
      </c>
      <c r="CB59"/>
      <c r="CC59" s="3">
        <v>21</v>
      </c>
      <c r="CD59" s="3">
        <f t="shared" si="47"/>
        <v>8.2796523144440665E-2</v>
      </c>
      <c r="CE59" s="3">
        <v>-3.4823436585043957E-6</v>
      </c>
      <c r="CF59" s="3">
        <f t="shared" si="48"/>
        <v>8.2799189634482115E-2</v>
      </c>
      <c r="CG59" s="3">
        <v>5.1335241770368925E-6</v>
      </c>
      <c r="CH59" s="3">
        <f t="shared" si="37"/>
        <v>8.2797856389461383E-2</v>
      </c>
      <c r="CI59" s="3">
        <v>8.2563788815492867E-7</v>
      </c>
      <c r="CJ59" s="3">
        <f t="shared" si="38"/>
        <v>-2.8751548640372775E-12</v>
      </c>
      <c r="CK59" s="3">
        <f t="shared" si="39"/>
        <v>4.2384320603210081E-12</v>
      </c>
      <c r="CL59" s="3">
        <f t="shared" si="40"/>
        <v>2.6664900414502535E-6</v>
      </c>
    </row>
    <row r="60" spans="2:90" x14ac:dyDescent="0.2">
      <c r="B60" s="7" t="s">
        <v>302</v>
      </c>
      <c r="C60" s="18">
        <v>1</v>
      </c>
      <c r="O60" s="61"/>
      <c r="P60" s="61"/>
      <c r="Q60" s="61"/>
      <c r="R60" s="61"/>
      <c r="S60" s="50"/>
      <c r="X60" s="3">
        <v>21</v>
      </c>
      <c r="Y60" s="3">
        <f t="shared" si="49"/>
        <v>5.9658050537109375E-2</v>
      </c>
      <c r="Z60" s="3">
        <f t="shared" si="30"/>
        <v>1.5639145693746581E-8</v>
      </c>
      <c r="AA60" s="3">
        <f t="shared" si="50"/>
        <v>5.9658527374267578E-2</v>
      </c>
      <c r="AB60" s="3">
        <f t="shared" si="31"/>
        <v>-4.6384031598956099E-7</v>
      </c>
      <c r="AC60" s="3">
        <f t="shared" si="41"/>
        <v>5.9658288955688477E-2</v>
      </c>
      <c r="AD60" s="3">
        <f t="shared" si="32"/>
        <v>-2.2410058272970268E-7</v>
      </c>
      <c r="AE60" s="3">
        <f t="shared" si="42"/>
        <v>-3.5047416633633293E-15</v>
      </c>
      <c r="AF60" s="3">
        <f t="shared" si="43"/>
        <v>1.0394688510679005E-13</v>
      </c>
      <c r="AG60" s="3">
        <f t="shared" si="44"/>
        <v>4.76837158203125E-7</v>
      </c>
      <c r="AI60" s="3">
        <v>11</v>
      </c>
      <c r="AJ60" s="3">
        <f t="shared" si="55"/>
        <v>528.61328125</v>
      </c>
      <c r="AK60" s="3">
        <v>12.528548312368002</v>
      </c>
      <c r="AL60" s="3">
        <f t="shared" si="56"/>
        <v>530.029296875</v>
      </c>
      <c r="AM60" s="3">
        <v>-29.020705145527245</v>
      </c>
      <c r="AN60" s="3">
        <f t="shared" si="51"/>
        <v>529.3212890625</v>
      </c>
      <c r="AO60" s="3">
        <v>-8.2321845884544018</v>
      </c>
      <c r="AP60" s="3">
        <f t="shared" si="52"/>
        <v>-103.13732233278228</v>
      </c>
      <c r="AQ60" s="3">
        <f t="shared" si="53"/>
        <v>238.90380164508875</v>
      </c>
      <c r="AR60" s="3">
        <f t="shared" si="54"/>
        <v>1.416015625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 s="75" t="s">
        <v>218</v>
      </c>
      <c r="BK60" s="75"/>
      <c r="BL60" s="75"/>
      <c r="BM60" s="3"/>
      <c r="BN60" s="75" t="s">
        <v>232</v>
      </c>
      <c r="BO60" s="75"/>
      <c r="BP60" s="75"/>
      <c r="BQ60"/>
      <c r="BR60" s="3">
        <v>22</v>
      </c>
      <c r="BS60" s="3">
        <f t="shared" si="45"/>
        <v>9.9763399278135101E-2</v>
      </c>
      <c r="BT60" s="3">
        <v>-8.9469468520821105E-7</v>
      </c>
      <c r="BU60" s="3">
        <f t="shared" si="46"/>
        <v>9.9764732523155819E-2</v>
      </c>
      <c r="BV60" s="3">
        <v>3.5653621208745975E-6</v>
      </c>
      <c r="BW60" s="3">
        <f t="shared" si="33"/>
        <v>9.976406590064546E-2</v>
      </c>
      <c r="BX60" s="3">
        <v>1.335344067705628E-6</v>
      </c>
      <c r="BY60" s="3">
        <f t="shared" si="34"/>
        <v>-1.1947252403005389E-12</v>
      </c>
      <c r="BZ60" s="3">
        <f t="shared" si="35"/>
        <v>4.76098515733225E-12</v>
      </c>
      <c r="CA60" s="3">
        <f t="shared" si="36"/>
        <v>1.3332450207181878E-6</v>
      </c>
      <c r="CB60"/>
      <c r="CC60" s="3">
        <v>22</v>
      </c>
      <c r="CD60" s="3">
        <f t="shared" si="47"/>
        <v>8.2796523144440665E-2</v>
      </c>
      <c r="CE60" s="3">
        <v>-3.4823436585043957E-6</v>
      </c>
      <c r="CF60" s="3">
        <f t="shared" si="48"/>
        <v>8.2797856389461383E-2</v>
      </c>
      <c r="CG60" s="3">
        <v>8.2563788815492867E-7</v>
      </c>
      <c r="CH60" s="3">
        <f t="shared" si="37"/>
        <v>8.2797189766951024E-2</v>
      </c>
      <c r="CI60" s="3">
        <v>-1.3283409776359764E-6</v>
      </c>
      <c r="CJ60" s="3">
        <f t="shared" si="38"/>
        <v>4.6257397798021719E-12</v>
      </c>
      <c r="CK60" s="3">
        <f t="shared" si="39"/>
        <v>-1.0967286395250209E-12</v>
      </c>
      <c r="CL60" s="3">
        <f t="shared" si="40"/>
        <v>1.3332450207181878E-6</v>
      </c>
    </row>
    <row r="61" spans="2:90" x14ac:dyDescent="0.2">
      <c r="B61" s="7" t="s">
        <v>303</v>
      </c>
      <c r="C61" s="18">
        <v>1</v>
      </c>
      <c r="F61" s="10"/>
      <c r="X61" s="3">
        <v>22</v>
      </c>
      <c r="Y61" s="3">
        <f t="shared" si="49"/>
        <v>5.9658050537109375E-2</v>
      </c>
      <c r="Z61" s="3">
        <f t="shared" si="30"/>
        <v>1.5639145693746581E-8</v>
      </c>
      <c r="AA61" s="3">
        <f t="shared" si="50"/>
        <v>5.9658288955688477E-2</v>
      </c>
      <c r="AB61" s="3">
        <f t="shared" si="31"/>
        <v>-2.2410058272970268E-7</v>
      </c>
      <c r="AC61" s="3">
        <f t="shared" si="41"/>
        <v>5.9658169746398926E-2</v>
      </c>
      <c r="AD61" s="3">
        <f t="shared" si="32"/>
        <v>-1.0423071791082483E-7</v>
      </c>
      <c r="AE61" s="3">
        <f t="shared" si="42"/>
        <v>-1.6300793831711908E-15</v>
      </c>
      <c r="AF61" s="3">
        <f t="shared" si="43"/>
        <v>2.3358164622151104E-14</v>
      </c>
      <c r="AG61" s="3">
        <f t="shared" si="44"/>
        <v>2.384185791015625E-7</v>
      </c>
      <c r="AI61" s="3">
        <v>12</v>
      </c>
      <c r="AJ61" s="3">
        <f t="shared" si="55"/>
        <v>528.61328125</v>
      </c>
      <c r="AK61" s="3">
        <v>12.528548312368002</v>
      </c>
      <c r="AL61" s="3">
        <f t="shared" si="56"/>
        <v>529.3212890625</v>
      </c>
      <c r="AM61" s="3">
        <v>-8.2321845884544018</v>
      </c>
      <c r="AN61" s="3">
        <f t="shared" si="51"/>
        <v>528.96728515625</v>
      </c>
      <c r="AO61" s="3">
        <v>2.1516553189885599</v>
      </c>
      <c r="AP61" s="3">
        <f t="shared" si="52"/>
        <v>26.957117615511759</v>
      </c>
      <c r="AQ61" s="3">
        <f t="shared" si="53"/>
        <v>-17.712823756643562</v>
      </c>
      <c r="AR61" s="3">
        <f t="shared" si="54"/>
        <v>0.7080078125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s="29" t="s">
        <v>166</v>
      </c>
      <c r="BK61" s="30">
        <f>BW136</f>
        <v>4.3946812650288117E-2</v>
      </c>
      <c r="BL61" s="6" t="s">
        <v>167</v>
      </c>
      <c r="BM61" s="3"/>
      <c r="BN61" s="29" t="s">
        <v>166</v>
      </c>
      <c r="BO61" s="30">
        <f>CH136</f>
        <v>3.288131054206371E-2</v>
      </c>
      <c r="BP61" s="6" t="s">
        <v>167</v>
      </c>
      <c r="BQ61"/>
      <c r="BR61" s="3">
        <v>23</v>
      </c>
      <c r="BS61" s="3">
        <f t="shared" si="45"/>
        <v>9.9763399278135101E-2</v>
      </c>
      <c r="BT61" s="3">
        <v>-8.9469468520821105E-7</v>
      </c>
      <c r="BU61" s="3">
        <f t="shared" si="46"/>
        <v>9.976406590064546E-2</v>
      </c>
      <c r="BV61" s="3">
        <v>1.335344067705628E-6</v>
      </c>
      <c r="BW61" s="3">
        <f t="shared" si="33"/>
        <v>9.976373258939028E-2</v>
      </c>
      <c r="BX61" s="3">
        <v>2.2032727875747476E-7</v>
      </c>
      <c r="BY61" s="3">
        <f t="shared" si="34"/>
        <v>-1.9712564531070064E-13</v>
      </c>
      <c r="BZ61" s="3">
        <f t="shared" si="35"/>
        <v>2.9421272464251815E-13</v>
      </c>
      <c r="CA61" s="3">
        <f t="shared" si="36"/>
        <v>6.6662251035909392E-7</v>
      </c>
      <c r="CB61"/>
      <c r="CC61" s="3">
        <v>23</v>
      </c>
      <c r="CD61" s="3">
        <f t="shared" si="47"/>
        <v>8.2797189766951024E-2</v>
      </c>
      <c r="CE61" s="3">
        <v>-1.3283409776359764E-6</v>
      </c>
      <c r="CF61" s="3">
        <f t="shared" si="48"/>
        <v>8.2797856389461383E-2</v>
      </c>
      <c r="CG61" s="3">
        <v>8.2563788815492867E-7</v>
      </c>
      <c r="CH61" s="3">
        <f t="shared" si="37"/>
        <v>8.2797523078206203E-2</v>
      </c>
      <c r="CI61" s="3">
        <v>-2.5134856788348175E-7</v>
      </c>
      <c r="CJ61" s="3">
        <f t="shared" si="38"/>
        <v>3.3387660238974674E-13</v>
      </c>
      <c r="CK61" s="3">
        <f t="shared" si="39"/>
        <v>-2.0752290077808362E-13</v>
      </c>
      <c r="CL61" s="3">
        <f t="shared" si="40"/>
        <v>6.6662251035909392E-7</v>
      </c>
    </row>
    <row r="62" spans="2:90" x14ac:dyDescent="0.2">
      <c r="B62" s="7" t="s">
        <v>304</v>
      </c>
      <c r="C62" s="18">
        <v>1</v>
      </c>
      <c r="X62" s="3">
        <v>23</v>
      </c>
      <c r="Y62" s="3">
        <f t="shared" si="49"/>
        <v>5.9658050537109375E-2</v>
      </c>
      <c r="Z62" s="3">
        <f t="shared" si="30"/>
        <v>1.5639145693746581E-8</v>
      </c>
      <c r="AA62" s="3">
        <f t="shared" si="50"/>
        <v>5.9658169746398926E-2</v>
      </c>
      <c r="AB62" s="3">
        <f t="shared" si="31"/>
        <v>-1.0423071791082483E-7</v>
      </c>
      <c r="AC62" s="3">
        <f t="shared" si="41"/>
        <v>5.965811014175415E-2</v>
      </c>
      <c r="AD62" s="3">
        <f t="shared" si="32"/>
        <v>-4.429578595588346E-8</v>
      </c>
      <c r="AE62" s="3">
        <f t="shared" si="42"/>
        <v>-6.9274825018307508E-16</v>
      </c>
      <c r="AF62" s="3">
        <f t="shared" si="43"/>
        <v>4.6169815706059651E-15</v>
      </c>
      <c r="AG62" s="3">
        <f t="shared" si="44"/>
        <v>1.1920928955078125E-7</v>
      </c>
      <c r="AI62" s="3">
        <v>13</v>
      </c>
      <c r="AJ62" s="3">
        <f t="shared" si="55"/>
        <v>528.96728515625</v>
      </c>
      <c r="AK62" s="3">
        <v>2.1516553189885599</v>
      </c>
      <c r="AL62" s="3">
        <f t="shared" si="56"/>
        <v>529.3212890625</v>
      </c>
      <c r="AM62" s="3">
        <v>-8.2321845884544018</v>
      </c>
      <c r="AN62" s="3">
        <f t="shared" si="51"/>
        <v>529.144287109375</v>
      </c>
      <c r="AO62" s="3">
        <v>-3.0393962704747537</v>
      </c>
      <c r="AP62" s="3">
        <f t="shared" si="52"/>
        <v>-6.5397331518809958</v>
      </c>
      <c r="AQ62" s="3">
        <f t="shared" si="53"/>
        <v>25.020871136008054</v>
      </c>
      <c r="AR62" s="3">
        <f t="shared" si="54"/>
        <v>0.35400390625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 s="3" t="s">
        <v>171</v>
      </c>
      <c r="BK62" s="3">
        <f>($AU$41+$AU$5)/180*PI()</f>
        <v>5.3756140961425343E-2</v>
      </c>
      <c r="BL62" s="3" t="s">
        <v>167</v>
      </c>
      <c r="BM62" s="3"/>
      <c r="BN62" s="3" t="s">
        <v>171</v>
      </c>
      <c r="BO62" s="3">
        <f>($AU$42+$AU$5)/180*PI()</f>
        <v>3.0717794835100194E-2</v>
      </c>
      <c r="BP62" s="3" t="s">
        <v>167</v>
      </c>
      <c r="BQ62"/>
      <c r="BR62" s="3">
        <v>24</v>
      </c>
      <c r="BS62" s="3">
        <f t="shared" si="45"/>
        <v>9.9763399278135101E-2</v>
      </c>
      <c r="BT62" s="3">
        <v>-8.9469468520821105E-7</v>
      </c>
      <c r="BU62" s="3">
        <f t="shared" si="46"/>
        <v>9.976373258939028E-2</v>
      </c>
      <c r="BV62" s="3">
        <v>2.2032727875747476E-7</v>
      </c>
      <c r="BW62" s="3">
        <f t="shared" si="33"/>
        <v>9.9763565933762691E-2</v>
      </c>
      <c r="BX62" s="3">
        <v>-3.3718305637604057E-7</v>
      </c>
      <c r="BY62" s="3">
        <f t="shared" si="34"/>
        <v>3.0167588848190411E-13</v>
      </c>
      <c r="BZ62" s="3">
        <f t="shared" si="35"/>
        <v>-7.4290625254461221E-14</v>
      </c>
      <c r="CA62" s="3">
        <f t="shared" si="36"/>
        <v>3.3331125517954696E-7</v>
      </c>
      <c r="CB62"/>
      <c r="CC62" s="3">
        <v>24</v>
      </c>
      <c r="CD62" s="3">
        <f t="shared" si="47"/>
        <v>8.2797523078206203E-2</v>
      </c>
      <c r="CE62" s="3">
        <v>-2.5134856788348175E-7</v>
      </c>
      <c r="CF62" s="3">
        <f t="shared" si="48"/>
        <v>8.2797856389461383E-2</v>
      </c>
      <c r="CG62" s="3">
        <v>8.2563788815492867E-7</v>
      </c>
      <c r="CH62" s="3">
        <f t="shared" si="37"/>
        <v>8.2797689733833793E-2</v>
      </c>
      <c r="CI62" s="3">
        <v>2.8714540435941655E-7</v>
      </c>
      <c r="CJ62" s="3">
        <f t="shared" si="38"/>
        <v>-7.2173586160062624E-14</v>
      </c>
      <c r="CK62" s="3">
        <f t="shared" si="39"/>
        <v>2.3707812524870173E-13</v>
      </c>
      <c r="CL62" s="3">
        <f t="shared" si="40"/>
        <v>3.3331125517954696E-7</v>
      </c>
    </row>
    <row r="63" spans="2:90" x14ac:dyDescent="0.2">
      <c r="X63" s="3">
        <v>24</v>
      </c>
      <c r="Y63" s="3">
        <f t="shared" si="49"/>
        <v>5.9658050537109375E-2</v>
      </c>
      <c r="Z63" s="3">
        <f t="shared" si="30"/>
        <v>1.5639145693746581E-8</v>
      </c>
      <c r="AA63" s="3">
        <f t="shared" si="50"/>
        <v>5.965811014175415E-2</v>
      </c>
      <c r="AB63" s="3">
        <f t="shared" si="31"/>
        <v>-4.429578595588346E-8</v>
      </c>
      <c r="AC63" s="3">
        <f t="shared" si="41"/>
        <v>5.9658080339431763E-2</v>
      </c>
      <c r="AD63" s="3">
        <f t="shared" si="32"/>
        <v>-1.4328320092904523E-8</v>
      </c>
      <c r="AE63" s="3">
        <f t="shared" si="42"/>
        <v>-2.2408268547957038E-16</v>
      </c>
      <c r="AF63" s="3">
        <f t="shared" si="43"/>
        <v>6.3468419994268297E-16</v>
      </c>
      <c r="AG63" s="3">
        <f t="shared" si="44"/>
        <v>5.9604644775390625E-8</v>
      </c>
      <c r="AI63" s="3">
        <v>14</v>
      </c>
      <c r="AJ63" s="3">
        <f t="shared" si="55"/>
        <v>528.96728515625</v>
      </c>
      <c r="AK63" s="3">
        <v>2.1516553189885599</v>
      </c>
      <c r="AL63" s="3">
        <f t="shared" si="56"/>
        <v>529.144287109375</v>
      </c>
      <c r="AM63" s="3">
        <v>-3.0393962704747537</v>
      </c>
      <c r="AN63" s="3">
        <f t="shared" si="51"/>
        <v>529.0557861328125</v>
      </c>
      <c r="AO63" s="3">
        <v>-0.44365338467923721</v>
      </c>
      <c r="AP63" s="3">
        <f t="shared" si="52"/>
        <v>-0.95458916493235835</v>
      </c>
      <c r="AQ63" s="3">
        <f t="shared" si="53"/>
        <v>1.3484384427775749</v>
      </c>
      <c r="AR63" s="3">
        <f t="shared" si="54"/>
        <v>0.177001953125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 s="3" t="s">
        <v>28</v>
      </c>
      <c r="BK63" s="3">
        <f>BK62-BK61</f>
        <v>9.8093283111372262E-3</v>
      </c>
      <c r="BL63" s="3" t="s">
        <v>167</v>
      </c>
      <c r="BM63" s="3"/>
      <c r="BN63" s="3" t="s">
        <v>28</v>
      </c>
      <c r="BO63" s="3">
        <f>BO62-BO61</f>
        <v>-2.1635157069635168E-3</v>
      </c>
      <c r="BP63" s="3" t="s">
        <v>167</v>
      </c>
      <c r="BQ63"/>
      <c r="BR63" s="3">
        <v>25</v>
      </c>
      <c r="BS63" s="3">
        <f t="shared" si="45"/>
        <v>9.9763565933762691E-2</v>
      </c>
      <c r="BT63" s="3">
        <v>-3.3718305637604057E-7</v>
      </c>
      <c r="BU63" s="3">
        <f t="shared" si="46"/>
        <v>9.976373258939028E-2</v>
      </c>
      <c r="BV63" s="3">
        <v>2.2032727875747476E-7</v>
      </c>
      <c r="BW63" s="3">
        <f t="shared" si="33"/>
        <v>9.9763649261576492E-2</v>
      </c>
      <c r="BX63" s="3">
        <v>-5.8427727085350045E-8</v>
      </c>
      <c r="BY63" s="3">
        <f t="shared" si="34"/>
        <v>1.9700839595743497E-14</v>
      </c>
      <c r="BZ63" s="3">
        <f t="shared" si="35"/>
        <v>-1.2873222112699578E-14</v>
      </c>
      <c r="CA63" s="3">
        <f t="shared" si="36"/>
        <v>1.6665562758977348E-7</v>
      </c>
      <c r="CB63"/>
      <c r="CC63" s="3">
        <v>25</v>
      </c>
      <c r="CD63" s="3">
        <f t="shared" si="47"/>
        <v>8.2797523078206203E-2</v>
      </c>
      <c r="CE63" s="3">
        <v>-2.5134856788348175E-7</v>
      </c>
      <c r="CF63" s="3">
        <f t="shared" si="48"/>
        <v>8.2797689733833793E-2</v>
      </c>
      <c r="CG63" s="3">
        <v>2.8714540435941655E-7</v>
      </c>
      <c r="CH63" s="3">
        <f t="shared" si="37"/>
        <v>8.2797606406019991E-2</v>
      </c>
      <c r="CI63" s="3">
        <v>1.7898604281856023E-8</v>
      </c>
      <c r="CJ63" s="3">
        <f t="shared" si="38"/>
        <v>-4.4987885533576659E-15</v>
      </c>
      <c r="CK63" s="3">
        <f t="shared" si="39"/>
        <v>5.1395019639827319E-15</v>
      </c>
      <c r="CL63" s="3">
        <f t="shared" si="40"/>
        <v>1.6665562758977348E-7</v>
      </c>
    </row>
    <row r="64" spans="2:90" x14ac:dyDescent="0.2">
      <c r="X64" s="3">
        <v>25</v>
      </c>
      <c r="Y64" s="3">
        <f t="shared" si="49"/>
        <v>5.9658050537109375E-2</v>
      </c>
      <c r="Z64" s="3">
        <f t="shared" si="30"/>
        <v>1.5639145693746581E-8</v>
      </c>
      <c r="AA64" s="3">
        <f t="shared" si="50"/>
        <v>5.9658080339431763E-2</v>
      </c>
      <c r="AB64" s="3">
        <f t="shared" si="31"/>
        <v>-1.4328320092904523E-8</v>
      </c>
      <c r="AC64" s="3">
        <f t="shared" si="41"/>
        <v>5.9658065438270569E-2</v>
      </c>
      <c r="AD64" s="3">
        <f t="shared" si="32"/>
        <v>6.5541280735992302E-10</v>
      </c>
      <c r="AE64" s="3">
        <f t="shared" si="42"/>
        <v>1.0250096383849297E-17</v>
      </c>
      <c r="AF64" s="3">
        <f t="shared" si="43"/>
        <v>-9.3909644968421466E-18</v>
      </c>
      <c r="AG64" s="3">
        <f t="shared" si="44"/>
        <v>2.9802322387695312E-8</v>
      </c>
      <c r="AI64" s="3">
        <v>15</v>
      </c>
      <c r="AJ64" s="3">
        <f t="shared" si="55"/>
        <v>528.96728515625</v>
      </c>
      <c r="AK64" s="3">
        <v>2.1516553189885599</v>
      </c>
      <c r="AL64" s="3">
        <f t="shared" si="56"/>
        <v>529.0557861328125</v>
      </c>
      <c r="AM64" s="3">
        <v>-0.44365338467923721</v>
      </c>
      <c r="AN64" s="3">
        <f t="shared" si="51"/>
        <v>529.01153564453125</v>
      </c>
      <c r="AO64" s="3">
        <v>0.85405523992085364</v>
      </c>
      <c r="AP64" s="3">
        <f t="shared" si="52"/>
        <v>1.8376324996857554</v>
      </c>
      <c r="AQ64" s="3">
        <f t="shared" si="53"/>
        <v>-0.37890449789392472</v>
      </c>
      <c r="AR64" s="3">
        <f t="shared" si="54"/>
        <v>8.85009765625E-2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s="3" t="s">
        <v>180</v>
      </c>
      <c r="BK64" s="3">
        <f>BK63/PI()*180</f>
        <v>0.56203311208635476</v>
      </c>
      <c r="BL64" s="3" t="s">
        <v>43</v>
      </c>
      <c r="BM64" s="3"/>
      <c r="BN64" s="3" t="s">
        <v>180</v>
      </c>
      <c r="BO64" s="3">
        <f>BO63/PI()*180</f>
        <v>-0.12396031891927208</v>
      </c>
      <c r="BP64" s="3" t="s">
        <v>43</v>
      </c>
      <c r="BQ64"/>
      <c r="BR64" s="3">
        <v>26</v>
      </c>
      <c r="BS64" s="3">
        <f t="shared" si="45"/>
        <v>9.9763649261576492E-2</v>
      </c>
      <c r="BT64" s="3">
        <v>-5.8427727085350045E-8</v>
      </c>
      <c r="BU64" s="3">
        <f t="shared" si="46"/>
        <v>9.976373258939028E-2</v>
      </c>
      <c r="BV64" s="3">
        <v>2.2032727875747476E-7</v>
      </c>
      <c r="BW64" s="3">
        <f t="shared" si="33"/>
        <v>9.9763690925483386E-2</v>
      </c>
      <c r="BX64" s="3">
        <v>8.094981623994052E-8</v>
      </c>
      <c r="BY64" s="3">
        <f t="shared" si="34"/>
        <v>-4.7297137708764815E-15</v>
      </c>
      <c r="BZ64" s="3">
        <f t="shared" si="35"/>
        <v>1.7835452728063734E-14</v>
      </c>
      <c r="CA64" s="3">
        <f t="shared" si="36"/>
        <v>8.3327813787947846E-8</v>
      </c>
      <c r="CB64"/>
      <c r="CC64" s="3">
        <v>26</v>
      </c>
      <c r="CD64" s="3">
        <f t="shared" si="47"/>
        <v>8.2797523078206203E-2</v>
      </c>
      <c r="CE64" s="3">
        <v>-2.5134856788348175E-7</v>
      </c>
      <c r="CF64" s="3">
        <f t="shared" si="48"/>
        <v>8.2797606406019991E-2</v>
      </c>
      <c r="CG64" s="3">
        <v>1.7898604281856023E-8</v>
      </c>
      <c r="CH64" s="3">
        <f t="shared" si="37"/>
        <v>8.2797564742113097E-2</v>
      </c>
      <c r="CI64" s="3">
        <v>-1.167249352946112E-7</v>
      </c>
      <c r="CJ64" s="3">
        <f t="shared" si="38"/>
        <v>2.9338645322592597E-14</v>
      </c>
      <c r="CK64" s="3">
        <f t="shared" si="39"/>
        <v>-2.0892134266634951E-15</v>
      </c>
      <c r="CL64" s="3">
        <f t="shared" si="40"/>
        <v>8.3327813787947846E-8</v>
      </c>
    </row>
    <row r="65" spans="24:90" x14ac:dyDescent="0.2">
      <c r="X65" s="3">
        <v>26</v>
      </c>
      <c r="Y65" s="3">
        <f t="shared" si="49"/>
        <v>5.9658065438270569E-2</v>
      </c>
      <c r="Z65" s="3">
        <f t="shared" si="30"/>
        <v>6.5541280735992302E-10</v>
      </c>
      <c r="AA65" s="3">
        <f t="shared" si="50"/>
        <v>5.9658080339431763E-2</v>
      </c>
      <c r="AB65" s="3">
        <f t="shared" si="31"/>
        <v>-1.4328320092904523E-8</v>
      </c>
      <c r="AC65" s="3">
        <f t="shared" si="41"/>
        <v>5.9658072888851166E-2</v>
      </c>
      <c r="AD65" s="3">
        <f t="shared" si="32"/>
        <v>-6.836453639302853E-9</v>
      </c>
      <c r="AE65" s="3">
        <f t="shared" si="42"/>
        <v>-4.4806992721214458E-18</v>
      </c>
      <c r="AF65" s="3">
        <f t="shared" si="43"/>
        <v>9.7954896044233324E-17</v>
      </c>
      <c r="AG65" s="3">
        <f t="shared" si="44"/>
        <v>1.4901161193847656E-8</v>
      </c>
      <c r="AI65" s="3">
        <v>16</v>
      </c>
      <c r="AJ65" s="3">
        <f t="shared" si="55"/>
        <v>529.01153564453125</v>
      </c>
      <c r="AK65" s="3">
        <v>0.85405523992085364</v>
      </c>
      <c r="AL65" s="3">
        <f t="shared" si="56"/>
        <v>529.0557861328125</v>
      </c>
      <c r="AM65" s="3">
        <v>-0.44365338467923721</v>
      </c>
      <c r="AN65" s="3">
        <f t="shared" si="51"/>
        <v>529.03366088867188</v>
      </c>
      <c r="AO65" s="3">
        <v>0.20521449581246998</v>
      </c>
      <c r="AP65" s="3">
        <f t="shared" si="52"/>
        <v>0.17526451545635607</v>
      </c>
      <c r="AQ65" s="3">
        <f t="shared" si="53"/>
        <v>-9.1044105652445459E-2</v>
      </c>
      <c r="AR65" s="3">
        <f t="shared" si="54"/>
        <v>4.425048828125E-2</v>
      </c>
      <c r="AT65" s="3"/>
      <c r="AU65" s="3"/>
      <c r="AV65" s="27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 s="3" t="s">
        <v>183</v>
      </c>
      <c r="BK65" s="3">
        <f xml:space="preserve"> $AU$8*$AU$33 / (2*PI()*$AU$25)</f>
        <v>3.3837103320226013E-2</v>
      </c>
      <c r="BL65" s="3"/>
      <c r="BM65" s="3"/>
      <c r="BN65" s="3" t="s">
        <v>183</v>
      </c>
      <c r="BO65" s="3">
        <f xml:space="preserve"> $AU$8*$AU$34 / (2*PI()*$AU$26)</f>
        <v>2.8862622616268326E-2</v>
      </c>
      <c r="BP65" s="3"/>
      <c r="BQ65"/>
      <c r="BR65" s="3">
        <v>27</v>
      </c>
      <c r="BS65" s="3">
        <f t="shared" si="45"/>
        <v>9.9763649261576492E-2</v>
      </c>
      <c r="BT65" s="3">
        <v>-5.8427727085350045E-8</v>
      </c>
      <c r="BU65" s="3">
        <f t="shared" si="46"/>
        <v>9.9763690925483386E-2</v>
      </c>
      <c r="BV65" s="3">
        <v>8.094981623994052E-8</v>
      </c>
      <c r="BW65" s="3">
        <f t="shared" si="33"/>
        <v>9.9763670093529933E-2</v>
      </c>
      <c r="BX65" s="3">
        <v>1.1261054666880654E-8</v>
      </c>
      <c r="BY65" s="3">
        <f t="shared" si="34"/>
        <v>-6.5795782876971032E-16</v>
      </c>
      <c r="BZ65" s="3">
        <f t="shared" si="35"/>
        <v>9.1158030595191358E-16</v>
      </c>
      <c r="CA65" s="3">
        <f t="shared" si="36"/>
        <v>4.1663906893973923E-8</v>
      </c>
      <c r="CB65"/>
      <c r="CC65" s="3">
        <v>27</v>
      </c>
      <c r="CD65" s="3">
        <f t="shared" si="47"/>
        <v>8.2797564742113097E-2</v>
      </c>
      <c r="CE65" s="3">
        <v>-1.167249352946112E-7</v>
      </c>
      <c r="CF65" s="3">
        <f t="shared" si="48"/>
        <v>8.2797606406019991E-2</v>
      </c>
      <c r="CG65" s="3">
        <v>1.7898604281856023E-8</v>
      </c>
      <c r="CH65" s="3">
        <f t="shared" si="37"/>
        <v>8.2797585574066551E-2</v>
      </c>
      <c r="CI65" s="3">
        <v>-4.9413153865515702E-8</v>
      </c>
      <c r="CJ65" s="3">
        <f t="shared" si="38"/>
        <v>5.7677471876549875E-15</v>
      </c>
      <c r="CK65" s="3">
        <f t="shared" si="39"/>
        <v>-8.8442648735732987E-16</v>
      </c>
      <c r="CL65" s="3">
        <f t="shared" si="40"/>
        <v>4.1663906893973923E-8</v>
      </c>
    </row>
    <row r="66" spans="24:90" x14ac:dyDescent="0.2">
      <c r="X66" s="3">
        <v>27</v>
      </c>
      <c r="Y66" s="3">
        <f t="shared" si="49"/>
        <v>5.9658065438270569E-2</v>
      </c>
      <c r="Z66" s="3">
        <f t="shared" si="30"/>
        <v>6.5541280735992302E-10</v>
      </c>
      <c r="AA66" s="3">
        <f t="shared" si="50"/>
        <v>5.9658072888851166E-2</v>
      </c>
      <c r="AB66" s="3">
        <f t="shared" si="31"/>
        <v>-6.836453639302853E-9</v>
      </c>
      <c r="AC66" s="3">
        <f t="shared" si="41"/>
        <v>5.9658069163560867E-2</v>
      </c>
      <c r="AD66" s="3">
        <f t="shared" si="32"/>
        <v>-3.0905204090325711E-9</v>
      </c>
      <c r="AE66" s="3">
        <f t="shared" si="42"/>
        <v>-2.025566657487175E-18</v>
      </c>
      <c r="AF66" s="3">
        <f t="shared" si="43"/>
        <v>2.1128199497670464E-17</v>
      </c>
      <c r="AG66" s="3">
        <f t="shared" si="44"/>
        <v>7.4505805969238281E-9</v>
      </c>
      <c r="AI66" s="3">
        <v>17</v>
      </c>
      <c r="AJ66" s="3">
        <f t="shared" si="55"/>
        <v>529.03366088867188</v>
      </c>
      <c r="AK66" s="3">
        <v>0.20521449581246998</v>
      </c>
      <c r="AL66" s="3">
        <f t="shared" si="56"/>
        <v>529.0557861328125</v>
      </c>
      <c r="AM66" s="3">
        <v>-0.44365338467923721</v>
      </c>
      <c r="AN66" s="3">
        <f t="shared" si="51"/>
        <v>529.04472351074219</v>
      </c>
      <c r="AO66" s="3">
        <v>-0.11921605238603661</v>
      </c>
      <c r="AP66" s="3">
        <f t="shared" si="52"/>
        <v>-2.4464862083153512E-2</v>
      </c>
      <c r="AQ66" s="3">
        <f t="shared" si="53"/>
        <v>5.2890605149162391E-2</v>
      </c>
      <c r="AR66" s="3">
        <f t="shared" si="54"/>
        <v>2.2125244140625E-2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 s="3" t="s">
        <v>187</v>
      </c>
      <c r="BK66" s="3">
        <f>IF(-$AU$8*($AY$3-$AU$25)/(2*$AU$25*SIN(BK61))&gt;500, 1, 2*ACOS(MIN(1, EXP(-$AU$8*($AY$3-$AU$25)/(2*$AU$25*SIN(BK61)))))/PI() )</f>
        <v>0.9992522440684628</v>
      </c>
      <c r="BL66" s="3"/>
      <c r="BM66" s="3"/>
      <c r="BN66" s="3" t="s">
        <v>187</v>
      </c>
      <c r="BO66" s="3">
        <f>IF(-$AU$8*($AY$3-$AU$26)/(2*$AU$26*SIN(BO61))&gt;500, 1, 2*ACOS(MIN(1, EXP(-$AU$8*($AY$3-$AU$26)/(2*$AU$26*SIN(BO61)))))/PI() )</f>
        <v>0.95523321682601003</v>
      </c>
      <c r="BP66" s="3"/>
      <c r="BQ66"/>
      <c r="BR66" s="3">
        <v>28</v>
      </c>
      <c r="BS66" s="3">
        <f t="shared" si="45"/>
        <v>9.9763649261576492E-2</v>
      </c>
      <c r="BT66" s="3">
        <v>-5.8427727085350045E-8</v>
      </c>
      <c r="BU66" s="3">
        <f t="shared" si="46"/>
        <v>9.9763670093529933E-2</v>
      </c>
      <c r="BV66" s="3">
        <v>1.1261054666880654E-8</v>
      </c>
      <c r="BW66" s="3">
        <f t="shared" si="33"/>
        <v>9.9763659677553213E-2</v>
      </c>
      <c r="BX66" s="3">
        <v>-2.3583333652252292E-8</v>
      </c>
      <c r="BY66" s="3">
        <f t="shared" si="34"/>
        <v>1.3779205823965484E-15</v>
      </c>
      <c r="BZ66" s="3">
        <f t="shared" si="35"/>
        <v>-2.6557320948529928E-16</v>
      </c>
      <c r="CA66" s="3">
        <f t="shared" si="36"/>
        <v>2.0831953440048068E-8</v>
      </c>
      <c r="CB66"/>
      <c r="CC66" s="3">
        <v>28</v>
      </c>
      <c r="CD66" s="3">
        <f t="shared" si="47"/>
        <v>8.2797585574066551E-2</v>
      </c>
      <c r="CE66" s="3">
        <v>-4.9413153865515702E-8</v>
      </c>
      <c r="CF66" s="3">
        <f t="shared" si="48"/>
        <v>8.2797606406019991E-2</v>
      </c>
      <c r="CG66" s="3">
        <v>1.7898604281856023E-8</v>
      </c>
      <c r="CH66" s="3">
        <f t="shared" si="37"/>
        <v>8.2797595990043271E-2</v>
      </c>
      <c r="CI66" s="3">
        <v>-1.5757271900479486E-8</v>
      </c>
      <c r="CJ66" s="3">
        <f t="shared" si="38"/>
        <v>7.7861650091915988E-16</v>
      </c>
      <c r="CK66" s="3">
        <f t="shared" si="39"/>
        <v>-2.8203317430829174E-16</v>
      </c>
      <c r="CL66" s="3">
        <f t="shared" si="40"/>
        <v>2.0831953440048068E-8</v>
      </c>
    </row>
    <row r="67" spans="24:90" x14ac:dyDescent="0.2">
      <c r="X67" s="3">
        <v>28</v>
      </c>
      <c r="Y67" s="3">
        <f t="shared" si="49"/>
        <v>5.9658065438270569E-2</v>
      </c>
      <c r="Z67" s="3">
        <f t="shared" si="30"/>
        <v>6.5541280735992302E-10</v>
      </c>
      <c r="AA67" s="3">
        <f t="shared" si="50"/>
        <v>5.9658069163560867E-2</v>
      </c>
      <c r="AB67" s="3">
        <f t="shared" si="31"/>
        <v>-3.0905204090325711E-9</v>
      </c>
      <c r="AC67" s="3">
        <f t="shared" si="41"/>
        <v>5.9658067300915718E-2</v>
      </c>
      <c r="AD67" s="3">
        <f t="shared" si="32"/>
        <v>-1.217553800836324E-9</v>
      </c>
      <c r="AE67" s="3">
        <f t="shared" si="42"/>
        <v>-7.9800035471787972E-19</v>
      </c>
      <c r="AF67" s="3">
        <f t="shared" si="43"/>
        <v>3.7628748705798374E-18</v>
      </c>
      <c r="AG67" s="3">
        <f t="shared" si="44"/>
        <v>3.7252902984619141E-9</v>
      </c>
      <c r="AI67" s="3">
        <v>18</v>
      </c>
      <c r="AJ67" s="3">
        <f t="shared" si="55"/>
        <v>529.03366088867188</v>
      </c>
      <c r="AK67" s="3">
        <v>0.20521449581246998</v>
      </c>
      <c r="AL67" s="3">
        <f t="shared" si="56"/>
        <v>529.04472351074219</v>
      </c>
      <c r="AM67" s="3">
        <v>-0.11921605238603661</v>
      </c>
      <c r="AN67" s="3">
        <f t="shared" si="51"/>
        <v>529.03919219970703</v>
      </c>
      <c r="AO67" s="3">
        <v>4.3000069726986112E-2</v>
      </c>
      <c r="AP67" s="3">
        <f t="shared" si="52"/>
        <v>8.8242376289245084E-3</v>
      </c>
      <c r="AQ67" s="3">
        <f t="shared" si="53"/>
        <v>-5.126298565175603E-3</v>
      </c>
      <c r="AR67" s="3">
        <f t="shared" si="54"/>
        <v>1.10626220703125E-2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 s="3" t="s">
        <v>192</v>
      </c>
      <c r="BK67" s="3">
        <f>IF(-$AU$8*($AU$25-$AU$10)/(2*$AU$25*SIN(BK61))&gt;500, 1, 2*ACOS(MIN(1, EXP(-$AU$8*($AU$25-$AU$10)/(2*$AU$25*SIN(BK61)))))/PI() )</f>
        <v>0.99999999999987221</v>
      </c>
      <c r="BL67" s="3"/>
      <c r="BM67" s="3"/>
      <c r="BN67" s="3" t="s">
        <v>192</v>
      </c>
      <c r="BO67" s="3">
        <f>IF(-$AU$8*($AU$26-$AU$10)/(2*$AU$26*SIN(BO61))&gt;500, 1, 2*ACOS(MIN(1, EXP(-$AU$8*($AU$26-$AU$10)/(2*$AU$26*SIN(BO61)))))/PI() )</f>
        <v>1</v>
      </c>
      <c r="BP67" s="3"/>
      <c r="BQ67"/>
      <c r="BR67" s="3">
        <v>29</v>
      </c>
      <c r="BS67" s="3">
        <f t="shared" si="45"/>
        <v>9.9763659677553213E-2</v>
      </c>
      <c r="BT67" s="3">
        <v>-2.3583333652252292E-8</v>
      </c>
      <c r="BU67" s="3">
        <f t="shared" si="46"/>
        <v>9.9763670093529933E-2</v>
      </c>
      <c r="BV67" s="3">
        <v>1.1261054666880654E-8</v>
      </c>
      <c r="BW67" s="3">
        <f t="shared" si="33"/>
        <v>9.9763664885541573E-2</v>
      </c>
      <c r="BX67" s="3">
        <v>-6.1611388126742161E-9</v>
      </c>
      <c r="BY67" s="3">
        <f t="shared" si="34"/>
        <v>1.4530019229713757E-16</v>
      </c>
      <c r="BZ67" s="3">
        <f t="shared" si="35"/>
        <v>-6.9380920979764517E-17</v>
      </c>
      <c r="CA67" s="3">
        <f t="shared" si="36"/>
        <v>1.0415976720024034E-8</v>
      </c>
      <c r="CB67"/>
      <c r="CC67" s="3">
        <v>29</v>
      </c>
      <c r="CD67" s="3">
        <f t="shared" si="47"/>
        <v>8.2797595990043271E-2</v>
      </c>
      <c r="CE67" s="3">
        <v>-1.5757271900479486E-8</v>
      </c>
      <c r="CF67" s="3">
        <f t="shared" si="48"/>
        <v>8.2797606406019991E-2</v>
      </c>
      <c r="CG67" s="3">
        <v>1.7898604281856023E-8</v>
      </c>
      <c r="CH67" s="3">
        <f t="shared" si="37"/>
        <v>8.2797601198031631E-2</v>
      </c>
      <c r="CI67" s="3">
        <v>1.0706669266447033E-9</v>
      </c>
      <c r="CJ67" s="3">
        <f t="shared" si="38"/>
        <v>-1.6870789877991315E-17</v>
      </c>
      <c r="CK67" s="3">
        <f t="shared" si="39"/>
        <v>1.9163443637684516E-17</v>
      </c>
      <c r="CL67" s="3">
        <f t="shared" si="40"/>
        <v>1.0415976720024034E-8</v>
      </c>
    </row>
    <row r="68" spans="24:90" x14ac:dyDescent="0.2">
      <c r="X68" s="3">
        <v>29</v>
      </c>
      <c r="Y68" s="3">
        <f t="shared" si="49"/>
        <v>5.9658065438270569E-2</v>
      </c>
      <c r="Z68" s="3">
        <f t="shared" si="30"/>
        <v>6.5541280735992302E-10</v>
      </c>
      <c r="AA68" s="3">
        <f t="shared" si="50"/>
        <v>5.9658067300915718E-2</v>
      </c>
      <c r="AB68" s="3">
        <f t="shared" si="31"/>
        <v>-1.217553800836324E-9</v>
      </c>
      <c r="AC68" s="3">
        <f t="shared" si="41"/>
        <v>5.9658066369593143E-2</v>
      </c>
      <c r="AD68" s="3">
        <f t="shared" si="32"/>
        <v>-2.8107049326875355E-10</v>
      </c>
      <c r="AE68" s="3">
        <f t="shared" si="42"/>
        <v>-1.8421720105931211E-19</v>
      </c>
      <c r="AF68" s="3">
        <f t="shared" si="43"/>
        <v>3.4221844738231132E-19</v>
      </c>
      <c r="AG68" s="3">
        <f t="shared" si="44"/>
        <v>1.862645149230957E-9</v>
      </c>
      <c r="AI68" s="3">
        <v>19</v>
      </c>
      <c r="AJ68" s="3">
        <f t="shared" si="55"/>
        <v>529.03919219970703</v>
      </c>
      <c r="AK68" s="3">
        <v>4.3000069726986112E-2</v>
      </c>
      <c r="AL68" s="3">
        <f t="shared" si="56"/>
        <v>529.04472351074219</v>
      </c>
      <c r="AM68" s="3">
        <v>-0.11921605238603661</v>
      </c>
      <c r="AN68" s="3">
        <f t="shared" si="51"/>
        <v>529.04195785522461</v>
      </c>
      <c r="AO68" s="3">
        <v>-3.8107779326310265E-2</v>
      </c>
      <c r="AP68" s="3">
        <f t="shared" si="52"/>
        <v>-1.6386371681719413E-3</v>
      </c>
      <c r="AQ68" s="3">
        <f t="shared" si="53"/>
        <v>4.5430590164809272E-3</v>
      </c>
      <c r="AR68" s="3">
        <f t="shared" si="54"/>
        <v>5.53131103515625E-3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s="3" t="s">
        <v>195</v>
      </c>
      <c r="BK68" s="3">
        <f>IF(BK61=0,1,BK66*BK67)</f>
        <v>0.99925224406833513</v>
      </c>
      <c r="BL68" s="3"/>
      <c r="BM68" s="3"/>
      <c r="BN68" s="3" t="s">
        <v>195</v>
      </c>
      <c r="BO68" s="3">
        <f>IF(BO61=0,1,BO66*BO67)</f>
        <v>0.95523321682601003</v>
      </c>
      <c r="BP68" s="3"/>
      <c r="BQ68"/>
      <c r="BR68" s="3">
        <v>30</v>
      </c>
      <c r="BS68" s="3">
        <f t="shared" si="45"/>
        <v>9.9763664885541573E-2</v>
      </c>
      <c r="BT68" s="3">
        <v>-6.1611388126742161E-9</v>
      </c>
      <c r="BU68" s="3">
        <f t="shared" si="46"/>
        <v>9.9763670093529933E-2</v>
      </c>
      <c r="BV68" s="3">
        <v>1.1261054666880654E-8</v>
      </c>
      <c r="BW68" s="6">
        <f t="shared" si="33"/>
        <v>9.9763667489535746E-2</v>
      </c>
      <c r="BX68" s="3">
        <v>2.5499580398602451E-9</v>
      </c>
      <c r="BY68" s="3">
        <f t="shared" si="34"/>
        <v>-1.5710645450073621E-17</v>
      </c>
      <c r="BZ68" s="3">
        <f t="shared" si="35"/>
        <v>2.8715216885118059E-17</v>
      </c>
      <c r="CA68" s="3">
        <f t="shared" si="36"/>
        <v>5.2079883600120169E-9</v>
      </c>
      <c r="CB68"/>
      <c r="CC68" s="3">
        <v>30</v>
      </c>
      <c r="CD68" s="3">
        <f t="shared" si="47"/>
        <v>8.2797595990043271E-2</v>
      </c>
      <c r="CE68" s="3">
        <v>-1.5757271900479486E-8</v>
      </c>
      <c r="CF68" s="3">
        <f t="shared" si="48"/>
        <v>8.2797601198031631E-2</v>
      </c>
      <c r="CG68" s="3">
        <v>1.0706669266447033E-9</v>
      </c>
      <c r="CH68" s="6">
        <f t="shared" si="37"/>
        <v>8.2797598594037458E-2</v>
      </c>
      <c r="CI68" s="3">
        <v>-7.3433022839547446E-9</v>
      </c>
      <c r="CJ68" s="3">
        <f t="shared" si="38"/>
        <v>1.1571041073568693E-16</v>
      </c>
      <c r="CK68" s="3">
        <f t="shared" si="39"/>
        <v>-7.8622308877848566E-18</v>
      </c>
      <c r="CL68" s="3">
        <f t="shared" si="40"/>
        <v>5.2079883600120169E-9</v>
      </c>
    </row>
    <row r="69" spans="24:90" x14ac:dyDescent="0.2">
      <c r="X69" s="3">
        <v>30</v>
      </c>
      <c r="Y69" s="3">
        <f t="shared" si="49"/>
        <v>5.9658065438270569E-2</v>
      </c>
      <c r="Z69" s="3">
        <f t="shared" si="30"/>
        <v>6.5541280735992302E-10</v>
      </c>
      <c r="AA69" s="3">
        <f t="shared" si="50"/>
        <v>5.9658066369593143E-2</v>
      </c>
      <c r="AB69" s="3">
        <f t="shared" si="31"/>
        <v>-2.8107049326875355E-10</v>
      </c>
      <c r="AC69" s="3">
        <f t="shared" si="41"/>
        <v>5.9658065903931856E-2</v>
      </c>
      <c r="AD69" s="3">
        <f t="shared" si="32"/>
        <v>1.8717116051503169E-10</v>
      </c>
      <c r="AE69" s="3">
        <f t="shared" si="42"/>
        <v>1.2267437576997169E-19</v>
      </c>
      <c r="AF69" s="3">
        <f t="shared" si="43"/>
        <v>-5.2608290411645004E-20</v>
      </c>
      <c r="AG69" s="3">
        <f t="shared" si="44"/>
        <v>9.3132257461547852E-10</v>
      </c>
      <c r="AI69" s="3">
        <v>20</v>
      </c>
      <c r="AJ69" s="3">
        <f t="shared" si="55"/>
        <v>529.03919219970703</v>
      </c>
      <c r="AK69" s="3">
        <v>4.3000069726986112E-2</v>
      </c>
      <c r="AL69" s="3">
        <f t="shared" si="56"/>
        <v>529.04195785522461</v>
      </c>
      <c r="AM69" s="3">
        <v>-3.8107779326310265E-2</v>
      </c>
      <c r="AN69" s="3">
        <f t="shared" si="51"/>
        <v>529.04057502746582</v>
      </c>
      <c r="AO69" s="3">
        <v>2.4461981984131853E-3</v>
      </c>
      <c r="AP69" s="3">
        <f t="shared" si="52"/>
        <v>1.0518669309779478E-4</v>
      </c>
      <c r="AQ69" s="3">
        <f t="shared" si="53"/>
        <v>-9.32191811335474E-5</v>
      </c>
      <c r="AR69" s="3">
        <f t="shared" si="54"/>
        <v>2.765655517578125E-3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 s="3" t="s">
        <v>199</v>
      </c>
      <c r="BK69" s="3">
        <f>IF(BK64&lt;$BC$49, $AY$50*BK64^6 + $AZ$50*BK64^5 + $BA$50*BK64^4 + $AY$51*BK64^3 + $AZ$51*BK64^2 + $BA$51*BK64 + $AY$52, IF(BK64&gt;$BD$49, $BE$50*BK64^6 + $BF$50*BK64^5 + $BG$50*BK64^4 + $BE$51*BK64^3 + $BF$51*BK64^2 + $BG$51*BK64 + $BE$52, $BB$50*BK64^6 + $BC$50*BK64^5 + $BD$50*BK64^4 + $BB$51*BK64^3 + $BC$51*BK64^2 + $BD$51*BK64 + $BB$52) )</f>
        <v>0.21644705144671894</v>
      </c>
      <c r="BL69" s="3"/>
      <c r="BM69" s="3"/>
      <c r="BN69" s="3" t="s">
        <v>199</v>
      </c>
      <c r="BO69" s="3">
        <f>IF(BO64&lt;$BC$49, $AY$50*BO64^6 + $AZ$50*BO64^5 + $BA$50*BO64^4 + $AY$51*BO64^3 + $AZ$51*BO64^2 + $BA$51*BO64 + $AY$52, IF(BO64&gt;$BD$49, $BE$50*BO64^6 + $BF$50*BO64^5 + $BG$50*BO64^4 + $BE$51*BO64^3 + $BF$51*BO64^2 + $BG$51*BO64 + $BE$52, $BB$50*BO64^6 + $BC$50*BO64^5 + $BD$50*BO64^4 + $BB$51*BO64^3 + $BC$51*BO64^2 + $BD$51*BO64 + $BB$52) )</f>
        <v>0.13462614078019822</v>
      </c>
      <c r="BP69" s="3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</row>
    <row r="70" spans="24:90" x14ac:dyDescent="0.2">
      <c r="AI70" s="3">
        <v>21</v>
      </c>
      <c r="AJ70" s="3">
        <f t="shared" si="55"/>
        <v>529.04057502746582</v>
      </c>
      <c r="AK70" s="3">
        <v>2.4461981984131853E-3</v>
      </c>
      <c r="AL70" s="3">
        <f t="shared" si="56"/>
        <v>529.04195785522461</v>
      </c>
      <c r="AM70" s="3">
        <v>-3.8107779326310265E-2</v>
      </c>
      <c r="AN70" s="3">
        <f t="shared" si="51"/>
        <v>529.04126644134521</v>
      </c>
      <c r="AO70" s="3">
        <v>-1.7830777314884472E-2</v>
      </c>
      <c r="AP70" s="3">
        <f t="shared" si="52"/>
        <v>-4.3617615343977086E-5</v>
      </c>
      <c r="AQ70" s="3">
        <f t="shared" si="53"/>
        <v>6.794913271321965E-4</v>
      </c>
      <c r="AR70" s="3">
        <f t="shared" si="54"/>
        <v>1.3828277587890625E-3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s="3" t="s">
        <v>200</v>
      </c>
      <c r="BK70" s="3">
        <f>IF(BK64&lt;$BC$49, $AY$53*BK64^6 + $AZ$53*BK64^5 + $BA$53*BK64^4 + $AY$54*BK64^3 + $AZ$54*BK64^2 + $BA$54*BK64 + $AY$55, IF(BK64&gt;$BD$49, $BE$53*BK64^6 + $BF$53*BK64^5 + $BG$53*BK64^4 + $BE$54*BK64^3 + $BF$54*BK64^2 + $BG$54*BK64 + $BE$55, $BB$53*BK64^6 + $BC$53*BK64^5 + $BD$53*BK64^4 + $BB$54*BK64^3 + $BC$54*BK64^2 + $BD$54*BK64 + $BB$55) )</f>
        <v>4.3745745031426975E-2</v>
      </c>
      <c r="BL70" s="3"/>
      <c r="BM70" s="3"/>
      <c r="BN70" s="3" t="s">
        <v>200</v>
      </c>
      <c r="BO70" s="3">
        <f>IF(BO64&lt;$BC$49, $AY$53*BO64^6 + $AZ$53*BO64^5 + $BA$53*BO64^4 + $AY$54*BO64^3 + $AZ$54*BO64^2 + $BA$54*BO64 + $AY$55, IF(BO64&gt;$BD$49, $BE$53*BO64^6 + $BF$53*BO64^5 + $BG$53*BO64^4 + $BE$54*BO64^3 + $BF$54*BO64^2 + $BG$54*BO64 + $BE$55, $BB$53*BO64^6 + $BC$53*BO64^5 + $BD$53*BO64^4 + $BB$54*BO64^3 + $BC$54*BO64^2 + $BD$54*BO64 + $BB$55) )</f>
        <v>4.9692874548217539E-2</v>
      </c>
      <c r="BP70" s="3"/>
      <c r="BQ70"/>
      <c r="BR70" s="74" t="s">
        <v>223</v>
      </c>
      <c r="BS70" s="74"/>
      <c r="BT70" s="74"/>
      <c r="BU70" s="74"/>
      <c r="BV70" s="74"/>
      <c r="BW70" s="74"/>
      <c r="BX70" s="74"/>
      <c r="BY70" s="74"/>
      <c r="BZ70" s="74"/>
      <c r="CA70" s="74"/>
      <c r="CB70"/>
      <c r="CC70" s="74" t="s">
        <v>224</v>
      </c>
      <c r="CD70" s="74"/>
      <c r="CE70" s="74"/>
      <c r="CF70" s="74"/>
      <c r="CG70" s="74"/>
      <c r="CH70" s="74"/>
      <c r="CI70" s="74"/>
      <c r="CJ70" s="74"/>
      <c r="CK70" s="74"/>
      <c r="CL70" s="74"/>
    </row>
    <row r="71" spans="24:90" x14ac:dyDescent="0.2">
      <c r="AI71" s="3">
        <v>22</v>
      </c>
      <c r="AJ71" s="3">
        <f t="shared" si="55"/>
        <v>529.04057502746582</v>
      </c>
      <c r="AK71" s="3">
        <v>2.4461981984131853E-3</v>
      </c>
      <c r="AL71" s="3">
        <f t="shared" si="56"/>
        <v>529.04126644134521</v>
      </c>
      <c r="AM71" s="3">
        <v>-1.7830777314884472E-2</v>
      </c>
      <c r="AN71" s="3">
        <f t="shared" si="51"/>
        <v>529.04092073440552</v>
      </c>
      <c r="AO71" s="3">
        <v>-7.6922862444916973E-3</v>
      </c>
      <c r="AP71" s="3">
        <f t="shared" si="52"/>
        <v>-1.8816856752954118E-5</v>
      </c>
      <c r="AQ71" s="3">
        <f t="shared" si="53"/>
        <v>1.3715944306788043E-4</v>
      </c>
      <c r="AR71" s="3">
        <f t="shared" si="54"/>
        <v>6.9141387939453125E-4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s="3" t="s">
        <v>202</v>
      </c>
      <c r="BK71" s="3">
        <f xml:space="preserve"> BK69*COS(BK61) - BK70*SIN(BK61)</f>
        <v>0.21431620327339654</v>
      </c>
      <c r="BL71" s="3"/>
      <c r="BM71" s="3"/>
      <c r="BN71" s="3" t="s">
        <v>202</v>
      </c>
      <c r="BO71" s="3">
        <f xml:space="preserve"> BO69*COS(BO61) - BO70*SIN(BO61)</f>
        <v>0.13291969733229156</v>
      </c>
      <c r="BP71" s="3"/>
      <c r="BQ71"/>
      <c r="BR71" s="8" t="s">
        <v>44</v>
      </c>
      <c r="BS71" s="8" t="s">
        <v>45</v>
      </c>
      <c r="BT71" s="8" t="s">
        <v>46</v>
      </c>
      <c r="BU71" s="8" t="s">
        <v>47</v>
      </c>
      <c r="BV71" s="8" t="s">
        <v>48</v>
      </c>
      <c r="BW71" s="8" t="s">
        <v>49</v>
      </c>
      <c r="BX71" s="8" t="s">
        <v>50</v>
      </c>
      <c r="BY71" s="8" t="s">
        <v>51</v>
      </c>
      <c r="BZ71" s="8" t="s">
        <v>52</v>
      </c>
      <c r="CA71" s="8" t="s">
        <v>53</v>
      </c>
      <c r="CB71"/>
      <c r="CC71" s="8" t="s">
        <v>44</v>
      </c>
      <c r="CD71" s="8" t="s">
        <v>45</v>
      </c>
      <c r="CE71" s="8" t="s">
        <v>46</v>
      </c>
      <c r="CF71" s="8" t="s">
        <v>47</v>
      </c>
      <c r="CG71" s="8" t="s">
        <v>48</v>
      </c>
      <c r="CH71" s="8" t="s">
        <v>49</v>
      </c>
      <c r="CI71" s="8" t="s">
        <v>50</v>
      </c>
      <c r="CJ71" s="8" t="s">
        <v>51</v>
      </c>
      <c r="CK71" s="8" t="s">
        <v>52</v>
      </c>
      <c r="CL71" s="8" t="s">
        <v>53</v>
      </c>
    </row>
    <row r="72" spans="24:90" x14ac:dyDescent="0.2">
      <c r="AI72" s="3">
        <v>23</v>
      </c>
      <c r="AJ72" s="3">
        <f t="shared" si="55"/>
        <v>529.04057502746582</v>
      </c>
      <c r="AK72" s="3">
        <v>2.4461981984131853E-3</v>
      </c>
      <c r="AL72" s="3">
        <f t="shared" si="56"/>
        <v>529.04092073440552</v>
      </c>
      <c r="AM72" s="3">
        <v>-7.6922862444916973E-3</v>
      </c>
      <c r="AN72" s="3">
        <f t="shared" si="51"/>
        <v>529.04074788093567</v>
      </c>
      <c r="AO72" s="3">
        <v>-2.6230431940348353E-3</v>
      </c>
      <c r="AP72" s="3">
        <f t="shared" si="52"/>
        <v>-6.4164835356079812E-6</v>
      </c>
      <c r="AQ72" s="3">
        <f t="shared" si="53"/>
        <v>2.0177199080181729E-5</v>
      </c>
      <c r="AR72" s="3">
        <f t="shared" si="54"/>
        <v>3.4570693969726562E-4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 s="3" t="s">
        <v>204</v>
      </c>
      <c r="BK72" s="3">
        <f xml:space="preserve"> BK69*SIN(BK61) + BK70*COS(BK61)</f>
        <v>5.3212604736184319E-2</v>
      </c>
      <c r="BL72" s="3"/>
      <c r="BM72" s="3"/>
      <c r="BN72" s="3" t="s">
        <v>204</v>
      </c>
      <c r="BO72" s="3">
        <f xml:space="preserve"> BO69*SIN(BO61) + BO70*COS(BO61)</f>
        <v>5.4091899794023117E-2</v>
      </c>
      <c r="BP72" s="3"/>
      <c r="BQ72"/>
      <c r="BR72" s="31">
        <v>0</v>
      </c>
      <c r="BS72" s="31"/>
      <c r="BT72" s="31">
        <f>$BK$58</f>
        <v>5.7998362848477036E-9</v>
      </c>
      <c r="BU72" s="31"/>
      <c r="BV72" s="31">
        <f>$BK$58</f>
        <v>5.7998362848477036E-9</v>
      </c>
      <c r="BW72" s="31"/>
      <c r="BX72" s="31">
        <f>$BK$58</f>
        <v>5.7998362848477036E-9</v>
      </c>
      <c r="BY72" s="31"/>
      <c r="BZ72" s="31"/>
      <c r="CA72" s="31"/>
      <c r="CB72"/>
      <c r="CC72" s="31">
        <v>0</v>
      </c>
      <c r="CD72" s="31"/>
      <c r="CE72" s="31">
        <f>$BO$58</f>
        <v>2.3940355743830299E-9</v>
      </c>
      <c r="CF72" s="31"/>
      <c r="CG72" s="31">
        <f>$BO$58</f>
        <v>2.3940355743830299E-9</v>
      </c>
      <c r="CH72" s="31"/>
      <c r="CI72" s="31">
        <f>$BO$58</f>
        <v>2.3940355743830299E-9</v>
      </c>
      <c r="CJ72" s="31"/>
      <c r="CK72" s="31"/>
      <c r="CL72" s="31"/>
    </row>
    <row r="73" spans="24:90" x14ac:dyDescent="0.2">
      <c r="AI73" s="3">
        <v>24</v>
      </c>
      <c r="AJ73" s="3">
        <f t="shared" si="55"/>
        <v>529.04057502746582</v>
      </c>
      <c r="AK73" s="3">
        <v>2.4461981984131853E-3</v>
      </c>
      <c r="AL73" s="3">
        <f t="shared" si="56"/>
        <v>529.04074788093567</v>
      </c>
      <c r="AM73" s="3">
        <v>-2.6230431940348353E-3</v>
      </c>
      <c r="AN73" s="3">
        <f t="shared" si="51"/>
        <v>529.04066145420074</v>
      </c>
      <c r="AO73" s="3">
        <v>-8.8422289991285652E-5</v>
      </c>
      <c r="AP73" s="3">
        <f t="shared" si="52"/>
        <v>-2.1629844647625118E-7</v>
      </c>
      <c r="AQ73" s="3">
        <f t="shared" si="53"/>
        <v>2.3193548596261637E-7</v>
      </c>
      <c r="AR73" s="3">
        <f t="shared" si="54"/>
        <v>1.7285346984863281E-4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s="3" t="s">
        <v>38</v>
      </c>
      <c r="BK73" s="3">
        <f xml:space="preserve"> 4*BK68*SIN(BK61)*SIN(BK61) / (BK65*BK71)</f>
        <v>1.063805173899921</v>
      </c>
      <c r="BL73" s="3"/>
      <c r="BM73" s="3"/>
      <c r="BN73" s="3" t="s">
        <v>38</v>
      </c>
      <c r="BO73" s="3">
        <f xml:space="preserve"> 4*BO68*SIN(BO61)*SIN(BO61) / (BO65*BO71)</f>
        <v>1.0764304825697433</v>
      </c>
      <c r="BP73" s="3"/>
      <c r="BQ73"/>
      <c r="BR73" s="3">
        <v>1</v>
      </c>
      <c r="BS73" s="4">
        <f>0.01*PI()</f>
        <v>3.1415926535897934E-2</v>
      </c>
      <c r="BT73" s="3">
        <f t="dataTable" ref="BT73:BT102" dt2D="0" dtr="0" r1="BK42" ca="1"/>
        <v>-0.2127226871435122</v>
      </c>
      <c r="BU73" s="4">
        <f>0.9*PI()</f>
        <v>2.8274333882308138</v>
      </c>
      <c r="BV73" s="3">
        <f t="dataTable" ref="BV73:BV102" dt2D="0" dtr="0" r1="BK42" ca="1"/>
        <v>0.34271904488699362</v>
      </c>
      <c r="BW73" s="3">
        <f t="shared" ref="BW73:BW102" si="57">(BS73+BU73)/2</f>
        <v>1.4294246573833558</v>
      </c>
      <c r="BX73" s="3">
        <f t="dataTable" ref="BX73:BX102" dt2D="0" dtr="0" r1="BK42"/>
        <v>1.0172290105353017</v>
      </c>
      <c r="BY73" s="3">
        <f t="shared" ref="BY73:BY102" si="58">BT73*BX73</f>
        <v>-0.21638768856140544</v>
      </c>
      <c r="BZ73" s="3">
        <f t="shared" ref="BZ73:BZ102" si="59">BV73*BX73</f>
        <v>0.34862375492200015</v>
      </c>
      <c r="CA73" s="3">
        <f t="shared" ref="CA73:CA102" si="60">BU73-BS73</f>
        <v>2.7960174616949161</v>
      </c>
      <c r="CB73"/>
      <c r="CC73" s="3">
        <v>1</v>
      </c>
      <c r="CD73" s="4">
        <f>0.01*PI()</f>
        <v>3.1415926535897934E-2</v>
      </c>
      <c r="CE73" s="3">
        <f t="dataTable" ref="CE73:CE102" dt2D="0" dtr="0" r1="BO42" ca="1"/>
        <v>-0.11886162358539784</v>
      </c>
      <c r="CF73" s="4">
        <f>0.9*PI()</f>
        <v>2.8274333882308138</v>
      </c>
      <c r="CG73" s="3">
        <f t="dataTable" ref="CG73:CG102" dt2D="0" dtr="0" r1="BO42" ca="1"/>
        <v>0.33844602095393012</v>
      </c>
      <c r="CH73" s="3">
        <f t="shared" ref="CH73:CH102" si="61">(CD73+CF73)/2</f>
        <v>1.4294246573833558</v>
      </c>
      <c r="CI73" s="3">
        <f t="dataTable" ref="CI73:CI102" dt2D="0" dtr="0" r1="BO42"/>
        <v>1.0169302604396908</v>
      </c>
      <c r="CJ73" s="3">
        <f t="shared" ref="CJ73:CJ102" si="62">CE73*CI73</f>
        <v>-0.12087398182898312</v>
      </c>
      <c r="CK73" s="3">
        <f t="shared" ref="CK73:CK102" si="63">CG73*CI73</f>
        <v>0.34417600023345718</v>
      </c>
      <c r="CL73" s="3">
        <f t="shared" ref="CL73:CL102" si="64">CF73-CD73</f>
        <v>2.7960174616949161</v>
      </c>
    </row>
    <row r="74" spans="24:90" x14ac:dyDescent="0.2">
      <c r="AI74" s="3">
        <v>25</v>
      </c>
      <c r="AJ74" s="3">
        <f t="shared" si="55"/>
        <v>529.04057502746582</v>
      </c>
      <c r="AK74" s="3">
        <v>2.4461981984131853E-3</v>
      </c>
      <c r="AL74" s="3">
        <f t="shared" si="56"/>
        <v>529.04066145420074</v>
      </c>
      <c r="AM74" s="3">
        <v>-8.8422289991285652E-5</v>
      </c>
      <c r="AN74" s="3">
        <f t="shared" si="51"/>
        <v>529.04061824083328</v>
      </c>
      <c r="AO74" s="3">
        <v>1.1788880055974005E-3</v>
      </c>
      <c r="AP74" s="3">
        <f t="shared" si="52"/>
        <v>2.8837937154232742E-6</v>
      </c>
      <c r="AQ74" s="3">
        <f t="shared" si="53"/>
        <v>-1.0423997709818173E-7</v>
      </c>
      <c r="AR74" s="3">
        <f t="shared" si="54"/>
        <v>8.6426734924316406E-5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 s="3" t="s">
        <v>206</v>
      </c>
      <c r="BK74" s="3">
        <f xml:space="preserve"> 4*BK68*SIN(BK61)*COS(BK61) / (BK65*BK72)</f>
        <v>97.430625619102315</v>
      </c>
      <c r="BL74" s="3"/>
      <c r="BM74" s="3"/>
      <c r="BN74" s="3" t="s">
        <v>206</v>
      </c>
      <c r="BO74" s="3">
        <f xml:space="preserve"> 4*BO68*SIN(BO61)*COS(BO61) / (BO65*BO72)</f>
        <v>80.41506574874262</v>
      </c>
      <c r="BP74" s="3"/>
      <c r="BQ74"/>
      <c r="BR74" s="3">
        <v>2</v>
      </c>
      <c r="BS74" s="3">
        <f t="shared" ref="BS74:BS102" si="65">IF(BY73&gt;0,BW73,BS73)</f>
        <v>3.1415926535897934E-2</v>
      </c>
      <c r="BT74" s="3">
        <v>-0.2127226871435122</v>
      </c>
      <c r="BU74" s="3">
        <f t="shared" ref="BU74:BU102" si="66">IF(BZ73&gt;0,BW73,BU73)</f>
        <v>1.4294246573833558</v>
      </c>
      <c r="BV74" s="3">
        <v>1.0172290105353017</v>
      </c>
      <c r="BW74" s="3">
        <f t="shared" si="57"/>
        <v>0.73042029195962688</v>
      </c>
      <c r="BX74" s="3">
        <v>0.68803913847365883</v>
      </c>
      <c r="BY74" s="3">
        <f t="shared" si="58"/>
        <v>-0.14636153439602378</v>
      </c>
      <c r="BZ74" s="3">
        <f t="shared" si="59"/>
        <v>0.69989337203912139</v>
      </c>
      <c r="CA74" s="3">
        <f t="shared" si="60"/>
        <v>1.3980087308474578</v>
      </c>
      <c r="CB74"/>
      <c r="CC74" s="3">
        <v>2</v>
      </c>
      <c r="CD74" s="3">
        <f t="shared" ref="CD74:CD102" si="67">IF(CJ73&gt;0,CH73,CD73)</f>
        <v>3.1415926535897934E-2</v>
      </c>
      <c r="CE74" s="3">
        <v>-0.11886162358539784</v>
      </c>
      <c r="CF74" s="3">
        <f t="shared" ref="CF74:CF102" si="68">IF(CK73&gt;0,CH73,CF73)</f>
        <v>1.4294246573833558</v>
      </c>
      <c r="CG74" s="3">
        <v>1.0169302604396908</v>
      </c>
      <c r="CH74" s="3">
        <f t="shared" si="61"/>
        <v>0.73042029195962688</v>
      </c>
      <c r="CI74" s="3">
        <v>0.68781391183026841</v>
      </c>
      <c r="CJ74" s="3">
        <f t="shared" si="62"/>
        <v>-8.1754678284769386E-2</v>
      </c>
      <c r="CK74" s="3">
        <f t="shared" si="63"/>
        <v>0.69945878049159738</v>
      </c>
      <c r="CL74" s="3">
        <f t="shared" si="64"/>
        <v>1.3980087308474578</v>
      </c>
    </row>
    <row r="75" spans="24:90" x14ac:dyDescent="0.2">
      <c r="AI75" s="3">
        <v>26</v>
      </c>
      <c r="AJ75" s="3">
        <f t="shared" si="55"/>
        <v>529.04061824083328</v>
      </c>
      <c r="AK75" s="3">
        <v>1.1788880055974005E-3</v>
      </c>
      <c r="AL75" s="3">
        <f t="shared" si="56"/>
        <v>529.04066145420074</v>
      </c>
      <c r="AM75" s="3">
        <v>-8.8422289991285652E-5</v>
      </c>
      <c r="AN75" s="3">
        <f t="shared" si="51"/>
        <v>529.04063984751701</v>
      </c>
      <c r="AO75" s="3">
        <v>5.4523287144547794E-4</v>
      </c>
      <c r="AP75" s="3">
        <f t="shared" si="52"/>
        <v>6.427684924045033E-7</v>
      </c>
      <c r="AQ75" s="3">
        <f t="shared" si="53"/>
        <v>-4.8210739071733421E-8</v>
      </c>
      <c r="AR75" s="3">
        <f t="shared" si="54"/>
        <v>4.3213367462158203E-5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s="3" t="s">
        <v>45</v>
      </c>
      <c r="BK75" s="3">
        <f>1/(BK73-1)</f>
        <v>15.672710203227545</v>
      </c>
      <c r="BL75" s="3"/>
      <c r="BM75" s="3"/>
      <c r="BN75" s="3" t="s">
        <v>45</v>
      </c>
      <c r="BO75" s="3">
        <f>1/(BO73-1)</f>
        <v>13.083784981829652</v>
      </c>
      <c r="BP75" s="3"/>
      <c r="BQ75"/>
      <c r="BR75" s="3">
        <v>3</v>
      </c>
      <c r="BS75" s="3">
        <f t="shared" si="65"/>
        <v>3.1415926535897934E-2</v>
      </c>
      <c r="BT75" s="3">
        <v>-0.2127226871435122</v>
      </c>
      <c r="BU75" s="3">
        <f t="shared" si="66"/>
        <v>0.73042029195962688</v>
      </c>
      <c r="BV75" s="3">
        <v>0.68803913847365883</v>
      </c>
      <c r="BW75" s="3">
        <f t="shared" si="57"/>
        <v>0.38091810924776243</v>
      </c>
      <c r="BX75" s="3">
        <v>0.40387735746160575</v>
      </c>
      <c r="BY75" s="3">
        <f t="shared" si="58"/>
        <v>-8.5913876755653595E-2</v>
      </c>
      <c r="BZ75" s="3">
        <f t="shared" si="59"/>
        <v>0.27788342907690117</v>
      </c>
      <c r="CA75" s="3">
        <f t="shared" si="60"/>
        <v>0.6990043654237289</v>
      </c>
      <c r="CB75"/>
      <c r="CC75" s="3">
        <v>3</v>
      </c>
      <c r="CD75" s="3">
        <f t="shared" si="67"/>
        <v>3.1415926535897934E-2</v>
      </c>
      <c r="CE75" s="3">
        <v>-0.11886162358539784</v>
      </c>
      <c r="CF75" s="3">
        <f t="shared" si="68"/>
        <v>0.73042029195962688</v>
      </c>
      <c r="CG75" s="3">
        <v>0.68781391183026841</v>
      </c>
      <c r="CH75" s="3">
        <f t="shared" si="61"/>
        <v>0.38091810924776243</v>
      </c>
      <c r="CI75" s="3">
        <v>0.40010237069425425</v>
      </c>
      <c r="CJ75" s="3">
        <f t="shared" si="62"/>
        <v>-4.7556817381085761E-2</v>
      </c>
      <c r="CK75" s="3">
        <f t="shared" si="63"/>
        <v>0.27519597671977913</v>
      </c>
      <c r="CL75" s="3">
        <f t="shared" si="64"/>
        <v>0.6990043654237289</v>
      </c>
    </row>
    <row r="76" spans="24:90" x14ac:dyDescent="0.2">
      <c r="AI76" s="3">
        <v>27</v>
      </c>
      <c r="AJ76" s="3">
        <f t="shared" si="55"/>
        <v>529.04063984751701</v>
      </c>
      <c r="AK76" s="3">
        <v>5.4523287144547794E-4</v>
      </c>
      <c r="AL76" s="3">
        <f t="shared" si="56"/>
        <v>529.04066145420074</v>
      </c>
      <c r="AM76" s="3">
        <v>-8.8422289991285652E-5</v>
      </c>
      <c r="AN76" s="3">
        <f t="shared" si="51"/>
        <v>529.04065065085888</v>
      </c>
      <c r="AO76" s="3">
        <v>2.2840529527456965E-4</v>
      </c>
      <c r="AP76" s="3">
        <f t="shared" si="52"/>
        <v>1.2453407499590587E-7</v>
      </c>
      <c r="AQ76" s="3">
        <f t="shared" si="53"/>
        <v>-2.0196119254313224E-8</v>
      </c>
      <c r="AR76" s="3">
        <f t="shared" si="54"/>
        <v>2.1606683731079102E-5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s="3" t="s">
        <v>209</v>
      </c>
      <c r="BK76" s="3">
        <f>1/(BK74+1)</f>
        <v>1.0159439643000005E-2</v>
      </c>
      <c r="BL76" s="3"/>
      <c r="BM76"/>
      <c r="BN76" s="3" t="s">
        <v>209</v>
      </c>
      <c r="BO76" s="3">
        <f>1/(BO74+1)</f>
        <v>1.228273895996263E-2</v>
      </c>
      <c r="BP76" s="3"/>
      <c r="BQ76"/>
      <c r="BR76" s="3">
        <v>4</v>
      </c>
      <c r="BS76" s="3">
        <f t="shared" si="65"/>
        <v>3.1415926535897934E-2</v>
      </c>
      <c r="BT76" s="3">
        <v>-0.2127226871435122</v>
      </c>
      <c r="BU76" s="3">
        <f t="shared" si="66"/>
        <v>0.38091810924776243</v>
      </c>
      <c r="BV76" s="3">
        <v>0.40387735746160575</v>
      </c>
      <c r="BW76" s="3">
        <f t="shared" si="57"/>
        <v>0.20616701789183017</v>
      </c>
      <c r="BX76" s="3">
        <v>0.23526389216647228</v>
      </c>
      <c r="BY76" s="3">
        <f t="shared" si="58"/>
        <v>-5.0045967329493471E-2</v>
      </c>
      <c r="BZ76" s="3">
        <f t="shared" si="59"/>
        <v>9.5017759074326996E-2</v>
      </c>
      <c r="CA76" s="3">
        <f t="shared" si="60"/>
        <v>0.34950218271186451</v>
      </c>
      <c r="CB76"/>
      <c r="CC76" s="3">
        <v>4</v>
      </c>
      <c r="CD76" s="3">
        <f t="shared" si="67"/>
        <v>3.1415926535897934E-2</v>
      </c>
      <c r="CE76" s="3">
        <v>-0.11886162358539784</v>
      </c>
      <c r="CF76" s="3">
        <f t="shared" si="68"/>
        <v>0.38091810924776243</v>
      </c>
      <c r="CG76" s="3">
        <v>0.40010237069425425</v>
      </c>
      <c r="CH76" s="3">
        <f t="shared" si="61"/>
        <v>0.20616701789183017</v>
      </c>
      <c r="CI76" s="3">
        <v>0.23781249701684434</v>
      </c>
      <c r="CJ76" s="3">
        <f t="shared" si="62"/>
        <v>-2.8266779504319699E-2</v>
      </c>
      <c r="CK76" s="3">
        <f t="shared" si="63"/>
        <v>9.5149343837159686E-2</v>
      </c>
      <c r="CL76" s="3">
        <f t="shared" si="64"/>
        <v>0.34950218271186451</v>
      </c>
    </row>
    <row r="77" spans="24:90" x14ac:dyDescent="0.2">
      <c r="AI77" s="3">
        <v>28</v>
      </c>
      <c r="AJ77" s="3">
        <f t="shared" si="55"/>
        <v>529.04065065085888</v>
      </c>
      <c r="AK77" s="3">
        <v>2.2840529527456965E-4</v>
      </c>
      <c r="AL77" s="3">
        <f t="shared" si="56"/>
        <v>529.04066145420074</v>
      </c>
      <c r="AM77" s="3">
        <v>-8.8422289991285652E-5</v>
      </c>
      <c r="AN77" s="3">
        <f t="shared" si="51"/>
        <v>529.04065605252981</v>
      </c>
      <c r="AO77" s="3">
        <v>6.9991501732147299E-5</v>
      </c>
      <c r="AP77" s="3">
        <f t="shared" si="52"/>
        <v>1.5986429619841657E-8</v>
      </c>
      <c r="AQ77" s="3">
        <f t="shared" si="53"/>
        <v>-6.1888088630855005E-9</v>
      </c>
      <c r="AR77" s="3">
        <f t="shared" si="54"/>
        <v>1.0803341865539551E-5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 s="8" t="s">
        <v>211</v>
      </c>
      <c r="BK77" s="41">
        <f>SIN(BK61)/(1+BK75) - $AU$3*COS(BK61)/($AY$5*$AU$25*(1-BK76))</f>
        <v>3.7601054162644809E-9</v>
      </c>
      <c r="BL77" s="41"/>
      <c r="BM77"/>
      <c r="BN77" s="8" t="s">
        <v>211</v>
      </c>
      <c r="BO77" s="41">
        <f>SIN(BO61)/(1+BO75) - $AU$3*COS(BO61)/($AY$5*$AU$26*(1-BO76))</f>
        <v>-6.7442974187141569E-9</v>
      </c>
      <c r="BP77" s="41"/>
      <c r="BQ77"/>
      <c r="BR77" s="3">
        <v>5</v>
      </c>
      <c r="BS77" s="3">
        <f t="shared" si="65"/>
        <v>3.1415926535897934E-2</v>
      </c>
      <c r="BT77" s="3">
        <v>-0.2127226871435122</v>
      </c>
      <c r="BU77" s="3">
        <f t="shared" si="66"/>
        <v>0.20616701789183017</v>
      </c>
      <c r="BV77" s="3">
        <v>0.23526389216647228</v>
      </c>
      <c r="BW77" s="3">
        <f t="shared" si="57"/>
        <v>0.11879147221386405</v>
      </c>
      <c r="BX77" s="3">
        <v>0.11359207522084484</v>
      </c>
      <c r="BY77" s="3">
        <f t="shared" si="58"/>
        <v>-2.4163611479186081E-2</v>
      </c>
      <c r="BZ77" s="3">
        <f t="shared" si="59"/>
        <v>2.672411373572265E-2</v>
      </c>
      <c r="CA77" s="3">
        <f t="shared" si="60"/>
        <v>0.17475109135593225</v>
      </c>
      <c r="CB77"/>
      <c r="CC77" s="3">
        <v>5</v>
      </c>
      <c r="CD77" s="3">
        <f t="shared" si="67"/>
        <v>3.1415926535897934E-2</v>
      </c>
      <c r="CE77" s="3">
        <v>-0.11886162358539784</v>
      </c>
      <c r="CF77" s="3">
        <f t="shared" si="68"/>
        <v>0.20616701789183017</v>
      </c>
      <c r="CG77" s="3">
        <v>0.23781249701684434</v>
      </c>
      <c r="CH77" s="3">
        <f t="shared" si="61"/>
        <v>0.11879147221386405</v>
      </c>
      <c r="CI77" s="3">
        <v>0.12767472059840906</v>
      </c>
      <c r="CJ77" s="3">
        <f t="shared" si="62"/>
        <v>-1.5175624581138938E-2</v>
      </c>
      <c r="CK77" s="3">
        <f t="shared" si="63"/>
        <v>3.0362644111435591E-2</v>
      </c>
      <c r="CL77" s="3">
        <f t="shared" si="64"/>
        <v>0.17475109135593225</v>
      </c>
    </row>
    <row r="78" spans="24:90" x14ac:dyDescent="0.2">
      <c r="AI78" s="3">
        <v>29</v>
      </c>
      <c r="AJ78" s="3">
        <f t="shared" si="55"/>
        <v>529.04065605252981</v>
      </c>
      <c r="AK78" s="3">
        <v>6.9991501732147299E-5</v>
      </c>
      <c r="AL78" s="3">
        <f t="shared" si="56"/>
        <v>529.04066145420074</v>
      </c>
      <c r="AM78" s="3">
        <v>-8.8422289991285652E-5</v>
      </c>
      <c r="AN78" s="3">
        <f t="shared" si="51"/>
        <v>529.04065875336528</v>
      </c>
      <c r="AO78" s="3">
        <v>-9.2153932200744748E-6</v>
      </c>
      <c r="AP78" s="3">
        <f t="shared" si="52"/>
        <v>-6.4499921052526108E-10</v>
      </c>
      <c r="AQ78" s="3">
        <f t="shared" si="53"/>
        <v>8.1484617168915289E-10</v>
      </c>
      <c r="AR78" s="3">
        <f t="shared" si="54"/>
        <v>5.4016709327697754E-6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s="3">
        <v>6</v>
      </c>
      <c r="BS78" s="3">
        <f t="shared" si="65"/>
        <v>3.1415926535897934E-2</v>
      </c>
      <c r="BT78" s="3">
        <v>-0.2127226871435122</v>
      </c>
      <c r="BU78" s="3">
        <f t="shared" si="66"/>
        <v>0.11879147221386405</v>
      </c>
      <c r="BV78" s="3">
        <v>0.11359207522084484</v>
      </c>
      <c r="BW78" s="3">
        <f t="shared" si="57"/>
        <v>7.5103699374880983E-2</v>
      </c>
      <c r="BX78" s="3">
        <v>1.9913135559638782E-2</v>
      </c>
      <c r="BY78" s="3">
        <f t="shared" si="58"/>
        <v>-4.2359757056993881E-3</v>
      </c>
      <c r="BZ78" s="3">
        <f t="shared" si="59"/>
        <v>2.261974392373369E-3</v>
      </c>
      <c r="CA78" s="3">
        <f t="shared" si="60"/>
        <v>8.7375545677966113E-2</v>
      </c>
      <c r="CB78"/>
      <c r="CC78" s="3">
        <v>6</v>
      </c>
      <c r="CD78" s="3">
        <f t="shared" si="67"/>
        <v>3.1415926535897934E-2</v>
      </c>
      <c r="CE78" s="3">
        <v>-0.11886162358539784</v>
      </c>
      <c r="CF78" s="3">
        <f t="shared" si="68"/>
        <v>0.11879147221386405</v>
      </c>
      <c r="CG78" s="3">
        <v>0.12767472059840906</v>
      </c>
      <c r="CH78" s="3">
        <f t="shared" si="61"/>
        <v>7.5103699374880983E-2</v>
      </c>
      <c r="CI78" s="3">
        <v>5.0924700634516554E-2</v>
      </c>
      <c r="CJ78" s="3">
        <f t="shared" si="62"/>
        <v>-6.0529925980189773E-3</v>
      </c>
      <c r="CK78" s="3">
        <f t="shared" si="63"/>
        <v>6.501796925069526E-3</v>
      </c>
      <c r="CL78" s="3">
        <f t="shared" si="64"/>
        <v>8.7375545677966113E-2</v>
      </c>
    </row>
    <row r="79" spans="24:90" x14ac:dyDescent="0.2">
      <c r="AI79" s="3">
        <v>30</v>
      </c>
      <c r="AJ79" s="3">
        <f t="shared" si="55"/>
        <v>529.04065605252981</v>
      </c>
      <c r="AK79" s="3">
        <v>6.9991501732147299E-5</v>
      </c>
      <c r="AL79" s="3">
        <f t="shared" si="56"/>
        <v>529.04065875336528</v>
      </c>
      <c r="AM79" s="3">
        <v>-9.2153932200744748E-6</v>
      </c>
      <c r="AN79" s="6">
        <f t="shared" si="51"/>
        <v>529.04065740294755</v>
      </c>
      <c r="AO79" s="3">
        <v>3.0388055165531114E-5</v>
      </c>
      <c r="AP79" s="3">
        <f t="shared" si="52"/>
        <v>2.1269056157548586E-9</v>
      </c>
      <c r="AQ79" s="3">
        <f t="shared" si="53"/>
        <v>-2.8003787754368455E-10</v>
      </c>
      <c r="AR79" s="3">
        <f t="shared" si="54"/>
        <v>2.7008354663848877E-6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s="3">
        <v>7</v>
      </c>
      <c r="BS79" s="3">
        <f t="shared" si="65"/>
        <v>3.1415926535897934E-2</v>
      </c>
      <c r="BT79" s="3">
        <v>-0.2127226871435122</v>
      </c>
      <c r="BU79" s="3">
        <f t="shared" si="66"/>
        <v>7.5103699374880983E-2</v>
      </c>
      <c r="BV79" s="3">
        <v>1.9913135559638782E-2</v>
      </c>
      <c r="BW79" s="3">
        <f t="shared" si="57"/>
        <v>5.3259812955389459E-2</v>
      </c>
      <c r="BX79" s="3">
        <v>-5.7820347201940882E-2</v>
      </c>
      <c r="BY79" s="3">
        <f t="shared" si="58"/>
        <v>1.2299699628367721E-2</v>
      </c>
      <c r="BZ79" s="3">
        <f t="shared" si="59"/>
        <v>-1.1513844119376297E-3</v>
      </c>
      <c r="CA79" s="3">
        <f t="shared" si="60"/>
        <v>4.3687772838983049E-2</v>
      </c>
      <c r="CB79"/>
      <c r="CC79" s="3">
        <v>7</v>
      </c>
      <c r="CD79" s="3">
        <f t="shared" si="67"/>
        <v>3.1415926535897934E-2</v>
      </c>
      <c r="CE79" s="3">
        <v>-0.11886162358539784</v>
      </c>
      <c r="CF79" s="3">
        <f t="shared" si="68"/>
        <v>7.5103699374880983E-2</v>
      </c>
      <c r="CG79" s="3">
        <v>5.0924700634516554E-2</v>
      </c>
      <c r="CH79" s="3">
        <f t="shared" si="61"/>
        <v>5.3259812955389459E-2</v>
      </c>
      <c r="CI79" s="3">
        <v>-8.1225082324754248E-3</v>
      </c>
      <c r="CJ79" s="3">
        <f t="shared" si="62"/>
        <v>9.654545160977891E-4</v>
      </c>
      <c r="CK79" s="3">
        <f t="shared" si="63"/>
        <v>-4.1363630014020722E-4</v>
      </c>
      <c r="CL79" s="3">
        <f t="shared" si="64"/>
        <v>4.3687772838983049E-2</v>
      </c>
    </row>
    <row r="80" spans="24:90" x14ac:dyDescent="0.2"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3">
        <v>8</v>
      </c>
      <c r="BS80" s="3">
        <f t="shared" si="65"/>
        <v>5.3259812955389459E-2</v>
      </c>
      <c r="BT80" s="3">
        <v>-5.7820347201940882E-2</v>
      </c>
      <c r="BU80" s="3">
        <f t="shared" si="66"/>
        <v>7.5103699374880983E-2</v>
      </c>
      <c r="BV80" s="3">
        <v>1.9913135559638782E-2</v>
      </c>
      <c r="BW80" s="3">
        <f t="shared" si="57"/>
        <v>6.4181756165135218E-2</v>
      </c>
      <c r="BX80" s="3">
        <v>-1.4214694185143659E-2</v>
      </c>
      <c r="BY80" s="3">
        <f t="shared" si="58"/>
        <v>8.2189855315441653E-4</v>
      </c>
      <c r="BZ80" s="3">
        <f t="shared" si="59"/>
        <v>-2.8305913224757482E-4</v>
      </c>
      <c r="CA80" s="3">
        <f t="shared" si="60"/>
        <v>2.1843886419491525E-2</v>
      </c>
      <c r="CB80"/>
      <c r="CC80" s="3">
        <v>8</v>
      </c>
      <c r="CD80" s="3">
        <f t="shared" si="67"/>
        <v>5.3259812955389459E-2</v>
      </c>
      <c r="CE80" s="3">
        <v>-8.1225082324754248E-3</v>
      </c>
      <c r="CF80" s="3">
        <f t="shared" si="68"/>
        <v>7.5103699374880983E-2</v>
      </c>
      <c r="CG80" s="3">
        <v>5.0924700634516554E-2</v>
      </c>
      <c r="CH80" s="3">
        <f t="shared" si="61"/>
        <v>6.4181756165135218E-2</v>
      </c>
      <c r="CI80" s="3">
        <v>2.4576587145863651E-2</v>
      </c>
      <c r="CJ80" s="3">
        <f t="shared" si="62"/>
        <v>-1.996235314184272E-4</v>
      </c>
      <c r="CK80" s="3">
        <f t="shared" si="63"/>
        <v>1.251555343021214E-3</v>
      </c>
      <c r="CL80" s="3">
        <f t="shared" si="64"/>
        <v>2.1843886419491525E-2</v>
      </c>
    </row>
    <row r="81" spans="46:90" x14ac:dyDescent="0.2"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3">
        <v>9</v>
      </c>
      <c r="BS81" s="3">
        <f t="shared" si="65"/>
        <v>6.4181756165135218E-2</v>
      </c>
      <c r="BT81" s="3">
        <v>-1.4214694185143659E-2</v>
      </c>
      <c r="BU81" s="3">
        <f t="shared" si="66"/>
        <v>7.5103699374880983E-2</v>
      </c>
      <c r="BV81" s="3">
        <v>1.9913135559638782E-2</v>
      </c>
      <c r="BW81" s="3">
        <f t="shared" si="57"/>
        <v>6.96427277700081E-2</v>
      </c>
      <c r="BX81" s="3">
        <v>3.7571547535033469E-3</v>
      </c>
      <c r="BY81" s="3">
        <f t="shared" si="58"/>
        <v>-5.3406805827308882E-5</v>
      </c>
      <c r="BZ81" s="3">
        <f t="shared" si="59"/>
        <v>7.4816731925053385E-5</v>
      </c>
      <c r="CA81" s="3">
        <f t="shared" si="60"/>
        <v>1.0921943209745766E-2</v>
      </c>
      <c r="CB81"/>
      <c r="CC81" s="3">
        <v>9</v>
      </c>
      <c r="CD81" s="3">
        <f t="shared" si="67"/>
        <v>5.3259812955389459E-2</v>
      </c>
      <c r="CE81" s="3">
        <v>-8.1225082324754248E-3</v>
      </c>
      <c r="CF81" s="3">
        <f t="shared" si="68"/>
        <v>6.4181756165135218E-2</v>
      </c>
      <c r="CG81" s="3">
        <v>2.4576587145863651E-2</v>
      </c>
      <c r="CH81" s="3">
        <f t="shared" si="61"/>
        <v>5.8720784560262335E-2</v>
      </c>
      <c r="CI81" s="3">
        <v>9.2407891534119768E-3</v>
      </c>
      <c r="CJ81" s="3">
        <f t="shared" si="62"/>
        <v>-7.5058385973158395E-5</v>
      </c>
      <c r="CK81" s="3">
        <f t="shared" si="63"/>
        <v>2.2710705992538106E-4</v>
      </c>
      <c r="CL81" s="3">
        <f t="shared" si="64"/>
        <v>1.0921943209745759E-2</v>
      </c>
    </row>
    <row r="82" spans="46:90" x14ac:dyDescent="0.2"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 s="3">
        <v>10</v>
      </c>
      <c r="BS82" s="3">
        <f t="shared" si="65"/>
        <v>6.4181756165135218E-2</v>
      </c>
      <c r="BT82" s="3">
        <v>-1.4214694185143659E-2</v>
      </c>
      <c r="BU82" s="3">
        <f t="shared" si="66"/>
        <v>6.96427277700081E-2</v>
      </c>
      <c r="BV82" s="3">
        <v>3.7571547535033469E-3</v>
      </c>
      <c r="BW82" s="3">
        <f t="shared" si="57"/>
        <v>6.6912241967571659E-2</v>
      </c>
      <c r="BX82" s="3">
        <v>-4.9742427963543551E-3</v>
      </c>
      <c r="BY82" s="3">
        <f t="shared" si="58"/>
        <v>7.0707340152830991E-5</v>
      </c>
      <c r="BZ82" s="3">
        <f t="shared" si="59"/>
        <v>-1.8688999967402547E-5</v>
      </c>
      <c r="CA82" s="3">
        <f t="shared" si="60"/>
        <v>5.4609716048728829E-3</v>
      </c>
      <c r="CB82"/>
      <c r="CC82" s="3">
        <v>10</v>
      </c>
      <c r="CD82" s="3">
        <f t="shared" si="67"/>
        <v>5.3259812955389459E-2</v>
      </c>
      <c r="CE82" s="3">
        <v>-8.1225082324754248E-3</v>
      </c>
      <c r="CF82" s="3">
        <f t="shared" si="68"/>
        <v>5.8720784560262335E-2</v>
      </c>
      <c r="CG82" s="3">
        <v>9.2407891534119768E-3</v>
      </c>
      <c r="CH82" s="3">
        <f t="shared" si="61"/>
        <v>5.5990298757825893E-2</v>
      </c>
      <c r="CI82" s="3">
        <v>8.4942779158875791E-4</v>
      </c>
      <c r="CJ82" s="3">
        <f t="shared" si="62"/>
        <v>-6.8994842300731052E-6</v>
      </c>
      <c r="CK82" s="3">
        <f t="shared" si="63"/>
        <v>7.8493831231200826E-6</v>
      </c>
      <c r="CL82" s="3">
        <f t="shared" si="64"/>
        <v>5.460971604872876E-3</v>
      </c>
    </row>
    <row r="83" spans="46:90" x14ac:dyDescent="0.2"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 s="3">
        <v>11</v>
      </c>
      <c r="BS83" s="3">
        <f t="shared" si="65"/>
        <v>6.6912241967571659E-2</v>
      </c>
      <c r="BT83" s="3">
        <v>-4.9742427963543551E-3</v>
      </c>
      <c r="BU83" s="3">
        <f t="shared" si="66"/>
        <v>6.96427277700081E-2</v>
      </c>
      <c r="BV83" s="3">
        <v>3.7571547535033469E-3</v>
      </c>
      <c r="BW83" s="3">
        <f t="shared" si="57"/>
        <v>6.8277484868789873E-2</v>
      </c>
      <c r="BX83" s="3">
        <v>-5.4869921999300833E-4</v>
      </c>
      <c r="BY83" s="3">
        <f t="shared" si="58"/>
        <v>2.7293631424154752E-6</v>
      </c>
      <c r="BZ83" s="3">
        <f t="shared" si="59"/>
        <v>-2.0615478826403098E-6</v>
      </c>
      <c r="CA83" s="3">
        <f t="shared" si="60"/>
        <v>2.7304858024364415E-3</v>
      </c>
      <c r="CB83"/>
      <c r="CC83" s="3">
        <v>11</v>
      </c>
      <c r="CD83" s="3">
        <f t="shared" si="67"/>
        <v>5.3259812955389459E-2</v>
      </c>
      <c r="CE83" s="3">
        <v>-8.1225082324754248E-3</v>
      </c>
      <c r="CF83" s="3">
        <f t="shared" si="68"/>
        <v>5.5990298757825893E-2</v>
      </c>
      <c r="CG83" s="3">
        <v>8.4942779158875791E-4</v>
      </c>
      <c r="CH83" s="3">
        <f t="shared" si="61"/>
        <v>5.4625055856607679E-2</v>
      </c>
      <c r="CI83" s="3">
        <v>-3.5585570551584511E-3</v>
      </c>
      <c r="CJ83" s="3">
        <f t="shared" si="62"/>
        <v>2.8904408976258024E-5</v>
      </c>
      <c r="CK83" s="3">
        <f t="shared" si="63"/>
        <v>-3.0227372606058369E-6</v>
      </c>
      <c r="CL83" s="3">
        <f t="shared" si="64"/>
        <v>2.7304858024364345E-3</v>
      </c>
    </row>
    <row r="84" spans="46:90" x14ac:dyDescent="0.2"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 s="3">
        <v>12</v>
      </c>
      <c r="BS84" s="3">
        <f t="shared" si="65"/>
        <v>6.8277484868789873E-2</v>
      </c>
      <c r="BT84" s="3">
        <v>-5.4869921999300833E-4</v>
      </c>
      <c r="BU84" s="3">
        <f t="shared" si="66"/>
        <v>6.96427277700081E-2</v>
      </c>
      <c r="BV84" s="3">
        <v>3.7571547535033469E-3</v>
      </c>
      <c r="BW84" s="3">
        <f t="shared" si="57"/>
        <v>6.8960106319398987E-2</v>
      </c>
      <c r="BX84" s="3">
        <v>1.6187483826776072E-3</v>
      </c>
      <c r="BY84" s="3">
        <f t="shared" si="58"/>
        <v>-8.8820597494014685E-7</v>
      </c>
      <c r="BZ84" s="3">
        <f t="shared" si="59"/>
        <v>6.0818881807030264E-6</v>
      </c>
      <c r="CA84" s="3">
        <f t="shared" si="60"/>
        <v>1.3652429012182277E-3</v>
      </c>
      <c r="CB84"/>
      <c r="CC84" s="3">
        <v>12</v>
      </c>
      <c r="CD84" s="3">
        <f t="shared" si="67"/>
        <v>5.4625055856607679E-2</v>
      </c>
      <c r="CE84" s="3">
        <v>-3.5585570551584511E-3</v>
      </c>
      <c r="CF84" s="3">
        <f t="shared" si="68"/>
        <v>5.5990298757825893E-2</v>
      </c>
      <c r="CG84" s="3">
        <v>8.4942779158875791E-4</v>
      </c>
      <c r="CH84" s="3">
        <f t="shared" si="61"/>
        <v>5.5307677307216786E-2</v>
      </c>
      <c r="CI84" s="3">
        <v>-1.335786972259163E-3</v>
      </c>
      <c r="CJ84" s="3">
        <f t="shared" si="62"/>
        <v>4.7534741543215908E-6</v>
      </c>
      <c r="CK84" s="3">
        <f t="shared" si="63"/>
        <v>-1.1346545778791342E-6</v>
      </c>
      <c r="CL84" s="3">
        <f t="shared" si="64"/>
        <v>1.3652429012182138E-3</v>
      </c>
    </row>
    <row r="85" spans="46:90" x14ac:dyDescent="0.2"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 s="3">
        <v>13</v>
      </c>
      <c r="BS85" s="3">
        <f t="shared" si="65"/>
        <v>6.8277484868789873E-2</v>
      </c>
      <c r="BT85" s="3">
        <v>-5.4869921999300833E-4</v>
      </c>
      <c r="BU85" s="3">
        <f t="shared" si="66"/>
        <v>6.8960106319398987E-2</v>
      </c>
      <c r="BV85" s="3">
        <v>1.6187483826776072E-3</v>
      </c>
      <c r="BW85" s="3">
        <f t="shared" si="57"/>
        <v>6.8618795594094423E-2</v>
      </c>
      <c r="BX85" s="3">
        <v>5.3870843953341893E-4</v>
      </c>
      <c r="BY85" s="3">
        <f t="shared" si="58"/>
        <v>-2.9558890057563766E-7</v>
      </c>
      <c r="BZ85" s="3">
        <f t="shared" si="59"/>
        <v>8.720334152294994E-7</v>
      </c>
      <c r="CA85" s="3">
        <f t="shared" si="60"/>
        <v>6.8262145060911383E-4</v>
      </c>
      <c r="CB85"/>
      <c r="CC85" s="3">
        <v>13</v>
      </c>
      <c r="CD85" s="3">
        <f t="shared" si="67"/>
        <v>5.5307677307216786E-2</v>
      </c>
      <c r="CE85" s="3">
        <v>-1.335786972259163E-3</v>
      </c>
      <c r="CF85" s="3">
        <f t="shared" si="68"/>
        <v>5.5990298757825893E-2</v>
      </c>
      <c r="CG85" s="3">
        <v>8.4942779158875791E-4</v>
      </c>
      <c r="CH85" s="3">
        <f t="shared" si="61"/>
        <v>5.5648988032521343E-2</v>
      </c>
      <c r="CI85" s="3">
        <v>-2.3857109016219491E-4</v>
      </c>
      <c r="CJ85" s="3">
        <f t="shared" si="62"/>
        <v>3.1868015419632611E-7</v>
      </c>
      <c r="CK85" s="3">
        <f t="shared" si="63"/>
        <v>-2.0264891425339566E-7</v>
      </c>
      <c r="CL85" s="3">
        <f t="shared" si="64"/>
        <v>6.8262145060910689E-4</v>
      </c>
    </row>
    <row r="86" spans="46:90" x14ac:dyDescent="0.2"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s="3">
        <v>14</v>
      </c>
      <c r="BS86" s="3">
        <f t="shared" si="65"/>
        <v>6.8277484868789873E-2</v>
      </c>
      <c r="BT86" s="3">
        <v>-5.4869921999300833E-4</v>
      </c>
      <c r="BU86" s="3">
        <f t="shared" si="66"/>
        <v>6.8618795594094423E-2</v>
      </c>
      <c r="BV86" s="3">
        <v>5.3870843953341893E-4</v>
      </c>
      <c r="BW86" s="3">
        <f t="shared" si="57"/>
        <v>6.8448140231442148E-2</v>
      </c>
      <c r="BX86" s="3">
        <v>-4.0675955691317316E-6</v>
      </c>
      <c r="BY86" s="3">
        <f t="shared" si="58"/>
        <v>2.231886516029598E-9</v>
      </c>
      <c r="BZ86" s="3">
        <f t="shared" si="59"/>
        <v>-2.1912480617000041E-9</v>
      </c>
      <c r="CA86" s="3">
        <f t="shared" si="60"/>
        <v>3.4131072530454998E-4</v>
      </c>
      <c r="CB86"/>
      <c r="CC86" s="3">
        <v>14</v>
      </c>
      <c r="CD86" s="3">
        <f t="shared" si="67"/>
        <v>5.5648988032521343E-2</v>
      </c>
      <c r="CE86" s="3">
        <v>-2.3857109016219491E-4</v>
      </c>
      <c r="CF86" s="3">
        <f t="shared" si="68"/>
        <v>5.5990298757825893E-2</v>
      </c>
      <c r="CG86" s="3">
        <v>8.4942779158875791E-4</v>
      </c>
      <c r="CH86" s="3">
        <f t="shared" si="61"/>
        <v>5.5819643395173618E-2</v>
      </c>
      <c r="CI86" s="3">
        <v>3.0656996610317188E-4</v>
      </c>
      <c r="CJ86" s="3">
        <f t="shared" si="62"/>
        <v>-7.3138731024220849E-8</v>
      </c>
      <c r="CK86" s="3">
        <f t="shared" si="63"/>
        <v>2.6040904927445766E-7</v>
      </c>
      <c r="CL86" s="3">
        <f t="shared" si="64"/>
        <v>3.4131072530454998E-4</v>
      </c>
    </row>
    <row r="87" spans="46:90" x14ac:dyDescent="0.2"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3">
        <v>15</v>
      </c>
      <c r="BS87" s="3">
        <f t="shared" si="65"/>
        <v>6.8448140231442148E-2</v>
      </c>
      <c r="BT87" s="3">
        <v>-4.0675955691317316E-6</v>
      </c>
      <c r="BU87" s="3">
        <f t="shared" si="66"/>
        <v>6.8618795594094423E-2</v>
      </c>
      <c r="BV87" s="3">
        <v>5.3870843953341893E-4</v>
      </c>
      <c r="BW87" s="3">
        <f t="shared" si="57"/>
        <v>6.8533467912768292E-2</v>
      </c>
      <c r="BX87" s="3">
        <v>2.6755151157153208E-4</v>
      </c>
      <c r="BY87" s="3">
        <f t="shared" si="58"/>
        <v>-1.0882913429828612E-9</v>
      </c>
      <c r="BZ87" s="3">
        <f t="shared" si="59"/>
        <v>1.4413225729350752E-7</v>
      </c>
      <c r="CA87" s="3">
        <f t="shared" si="60"/>
        <v>1.7065536265227499E-4</v>
      </c>
      <c r="CB87"/>
      <c r="CC87" s="3">
        <v>15</v>
      </c>
      <c r="CD87" s="3">
        <f t="shared" si="67"/>
        <v>5.5648988032521343E-2</v>
      </c>
      <c r="CE87" s="3">
        <v>-2.3857109016219491E-4</v>
      </c>
      <c r="CF87" s="3">
        <f t="shared" si="68"/>
        <v>5.5819643395173618E-2</v>
      </c>
      <c r="CG87" s="3">
        <v>3.0656996610317188E-4</v>
      </c>
      <c r="CH87" s="3">
        <f t="shared" si="61"/>
        <v>5.5734315713847481E-2</v>
      </c>
      <c r="CI87" s="3">
        <v>3.4286145475111249E-5</v>
      </c>
      <c r="CJ87" s="3">
        <f t="shared" si="62"/>
        <v>-8.1796831034568963E-9</v>
      </c>
      <c r="CK87" s="3">
        <f t="shared" si="63"/>
        <v>1.0511102456113276E-8</v>
      </c>
      <c r="CL87" s="3">
        <f t="shared" si="64"/>
        <v>1.7065536265227499E-4</v>
      </c>
    </row>
    <row r="88" spans="46:90" x14ac:dyDescent="0.2"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3">
        <v>16</v>
      </c>
      <c r="BS88" s="3">
        <f t="shared" si="65"/>
        <v>6.8448140231442148E-2</v>
      </c>
      <c r="BT88" s="3">
        <v>-4.0675955691317316E-6</v>
      </c>
      <c r="BU88" s="3">
        <f t="shared" si="66"/>
        <v>6.8533467912768292E-2</v>
      </c>
      <c r="BV88" s="3">
        <v>2.6755151157153208E-4</v>
      </c>
      <c r="BW88" s="3">
        <f t="shared" si="57"/>
        <v>6.8490804072105227E-2</v>
      </c>
      <c r="BX88" s="3">
        <v>1.3179983744878712E-4</v>
      </c>
      <c r="BY88" s="3">
        <f t="shared" si="58"/>
        <v>-5.3610843481896892E-10</v>
      </c>
      <c r="BZ88" s="3">
        <f t="shared" si="59"/>
        <v>3.5263245734305215E-8</v>
      </c>
      <c r="CA88" s="3">
        <f t="shared" si="60"/>
        <v>8.5327681326144433E-5</v>
      </c>
      <c r="CB88"/>
      <c r="CC88" s="3">
        <v>16</v>
      </c>
      <c r="CD88" s="3">
        <f t="shared" si="67"/>
        <v>5.5648988032521343E-2</v>
      </c>
      <c r="CE88" s="3">
        <v>-2.3857109016219491E-4</v>
      </c>
      <c r="CF88" s="3">
        <f t="shared" si="68"/>
        <v>5.5734315713847481E-2</v>
      </c>
      <c r="CG88" s="3">
        <v>3.4286145475111249E-5</v>
      </c>
      <c r="CH88" s="3">
        <f t="shared" si="61"/>
        <v>5.5691651873184408E-2</v>
      </c>
      <c r="CI88" s="3">
        <v>-1.0207063163698198E-4</v>
      </c>
      <c r="CJ88" s="3">
        <f t="shared" si="62"/>
        <v>2.4351101863178613E-8</v>
      </c>
      <c r="CK88" s="3">
        <f t="shared" si="63"/>
        <v>-3.4996085250420568E-9</v>
      </c>
      <c r="CL88" s="3">
        <f t="shared" si="64"/>
        <v>8.5327681326137494E-5</v>
      </c>
    </row>
    <row r="89" spans="46:90" x14ac:dyDescent="0.2"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s="3">
        <v>17</v>
      </c>
      <c r="BS89" s="3">
        <f t="shared" si="65"/>
        <v>6.8448140231442148E-2</v>
      </c>
      <c r="BT89" s="3">
        <v>-4.0675955691317316E-6</v>
      </c>
      <c r="BU89" s="3">
        <f t="shared" si="66"/>
        <v>6.8490804072105227E-2</v>
      </c>
      <c r="BV89" s="3">
        <v>1.3179983744878712E-4</v>
      </c>
      <c r="BW89" s="3">
        <f t="shared" si="57"/>
        <v>6.846947215177368E-2</v>
      </c>
      <c r="BX89" s="3">
        <v>6.388060421213225E-5</v>
      </c>
      <c r="BY89" s="3">
        <f t="shared" si="58"/>
        <v>-2.5984046264672695E-10</v>
      </c>
      <c r="BZ89" s="3">
        <f t="shared" si="59"/>
        <v>8.4194532512893369E-9</v>
      </c>
      <c r="CA89" s="3">
        <f t="shared" si="60"/>
        <v>4.2663840663079156E-5</v>
      </c>
      <c r="CB89"/>
      <c r="CC89" s="3">
        <v>17</v>
      </c>
      <c r="CD89" s="3">
        <f t="shared" si="67"/>
        <v>5.5691651873184408E-2</v>
      </c>
      <c r="CE89" s="3">
        <v>-1.0207063163698198E-4</v>
      </c>
      <c r="CF89" s="3">
        <f t="shared" si="68"/>
        <v>5.5734315713847481E-2</v>
      </c>
      <c r="CG89" s="3">
        <v>3.4286145475111249E-5</v>
      </c>
      <c r="CH89" s="3">
        <f t="shared" si="61"/>
        <v>5.5712983793515941E-2</v>
      </c>
      <c r="CI89" s="3">
        <v>-3.3874303422299582E-5</v>
      </c>
      <c r="CJ89" s="3">
        <f t="shared" si="62"/>
        <v>3.4575715465768985E-9</v>
      </c>
      <c r="CK89" s="3">
        <f t="shared" si="63"/>
        <v>-1.1614192950050224E-9</v>
      </c>
      <c r="CL89" s="3">
        <f t="shared" si="64"/>
        <v>4.2663840663072217E-5</v>
      </c>
    </row>
    <row r="90" spans="46:90" x14ac:dyDescent="0.2"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 s="3">
        <v>18</v>
      </c>
      <c r="BS90" s="3">
        <f t="shared" si="65"/>
        <v>6.8448140231442148E-2</v>
      </c>
      <c r="BT90" s="3">
        <v>-4.0675955691317316E-6</v>
      </c>
      <c r="BU90" s="3">
        <f t="shared" si="66"/>
        <v>6.846947215177368E-2</v>
      </c>
      <c r="BV90" s="3">
        <v>6.388060421213225E-5</v>
      </c>
      <c r="BW90" s="3">
        <f t="shared" si="57"/>
        <v>6.8458806191607907E-2</v>
      </c>
      <c r="BX90" s="3">
        <v>2.9910126817669826E-5</v>
      </c>
      <c r="BY90" s="3">
        <f t="shared" si="58"/>
        <v>-1.2166229931572195E-10</v>
      </c>
      <c r="BZ90" s="3">
        <f t="shared" si="59"/>
        <v>1.9106769731742487E-9</v>
      </c>
      <c r="CA90" s="3">
        <f t="shared" si="60"/>
        <v>2.1331920331532639E-5</v>
      </c>
      <c r="CB90"/>
      <c r="CC90" s="3">
        <v>18</v>
      </c>
      <c r="CD90" s="3">
        <f t="shared" si="67"/>
        <v>5.5712983793515941E-2</v>
      </c>
      <c r="CE90" s="3">
        <v>-3.3874303422299582E-5</v>
      </c>
      <c r="CF90" s="3">
        <f t="shared" si="68"/>
        <v>5.5734315713847481E-2</v>
      </c>
      <c r="CG90" s="3">
        <v>3.4286145475111249E-5</v>
      </c>
      <c r="CH90" s="3">
        <f t="shared" si="61"/>
        <v>5.5723649753681714E-2</v>
      </c>
      <c r="CI90" s="3">
        <v>2.1040337977147952E-7</v>
      </c>
      <c r="CJ90" s="3">
        <f t="shared" si="62"/>
        <v>-7.1272679274564277E-12</v>
      </c>
      <c r="CK90" s="3">
        <f t="shared" si="63"/>
        <v>7.2139208873000264E-12</v>
      </c>
      <c r="CL90" s="3">
        <f t="shared" si="64"/>
        <v>2.1331920331539578E-5</v>
      </c>
    </row>
    <row r="91" spans="46:90" x14ac:dyDescent="0.2"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 s="3">
        <v>19</v>
      </c>
      <c r="BS91" s="3">
        <f t="shared" si="65"/>
        <v>6.8448140231442148E-2</v>
      </c>
      <c r="BT91" s="3">
        <v>-4.0675955691317316E-6</v>
      </c>
      <c r="BU91" s="3">
        <f t="shared" si="66"/>
        <v>6.8458806191607907E-2</v>
      </c>
      <c r="BV91" s="3">
        <v>2.9910126817669826E-5</v>
      </c>
      <c r="BW91" s="3">
        <f t="shared" si="57"/>
        <v>6.8453473211525034E-2</v>
      </c>
      <c r="BX91" s="3">
        <v>1.2922171458202084E-5</v>
      </c>
      <c r="BY91" s="3">
        <f t="shared" si="58"/>
        <v>-5.2562167366943324E-11</v>
      </c>
      <c r="BZ91" s="3">
        <f t="shared" si="59"/>
        <v>3.8650378707449775E-10</v>
      </c>
      <c r="CA91" s="3">
        <f t="shared" si="60"/>
        <v>1.0665960165759381E-5</v>
      </c>
      <c r="CB91"/>
      <c r="CC91" s="3">
        <v>19</v>
      </c>
      <c r="CD91" s="3">
        <f t="shared" si="67"/>
        <v>5.5712983793515941E-2</v>
      </c>
      <c r="CE91" s="3">
        <v>-3.3874303422299582E-5</v>
      </c>
      <c r="CF91" s="3">
        <f t="shared" si="68"/>
        <v>5.5723649753681714E-2</v>
      </c>
      <c r="CG91" s="3">
        <v>2.1040337977147952E-7</v>
      </c>
      <c r="CH91" s="3">
        <f t="shared" si="61"/>
        <v>5.5718316773598828E-2</v>
      </c>
      <c r="CI91" s="3">
        <v>-1.6830829112907033E-5</v>
      </c>
      <c r="CJ91" s="3">
        <f t="shared" si="62"/>
        <v>5.7013261221948618E-10</v>
      </c>
      <c r="CK91" s="3">
        <f t="shared" si="63"/>
        <v>-3.5412633297118523E-12</v>
      </c>
      <c r="CL91" s="3">
        <f t="shared" si="64"/>
        <v>1.0665960165773258E-5</v>
      </c>
    </row>
    <row r="92" spans="46:90" x14ac:dyDescent="0.2"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 s="3">
        <v>20</v>
      </c>
      <c r="BS92" s="3">
        <f t="shared" si="65"/>
        <v>6.8448140231442148E-2</v>
      </c>
      <c r="BT92" s="3">
        <v>-4.0675955691317316E-6</v>
      </c>
      <c r="BU92" s="3">
        <f t="shared" si="66"/>
        <v>6.8453473211525034E-2</v>
      </c>
      <c r="BV92" s="3">
        <v>1.2922171458202084E-5</v>
      </c>
      <c r="BW92" s="3">
        <f t="shared" si="57"/>
        <v>6.8450806721483598E-2</v>
      </c>
      <c r="BX92" s="3">
        <v>4.427514429299062E-6</v>
      </c>
      <c r="BY92" s="3">
        <f t="shared" si="58"/>
        <v>-1.8009338074883672E-11</v>
      </c>
      <c r="BZ92" s="3">
        <f t="shared" si="59"/>
        <v>5.7213100589066225E-11</v>
      </c>
      <c r="CA92" s="3">
        <f t="shared" si="60"/>
        <v>5.3329800828866292E-6</v>
      </c>
      <c r="CB92"/>
      <c r="CC92" s="3">
        <v>20</v>
      </c>
      <c r="CD92" s="3">
        <f t="shared" si="67"/>
        <v>5.5718316773598828E-2</v>
      </c>
      <c r="CE92" s="3">
        <v>-1.6830829112907033E-5</v>
      </c>
      <c r="CF92" s="3">
        <f t="shared" si="68"/>
        <v>5.5723649753681714E-2</v>
      </c>
      <c r="CG92" s="3">
        <v>2.1040337977147952E-7</v>
      </c>
      <c r="CH92" s="3">
        <f t="shared" si="61"/>
        <v>5.5720983263640271E-2</v>
      </c>
      <c r="CI92" s="3">
        <v>-8.3099326794824381E-6</v>
      </c>
      <c r="CJ92" s="3">
        <f t="shared" si="62"/>
        <v>1.3986305686813058E-10</v>
      </c>
      <c r="CK92" s="3">
        <f t="shared" si="63"/>
        <v>-1.7484379214365717E-12</v>
      </c>
      <c r="CL92" s="3">
        <f t="shared" si="64"/>
        <v>5.3329800828866292E-6</v>
      </c>
    </row>
    <row r="93" spans="46:90" x14ac:dyDescent="0.2"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s="3">
        <v>21</v>
      </c>
      <c r="BS93" s="3">
        <f t="shared" si="65"/>
        <v>6.8448140231442148E-2</v>
      </c>
      <c r="BT93" s="3">
        <v>-4.0675955691317316E-6</v>
      </c>
      <c r="BU93" s="3">
        <f t="shared" si="66"/>
        <v>6.8450806721483598E-2</v>
      </c>
      <c r="BV93" s="3">
        <v>4.427514429299062E-6</v>
      </c>
      <c r="BW93" s="3">
        <f t="shared" si="57"/>
        <v>6.844947347646288E-2</v>
      </c>
      <c r="BX93" s="3">
        <v>1.8001605453640476E-7</v>
      </c>
      <c r="BY93" s="3">
        <f t="shared" si="58"/>
        <v>-7.322325058048562E-13</v>
      </c>
      <c r="BZ93" s="3">
        <f t="shared" si="59"/>
        <v>7.9702367896541891E-13</v>
      </c>
      <c r="CA93" s="3">
        <f t="shared" si="60"/>
        <v>2.6664900414502535E-6</v>
      </c>
      <c r="CB93"/>
      <c r="CC93" s="3">
        <v>21</v>
      </c>
      <c r="CD93" s="3">
        <f t="shared" si="67"/>
        <v>5.5720983263640271E-2</v>
      </c>
      <c r="CE93" s="3">
        <v>-8.3099326794824381E-6</v>
      </c>
      <c r="CF93" s="3">
        <f t="shared" si="68"/>
        <v>5.5723649753681714E-2</v>
      </c>
      <c r="CG93" s="3">
        <v>2.1040337977147952E-7</v>
      </c>
      <c r="CH93" s="3">
        <f t="shared" si="61"/>
        <v>5.5722316508660996E-2</v>
      </c>
      <c r="CI93" s="3">
        <v>-4.0496946080671378E-6</v>
      </c>
      <c r="CJ93" s="3">
        <f t="shared" si="62"/>
        <v>3.365268956550093E-11</v>
      </c>
      <c r="CK93" s="3">
        <f t="shared" si="63"/>
        <v>-8.5206943257966294E-13</v>
      </c>
      <c r="CL93" s="3">
        <f t="shared" si="64"/>
        <v>2.6664900414433146E-6</v>
      </c>
    </row>
    <row r="94" spans="46:90" x14ac:dyDescent="0.2"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s="3">
        <v>22</v>
      </c>
      <c r="BS94" s="3">
        <f t="shared" si="65"/>
        <v>6.8448140231442148E-2</v>
      </c>
      <c r="BT94" s="3">
        <v>-4.0675955691317316E-6</v>
      </c>
      <c r="BU94" s="3">
        <f t="shared" si="66"/>
        <v>6.844947347646288E-2</v>
      </c>
      <c r="BV94" s="3">
        <v>1.8001605453640476E-7</v>
      </c>
      <c r="BW94" s="3">
        <f t="shared" si="57"/>
        <v>6.8448806853952521E-2</v>
      </c>
      <c r="BX94" s="3">
        <v>-1.9437756007454308E-6</v>
      </c>
      <c r="BY94" s="3">
        <f t="shared" si="58"/>
        <v>7.9064930209784844E-12</v>
      </c>
      <c r="BZ94" s="3">
        <f t="shared" si="59"/>
        <v>-3.4991081455032243E-13</v>
      </c>
      <c r="CA94" s="3">
        <f t="shared" si="60"/>
        <v>1.3332450207320656E-6</v>
      </c>
      <c r="CB94"/>
      <c r="CC94" s="3">
        <v>22</v>
      </c>
      <c r="CD94" s="3">
        <f t="shared" si="67"/>
        <v>5.5722316508660996E-2</v>
      </c>
      <c r="CE94" s="3">
        <v>-4.0496946080671378E-6</v>
      </c>
      <c r="CF94" s="3">
        <f t="shared" si="68"/>
        <v>5.5723649753681714E-2</v>
      </c>
      <c r="CG94" s="3">
        <v>2.1040337977147952E-7</v>
      </c>
      <c r="CH94" s="3">
        <f t="shared" si="61"/>
        <v>5.5722983131171355E-2</v>
      </c>
      <c r="CI94" s="3">
        <v>-1.9196281043293642E-6</v>
      </c>
      <c r="CJ94" s="3">
        <f t="shared" si="62"/>
        <v>7.7739075835967675E-12</v>
      </c>
      <c r="CK94" s="3">
        <f t="shared" si="63"/>
        <v>-4.0389624105521654E-13</v>
      </c>
      <c r="CL94" s="3">
        <f t="shared" si="64"/>
        <v>1.3332450207181878E-6</v>
      </c>
    </row>
    <row r="95" spans="46:90" x14ac:dyDescent="0.2"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 s="3">
        <v>23</v>
      </c>
      <c r="BS95" s="3">
        <f t="shared" si="65"/>
        <v>6.8448806853952521E-2</v>
      </c>
      <c r="BT95" s="3">
        <v>-1.9437756007454308E-6</v>
      </c>
      <c r="BU95" s="3">
        <f t="shared" si="66"/>
        <v>6.844947347646288E-2</v>
      </c>
      <c r="BV95" s="3">
        <v>1.8001605453640476E-7</v>
      </c>
      <c r="BW95" s="3">
        <f t="shared" si="57"/>
        <v>6.84491401652077E-2</v>
      </c>
      <c r="BX95" s="3">
        <v>-8.8187623401665347E-7</v>
      </c>
      <c r="BY95" s="3">
        <f t="shared" si="58"/>
        <v>1.7141695065588387E-12</v>
      </c>
      <c r="BZ95" s="3">
        <f t="shared" si="59"/>
        <v>-1.5875188023710114E-13</v>
      </c>
      <c r="CA95" s="3">
        <f t="shared" si="60"/>
        <v>6.6662251035909392E-7</v>
      </c>
      <c r="CB95"/>
      <c r="CC95" s="3">
        <v>23</v>
      </c>
      <c r="CD95" s="3">
        <f t="shared" si="67"/>
        <v>5.5722983131171355E-2</v>
      </c>
      <c r="CE95" s="3">
        <v>-1.9196281043293642E-6</v>
      </c>
      <c r="CF95" s="3">
        <f t="shared" si="68"/>
        <v>5.5723649753681714E-2</v>
      </c>
      <c r="CG95" s="3">
        <v>2.1040337977147952E-7</v>
      </c>
      <c r="CH95" s="3">
        <f t="shared" si="61"/>
        <v>5.5723316442426535E-2</v>
      </c>
      <c r="CI95" s="3">
        <v>-8.5460798491133333E-7</v>
      </c>
      <c r="CJ95" s="3">
        <f t="shared" si="62"/>
        <v>1.6405295060200807E-12</v>
      </c>
      <c r="CK95" s="3">
        <f t="shared" si="63"/>
        <v>-1.7981240840503811E-13</v>
      </c>
      <c r="CL95" s="3">
        <f t="shared" si="64"/>
        <v>6.6662251035909392E-7</v>
      </c>
    </row>
    <row r="96" spans="46:90" x14ac:dyDescent="0.2"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s="3">
        <v>24</v>
      </c>
      <c r="BS96" s="3">
        <f t="shared" si="65"/>
        <v>6.84491401652077E-2</v>
      </c>
      <c r="BT96" s="3">
        <v>-8.8187623401665347E-7</v>
      </c>
      <c r="BU96" s="3">
        <f t="shared" si="66"/>
        <v>6.844947347646288E-2</v>
      </c>
      <c r="BV96" s="3">
        <v>1.8001605453640476E-7</v>
      </c>
      <c r="BW96" s="3">
        <f t="shared" si="57"/>
        <v>6.844930682083529E-2</v>
      </c>
      <c r="BX96" s="3">
        <v>-3.5092920496956892E-7</v>
      </c>
      <c r="BY96" s="3">
        <f t="shared" si="58"/>
        <v>3.0947612568502171E-13</v>
      </c>
      <c r="BZ96" s="3">
        <f t="shared" si="59"/>
        <v>-6.317289090021908E-14</v>
      </c>
      <c r="CA96" s="3">
        <f t="shared" si="60"/>
        <v>3.3331125517954696E-7</v>
      </c>
      <c r="CB96"/>
      <c r="CC96" s="3">
        <v>24</v>
      </c>
      <c r="CD96" s="3">
        <f t="shared" si="67"/>
        <v>5.5723316442426535E-2</v>
      </c>
      <c r="CE96" s="3">
        <v>-8.5460798491133333E-7</v>
      </c>
      <c r="CF96" s="3">
        <f t="shared" si="68"/>
        <v>5.5723649753681714E-2</v>
      </c>
      <c r="CG96" s="3">
        <v>2.1040337977147952E-7</v>
      </c>
      <c r="CH96" s="3">
        <f t="shared" si="61"/>
        <v>5.5723483098054125E-2</v>
      </c>
      <c r="CI96" s="3">
        <v>-3.2210120821853788E-7</v>
      </c>
      <c r="CJ96" s="3">
        <f t="shared" si="62"/>
        <v>2.7527026449315045E-13</v>
      </c>
      <c r="CK96" s="3">
        <f t="shared" si="63"/>
        <v>-6.777118283765743E-14</v>
      </c>
      <c r="CL96" s="3">
        <f t="shared" si="64"/>
        <v>3.3331125517954696E-7</v>
      </c>
    </row>
    <row r="97" spans="46:90" x14ac:dyDescent="0.2"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s="3">
        <v>25</v>
      </c>
      <c r="BS97" s="3">
        <f t="shared" si="65"/>
        <v>6.844930682083529E-2</v>
      </c>
      <c r="BT97" s="3">
        <v>-3.5092920496956892E-7</v>
      </c>
      <c r="BU97" s="3">
        <f t="shared" si="66"/>
        <v>6.844947347646288E-2</v>
      </c>
      <c r="BV97" s="3">
        <v>1.8001605453640476E-7</v>
      </c>
      <c r="BW97" s="3">
        <f t="shared" si="57"/>
        <v>6.8449390148649092E-2</v>
      </c>
      <c r="BX97" s="3">
        <v>-8.5456353997488688E-8</v>
      </c>
      <c r="BY97" s="3">
        <f t="shared" si="58"/>
        <v>2.9989130367936747E-14</v>
      </c>
      <c r="BZ97" s="3">
        <f t="shared" si="59"/>
        <v>-1.5383515681694235E-14</v>
      </c>
      <c r="CA97" s="3">
        <f t="shared" si="60"/>
        <v>1.6665562758977348E-7</v>
      </c>
      <c r="CB97"/>
      <c r="CC97" s="3">
        <v>25</v>
      </c>
      <c r="CD97" s="3">
        <f t="shared" si="67"/>
        <v>5.5723483098054125E-2</v>
      </c>
      <c r="CE97" s="3">
        <v>-3.2210120821853788E-7</v>
      </c>
      <c r="CF97" s="3">
        <f t="shared" si="68"/>
        <v>5.5723649753681714E-2</v>
      </c>
      <c r="CG97" s="3">
        <v>2.1040337977147952E-7</v>
      </c>
      <c r="CH97" s="3">
        <f t="shared" si="61"/>
        <v>5.5723566425867919E-2</v>
      </c>
      <c r="CI97" s="3">
        <v>-5.5848640653517051E-8</v>
      </c>
      <c r="CJ97" s="3">
        <f t="shared" si="62"/>
        <v>1.7988914631860796E-14</v>
      </c>
      <c r="CK97" s="3">
        <f t="shared" si="63"/>
        <v>-1.1750742749142839E-14</v>
      </c>
      <c r="CL97" s="3">
        <f t="shared" si="64"/>
        <v>1.6665562758977348E-7</v>
      </c>
    </row>
    <row r="98" spans="46:90" x14ac:dyDescent="0.2"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 s="3">
        <v>26</v>
      </c>
      <c r="BS98" s="3">
        <f t="shared" si="65"/>
        <v>6.8449390148649092E-2</v>
      </c>
      <c r="BT98" s="3">
        <v>-8.5456353997488688E-8</v>
      </c>
      <c r="BU98" s="3">
        <f t="shared" si="66"/>
        <v>6.844947347646288E-2</v>
      </c>
      <c r="BV98" s="3">
        <v>1.8001605453640476E-7</v>
      </c>
      <c r="BW98" s="3">
        <f t="shared" si="57"/>
        <v>6.8449431812555986E-2</v>
      </c>
      <c r="BX98" s="3">
        <v>4.7279905565720398E-8</v>
      </c>
      <c r="BY98" s="3">
        <f t="shared" si="58"/>
        <v>-4.040368346992038E-15</v>
      </c>
      <c r="BZ98" s="3">
        <f t="shared" si="59"/>
        <v>8.5111420587947903E-15</v>
      </c>
      <c r="CA98" s="3">
        <f t="shared" si="60"/>
        <v>8.3327813787947846E-8</v>
      </c>
      <c r="CB98"/>
      <c r="CC98" s="3">
        <v>26</v>
      </c>
      <c r="CD98" s="3">
        <f t="shared" si="67"/>
        <v>5.5723566425867919E-2</v>
      </c>
      <c r="CE98" s="3">
        <v>-5.5848640653517051E-8</v>
      </c>
      <c r="CF98" s="3">
        <f t="shared" si="68"/>
        <v>5.5723649753681714E-2</v>
      </c>
      <c r="CG98" s="3">
        <v>2.1040337977147952E-7</v>
      </c>
      <c r="CH98" s="3">
        <f t="shared" si="61"/>
        <v>5.572360808977482E-2</v>
      </c>
      <c r="CI98" s="3">
        <v>7.7277437972138319E-8</v>
      </c>
      <c r="CJ98" s="3">
        <f t="shared" si="62"/>
        <v>-4.3158398639304067E-15</v>
      </c>
      <c r="CK98" s="3">
        <f t="shared" si="63"/>
        <v>1.6259434129418771E-14</v>
      </c>
      <c r="CL98" s="3">
        <f t="shared" si="64"/>
        <v>8.332781379488674E-8</v>
      </c>
    </row>
    <row r="99" spans="46:90" x14ac:dyDescent="0.2"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s="3">
        <v>27</v>
      </c>
      <c r="BS99" s="3">
        <f t="shared" si="65"/>
        <v>6.8449390148649092E-2</v>
      </c>
      <c r="BT99" s="3">
        <v>-8.5456353997488688E-8</v>
      </c>
      <c r="BU99" s="3">
        <f t="shared" si="66"/>
        <v>6.8449431812555986E-2</v>
      </c>
      <c r="BV99" s="3">
        <v>4.7279905565720398E-8</v>
      </c>
      <c r="BW99" s="3">
        <f t="shared" si="57"/>
        <v>6.8449410980602532E-2</v>
      </c>
      <c r="BX99" s="3">
        <v>-1.908821039946218E-8</v>
      </c>
      <c r="BY99" s="3">
        <f t="shared" si="58"/>
        <v>1.6312088650749849E-15</v>
      </c>
      <c r="BZ99" s="3">
        <f t="shared" si="59"/>
        <v>-9.0248878510517391E-16</v>
      </c>
      <c r="CA99" s="3">
        <f t="shared" si="60"/>
        <v>4.1663906893973923E-8</v>
      </c>
      <c r="CB99"/>
      <c r="CC99" s="3">
        <v>27</v>
      </c>
      <c r="CD99" s="3">
        <f t="shared" si="67"/>
        <v>5.5723566425867919E-2</v>
      </c>
      <c r="CE99" s="3">
        <v>-5.5848640653517051E-8</v>
      </c>
      <c r="CF99" s="3">
        <f t="shared" si="68"/>
        <v>5.572360808977482E-2</v>
      </c>
      <c r="CG99" s="3">
        <v>7.7277437972138319E-8</v>
      </c>
      <c r="CH99" s="3">
        <f t="shared" si="61"/>
        <v>5.5723587257821366E-2</v>
      </c>
      <c r="CI99" s="3">
        <v>1.0714415752625245E-8</v>
      </c>
      <c r="CJ99" s="3">
        <f t="shared" si="62"/>
        <v>-5.9838555518074978E-16</v>
      </c>
      <c r="CK99" s="3">
        <f t="shared" si="63"/>
        <v>8.279825987311991E-16</v>
      </c>
      <c r="CL99" s="3">
        <f t="shared" si="64"/>
        <v>4.1663906900912817E-8</v>
      </c>
    </row>
    <row r="100" spans="46:90" x14ac:dyDescent="0.2"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 s="3">
        <v>28</v>
      </c>
      <c r="BS100" s="3">
        <f t="shared" si="65"/>
        <v>6.8449410980602532E-2</v>
      </c>
      <c r="BT100" s="3">
        <v>-1.908821039946218E-8</v>
      </c>
      <c r="BU100" s="3">
        <f t="shared" si="66"/>
        <v>6.8449431812555986E-2</v>
      </c>
      <c r="BV100" s="3">
        <v>4.7279905565720398E-8</v>
      </c>
      <c r="BW100" s="3">
        <f t="shared" si="57"/>
        <v>6.8449421396579252E-2</v>
      </c>
      <c r="BX100" s="3">
        <v>1.4095851020700517E-8</v>
      </c>
      <c r="BY100" s="3">
        <f t="shared" si="58"/>
        <v>-2.6906457004260519E-16</v>
      </c>
      <c r="BZ100" s="3">
        <f t="shared" si="59"/>
        <v>6.6645050512718392E-16</v>
      </c>
      <c r="CA100" s="3">
        <f t="shared" si="60"/>
        <v>2.0831953453925856E-8</v>
      </c>
      <c r="CB100"/>
      <c r="CC100" s="3">
        <v>28</v>
      </c>
      <c r="CD100" s="3">
        <f t="shared" si="67"/>
        <v>5.5723566425867919E-2</v>
      </c>
      <c r="CE100" s="3">
        <v>-5.5848640653517051E-8</v>
      </c>
      <c r="CF100" s="3">
        <f t="shared" si="68"/>
        <v>5.5723587257821366E-2</v>
      </c>
      <c r="CG100" s="3">
        <v>1.0714415752625245E-8</v>
      </c>
      <c r="CH100" s="3">
        <f t="shared" si="61"/>
        <v>5.5723576841844646E-2</v>
      </c>
      <c r="CI100" s="3">
        <v>-2.2567108152668491E-8</v>
      </c>
      <c r="CJ100" s="3">
        <f t="shared" si="62"/>
        <v>1.2603423138074376E-15</v>
      </c>
      <c r="CK100" s="3">
        <f t="shared" si="63"/>
        <v>-2.4179337908214886E-16</v>
      </c>
      <c r="CL100" s="3">
        <f t="shared" si="64"/>
        <v>2.0831953446986962E-8</v>
      </c>
    </row>
    <row r="101" spans="46:90" x14ac:dyDescent="0.2"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s="3">
        <v>29</v>
      </c>
      <c r="BS101" s="3">
        <f t="shared" si="65"/>
        <v>6.8449410980602532E-2</v>
      </c>
      <c r="BT101" s="3">
        <v>-1.908821039946218E-8</v>
      </c>
      <c r="BU101" s="3">
        <f t="shared" si="66"/>
        <v>6.8449421396579252E-2</v>
      </c>
      <c r="BV101" s="3">
        <v>1.4095851020700517E-8</v>
      </c>
      <c r="BW101" s="3">
        <f t="shared" si="57"/>
        <v>6.8449416188590892E-2</v>
      </c>
      <c r="BX101" s="3">
        <v>-2.496178861267212E-9</v>
      </c>
      <c r="BY101" s="3">
        <f t="shared" si="58"/>
        <v>4.7647587298558456E-17</v>
      </c>
      <c r="BZ101" s="3">
        <f t="shared" si="59"/>
        <v>-3.5185765349444485E-17</v>
      </c>
      <c r="CA101" s="3">
        <f t="shared" si="60"/>
        <v>1.0415976720024034E-8</v>
      </c>
      <c r="CB101"/>
      <c r="CC101" s="3">
        <v>29</v>
      </c>
      <c r="CD101" s="3">
        <f t="shared" si="67"/>
        <v>5.5723576841844646E-2</v>
      </c>
      <c r="CE101" s="3">
        <v>-2.2567108152668491E-8</v>
      </c>
      <c r="CF101" s="3">
        <f t="shared" si="68"/>
        <v>5.5723587257821366E-2</v>
      </c>
      <c r="CG101" s="3">
        <v>1.0714415752625245E-8</v>
      </c>
      <c r="CH101" s="3">
        <f t="shared" si="61"/>
        <v>5.5723582049833006E-2</v>
      </c>
      <c r="CI101" s="3">
        <v>-5.9263451524654842E-9</v>
      </c>
      <c r="CJ101" s="3">
        <f t="shared" si="62"/>
        <v>1.3374047200573123E-16</v>
      </c>
      <c r="CK101" s="3">
        <f t="shared" si="63"/>
        <v>-6.3497325857070439E-17</v>
      </c>
      <c r="CL101" s="3">
        <f t="shared" si="64"/>
        <v>1.0415976720024034E-8</v>
      </c>
    </row>
    <row r="102" spans="46:90" x14ac:dyDescent="0.2"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 s="3">
        <v>30</v>
      </c>
      <c r="BS102" s="3">
        <f t="shared" si="65"/>
        <v>6.8449416188590892E-2</v>
      </c>
      <c r="BT102" s="3">
        <v>-2.496178861267212E-9</v>
      </c>
      <c r="BU102" s="3">
        <f t="shared" si="66"/>
        <v>6.8449421396579252E-2</v>
      </c>
      <c r="BV102" s="3">
        <v>1.4095851020700517E-8</v>
      </c>
      <c r="BW102" s="6">
        <f t="shared" si="57"/>
        <v>6.8449418792585065E-2</v>
      </c>
      <c r="BX102" s="3">
        <v>5.7998362848477036E-9</v>
      </c>
      <c r="BY102" s="3">
        <f t="shared" si="58"/>
        <v>-1.4477428733047398E-17</v>
      </c>
      <c r="BZ102" s="3">
        <f t="shared" si="59"/>
        <v>8.1753628215666394E-17</v>
      </c>
      <c r="CA102" s="3">
        <f t="shared" si="60"/>
        <v>5.2079883600120169E-9</v>
      </c>
      <c r="CB102"/>
      <c r="CC102" s="3">
        <v>30</v>
      </c>
      <c r="CD102" s="3">
        <f t="shared" si="67"/>
        <v>5.5723582049833006E-2</v>
      </c>
      <c r="CE102" s="3">
        <v>-5.9263451524654842E-9</v>
      </c>
      <c r="CF102" s="3">
        <f t="shared" si="68"/>
        <v>5.5723587257821366E-2</v>
      </c>
      <c r="CG102" s="3">
        <v>1.0714415752625245E-8</v>
      </c>
      <c r="CH102" s="6">
        <f t="shared" si="61"/>
        <v>5.5723584653827186E-2</v>
      </c>
      <c r="CI102" s="3">
        <v>2.3940355743830299E-9</v>
      </c>
      <c r="CJ102" s="3">
        <f t="shared" si="62"/>
        <v>-1.4187881121074791E-17</v>
      </c>
      <c r="CK102" s="3">
        <f t="shared" si="63"/>
        <v>2.5650692470514761E-17</v>
      </c>
      <c r="CL102" s="3">
        <f t="shared" si="64"/>
        <v>5.2079883600120169E-9</v>
      </c>
    </row>
    <row r="103" spans="46:90" x14ac:dyDescent="0.2"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</row>
    <row r="104" spans="46:90" x14ac:dyDescent="0.2"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s="74" t="s">
        <v>225</v>
      </c>
      <c r="BS104" s="74"/>
      <c r="BT104" s="74"/>
      <c r="BU104" s="74"/>
      <c r="BV104" s="74"/>
      <c r="BW104" s="74"/>
      <c r="BX104" s="74"/>
      <c r="BY104" s="74"/>
      <c r="BZ104" s="74"/>
      <c r="CA104" s="74"/>
      <c r="CB104"/>
      <c r="CC104" s="74" t="s">
        <v>233</v>
      </c>
      <c r="CD104" s="74"/>
      <c r="CE104" s="74"/>
      <c r="CF104" s="74"/>
      <c r="CG104" s="74"/>
      <c r="CH104" s="74"/>
      <c r="CI104" s="74"/>
      <c r="CJ104" s="74"/>
      <c r="CK104" s="74"/>
      <c r="CL104" s="74"/>
    </row>
    <row r="105" spans="46:90" x14ac:dyDescent="0.2"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 s="8" t="s">
        <v>44</v>
      </c>
      <c r="BS105" s="8" t="s">
        <v>45</v>
      </c>
      <c r="BT105" s="8" t="s">
        <v>46</v>
      </c>
      <c r="BU105" s="8" t="s">
        <v>47</v>
      </c>
      <c r="BV105" s="8" t="s">
        <v>48</v>
      </c>
      <c r="BW105" s="8" t="s">
        <v>49</v>
      </c>
      <c r="BX105" s="8" t="s">
        <v>50</v>
      </c>
      <c r="BY105" s="8" t="s">
        <v>51</v>
      </c>
      <c r="BZ105" s="8" t="s">
        <v>52</v>
      </c>
      <c r="CA105" s="8" t="s">
        <v>53</v>
      </c>
      <c r="CB105"/>
      <c r="CC105" s="8" t="s">
        <v>44</v>
      </c>
      <c r="CD105" s="8" t="s">
        <v>45</v>
      </c>
      <c r="CE105" s="8" t="s">
        <v>46</v>
      </c>
      <c r="CF105" s="8" t="s">
        <v>47</v>
      </c>
      <c r="CG105" s="8" t="s">
        <v>48</v>
      </c>
      <c r="CH105" s="8" t="s">
        <v>49</v>
      </c>
      <c r="CI105" s="8" t="s">
        <v>50</v>
      </c>
      <c r="CJ105" s="8" t="s">
        <v>51</v>
      </c>
      <c r="CK105" s="8" t="s">
        <v>52</v>
      </c>
      <c r="CL105" s="8" t="s">
        <v>53</v>
      </c>
    </row>
    <row r="106" spans="46:90" x14ac:dyDescent="0.2"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s="31">
        <v>0</v>
      </c>
      <c r="BS106" s="31"/>
      <c r="BT106" s="31">
        <f>$BK$77</f>
        <v>3.7601054162644809E-9</v>
      </c>
      <c r="BU106" s="31"/>
      <c r="BV106" s="31">
        <f>$BK$77</f>
        <v>3.7601054162644809E-9</v>
      </c>
      <c r="BW106" s="31"/>
      <c r="BX106" s="31">
        <f>$BK$77</f>
        <v>3.7601054162644809E-9</v>
      </c>
      <c r="BY106" s="31"/>
      <c r="BZ106" s="31"/>
      <c r="CA106" s="31"/>
      <c r="CB106"/>
      <c r="CC106" s="31">
        <v>0</v>
      </c>
      <c r="CD106" s="31"/>
      <c r="CE106" s="31">
        <f>$BO$77</f>
        <v>-6.7442974187141569E-9</v>
      </c>
      <c r="CF106" s="31"/>
      <c r="CG106" s="31">
        <f>$BO$77</f>
        <v>-6.7442974187141569E-9</v>
      </c>
      <c r="CH106" s="31"/>
      <c r="CI106" s="31">
        <f>$BO$77</f>
        <v>-6.7442974187141569E-9</v>
      </c>
      <c r="CJ106" s="31"/>
      <c r="CK106" s="31"/>
      <c r="CL106" s="31"/>
    </row>
    <row r="107" spans="46:90" x14ac:dyDescent="0.2"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 s="3">
        <v>1</v>
      </c>
      <c r="BS107" s="4">
        <f>0.01*PI()</f>
        <v>3.1415926535897934E-2</v>
      </c>
      <c r="BT107" s="3">
        <f t="dataTable" ref="BT107:BT136" dt2D="0" dtr="0" r1="BK61" ca="1"/>
        <v>-5.2277525467694722E-2</v>
      </c>
      <c r="BU107" s="4">
        <f>0.9*PI()</f>
        <v>2.8274333882308138</v>
      </c>
      <c r="BV107" s="3">
        <f t="dataTable" ref="BV107:BV136" dt2D="0" dtr="0" r1="BK61" ca="1"/>
        <v>0.33788975549316647</v>
      </c>
      <c r="BW107" s="3">
        <f t="shared" ref="BW107:BW136" si="69">(BS107+BU107)/2</f>
        <v>1.4294246573833558</v>
      </c>
      <c r="BX107" s="3">
        <f t="dataTable" ref="BX107:BX136" dt2D="0" dtr="0" r1="BK61"/>
        <v>1.0199501419024286</v>
      </c>
      <c r="BY107" s="3">
        <f t="shared" ref="BY107:BY136" si="70">BT107*BX107</f>
        <v>-5.3320469519083057E-2</v>
      </c>
      <c r="BZ107" s="3">
        <f t="shared" ref="BZ107:BZ136" si="71">BV107*BX107</f>
        <v>0.34463070406263202</v>
      </c>
      <c r="CA107" s="3">
        <f t="shared" ref="CA107:CA136" si="72">BU107-BS107</f>
        <v>2.7960174616949161</v>
      </c>
      <c r="CB107"/>
      <c r="CC107" s="3">
        <v>1</v>
      </c>
      <c r="CD107" s="4">
        <f>0.001*PI()</f>
        <v>3.1415926535897933E-3</v>
      </c>
      <c r="CE107" s="3">
        <f t="dataTable" ref="CE107:CE136" dt2D="0" dtr="0" r1="BO61" ca="1"/>
        <v>-0.77574369667668941</v>
      </c>
      <c r="CF107" s="4">
        <f>0.9*PI()</f>
        <v>2.8274333882308138</v>
      </c>
      <c r="CG107" s="3">
        <f t="dataTable" ref="CG107:CG136" dt2D="0" dtr="0" r1="BO61" ca="1"/>
        <v>0.34762700454169576</v>
      </c>
      <c r="CH107" s="3">
        <f t="shared" ref="CH107:CH136" si="73">(CD107+CF107)/2</f>
        <v>1.4152874904422017</v>
      </c>
      <c r="CI107" s="3">
        <f t="dataTable" ref="CI107:CI136" dt2D="0" dtr="0" r1="BO61"/>
        <v>1.0334180299889388</v>
      </c>
      <c r="CJ107" s="3">
        <f t="shared" ref="CJ107:CJ136" si="74">CE107*CI107</f>
        <v>-0.80166752279596132</v>
      </c>
      <c r="CK107" s="3">
        <f t="shared" ref="CK107:CK136" si="75">CG107*CI107</f>
        <v>0.35924401420443514</v>
      </c>
      <c r="CL107" s="3">
        <f t="shared" ref="CL107:CL136" si="76">CF107-CD107</f>
        <v>2.8242917955772242</v>
      </c>
    </row>
    <row r="108" spans="46:90" x14ac:dyDescent="0.2"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 s="3">
        <v>2</v>
      </c>
      <c r="BS108" s="3">
        <f t="shared" ref="BS108:BS136" si="77">IF(BY107&gt;0,BW107,BS107)</f>
        <v>3.1415926535897934E-2</v>
      </c>
      <c r="BT108" s="3">
        <v>-5.2277525467694722E-2</v>
      </c>
      <c r="BU108" s="3">
        <f t="shared" ref="BU108:BU136" si="78">IF(BZ107&gt;0,BW107,BU107)</f>
        <v>1.4294246573833558</v>
      </c>
      <c r="BV108" s="3">
        <v>1.0199501419024286</v>
      </c>
      <c r="BW108" s="3">
        <f t="shared" si="69"/>
        <v>0.73042029195962688</v>
      </c>
      <c r="BX108" s="3">
        <v>0.69041148822345311</v>
      </c>
      <c r="BY108" s="3">
        <f t="shared" si="70"/>
        <v>-3.6093004158790583E-2</v>
      </c>
      <c r="BZ108" s="3">
        <f t="shared" si="71"/>
        <v>0.70418529538457797</v>
      </c>
      <c r="CA108" s="3">
        <f t="shared" si="72"/>
        <v>1.3980087308474578</v>
      </c>
      <c r="CB108"/>
      <c r="CC108" s="3">
        <v>2</v>
      </c>
      <c r="CD108" s="3">
        <f t="shared" ref="CD108:CD136" si="79">IF(CJ107&gt;0,CH107,CD107)</f>
        <v>3.1415926535897933E-3</v>
      </c>
      <c r="CE108" s="3">
        <v>-0.77574369667668941</v>
      </c>
      <c r="CF108" s="3">
        <f t="shared" ref="CF108:CF136" si="80">IF(CK107&gt;0,CH107,CF107)</f>
        <v>1.4152874904422017</v>
      </c>
      <c r="CG108" s="3">
        <v>1.0334180299889388</v>
      </c>
      <c r="CH108" s="3">
        <f t="shared" si="73"/>
        <v>0.70921454154789576</v>
      </c>
      <c r="CI108" s="3">
        <v>0.68737104185243381</v>
      </c>
      <c r="CJ108" s="3">
        <f t="shared" si="74"/>
        <v>-0.53322375299511438</v>
      </c>
      <c r="CK108" s="3">
        <f t="shared" si="75"/>
        <v>0.7103416279425866</v>
      </c>
      <c r="CL108" s="3">
        <f t="shared" si="76"/>
        <v>1.4121458977886119</v>
      </c>
    </row>
    <row r="109" spans="46:90" x14ac:dyDescent="0.2"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 s="3">
        <v>3</v>
      </c>
      <c r="BS109" s="3">
        <f t="shared" si="77"/>
        <v>3.1415926535897934E-2</v>
      </c>
      <c r="BT109" s="3">
        <v>-5.2277525467694722E-2</v>
      </c>
      <c r="BU109" s="3">
        <f t="shared" si="78"/>
        <v>0.73042029195962688</v>
      </c>
      <c r="BV109" s="3">
        <v>0.69041148822345311</v>
      </c>
      <c r="BW109" s="3">
        <f t="shared" si="69"/>
        <v>0.38091810924776243</v>
      </c>
      <c r="BX109" s="3">
        <v>0.4006748069212433</v>
      </c>
      <c r="BY109" s="3">
        <f t="shared" si="70"/>
        <v>-2.0946287423088961E-2</v>
      </c>
      <c r="BZ109" s="3">
        <f t="shared" si="71"/>
        <v>0.27663048974014032</v>
      </c>
      <c r="CA109" s="3">
        <f t="shared" si="72"/>
        <v>0.6990043654237289</v>
      </c>
      <c r="CB109"/>
      <c r="CC109" s="3">
        <v>3</v>
      </c>
      <c r="CD109" s="3">
        <f t="shared" si="79"/>
        <v>3.1415926535897933E-3</v>
      </c>
      <c r="CE109" s="3">
        <v>-0.77574369667668941</v>
      </c>
      <c r="CF109" s="3">
        <f t="shared" si="80"/>
        <v>0.70921454154789576</v>
      </c>
      <c r="CG109" s="3">
        <v>0.68737104185243381</v>
      </c>
      <c r="CH109" s="3">
        <f t="shared" si="73"/>
        <v>0.35617806710074279</v>
      </c>
      <c r="CI109" s="3">
        <v>0.39297247576945077</v>
      </c>
      <c r="CJ109" s="3">
        <f t="shared" si="74"/>
        <v>-0.3048459210455845</v>
      </c>
      <c r="CK109" s="3">
        <f t="shared" si="75"/>
        <v>0.27011790008897768</v>
      </c>
      <c r="CL109" s="3">
        <f t="shared" si="76"/>
        <v>0.70607294889430594</v>
      </c>
    </row>
    <row r="110" spans="46:90" x14ac:dyDescent="0.2"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 s="3">
        <v>4</v>
      </c>
      <c r="BS110" s="3">
        <f t="shared" si="77"/>
        <v>3.1415926535897934E-2</v>
      </c>
      <c r="BT110" s="3">
        <v>-5.2277525467694722E-2</v>
      </c>
      <c r="BU110" s="3">
        <f t="shared" si="78"/>
        <v>0.38091810924776243</v>
      </c>
      <c r="BV110" s="3">
        <v>0.4006748069212433</v>
      </c>
      <c r="BW110" s="3">
        <f t="shared" si="69"/>
        <v>0.20616701789183017</v>
      </c>
      <c r="BX110" s="3">
        <v>0.24280405988314108</v>
      </c>
      <c r="BY110" s="3">
        <f t="shared" si="70"/>
        <v>-1.2693195424200582E-2</v>
      </c>
      <c r="BZ110" s="3">
        <f t="shared" si="71"/>
        <v>9.728546981337155E-2</v>
      </c>
      <c r="CA110" s="3">
        <f t="shared" si="72"/>
        <v>0.34950218271186451</v>
      </c>
      <c r="CB110"/>
      <c r="CC110" s="3">
        <v>4</v>
      </c>
      <c r="CD110" s="3">
        <f t="shared" si="79"/>
        <v>3.1415926535897933E-3</v>
      </c>
      <c r="CE110" s="3">
        <v>-0.77574369667668941</v>
      </c>
      <c r="CF110" s="3">
        <f t="shared" si="80"/>
        <v>0.35617806710074279</v>
      </c>
      <c r="CG110" s="3">
        <v>0.39297247576945077</v>
      </c>
      <c r="CH110" s="3">
        <f t="shared" si="73"/>
        <v>0.1796598298771663</v>
      </c>
      <c r="CI110" s="3">
        <v>0.23319767050047624</v>
      </c>
      <c r="CJ110" s="3">
        <f t="shared" si="74"/>
        <v>-0.180901622970432</v>
      </c>
      <c r="CK110" s="3">
        <f t="shared" si="75"/>
        <v>9.1640265920240757E-2</v>
      </c>
      <c r="CL110" s="3">
        <f t="shared" si="76"/>
        <v>0.35303647444715297</v>
      </c>
    </row>
    <row r="111" spans="46:90" x14ac:dyDescent="0.2"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 s="3">
        <v>5</v>
      </c>
      <c r="BS111" s="3">
        <f t="shared" si="77"/>
        <v>3.1415926535897934E-2</v>
      </c>
      <c r="BT111" s="3">
        <v>-5.2277525467694722E-2</v>
      </c>
      <c r="BU111" s="3">
        <f t="shared" si="78"/>
        <v>0.20616701789183017</v>
      </c>
      <c r="BV111" s="3">
        <v>0.24280405988314108</v>
      </c>
      <c r="BW111" s="3">
        <f t="shared" si="69"/>
        <v>0.11879147221386405</v>
      </c>
      <c r="BX111" s="3">
        <v>0.13813998628961915</v>
      </c>
      <c r="BY111" s="3">
        <f t="shared" si="70"/>
        <v>-7.2216166513625647E-3</v>
      </c>
      <c r="BZ111" s="3">
        <f t="shared" si="71"/>
        <v>3.3540949503320976E-2</v>
      </c>
      <c r="CA111" s="3">
        <f t="shared" si="72"/>
        <v>0.17475109135593225</v>
      </c>
      <c r="CB111"/>
      <c r="CC111" s="3">
        <v>5</v>
      </c>
      <c r="CD111" s="3">
        <f t="shared" si="79"/>
        <v>3.1415926535897933E-3</v>
      </c>
      <c r="CE111" s="3">
        <v>-0.77574369667668941</v>
      </c>
      <c r="CF111" s="3">
        <f t="shared" si="80"/>
        <v>0.1796598298771663</v>
      </c>
      <c r="CG111" s="3">
        <v>0.23319767050047624</v>
      </c>
      <c r="CH111" s="3">
        <f t="shared" si="73"/>
        <v>9.1400711265378048E-2</v>
      </c>
      <c r="CI111" s="3">
        <v>0.11692310219164938</v>
      </c>
      <c r="CJ111" s="3">
        <f t="shared" si="74"/>
        <v>-9.0702359521056417E-2</v>
      </c>
      <c r="CK111" s="3">
        <f t="shared" si="75"/>
        <v>2.7266195058781764E-2</v>
      </c>
      <c r="CL111" s="3">
        <f t="shared" si="76"/>
        <v>0.17651823722357651</v>
      </c>
    </row>
    <row r="112" spans="46:90" x14ac:dyDescent="0.2"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 s="3">
        <v>6</v>
      </c>
      <c r="BS112" s="3">
        <f t="shared" si="77"/>
        <v>3.1415926535897934E-2</v>
      </c>
      <c r="BT112" s="3">
        <v>-5.2277525467694722E-2</v>
      </c>
      <c r="BU112" s="3">
        <f t="shared" si="78"/>
        <v>0.11879147221386405</v>
      </c>
      <c r="BV112" s="3">
        <v>0.13813998628961915</v>
      </c>
      <c r="BW112" s="3">
        <f t="shared" si="69"/>
        <v>7.5103699374880983E-2</v>
      </c>
      <c r="BX112" s="3">
        <v>7.2443877529097145E-2</v>
      </c>
      <c r="BY112" s="3">
        <f t="shared" si="70"/>
        <v>-3.7871866525059335E-3</v>
      </c>
      <c r="BZ112" s="3">
        <f t="shared" si="71"/>
        <v>1.0007396248636329E-2</v>
      </c>
      <c r="CA112" s="3">
        <f t="shared" si="72"/>
        <v>8.7375545677966113E-2</v>
      </c>
      <c r="CB112"/>
      <c r="CC112" s="3">
        <v>6</v>
      </c>
      <c r="CD112" s="3">
        <f t="shared" si="79"/>
        <v>3.1415926535897933E-3</v>
      </c>
      <c r="CE112" s="3">
        <v>-0.77574369667668941</v>
      </c>
      <c r="CF112" s="3">
        <f t="shared" si="80"/>
        <v>9.1400711265378048E-2</v>
      </c>
      <c r="CG112" s="3">
        <v>0.11692310219164938</v>
      </c>
      <c r="CH112" s="3">
        <f t="shared" si="73"/>
        <v>4.727115195948392E-2</v>
      </c>
      <c r="CI112" s="3">
        <v>3.9157736572097181E-2</v>
      </c>
      <c r="CJ112" s="3">
        <f t="shared" si="74"/>
        <v>-3.0376367321930664E-2</v>
      </c>
      <c r="CK112" s="3">
        <f t="shared" si="75"/>
        <v>4.578444034813005E-3</v>
      </c>
      <c r="CL112" s="3">
        <f t="shared" si="76"/>
        <v>8.8259118611788256E-2</v>
      </c>
    </row>
    <row r="113" spans="46:90" x14ac:dyDescent="0.2"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s="3">
        <v>7</v>
      </c>
      <c r="BS113" s="3">
        <f t="shared" si="77"/>
        <v>3.1415926535897934E-2</v>
      </c>
      <c r="BT113" s="3">
        <v>-5.2277525467694722E-2</v>
      </c>
      <c r="BU113" s="3">
        <f t="shared" si="78"/>
        <v>7.5103699374880983E-2</v>
      </c>
      <c r="BV113" s="3">
        <v>7.2443877529097145E-2</v>
      </c>
      <c r="BW113" s="3">
        <f t="shared" si="69"/>
        <v>5.3259812955389459E-2</v>
      </c>
      <c r="BX113" s="3">
        <v>2.671165210748086E-2</v>
      </c>
      <c r="BY113" s="3">
        <f t="shared" si="70"/>
        <v>-1.396419073333032E-3</v>
      </c>
      <c r="BZ113" s="3">
        <f t="shared" si="71"/>
        <v>1.935095653874193E-3</v>
      </c>
      <c r="CA113" s="3">
        <f t="shared" si="72"/>
        <v>4.3687772838983049E-2</v>
      </c>
      <c r="CB113"/>
      <c r="CC113" s="3">
        <v>7</v>
      </c>
      <c r="CD113" s="3">
        <f t="shared" si="79"/>
        <v>3.1415926535897933E-3</v>
      </c>
      <c r="CE113" s="3">
        <v>-0.77574369667668941</v>
      </c>
      <c r="CF113" s="3">
        <f t="shared" si="80"/>
        <v>4.727115195948392E-2</v>
      </c>
      <c r="CG113" s="3">
        <v>3.9157736572097181E-2</v>
      </c>
      <c r="CH113" s="3">
        <f t="shared" si="73"/>
        <v>2.5206372306536856E-2</v>
      </c>
      <c r="CI113" s="3">
        <v>-3.1421513916045821E-2</v>
      </c>
      <c r="CJ113" s="3">
        <f t="shared" si="74"/>
        <v>2.4375041360411423E-2</v>
      </c>
      <c r="CK113" s="3">
        <f t="shared" si="75"/>
        <v>-1.2303953646210079E-3</v>
      </c>
      <c r="CL113" s="3">
        <f t="shared" si="76"/>
        <v>4.4129559305894128E-2</v>
      </c>
    </row>
    <row r="114" spans="46:90" x14ac:dyDescent="0.2"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 s="3">
        <v>8</v>
      </c>
      <c r="BS114" s="3">
        <f t="shared" si="77"/>
        <v>3.1415926535897934E-2</v>
      </c>
      <c r="BT114" s="3">
        <v>-5.2277525467694722E-2</v>
      </c>
      <c r="BU114" s="3">
        <f t="shared" si="78"/>
        <v>5.3259812955389459E-2</v>
      </c>
      <c r="BV114" s="3">
        <v>2.671165210748086E-2</v>
      </c>
      <c r="BW114" s="3">
        <f t="shared" si="69"/>
        <v>4.23378697456437E-2</v>
      </c>
      <c r="BX114" s="3">
        <v>-5.3931652573093545E-3</v>
      </c>
      <c r="BY114" s="3">
        <f t="shared" si="70"/>
        <v>2.8194133409047611E-4</v>
      </c>
      <c r="BZ114" s="3">
        <f t="shared" si="71"/>
        <v>-1.4406035411139998E-4</v>
      </c>
      <c r="CA114" s="3">
        <f t="shared" si="72"/>
        <v>2.1843886419491525E-2</v>
      </c>
      <c r="CB114"/>
      <c r="CC114" s="3">
        <v>8</v>
      </c>
      <c r="CD114" s="3">
        <f t="shared" si="79"/>
        <v>2.5206372306536856E-2</v>
      </c>
      <c r="CE114" s="3">
        <v>-3.1421513916045821E-2</v>
      </c>
      <c r="CF114" s="3">
        <f t="shared" si="80"/>
        <v>4.727115195948392E-2</v>
      </c>
      <c r="CG114" s="3">
        <v>3.9157736572097181E-2</v>
      </c>
      <c r="CH114" s="3">
        <f t="shared" si="73"/>
        <v>3.6238762133010388E-2</v>
      </c>
      <c r="CI114" s="3">
        <v>1.0703095914989341E-2</v>
      </c>
      <c r="CJ114" s="3">
        <f t="shared" si="74"/>
        <v>-3.3630747723761075E-4</v>
      </c>
      <c r="CK114" s="3">
        <f t="shared" si="75"/>
        <v>4.1910901034504202E-4</v>
      </c>
      <c r="CL114" s="3">
        <f t="shared" si="76"/>
        <v>2.2064779652947064E-2</v>
      </c>
    </row>
    <row r="115" spans="46:90" x14ac:dyDescent="0.2"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s="3">
        <v>9</v>
      </c>
      <c r="BS115" s="3">
        <f t="shared" si="77"/>
        <v>4.23378697456437E-2</v>
      </c>
      <c r="BT115" s="3">
        <v>-5.3931652573093545E-3</v>
      </c>
      <c r="BU115" s="3">
        <f t="shared" si="78"/>
        <v>5.3259812955389459E-2</v>
      </c>
      <c r="BV115" s="3">
        <v>2.671165210748086E-2</v>
      </c>
      <c r="BW115" s="3">
        <f t="shared" si="69"/>
        <v>4.7798841350516583E-2</v>
      </c>
      <c r="BX115" s="3">
        <v>1.1873521699558931E-2</v>
      </c>
      <c r="BY115" s="3">
        <f t="shared" si="70"/>
        <v>-6.4035864711969948E-5</v>
      </c>
      <c r="BZ115" s="3">
        <f t="shared" si="71"/>
        <v>3.1716138092924306E-4</v>
      </c>
      <c r="CA115" s="3">
        <f t="shared" si="72"/>
        <v>1.0921943209745759E-2</v>
      </c>
      <c r="CB115"/>
      <c r="CC115" s="3">
        <v>9</v>
      </c>
      <c r="CD115" s="3">
        <f t="shared" si="79"/>
        <v>2.5206372306536856E-2</v>
      </c>
      <c r="CE115" s="3">
        <v>-3.1421513916045821E-2</v>
      </c>
      <c r="CF115" s="3">
        <f t="shared" si="80"/>
        <v>3.6238762133010388E-2</v>
      </c>
      <c r="CG115" s="3">
        <v>1.0703095914989341E-2</v>
      </c>
      <c r="CH115" s="3">
        <f t="shared" si="73"/>
        <v>3.0722567219773622E-2</v>
      </c>
      <c r="CI115" s="3">
        <v>-7.6746777206027055E-3</v>
      </c>
      <c r="CJ115" s="3">
        <f t="shared" si="74"/>
        <v>2.4114999279908474E-4</v>
      </c>
      <c r="CK115" s="3">
        <f t="shared" si="75"/>
        <v>-8.2142811760242522E-5</v>
      </c>
      <c r="CL115" s="3">
        <f t="shared" si="76"/>
        <v>1.1032389826473532E-2</v>
      </c>
    </row>
    <row r="116" spans="46:90" x14ac:dyDescent="0.2"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s="3">
        <v>10</v>
      </c>
      <c r="BS116" s="3">
        <f t="shared" si="77"/>
        <v>4.23378697456437E-2</v>
      </c>
      <c r="BT116" s="3">
        <v>-5.3931652573093545E-3</v>
      </c>
      <c r="BU116" s="3">
        <f t="shared" si="78"/>
        <v>4.7798841350516583E-2</v>
      </c>
      <c r="BV116" s="3">
        <v>1.1873521699558931E-2</v>
      </c>
      <c r="BW116" s="3">
        <f t="shared" si="69"/>
        <v>4.5068355548080141E-2</v>
      </c>
      <c r="BX116" s="3">
        <v>3.5990673278610275E-3</v>
      </c>
      <c r="BY116" s="3">
        <f t="shared" si="70"/>
        <v>-1.9410364871337309E-5</v>
      </c>
      <c r="BZ116" s="3">
        <f t="shared" si="71"/>
        <v>4.2733604015531485E-5</v>
      </c>
      <c r="CA116" s="3">
        <f t="shared" si="72"/>
        <v>5.4609716048728829E-3</v>
      </c>
      <c r="CB116"/>
      <c r="CC116" s="3">
        <v>10</v>
      </c>
      <c r="CD116" s="3">
        <f t="shared" si="79"/>
        <v>3.0722567219773622E-2</v>
      </c>
      <c r="CE116" s="3">
        <v>-7.6746777206027055E-3</v>
      </c>
      <c r="CF116" s="3">
        <f t="shared" si="80"/>
        <v>3.6238762133010388E-2</v>
      </c>
      <c r="CG116" s="3">
        <v>1.0703095914989341E-2</v>
      </c>
      <c r="CH116" s="3">
        <f t="shared" si="73"/>
        <v>3.3480664676392005E-2</v>
      </c>
      <c r="CI116" s="3">
        <v>2.0111421410013964E-3</v>
      </c>
      <c r="CJ116" s="3">
        <f t="shared" si="74"/>
        <v>-1.543486778250864E-5</v>
      </c>
      <c r="CK116" s="3">
        <f t="shared" si="75"/>
        <v>2.1525447233814962E-5</v>
      </c>
      <c r="CL116" s="3">
        <f t="shared" si="76"/>
        <v>5.516194913236766E-3</v>
      </c>
    </row>
    <row r="117" spans="46:90" x14ac:dyDescent="0.2"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3">
        <v>11</v>
      </c>
      <c r="BS117" s="3">
        <f t="shared" si="77"/>
        <v>4.23378697456437E-2</v>
      </c>
      <c r="BT117" s="3">
        <v>-5.3931652573093545E-3</v>
      </c>
      <c r="BU117" s="3">
        <f t="shared" si="78"/>
        <v>4.5068355548080141E-2</v>
      </c>
      <c r="BV117" s="3">
        <v>3.5990673278610275E-3</v>
      </c>
      <c r="BW117" s="3">
        <f t="shared" si="69"/>
        <v>4.370311264686192E-2</v>
      </c>
      <c r="BX117" s="3">
        <v>-7.9891286758212087E-4</v>
      </c>
      <c r="BY117" s="3">
        <f t="shared" si="70"/>
        <v>4.3086691210612829E-6</v>
      </c>
      <c r="BZ117" s="3">
        <f t="shared" si="71"/>
        <v>-2.8753411995225747E-6</v>
      </c>
      <c r="CA117" s="3">
        <f t="shared" si="72"/>
        <v>2.7304858024364415E-3</v>
      </c>
      <c r="CB117"/>
      <c r="CC117" s="3">
        <v>11</v>
      </c>
      <c r="CD117" s="3">
        <f t="shared" si="79"/>
        <v>3.0722567219773622E-2</v>
      </c>
      <c r="CE117" s="3">
        <v>-7.6746777206027055E-3</v>
      </c>
      <c r="CF117" s="3">
        <f t="shared" si="80"/>
        <v>3.3480664676392005E-2</v>
      </c>
      <c r="CG117" s="3">
        <v>2.0111421410013964E-3</v>
      </c>
      <c r="CH117" s="3">
        <f t="shared" si="73"/>
        <v>3.2101615948082814E-2</v>
      </c>
      <c r="CI117" s="3">
        <v>-2.6905848337252934E-3</v>
      </c>
      <c r="CJ117" s="3">
        <f t="shared" si="74"/>
        <v>2.0649371478783046E-5</v>
      </c>
      <c r="CK117" s="3">
        <f t="shared" si="75"/>
        <v>-5.4111485430441729E-6</v>
      </c>
      <c r="CL117" s="3">
        <f t="shared" si="76"/>
        <v>2.758097456618383E-3</v>
      </c>
    </row>
    <row r="118" spans="46:90" x14ac:dyDescent="0.2"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s="3">
        <v>12</v>
      </c>
      <c r="BS118" s="3">
        <f t="shared" si="77"/>
        <v>4.370311264686192E-2</v>
      </c>
      <c r="BT118" s="3">
        <v>-7.9891286758212087E-4</v>
      </c>
      <c r="BU118" s="3">
        <f t="shared" si="78"/>
        <v>4.5068355548080141E-2</v>
      </c>
      <c r="BV118" s="3">
        <v>3.5990673278610275E-3</v>
      </c>
      <c r="BW118" s="3">
        <f t="shared" si="69"/>
        <v>4.4385734097471027E-2</v>
      </c>
      <c r="BX118" s="3">
        <v>1.4234792656551507E-3</v>
      </c>
      <c r="BY118" s="3">
        <f t="shared" si="70"/>
        <v>-1.1372359020682481E-6</v>
      </c>
      <c r="BZ118" s="3">
        <f t="shared" si="71"/>
        <v>5.1231977169070606E-6</v>
      </c>
      <c r="CA118" s="3">
        <f t="shared" si="72"/>
        <v>1.3652429012182207E-3</v>
      </c>
      <c r="CB118"/>
      <c r="CC118" s="3">
        <v>12</v>
      </c>
      <c r="CD118" s="3">
        <f t="shared" si="79"/>
        <v>3.2101615948082814E-2</v>
      </c>
      <c r="CE118" s="3">
        <v>-2.6905848337252934E-3</v>
      </c>
      <c r="CF118" s="3">
        <f t="shared" si="80"/>
        <v>3.3480664676392005E-2</v>
      </c>
      <c r="CG118" s="3">
        <v>2.0111421410013964E-3</v>
      </c>
      <c r="CH118" s="3">
        <f t="shared" si="73"/>
        <v>3.2791140312237413E-2</v>
      </c>
      <c r="CI118" s="3">
        <v>-3.0677575842453847E-4</v>
      </c>
      <c r="CJ118" s="3">
        <f t="shared" si="74"/>
        <v>8.2540620297163765E-7</v>
      </c>
      <c r="CK118" s="3">
        <f t="shared" si="75"/>
        <v>-6.1696965560525345E-7</v>
      </c>
      <c r="CL118" s="3">
        <f t="shared" si="76"/>
        <v>1.3790487283091915E-3</v>
      </c>
    </row>
    <row r="119" spans="46:90" x14ac:dyDescent="0.2"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s="3">
        <v>13</v>
      </c>
      <c r="BS119" s="3">
        <f t="shared" si="77"/>
        <v>4.370311264686192E-2</v>
      </c>
      <c r="BT119" s="3">
        <v>-7.9891286758212087E-4</v>
      </c>
      <c r="BU119" s="3">
        <f t="shared" si="78"/>
        <v>4.4385734097471027E-2</v>
      </c>
      <c r="BV119" s="3">
        <v>1.4234792656551507E-3</v>
      </c>
      <c r="BW119" s="3">
        <f t="shared" si="69"/>
        <v>4.4044423372166477E-2</v>
      </c>
      <c r="BX119" s="3">
        <v>3.1826976305965229E-4</v>
      </c>
      <c r="BY119" s="3">
        <f t="shared" si="70"/>
        <v>-2.5426980907066897E-7</v>
      </c>
      <c r="BZ119" s="3">
        <f t="shared" si="71"/>
        <v>4.5305040860039267E-7</v>
      </c>
      <c r="CA119" s="3">
        <f t="shared" si="72"/>
        <v>6.8262145060910689E-4</v>
      </c>
      <c r="CB119"/>
      <c r="CC119" s="3">
        <v>13</v>
      </c>
      <c r="CD119" s="3">
        <f t="shared" si="79"/>
        <v>3.2791140312237413E-2</v>
      </c>
      <c r="CE119" s="3">
        <v>-3.0677575842453847E-4</v>
      </c>
      <c r="CF119" s="3">
        <f t="shared" si="80"/>
        <v>3.3480664676392005E-2</v>
      </c>
      <c r="CG119" s="3">
        <v>2.0111421410013964E-3</v>
      </c>
      <c r="CH119" s="3">
        <f t="shared" si="73"/>
        <v>3.3135902494314709E-2</v>
      </c>
      <c r="CI119" s="3">
        <v>8.6014798733854416E-4</v>
      </c>
      <c r="CJ119" s="3">
        <f t="shared" si="74"/>
        <v>-2.6387255117312219E-7</v>
      </c>
      <c r="CK119" s="3">
        <f t="shared" si="75"/>
        <v>1.7298798648340818E-6</v>
      </c>
      <c r="CL119" s="3">
        <f t="shared" si="76"/>
        <v>6.8952436415459228E-4</v>
      </c>
    </row>
    <row r="120" spans="46:90" x14ac:dyDescent="0.2"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s="3">
        <v>14</v>
      </c>
      <c r="BS120" s="3">
        <f t="shared" si="77"/>
        <v>4.370311264686192E-2</v>
      </c>
      <c r="BT120" s="3">
        <v>-7.9891286758212087E-4</v>
      </c>
      <c r="BU120" s="3">
        <f t="shared" si="78"/>
        <v>4.4044423372166477E-2</v>
      </c>
      <c r="BV120" s="3">
        <v>3.1826976305965229E-4</v>
      </c>
      <c r="BW120" s="3">
        <f t="shared" si="69"/>
        <v>4.3873768009514202E-2</v>
      </c>
      <c r="BX120" s="3">
        <v>-2.3880744472395141E-4</v>
      </c>
      <c r="BY120" s="3">
        <f t="shared" si="70"/>
        <v>1.9078634046437085E-7</v>
      </c>
      <c r="BZ120" s="3">
        <f t="shared" si="71"/>
        <v>-7.6005188849173021E-8</v>
      </c>
      <c r="CA120" s="3">
        <f t="shared" si="72"/>
        <v>3.4131072530455692E-4</v>
      </c>
      <c r="CB120"/>
      <c r="CC120" s="3">
        <v>14</v>
      </c>
      <c r="CD120" s="3">
        <f t="shared" si="79"/>
        <v>3.2791140312237413E-2</v>
      </c>
      <c r="CE120" s="3">
        <v>-3.0677575842453847E-4</v>
      </c>
      <c r="CF120" s="3">
        <f t="shared" si="80"/>
        <v>3.3135902494314709E-2</v>
      </c>
      <c r="CG120" s="3">
        <v>8.6014798733854416E-4</v>
      </c>
      <c r="CH120" s="3">
        <f t="shared" si="73"/>
        <v>3.2963521403276061E-2</v>
      </c>
      <c r="CI120" s="3">
        <v>2.7871034183840973E-4</v>
      </c>
      <c r="CJ120" s="3">
        <f t="shared" si="74"/>
        <v>-8.550157649824052E-8</v>
      </c>
      <c r="CK120" s="3">
        <f t="shared" si="75"/>
        <v>2.3973213958274577E-7</v>
      </c>
      <c r="CL120" s="3">
        <f t="shared" si="76"/>
        <v>3.4476218207729614E-4</v>
      </c>
    </row>
    <row r="121" spans="46:90" x14ac:dyDescent="0.2"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 s="3">
        <v>15</v>
      </c>
      <c r="BS121" s="3">
        <f t="shared" si="77"/>
        <v>4.3873768009514202E-2</v>
      </c>
      <c r="BT121" s="3">
        <v>-2.3880744472395141E-4</v>
      </c>
      <c r="BU121" s="3">
        <f t="shared" si="78"/>
        <v>4.4044423372166477E-2</v>
      </c>
      <c r="BV121" s="3">
        <v>3.1826976305965229E-4</v>
      </c>
      <c r="BW121" s="3">
        <f t="shared" si="69"/>
        <v>4.395909569084034E-2</v>
      </c>
      <c r="BX121" s="3">
        <v>4.0107481698803404E-5</v>
      </c>
      <c r="BY121" s="3">
        <f t="shared" si="70"/>
        <v>-9.5779652188038869E-9</v>
      </c>
      <c r="BZ121" s="3">
        <f t="shared" si="71"/>
        <v>1.2764998697197501E-8</v>
      </c>
      <c r="CA121" s="3">
        <f t="shared" si="72"/>
        <v>1.7065536265227499E-4</v>
      </c>
      <c r="CB121"/>
      <c r="CC121" s="3">
        <v>15</v>
      </c>
      <c r="CD121" s="3">
        <f t="shared" si="79"/>
        <v>3.2791140312237413E-2</v>
      </c>
      <c r="CE121" s="3">
        <v>-3.0677575842453847E-4</v>
      </c>
      <c r="CF121" s="3">
        <f t="shared" si="80"/>
        <v>3.2963521403276061E-2</v>
      </c>
      <c r="CG121" s="3">
        <v>2.7871034183840973E-4</v>
      </c>
      <c r="CH121" s="3">
        <f t="shared" si="73"/>
        <v>3.2877330857756737E-2</v>
      </c>
      <c r="CI121" s="3">
        <v>-1.3522444171647566E-5</v>
      </c>
      <c r="CJ121" s="3">
        <f t="shared" si="74"/>
        <v>4.1483580665106616E-9</v>
      </c>
      <c r="CK121" s="3">
        <f t="shared" si="75"/>
        <v>-3.7688450375707046E-9</v>
      </c>
      <c r="CL121" s="3">
        <f t="shared" si="76"/>
        <v>1.7238109103864807E-4</v>
      </c>
    </row>
    <row r="122" spans="46:90" x14ac:dyDescent="0.2"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 s="3">
        <v>16</v>
      </c>
      <c r="BS122" s="3">
        <f t="shared" si="77"/>
        <v>4.3873768009514202E-2</v>
      </c>
      <c r="BT122" s="3">
        <v>-2.3880744472395141E-4</v>
      </c>
      <c r="BU122" s="3">
        <f t="shared" si="78"/>
        <v>4.395909569084034E-2</v>
      </c>
      <c r="BV122" s="3">
        <v>4.0107481698803404E-5</v>
      </c>
      <c r="BW122" s="3">
        <f t="shared" si="69"/>
        <v>4.3916431850177268E-2</v>
      </c>
      <c r="BX122" s="3">
        <v>-9.9255626664512733E-5</v>
      </c>
      <c r="BY122" s="3">
        <f t="shared" si="70"/>
        <v>2.3702982578226781E-8</v>
      </c>
      <c r="BZ122" s="3">
        <f t="shared" si="71"/>
        <v>-3.9808932299502075E-9</v>
      </c>
      <c r="CA122" s="3">
        <f t="shared" si="72"/>
        <v>8.5327681326137494E-5</v>
      </c>
      <c r="CB122"/>
      <c r="CC122" s="3">
        <v>16</v>
      </c>
      <c r="CD122" s="3">
        <f t="shared" si="79"/>
        <v>3.2877330857756737E-2</v>
      </c>
      <c r="CE122" s="3">
        <v>-1.3522444171647566E-5</v>
      </c>
      <c r="CF122" s="3">
        <f t="shared" si="80"/>
        <v>3.2963521403276061E-2</v>
      </c>
      <c r="CG122" s="3">
        <v>2.7871034183840973E-4</v>
      </c>
      <c r="CH122" s="3">
        <f t="shared" si="73"/>
        <v>3.2920426130516399E-2</v>
      </c>
      <c r="CI122" s="3">
        <v>1.3272098537902644E-4</v>
      </c>
      <c r="CJ122" s="3">
        <f t="shared" si="74"/>
        <v>-1.7947121151939378E-9</v>
      </c>
      <c r="CK122" s="3">
        <f t="shared" si="75"/>
        <v>3.6990711204119039E-8</v>
      </c>
      <c r="CL122" s="3">
        <f t="shared" si="76"/>
        <v>8.6190545519324036E-5</v>
      </c>
    </row>
    <row r="123" spans="46:90" x14ac:dyDescent="0.2"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 s="3">
        <v>17</v>
      </c>
      <c r="BS123" s="3">
        <f t="shared" si="77"/>
        <v>4.3916431850177268E-2</v>
      </c>
      <c r="BT123" s="3">
        <v>-9.9255626664512733E-5</v>
      </c>
      <c r="BU123" s="3">
        <f t="shared" si="78"/>
        <v>4.395909569084034E-2</v>
      </c>
      <c r="BV123" s="3">
        <v>4.0107481698803404E-5</v>
      </c>
      <c r="BW123" s="3">
        <f t="shared" si="69"/>
        <v>4.39377637705088E-2</v>
      </c>
      <c r="BX123" s="3">
        <v>-2.9550518130380763E-5</v>
      </c>
      <c r="BY123" s="3">
        <f t="shared" si="70"/>
        <v>2.9330551952919877E-9</v>
      </c>
      <c r="BZ123" s="3">
        <f t="shared" si="71"/>
        <v>-1.1851968651044047E-9</v>
      </c>
      <c r="CA123" s="3">
        <f t="shared" si="72"/>
        <v>4.2663840663072217E-5</v>
      </c>
      <c r="CB123"/>
      <c r="CC123" s="3">
        <v>17</v>
      </c>
      <c r="CD123" s="3">
        <f t="shared" si="79"/>
        <v>3.2877330857756737E-2</v>
      </c>
      <c r="CE123" s="3">
        <v>-1.3522444171647566E-5</v>
      </c>
      <c r="CF123" s="3">
        <f t="shared" si="80"/>
        <v>3.2920426130516399E-2</v>
      </c>
      <c r="CG123" s="3">
        <v>1.3272098537902644E-4</v>
      </c>
      <c r="CH123" s="3">
        <f t="shared" si="73"/>
        <v>3.2898878494136571E-2</v>
      </c>
      <c r="CI123" s="3">
        <v>5.963109570061376E-5</v>
      </c>
      <c r="CJ123" s="3">
        <f t="shared" si="74"/>
        <v>-8.0635816250572278E-10</v>
      </c>
      <c r="CK123" s="3">
        <f t="shared" si="75"/>
        <v>7.9142977806164844E-9</v>
      </c>
      <c r="CL123" s="3">
        <f t="shared" si="76"/>
        <v>4.3095272759662018E-5</v>
      </c>
    </row>
    <row r="124" spans="46:90" x14ac:dyDescent="0.2"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 s="3">
        <v>18</v>
      </c>
      <c r="BS124" s="3">
        <f t="shared" si="77"/>
        <v>4.39377637705088E-2</v>
      </c>
      <c r="BT124" s="3">
        <v>-2.9550518130380763E-5</v>
      </c>
      <c r="BU124" s="3">
        <f t="shared" si="78"/>
        <v>4.395909569084034E-2</v>
      </c>
      <c r="BV124" s="3">
        <v>4.0107481698803404E-5</v>
      </c>
      <c r="BW124" s="3">
        <f t="shared" si="69"/>
        <v>4.3948429730674574E-2</v>
      </c>
      <c r="BX124" s="3">
        <v>5.2843660846499385E-6</v>
      </c>
      <c r="BY124" s="3">
        <f t="shared" si="70"/>
        <v>-1.5615575579201721E-10</v>
      </c>
      <c r="BZ124" s="3">
        <f t="shared" si="71"/>
        <v>2.1194261602987482E-10</v>
      </c>
      <c r="CA124" s="3">
        <f t="shared" si="72"/>
        <v>2.1331920331539578E-5</v>
      </c>
      <c r="CB124"/>
      <c r="CC124" s="3">
        <v>18</v>
      </c>
      <c r="CD124" s="3">
        <f t="shared" si="79"/>
        <v>3.2877330857756737E-2</v>
      </c>
      <c r="CE124" s="3">
        <v>-1.3522444171647566E-5</v>
      </c>
      <c r="CF124" s="3">
        <f t="shared" si="80"/>
        <v>3.2898878494136571E-2</v>
      </c>
      <c r="CG124" s="3">
        <v>5.963109570061376E-5</v>
      </c>
      <c r="CH124" s="3">
        <f t="shared" si="73"/>
        <v>3.2888104675946654E-2</v>
      </c>
      <c r="CI124" s="3">
        <v>2.3062290303411861E-5</v>
      </c>
      <c r="CJ124" s="3">
        <f t="shared" si="74"/>
        <v>-3.1185853309821591E-10</v>
      </c>
      <c r="CK124" s="3">
        <f t="shared" si="75"/>
        <v>1.3752296401580894E-9</v>
      </c>
      <c r="CL124" s="3">
        <f t="shared" si="76"/>
        <v>2.1547636379834478E-5</v>
      </c>
    </row>
    <row r="125" spans="46:90" x14ac:dyDescent="0.2"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 s="3">
        <v>19</v>
      </c>
      <c r="BS125" s="3">
        <f t="shared" si="77"/>
        <v>4.39377637705088E-2</v>
      </c>
      <c r="BT125" s="3">
        <v>-2.9550518130380763E-5</v>
      </c>
      <c r="BU125" s="3">
        <f t="shared" si="78"/>
        <v>4.3948429730674574E-2</v>
      </c>
      <c r="BV125" s="3">
        <v>5.2843660846499385E-6</v>
      </c>
      <c r="BW125" s="3">
        <f t="shared" si="69"/>
        <v>4.3943096750591687E-2</v>
      </c>
      <c r="BX125" s="3">
        <v>-1.2131604412124377E-5</v>
      </c>
      <c r="BY125" s="3">
        <f t="shared" si="70"/>
        <v>3.5849519613108868E-10</v>
      </c>
      <c r="BZ125" s="3">
        <f t="shared" si="71"/>
        <v>-6.4107838907819612E-11</v>
      </c>
      <c r="CA125" s="3">
        <f t="shared" si="72"/>
        <v>1.0665960165773258E-5</v>
      </c>
      <c r="CB125"/>
      <c r="CC125" s="3">
        <v>19</v>
      </c>
      <c r="CD125" s="3">
        <f t="shared" si="79"/>
        <v>3.2877330857756737E-2</v>
      </c>
      <c r="CE125" s="3">
        <v>-1.3522444171647566E-5</v>
      </c>
      <c r="CF125" s="3">
        <f t="shared" si="80"/>
        <v>3.2888104675946654E-2</v>
      </c>
      <c r="CG125" s="3">
        <v>2.3062290303411861E-5</v>
      </c>
      <c r="CH125" s="3">
        <f t="shared" si="73"/>
        <v>3.2882717766851699E-2</v>
      </c>
      <c r="CI125" s="3">
        <v>4.7719152349362179E-6</v>
      </c>
      <c r="CJ125" s="3">
        <f t="shared" si="74"/>
        <v>-6.452795735625949E-11</v>
      </c>
      <c r="CK125" s="3">
        <f t="shared" si="75"/>
        <v>1.1005129445137287E-10</v>
      </c>
      <c r="CL125" s="3">
        <f t="shared" si="76"/>
        <v>1.0773818189917239E-5</v>
      </c>
    </row>
    <row r="126" spans="46:90" x14ac:dyDescent="0.2"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 s="3">
        <v>20</v>
      </c>
      <c r="BS126" s="3">
        <f t="shared" si="77"/>
        <v>4.3943096750591687E-2</v>
      </c>
      <c r="BT126" s="3">
        <v>-1.2131604412124377E-5</v>
      </c>
      <c r="BU126" s="3">
        <f t="shared" si="78"/>
        <v>4.3948429730674574E-2</v>
      </c>
      <c r="BV126" s="3">
        <v>5.2843660846499385E-6</v>
      </c>
      <c r="BW126" s="3">
        <f t="shared" si="69"/>
        <v>4.394576324063313E-2</v>
      </c>
      <c r="BX126" s="3">
        <v>-3.4232513280159187E-6</v>
      </c>
      <c r="BY126" s="3">
        <f t="shared" si="70"/>
        <v>4.1529530914768549E-11</v>
      </c>
      <c r="BZ126" s="3">
        <f t="shared" si="71"/>
        <v>-1.8089713217000182E-11</v>
      </c>
      <c r="CA126" s="3">
        <f t="shared" si="72"/>
        <v>5.3329800828866292E-6</v>
      </c>
      <c r="CB126"/>
      <c r="CC126" s="3">
        <v>20</v>
      </c>
      <c r="CD126" s="3">
        <f t="shared" si="79"/>
        <v>3.2877330857756737E-2</v>
      </c>
      <c r="CE126" s="3">
        <v>-1.3522444171647566E-5</v>
      </c>
      <c r="CF126" s="3">
        <f t="shared" si="80"/>
        <v>3.2882717766851699E-2</v>
      </c>
      <c r="CG126" s="3">
        <v>4.7719152349362179E-6</v>
      </c>
      <c r="CH126" s="3">
        <f t="shared" si="73"/>
        <v>3.2880024312304218E-2</v>
      </c>
      <c r="CI126" s="3">
        <v>-4.37476629672022E-6</v>
      </c>
      <c r="CJ126" s="3">
        <f t="shared" si="74"/>
        <v>5.9157533011404543E-11</v>
      </c>
      <c r="CK126" s="3">
        <f t="shared" si="75"/>
        <v>-2.0876013940604716E-11</v>
      </c>
      <c r="CL126" s="3">
        <f t="shared" si="76"/>
        <v>5.386909094962089E-6</v>
      </c>
    </row>
    <row r="127" spans="46:90" x14ac:dyDescent="0.2"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 s="3">
        <v>21</v>
      </c>
      <c r="BS127" s="3">
        <f t="shared" si="77"/>
        <v>4.394576324063313E-2</v>
      </c>
      <c r="BT127" s="3">
        <v>-3.4232513280159187E-6</v>
      </c>
      <c r="BU127" s="3">
        <f t="shared" si="78"/>
        <v>4.3948429730674574E-2</v>
      </c>
      <c r="BV127" s="3">
        <v>5.2843660846499385E-6</v>
      </c>
      <c r="BW127" s="3">
        <f t="shared" si="69"/>
        <v>4.3947096485653855E-2</v>
      </c>
      <c r="BX127" s="3">
        <v>9.30649328874638E-7</v>
      </c>
      <c r="BY127" s="3">
        <f t="shared" si="70"/>
        <v>-3.1858465509872278E-12</v>
      </c>
      <c r="BZ127" s="3">
        <f t="shared" si="71"/>
        <v>4.9178917502073634E-12</v>
      </c>
      <c r="CA127" s="3">
        <f t="shared" si="72"/>
        <v>2.6664900414433146E-6</v>
      </c>
      <c r="CB127"/>
      <c r="CC127" s="3">
        <v>21</v>
      </c>
      <c r="CD127" s="3">
        <f t="shared" si="79"/>
        <v>3.2880024312304218E-2</v>
      </c>
      <c r="CE127" s="3">
        <v>-4.37476629672022E-6</v>
      </c>
      <c r="CF127" s="3">
        <f t="shared" si="80"/>
        <v>3.2882717766851699E-2</v>
      </c>
      <c r="CG127" s="3">
        <v>4.7719152349362179E-6</v>
      </c>
      <c r="CH127" s="3">
        <f t="shared" si="73"/>
        <v>3.2881371039577958E-2</v>
      </c>
      <c r="CI127" s="3">
        <v>1.986989958415418E-7</v>
      </c>
      <c r="CJ127" s="3">
        <f t="shared" si="74"/>
        <v>-8.6926167019972816E-13</v>
      </c>
      <c r="CK127" s="3">
        <f t="shared" si="75"/>
        <v>9.4817476542278141E-13</v>
      </c>
      <c r="CL127" s="3">
        <f t="shared" si="76"/>
        <v>2.6934545474810445E-6</v>
      </c>
    </row>
    <row r="128" spans="46:90" x14ac:dyDescent="0.2"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 s="3">
        <v>22</v>
      </c>
      <c r="BS128" s="3">
        <f t="shared" si="77"/>
        <v>4.394576324063313E-2</v>
      </c>
      <c r="BT128" s="3">
        <v>-3.4232513280159187E-6</v>
      </c>
      <c r="BU128" s="3">
        <f t="shared" si="78"/>
        <v>4.3947096485653855E-2</v>
      </c>
      <c r="BV128" s="3">
        <v>9.30649328874638E-7</v>
      </c>
      <c r="BW128" s="3">
        <f t="shared" si="69"/>
        <v>4.3946429863143496E-2</v>
      </c>
      <c r="BX128" s="3">
        <v>-1.2462780108750578E-6</v>
      </c>
      <c r="BY128" s="3">
        <f t="shared" si="70"/>
        <v>4.2663228558050788E-12</v>
      </c>
      <c r="BZ128" s="3">
        <f t="shared" si="71"/>
        <v>-1.1598477944120913E-12</v>
      </c>
      <c r="CA128" s="3">
        <f t="shared" si="72"/>
        <v>1.3332450207251267E-6</v>
      </c>
      <c r="CB128"/>
      <c r="CC128" s="3">
        <v>22</v>
      </c>
      <c r="CD128" s="3">
        <f t="shared" si="79"/>
        <v>3.2880024312304218E-2</v>
      </c>
      <c r="CE128" s="3">
        <v>-4.37476629672022E-6</v>
      </c>
      <c r="CF128" s="3">
        <f t="shared" si="80"/>
        <v>3.2881371039577958E-2</v>
      </c>
      <c r="CG128" s="3">
        <v>1.986989958415418E-7</v>
      </c>
      <c r="CH128" s="3">
        <f t="shared" si="73"/>
        <v>3.2880697675941088E-2</v>
      </c>
      <c r="CI128" s="3">
        <v>-2.088002516748011E-6</v>
      </c>
      <c r="CJ128" s="3">
        <f t="shared" si="74"/>
        <v>9.1345230377361947E-12</v>
      </c>
      <c r="CK128" s="3">
        <f t="shared" si="75"/>
        <v>-4.1488400339244185E-13</v>
      </c>
      <c r="CL128" s="3">
        <f t="shared" si="76"/>
        <v>1.3467272737405223E-6</v>
      </c>
    </row>
    <row r="129" spans="46:90" x14ac:dyDescent="0.2"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 s="3">
        <v>23</v>
      </c>
      <c r="BS129" s="3">
        <f t="shared" si="77"/>
        <v>4.3946429863143496E-2</v>
      </c>
      <c r="BT129" s="3">
        <v>-1.2462780108750578E-6</v>
      </c>
      <c r="BU129" s="3">
        <f t="shared" si="78"/>
        <v>4.3947096485653855E-2</v>
      </c>
      <c r="BV129" s="3">
        <v>9.30649328874638E-7</v>
      </c>
      <c r="BW129" s="3">
        <f t="shared" si="69"/>
        <v>4.3946763174398676E-2</v>
      </c>
      <c r="BX129" s="3">
        <v>-1.5780859394113125E-7</v>
      </c>
      <c r="BY129" s="3">
        <f t="shared" si="70"/>
        <v>1.9667338055594275E-13</v>
      </c>
      <c r="BZ129" s="3">
        <f t="shared" si="71"/>
        <v>-1.4686446204196408E-13</v>
      </c>
      <c r="CA129" s="3">
        <f t="shared" si="72"/>
        <v>6.6662251035909392E-7</v>
      </c>
      <c r="CB129"/>
      <c r="CC129" s="3">
        <v>23</v>
      </c>
      <c r="CD129" s="3">
        <f t="shared" si="79"/>
        <v>3.2880697675941088E-2</v>
      </c>
      <c r="CE129" s="3">
        <v>-2.088002516748011E-6</v>
      </c>
      <c r="CF129" s="3">
        <f t="shared" si="80"/>
        <v>3.2881371039577958E-2</v>
      </c>
      <c r="CG129" s="3">
        <v>1.986989958415418E-7</v>
      </c>
      <c r="CH129" s="3">
        <f t="shared" si="73"/>
        <v>3.288103435775952E-2</v>
      </c>
      <c r="CI129" s="3">
        <v>-9.446439773025915E-7</v>
      </c>
      <c r="CJ129" s="3">
        <f t="shared" si="74"/>
        <v>1.9724190020386622E-12</v>
      </c>
      <c r="CK129" s="3">
        <f t="shared" si="75"/>
        <v>-1.8769980971778514E-13</v>
      </c>
      <c r="CL129" s="3">
        <f t="shared" si="76"/>
        <v>6.7336363687026113E-7</v>
      </c>
    </row>
    <row r="130" spans="46:90" x14ac:dyDescent="0.2"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 s="3">
        <v>24</v>
      </c>
      <c r="BS130" s="3">
        <f t="shared" si="77"/>
        <v>4.3946763174398676E-2</v>
      </c>
      <c r="BT130" s="3">
        <v>-1.5780859394113125E-7</v>
      </c>
      <c r="BU130" s="3">
        <f t="shared" si="78"/>
        <v>4.3947096485653855E-2</v>
      </c>
      <c r="BV130" s="3">
        <v>9.30649328874638E-7</v>
      </c>
      <c r="BW130" s="3">
        <f t="shared" si="69"/>
        <v>4.3946929830026266E-2</v>
      </c>
      <c r="BX130" s="3">
        <v>3.8642180421460948E-7</v>
      </c>
      <c r="BY130" s="3">
        <f t="shared" si="70"/>
        <v>-6.0980681591302625E-14</v>
      </c>
      <c r="BZ130" s="3">
        <f t="shared" si="71"/>
        <v>3.5962319275485307E-13</v>
      </c>
      <c r="CA130" s="3">
        <f t="shared" si="72"/>
        <v>3.3331125517954696E-7</v>
      </c>
      <c r="CB130"/>
      <c r="CC130" s="3">
        <v>24</v>
      </c>
      <c r="CD130" s="3">
        <f t="shared" si="79"/>
        <v>3.288103435775952E-2</v>
      </c>
      <c r="CE130" s="3">
        <v>-9.446439773025915E-7</v>
      </c>
      <c r="CF130" s="3">
        <f t="shared" si="80"/>
        <v>3.2881371039577958E-2</v>
      </c>
      <c r="CG130" s="3">
        <v>1.986989958415418E-7</v>
      </c>
      <c r="CH130" s="3">
        <f t="shared" si="73"/>
        <v>3.2881202698668739E-2</v>
      </c>
      <c r="CI130" s="3">
        <v>-3.7297054496362655E-7</v>
      </c>
      <c r="CJ130" s="3">
        <f t="shared" si="74"/>
        <v>3.5232437901115521E-13</v>
      </c>
      <c r="CK130" s="3">
        <f t="shared" si="75"/>
        <v>-7.4108872762745205E-14</v>
      </c>
      <c r="CL130" s="3">
        <f t="shared" si="76"/>
        <v>3.3668181843860001E-7</v>
      </c>
    </row>
    <row r="131" spans="46:90" x14ac:dyDescent="0.2"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 s="3">
        <v>25</v>
      </c>
      <c r="BS131" s="3">
        <f t="shared" si="77"/>
        <v>4.3946763174398676E-2</v>
      </c>
      <c r="BT131" s="3">
        <v>-1.5780859394113125E-7</v>
      </c>
      <c r="BU131" s="3">
        <f t="shared" si="78"/>
        <v>4.3946929830026266E-2</v>
      </c>
      <c r="BV131" s="3">
        <v>3.8642180421460948E-7</v>
      </c>
      <c r="BW131" s="3">
        <f t="shared" si="69"/>
        <v>4.3946846502212471E-2</v>
      </c>
      <c r="BX131" s="3">
        <v>1.1430696431362006E-7</v>
      </c>
      <c r="BY131" s="3">
        <f t="shared" si="70"/>
        <v>-1.803862131601145E-14</v>
      </c>
      <c r="BZ131" s="3">
        <f t="shared" si="71"/>
        <v>4.4170703384364041E-14</v>
      </c>
      <c r="CA131" s="3">
        <f t="shared" si="72"/>
        <v>1.6665562758977348E-7</v>
      </c>
      <c r="CB131"/>
      <c r="CC131" s="3">
        <v>25</v>
      </c>
      <c r="CD131" s="3">
        <f t="shared" si="79"/>
        <v>3.2881202698668739E-2</v>
      </c>
      <c r="CE131" s="3">
        <v>-3.7297054496362655E-7</v>
      </c>
      <c r="CF131" s="3">
        <f t="shared" si="80"/>
        <v>3.2881371039577958E-2</v>
      </c>
      <c r="CG131" s="3">
        <v>1.986989958415418E-7</v>
      </c>
      <c r="CH131" s="3">
        <f t="shared" si="73"/>
        <v>3.2881286869123352E-2</v>
      </c>
      <c r="CI131" s="3">
        <v>-8.7135288106415798E-8</v>
      </c>
      <c r="CJ131" s="3">
        <f t="shared" si="74"/>
        <v>3.2498895890612505E-14</v>
      </c>
      <c r="CK131" s="3">
        <f t="shared" si="75"/>
        <v>-1.7313694249108259E-14</v>
      </c>
      <c r="CL131" s="3">
        <f t="shared" si="76"/>
        <v>1.6834090921930001E-7</v>
      </c>
    </row>
    <row r="132" spans="46:90" x14ac:dyDescent="0.2"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 s="3">
        <v>26</v>
      </c>
      <c r="BS132" s="3">
        <f t="shared" si="77"/>
        <v>4.3946763174398676E-2</v>
      </c>
      <c r="BT132" s="3">
        <v>-1.5780859394113125E-7</v>
      </c>
      <c r="BU132" s="3">
        <f t="shared" si="78"/>
        <v>4.3946846502212471E-2</v>
      </c>
      <c r="BV132" s="3">
        <v>1.1430696431362006E-7</v>
      </c>
      <c r="BW132" s="3">
        <f t="shared" si="69"/>
        <v>4.394680483830557E-2</v>
      </c>
      <c r="BX132" s="3">
        <v>-2.17507250240348E-8</v>
      </c>
      <c r="BY132" s="3">
        <f t="shared" si="70"/>
        <v>3.4324513332431103E-15</v>
      </c>
      <c r="BZ132" s="3">
        <f t="shared" si="71"/>
        <v>-2.4862593491177088E-15</v>
      </c>
      <c r="CA132" s="3">
        <f t="shared" si="72"/>
        <v>8.332781379488674E-8</v>
      </c>
      <c r="CB132"/>
      <c r="CC132" s="3">
        <v>26</v>
      </c>
      <c r="CD132" s="3">
        <f t="shared" si="79"/>
        <v>3.2881286869123352E-2</v>
      </c>
      <c r="CE132" s="3">
        <v>-8.7135288106415798E-8</v>
      </c>
      <c r="CF132" s="3">
        <f t="shared" si="80"/>
        <v>3.2881371039577958E-2</v>
      </c>
      <c r="CG132" s="3">
        <v>1.986989958415418E-7</v>
      </c>
      <c r="CH132" s="3">
        <f t="shared" si="73"/>
        <v>3.2881328954350655E-2</v>
      </c>
      <c r="CI132" s="3">
        <v>5.5781975459318761E-8</v>
      </c>
      <c r="CJ132" s="3">
        <f t="shared" si="74"/>
        <v>-4.8605785027927562E-15</v>
      </c>
      <c r="CK132" s="3">
        <f t="shared" si="75"/>
        <v>1.1083822509824166E-14</v>
      </c>
      <c r="CL132" s="3">
        <f t="shared" si="76"/>
        <v>8.4170454606180556E-8</v>
      </c>
    </row>
    <row r="133" spans="46:90" x14ac:dyDescent="0.2"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s="3">
        <v>27</v>
      </c>
      <c r="BS133" s="3">
        <f t="shared" si="77"/>
        <v>4.394680483830557E-2</v>
      </c>
      <c r="BT133" s="3">
        <v>-2.17507250240348E-8</v>
      </c>
      <c r="BU133" s="3">
        <f t="shared" si="78"/>
        <v>4.3946846502212471E-2</v>
      </c>
      <c r="BV133" s="3">
        <v>1.1430696431362006E-7</v>
      </c>
      <c r="BW133" s="3">
        <f t="shared" si="69"/>
        <v>4.3946825670259024E-2</v>
      </c>
      <c r="BX133" s="3">
        <v>4.6278142095367014E-8</v>
      </c>
      <c r="BY133" s="3">
        <f t="shared" si="70"/>
        <v>-1.0065831433395376E-15</v>
      </c>
      <c r="BZ133" s="3">
        <f t="shared" si="71"/>
        <v>5.2899139369957551E-15</v>
      </c>
      <c r="CA133" s="3">
        <f t="shared" si="72"/>
        <v>4.1663906900912817E-8</v>
      </c>
      <c r="CB133"/>
      <c r="CC133" s="3">
        <v>27</v>
      </c>
      <c r="CD133" s="3">
        <f t="shared" si="79"/>
        <v>3.2881286869123352E-2</v>
      </c>
      <c r="CE133" s="3">
        <v>-8.7135288106415798E-8</v>
      </c>
      <c r="CF133" s="3">
        <f t="shared" si="80"/>
        <v>3.2881328954350655E-2</v>
      </c>
      <c r="CG133" s="3">
        <v>5.5781975459318761E-8</v>
      </c>
      <c r="CH133" s="3">
        <f t="shared" si="73"/>
        <v>3.2881307911737004E-2</v>
      </c>
      <c r="CI133" s="3">
        <v>-1.5676625917098591E-8</v>
      </c>
      <c r="CJ133" s="3">
        <f t="shared" si="74"/>
        <v>1.3659873158228906E-15</v>
      </c>
      <c r="CK133" s="3">
        <f t="shared" si="75"/>
        <v>-8.7447316219251406E-16</v>
      </c>
      <c r="CL133" s="3">
        <f t="shared" si="76"/>
        <v>4.2085227303090278E-8</v>
      </c>
    </row>
    <row r="134" spans="46:90" x14ac:dyDescent="0.2"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I134"/>
      <c r="BJ134"/>
      <c r="BK134"/>
      <c r="BL134"/>
      <c r="BM134"/>
      <c r="BN134"/>
      <c r="BO134"/>
      <c r="BP134"/>
      <c r="BQ134"/>
      <c r="BR134" s="3">
        <v>28</v>
      </c>
      <c r="BS134" s="3">
        <f t="shared" si="77"/>
        <v>4.394680483830557E-2</v>
      </c>
      <c r="BT134" s="3">
        <v>-2.17507250240348E-8</v>
      </c>
      <c r="BU134" s="3">
        <f t="shared" si="78"/>
        <v>4.3946825670259024E-2</v>
      </c>
      <c r="BV134" s="3">
        <v>4.6278142095367014E-8</v>
      </c>
      <c r="BW134" s="3">
        <f t="shared" si="69"/>
        <v>4.3946815254282297E-2</v>
      </c>
      <c r="BX134" s="3">
        <v>1.2263714131016679E-8</v>
      </c>
      <c r="BY134" s="3">
        <f t="shared" si="70"/>
        <v>-2.6674467383711368E-16</v>
      </c>
      <c r="BZ134" s="3">
        <f t="shared" si="71"/>
        <v>5.6754190517215026E-16</v>
      </c>
      <c r="CA134" s="3">
        <f t="shared" si="72"/>
        <v>2.0831953453925856E-8</v>
      </c>
      <c r="CB134"/>
      <c r="CC134" s="3">
        <v>28</v>
      </c>
      <c r="CD134" s="3">
        <f t="shared" si="79"/>
        <v>3.2881307911737004E-2</v>
      </c>
      <c r="CE134" s="3">
        <v>-1.5676625917098591E-8</v>
      </c>
      <c r="CF134" s="3">
        <f t="shared" si="80"/>
        <v>3.2881328954350655E-2</v>
      </c>
      <c r="CG134" s="3">
        <v>5.5781975459318761E-8</v>
      </c>
      <c r="CH134" s="3">
        <f t="shared" si="73"/>
        <v>3.288131843304383E-2</v>
      </c>
      <c r="CI134" s="3">
        <v>2.0052682375270442E-8</v>
      </c>
      <c r="CJ134" s="3">
        <f t="shared" si="74"/>
        <v>-3.1435840023151074E-16</v>
      </c>
      <c r="CK134" s="3">
        <f t="shared" si="75"/>
        <v>1.1185782361508497E-15</v>
      </c>
      <c r="CL134" s="3">
        <f t="shared" si="76"/>
        <v>2.1042613651545139E-8</v>
      </c>
    </row>
    <row r="135" spans="46:90" x14ac:dyDescent="0.2"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I135"/>
      <c r="BJ135"/>
      <c r="BK135"/>
      <c r="BL135"/>
      <c r="BM135"/>
      <c r="BN135"/>
      <c r="BO135"/>
      <c r="BP135"/>
      <c r="BQ135"/>
      <c r="BR135" s="3">
        <v>29</v>
      </c>
      <c r="BS135" s="3">
        <f t="shared" si="77"/>
        <v>4.394680483830557E-2</v>
      </c>
      <c r="BT135" s="3">
        <v>-2.17507250240348E-8</v>
      </c>
      <c r="BU135" s="3">
        <f t="shared" si="78"/>
        <v>4.3946815254282297E-2</v>
      </c>
      <c r="BV135" s="3">
        <v>1.2263714131016679E-8</v>
      </c>
      <c r="BW135" s="3">
        <f t="shared" si="69"/>
        <v>4.394681004629393E-2</v>
      </c>
      <c r="BX135" s="3">
        <v>-4.7435040548271523E-9</v>
      </c>
      <c r="BY135" s="3">
        <f t="shared" si="70"/>
        <v>1.0317465234693948E-16</v>
      </c>
      <c r="BZ135" s="3">
        <f t="shared" si="71"/>
        <v>-5.8172977707718661E-17</v>
      </c>
      <c r="CA135" s="3">
        <f t="shared" si="72"/>
        <v>1.0415976726962928E-8</v>
      </c>
      <c r="CB135"/>
      <c r="CC135" s="3">
        <v>29</v>
      </c>
      <c r="CD135" s="3">
        <f t="shared" si="79"/>
        <v>3.2881307911737004E-2</v>
      </c>
      <c r="CE135" s="3">
        <v>-1.5676625917098591E-8</v>
      </c>
      <c r="CF135" s="3">
        <f t="shared" si="80"/>
        <v>3.288131843304383E-2</v>
      </c>
      <c r="CG135" s="3">
        <v>2.0052682375270442E-8</v>
      </c>
      <c r="CH135" s="3">
        <f t="shared" si="73"/>
        <v>3.2881313172390417E-2</v>
      </c>
      <c r="CI135" s="3">
        <v>2.1880301299091742E-9</v>
      </c>
      <c r="CJ135" s="3">
        <f t="shared" si="74"/>
        <v>-3.430092984192676E-17</v>
      </c>
      <c r="CK135" s="3">
        <f t="shared" si="75"/>
        <v>4.387587322259039E-17</v>
      </c>
      <c r="CL135" s="3">
        <f t="shared" si="76"/>
        <v>1.0521306825772569E-8</v>
      </c>
    </row>
    <row r="136" spans="46:90" x14ac:dyDescent="0.2">
      <c r="AT136"/>
      <c r="AU136"/>
      <c r="AV136"/>
      <c r="AW136"/>
      <c r="BI136"/>
      <c r="BJ136"/>
      <c r="BK136"/>
      <c r="BL136"/>
      <c r="BM136"/>
      <c r="BN136"/>
      <c r="BO136"/>
      <c r="BP136"/>
      <c r="BQ136"/>
      <c r="BR136" s="3">
        <v>30</v>
      </c>
      <c r="BS136" s="3">
        <f t="shared" si="77"/>
        <v>4.394681004629393E-2</v>
      </c>
      <c r="BT136" s="3">
        <v>-4.7435040548271523E-9</v>
      </c>
      <c r="BU136" s="3">
        <f t="shared" si="78"/>
        <v>4.3946815254282297E-2</v>
      </c>
      <c r="BV136" s="3">
        <v>1.2263714131016679E-8</v>
      </c>
      <c r="BW136" s="6">
        <f t="shared" si="69"/>
        <v>4.3946812650288117E-2</v>
      </c>
      <c r="BX136" s="3">
        <v>3.7601054162644809E-9</v>
      </c>
      <c r="BY136" s="3">
        <f t="shared" si="70"/>
        <v>-1.7836075288628103E-17</v>
      </c>
      <c r="BZ136" s="3">
        <f t="shared" si="71"/>
        <v>4.6112857927555063E-17</v>
      </c>
      <c r="CA136" s="3">
        <f t="shared" si="72"/>
        <v>5.2079883669509108E-9</v>
      </c>
      <c r="CB136"/>
      <c r="CC136" s="3">
        <v>30</v>
      </c>
      <c r="CD136" s="3">
        <f t="shared" si="79"/>
        <v>3.2881307911737004E-2</v>
      </c>
      <c r="CE136" s="3">
        <v>-1.5676625917098591E-8</v>
      </c>
      <c r="CF136" s="3">
        <f t="shared" si="80"/>
        <v>3.2881313172390417E-2</v>
      </c>
      <c r="CG136" s="3">
        <v>2.1880301299091742E-9</v>
      </c>
      <c r="CH136" s="6">
        <f t="shared" si="73"/>
        <v>3.288131054206371E-2</v>
      </c>
      <c r="CI136" s="3">
        <v>-6.7442974187141569E-9</v>
      </c>
      <c r="CJ136" s="3">
        <f t="shared" si="74"/>
        <v>1.0572782770683547E-16</v>
      </c>
      <c r="CK136" s="3">
        <f t="shared" si="75"/>
        <v>-1.4756725957215245E-17</v>
      </c>
      <c r="CL136" s="3">
        <f t="shared" si="76"/>
        <v>5.2606534128862847E-9</v>
      </c>
    </row>
  </sheetData>
  <mergeCells count="152">
    <mergeCell ref="O60:P60"/>
    <mergeCell ref="Q60:R60"/>
    <mergeCell ref="O36:P36"/>
    <mergeCell ref="Q36:R36"/>
    <mergeCell ref="CC104:CL104"/>
    <mergeCell ref="AI47:AL47"/>
    <mergeCell ref="BR104:CA104"/>
    <mergeCell ref="BJ60:BL60"/>
    <mergeCell ref="BR70:CA70"/>
    <mergeCell ref="CC70:CL70"/>
    <mergeCell ref="AT35:AT42"/>
    <mergeCell ref="AY42:BA42"/>
    <mergeCell ref="BN60:BP60"/>
    <mergeCell ref="CC36:CL36"/>
    <mergeCell ref="BN41:BP41"/>
    <mergeCell ref="AT44:AV44"/>
    <mergeCell ref="BJ41:BL41"/>
    <mergeCell ref="BR36:CA36"/>
    <mergeCell ref="BB42:BE42"/>
    <mergeCell ref="BF42:BH42"/>
    <mergeCell ref="BB43:BC43"/>
    <mergeCell ref="AY41:AZ41"/>
    <mergeCell ref="Q38:R38"/>
    <mergeCell ref="O53:P53"/>
    <mergeCell ref="AT7:AV7"/>
    <mergeCell ref="AX9:AZ9"/>
    <mergeCell ref="BB12:BD12"/>
    <mergeCell ref="BF12:BH12"/>
    <mergeCell ref="BB21:BD21"/>
    <mergeCell ref="BF21:BH21"/>
    <mergeCell ref="AT11:AT18"/>
    <mergeCell ref="AT19:AT26"/>
    <mergeCell ref="AT27:AT34"/>
    <mergeCell ref="AY29:AZ29"/>
    <mergeCell ref="AY30:AZ30"/>
    <mergeCell ref="BB30:BD30"/>
    <mergeCell ref="BF30:BH30"/>
    <mergeCell ref="BN22:BP22"/>
    <mergeCell ref="AX23:AX29"/>
    <mergeCell ref="AY23:AZ23"/>
    <mergeCell ref="AY24:AZ24"/>
    <mergeCell ref="AX14:AZ14"/>
    <mergeCell ref="AX22:AZ22"/>
    <mergeCell ref="BJ22:BL22"/>
    <mergeCell ref="AY25:AZ25"/>
    <mergeCell ref="AY26:AZ26"/>
    <mergeCell ref="AY27:AZ27"/>
    <mergeCell ref="AY28:AZ28"/>
    <mergeCell ref="CC2:CL2"/>
    <mergeCell ref="BB3:BD3"/>
    <mergeCell ref="BF3:BH3"/>
    <mergeCell ref="BJ3:BL3"/>
    <mergeCell ref="AT2:AV2"/>
    <mergeCell ref="AX2:AZ2"/>
    <mergeCell ref="BB2:BH2"/>
    <mergeCell ref="BJ2:BP2"/>
    <mergeCell ref="BR2:CA2"/>
    <mergeCell ref="BN3:BP3"/>
    <mergeCell ref="R13:T13"/>
    <mergeCell ref="R3:T3"/>
    <mergeCell ref="N17:P17"/>
    <mergeCell ref="R17:T17"/>
    <mergeCell ref="F20:H20"/>
    <mergeCell ref="F38:H38"/>
    <mergeCell ref="F50:H50"/>
    <mergeCell ref="B58:D58"/>
    <mergeCell ref="J30:L30"/>
    <mergeCell ref="B29:D29"/>
    <mergeCell ref="B35:D35"/>
    <mergeCell ref="J38:L38"/>
    <mergeCell ref="B40:D40"/>
    <mergeCell ref="F45:H45"/>
    <mergeCell ref="F57:H57"/>
    <mergeCell ref="B46:D46"/>
    <mergeCell ref="B52:D52"/>
    <mergeCell ref="O57:P57"/>
    <mergeCell ref="Q57:R57"/>
    <mergeCell ref="Q33:R33"/>
    <mergeCell ref="Q35:R35"/>
    <mergeCell ref="Q53:R53"/>
    <mergeCell ref="Q54:R54"/>
    <mergeCell ref="Q55:R55"/>
    <mergeCell ref="B1:D1"/>
    <mergeCell ref="B3:D3"/>
    <mergeCell ref="F8:H8"/>
    <mergeCell ref="J3:L3"/>
    <mergeCell ref="N3:P3"/>
    <mergeCell ref="F3:H3"/>
    <mergeCell ref="F25:H25"/>
    <mergeCell ref="B24:D24"/>
    <mergeCell ref="J7:L7"/>
    <mergeCell ref="J11:L11"/>
    <mergeCell ref="B13:D13"/>
    <mergeCell ref="B18:D18"/>
    <mergeCell ref="N13:P13"/>
    <mergeCell ref="O59:P59"/>
    <mergeCell ref="Q59:R59"/>
    <mergeCell ref="O34:P34"/>
    <mergeCell ref="O39:P39"/>
    <mergeCell ref="O50:P50"/>
    <mergeCell ref="O51:P51"/>
    <mergeCell ref="O52:P52"/>
    <mergeCell ref="Q34:R34"/>
    <mergeCell ref="Q39:R39"/>
    <mergeCell ref="Q50:R50"/>
    <mergeCell ref="Q51:R51"/>
    <mergeCell ref="Q52:R52"/>
    <mergeCell ref="O56:P56"/>
    <mergeCell ref="O58:P58"/>
    <mergeCell ref="Q56:R56"/>
    <mergeCell ref="Q58:R58"/>
    <mergeCell ref="O54:P54"/>
    <mergeCell ref="O55:P55"/>
    <mergeCell ref="O38:P38"/>
    <mergeCell ref="O37:P37"/>
    <mergeCell ref="Q37:R37"/>
    <mergeCell ref="O40:P40"/>
    <mergeCell ref="Q40:R40"/>
    <mergeCell ref="O41:P41"/>
    <mergeCell ref="O32:P32"/>
    <mergeCell ref="Q32:R32"/>
    <mergeCell ref="O33:P33"/>
    <mergeCell ref="O35:P35"/>
    <mergeCell ref="O47:P47"/>
    <mergeCell ref="Q47:R47"/>
    <mergeCell ref="O48:P48"/>
    <mergeCell ref="Q48:R48"/>
    <mergeCell ref="O49:P49"/>
    <mergeCell ref="Q49:R49"/>
    <mergeCell ref="Q42:R42"/>
    <mergeCell ref="O42:P42"/>
    <mergeCell ref="Q41:R41"/>
    <mergeCell ref="O43:P43"/>
    <mergeCell ref="Q43:R43"/>
    <mergeCell ref="O44:P44"/>
    <mergeCell ref="Q44:R44"/>
    <mergeCell ref="O45:P45"/>
    <mergeCell ref="Q45:R45"/>
    <mergeCell ref="O46:P46"/>
    <mergeCell ref="Q46:R46"/>
    <mergeCell ref="AY52:BA52"/>
    <mergeCell ref="AX50:AX52"/>
    <mergeCell ref="AX53:AX55"/>
    <mergeCell ref="AY55:BA55"/>
    <mergeCell ref="BB52:BD52"/>
    <mergeCell ref="BB55:BD55"/>
    <mergeCell ref="BE52:BG52"/>
    <mergeCell ref="BE55:BG55"/>
    <mergeCell ref="AY47:AZ47"/>
    <mergeCell ref="AY48:BA48"/>
    <mergeCell ref="BB48:BD48"/>
    <mergeCell ref="BE48:BG48"/>
  </mergeCells>
  <conditionalFormatting sqref="G17">
    <cfRule type="containsText" dxfId="23" priority="1" operator="containsText" text="FALSE">
      <formula>NOT(ISERROR(SEARCH("FALSE",G17)))</formula>
    </cfRule>
    <cfRule type="containsText" dxfId="22" priority="2" operator="containsText" text="TRUE">
      <formula>NOT(ISERROR(SEARCH("TRUE",G17)))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NOT(ISERROR(SEARCH("YES",G17)))</formula>
    </cfRule>
    <cfRule type="cellIs" dxfId="18" priority="6" operator="equal">
      <formula>"""YES"""</formula>
    </cfRule>
  </conditionalFormatting>
  <conditionalFormatting sqref="K28">
    <cfRule type="containsText" dxfId="17" priority="13" operator="containsText" text="FALSE">
      <formula>NOT(ISERROR(SEARCH("FALSE",K28)))</formula>
    </cfRule>
    <cfRule type="containsText" dxfId="16" priority="14" operator="containsText" text="TRUE">
      <formula>NOT(ISERROR(SEARCH("TRUE",K28)))</formula>
    </cfRule>
    <cfRule type="cellIs" dxfId="15" priority="15" operator="equal">
      <formula>1</formula>
    </cfRule>
    <cfRule type="cellIs" dxfId="14" priority="16" operator="equal">
      <formula>TRUE</formula>
    </cfRule>
    <cfRule type="containsText" dxfId="13" priority="17" operator="containsText" text="YES">
      <formula>NOT(ISERROR(SEARCH("YES",K28)))</formula>
    </cfRule>
    <cfRule type="cellIs" dxfId="12" priority="18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L136"/>
  <sheetViews>
    <sheetView topLeftCell="B6" workbookViewId="0">
      <selection activeCell="M15" sqref="M15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2.1640625" style="7" bestFit="1" customWidth="1"/>
    <col min="4" max="4" width="7.1640625" style="7" customWidth="1"/>
    <col min="5" max="5" width="5.6640625" style="7" customWidth="1"/>
    <col min="6" max="6" width="20.332031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4.33203125" style="7" customWidth="1"/>
    <col min="12" max="12" width="5" style="7" customWidth="1"/>
    <col min="13" max="13" width="6" style="7" customWidth="1"/>
    <col min="14" max="14" width="15.5" style="7" customWidth="1"/>
    <col min="15" max="15" width="11" style="7" customWidth="1"/>
    <col min="16" max="16" width="6.6640625" style="7" customWidth="1"/>
    <col min="17" max="17" width="6" style="7" customWidth="1"/>
    <col min="18" max="18" width="15.1640625" style="7" customWidth="1"/>
    <col min="19" max="19" width="11.6640625" style="7" customWidth="1"/>
    <col min="20" max="20" width="6.33203125" style="7" customWidth="1"/>
    <col min="21" max="21" width="4" style="7" customWidth="1"/>
    <col min="22" max="23" width="3.83203125" style="7" customWidth="1"/>
    <col min="24" max="24" width="5.5" style="7" customWidth="1"/>
    <col min="25" max="26" width="6.1640625" style="7" customWidth="1"/>
    <col min="27" max="27" width="6.6640625" style="7" customWidth="1"/>
    <col min="28" max="28" width="8.5" style="7" customWidth="1"/>
    <col min="29" max="29" width="14.6640625" style="7" customWidth="1"/>
    <col min="30" max="30" width="7.83203125" style="7" customWidth="1"/>
    <col min="31" max="31" width="10" style="7" customWidth="1"/>
    <col min="32" max="32" width="9.5" style="7" customWidth="1"/>
    <col min="33" max="33" width="13.6640625" style="7" customWidth="1"/>
    <col min="34" max="34" width="10.83203125" style="7"/>
    <col min="35" max="39" width="10.83203125" style="3"/>
    <col min="40" max="41" width="11" style="3" bestFit="1" customWidth="1"/>
    <col min="42" max="44" width="11.1640625" style="3" bestFit="1" customWidth="1"/>
    <col min="45" max="45" width="10.83203125" style="7"/>
    <col min="46" max="46" width="12" style="7" customWidth="1"/>
    <col min="47" max="47" width="11.33203125" style="7" customWidth="1"/>
    <col min="48" max="48" width="6.6640625" style="7" customWidth="1"/>
    <col min="49" max="49" width="11" style="7" bestFit="1" customWidth="1"/>
    <col min="50" max="50" width="13.1640625" style="7" bestFit="1" customWidth="1"/>
    <col min="51" max="51" width="18.33203125" style="7" customWidth="1"/>
    <col min="52" max="52" width="12.83203125" style="7" bestFit="1" customWidth="1"/>
    <col min="53" max="54" width="12.6640625" style="7" bestFit="1" customWidth="1"/>
    <col min="55" max="55" width="12.1640625" style="7" bestFit="1" customWidth="1"/>
    <col min="56" max="56" width="12.83203125" style="7" bestFit="1" customWidth="1"/>
    <col min="57" max="57" width="12.1640625" style="7" bestFit="1" customWidth="1"/>
    <col min="58" max="59" width="12.83203125" style="7" bestFit="1" customWidth="1"/>
    <col min="60" max="60" width="11.1640625" style="7" bestFit="1" customWidth="1"/>
    <col min="61" max="62" width="10.83203125" style="7"/>
    <col min="63" max="63" width="11.1640625" style="7" bestFit="1" customWidth="1"/>
    <col min="64" max="66" width="10.83203125" style="7"/>
    <col min="67" max="67" width="11" style="7" bestFit="1" customWidth="1"/>
    <col min="68" max="16384" width="10.83203125" style="7"/>
  </cols>
  <sheetData>
    <row r="1" spans="2:90" x14ac:dyDescent="0.2">
      <c r="B1" s="65" t="s">
        <v>0</v>
      </c>
      <c r="C1" s="65"/>
      <c r="D1" s="65"/>
    </row>
    <row r="2" spans="2:90" x14ac:dyDescent="0.2">
      <c r="X2" s="17" t="s">
        <v>104</v>
      </c>
      <c r="AI2" s="51" t="s">
        <v>238</v>
      </c>
      <c r="AT2" s="74" t="s">
        <v>149</v>
      </c>
      <c r="AU2" s="74"/>
      <c r="AV2" s="74"/>
      <c r="AX2" s="74" t="s">
        <v>150</v>
      </c>
      <c r="AY2" s="74"/>
      <c r="AZ2" s="74"/>
      <c r="BB2" s="74" t="s">
        <v>151</v>
      </c>
      <c r="BC2" s="74"/>
      <c r="BD2" s="74"/>
      <c r="BE2" s="74"/>
      <c r="BF2" s="74"/>
      <c r="BG2" s="74"/>
      <c r="BH2" s="74"/>
      <c r="BJ2" s="74" t="s">
        <v>152</v>
      </c>
      <c r="BK2" s="74"/>
      <c r="BL2" s="74"/>
      <c r="BM2" s="74"/>
      <c r="BN2" s="74"/>
      <c r="BO2" s="74"/>
      <c r="BP2" s="74"/>
      <c r="BR2" s="74" t="s">
        <v>153</v>
      </c>
      <c r="BS2" s="74"/>
      <c r="BT2" s="74"/>
      <c r="BU2" s="74"/>
      <c r="BV2" s="74"/>
      <c r="BW2" s="74"/>
      <c r="BX2" s="74"/>
      <c r="BY2" s="74"/>
      <c r="BZ2" s="74"/>
      <c r="CA2" s="74"/>
      <c r="CC2" s="74" t="s">
        <v>154</v>
      </c>
      <c r="CD2" s="74"/>
      <c r="CE2" s="74"/>
      <c r="CF2" s="74"/>
      <c r="CG2" s="74"/>
      <c r="CH2" s="74"/>
      <c r="CI2" s="74"/>
      <c r="CJ2" s="74"/>
      <c r="CK2" s="74"/>
      <c r="CL2" s="74"/>
    </row>
    <row r="3" spans="2:90" x14ac:dyDescent="0.2">
      <c r="B3" s="68" t="s">
        <v>139</v>
      </c>
      <c r="C3" s="73"/>
      <c r="D3" s="73"/>
      <c r="F3" s="66" t="s">
        <v>278</v>
      </c>
      <c r="G3" s="67"/>
      <c r="H3" s="67"/>
      <c r="J3" s="68" t="s">
        <v>113</v>
      </c>
      <c r="K3" s="68"/>
      <c r="L3" s="68"/>
      <c r="N3" s="68" t="s">
        <v>103</v>
      </c>
      <c r="O3" s="68"/>
      <c r="P3" s="68"/>
      <c r="R3" s="68" t="s">
        <v>102</v>
      </c>
      <c r="S3" s="68"/>
      <c r="T3" s="68"/>
      <c r="X3" s="8" t="s">
        <v>44</v>
      </c>
      <c r="Y3" s="8" t="s">
        <v>45</v>
      </c>
      <c r="Z3" s="8" t="s">
        <v>46</v>
      </c>
      <c r="AA3" s="8" t="s">
        <v>47</v>
      </c>
      <c r="AB3" s="8" t="s">
        <v>48</v>
      </c>
      <c r="AC3" s="8" t="s">
        <v>49</v>
      </c>
      <c r="AD3" s="8" t="s">
        <v>50</v>
      </c>
      <c r="AE3" s="8" t="s">
        <v>51</v>
      </c>
      <c r="AF3" s="8" t="s">
        <v>52</v>
      </c>
      <c r="AG3" s="8" t="s">
        <v>53</v>
      </c>
      <c r="AI3" s="8" t="s">
        <v>44</v>
      </c>
      <c r="AJ3" s="8" t="s">
        <v>45</v>
      </c>
      <c r="AK3" s="8" t="s">
        <v>46</v>
      </c>
      <c r="AL3" s="8" t="s">
        <v>47</v>
      </c>
      <c r="AM3" s="8" t="s">
        <v>48</v>
      </c>
      <c r="AN3" s="8" t="s">
        <v>49</v>
      </c>
      <c r="AO3" s="8" t="s">
        <v>50</v>
      </c>
      <c r="AP3" s="8" t="s">
        <v>51</v>
      </c>
      <c r="AQ3" s="8" t="s">
        <v>52</v>
      </c>
      <c r="AR3" s="8" t="s">
        <v>53</v>
      </c>
      <c r="AT3" s="3" t="s">
        <v>156</v>
      </c>
      <c r="AU3" s="3">
        <f>$G$9</f>
        <v>0.50800000000000001</v>
      </c>
      <c r="AV3" s="27" t="s">
        <v>10</v>
      </c>
      <c r="AX3" s="3" t="s">
        <v>157</v>
      </c>
      <c r="AY3" s="3">
        <f>0.5*AU9</f>
        <v>1.524</v>
      </c>
      <c r="AZ3" s="27" t="s">
        <v>8</v>
      </c>
      <c r="BB3" s="75" t="s">
        <v>158</v>
      </c>
      <c r="BC3" s="75"/>
      <c r="BD3" s="75"/>
      <c r="BF3" s="75" t="s">
        <v>159</v>
      </c>
      <c r="BG3" s="75"/>
      <c r="BH3" s="75"/>
      <c r="BJ3" s="75" t="s">
        <v>158</v>
      </c>
      <c r="BK3" s="75"/>
      <c r="BL3" s="75"/>
      <c r="BM3" s="3"/>
      <c r="BN3" s="75" t="s">
        <v>159</v>
      </c>
      <c r="BO3" s="75"/>
      <c r="BP3" s="75"/>
      <c r="BR3" s="8" t="s">
        <v>44</v>
      </c>
      <c r="BS3" s="8" t="s">
        <v>45</v>
      </c>
      <c r="BT3" s="8" t="s">
        <v>46</v>
      </c>
      <c r="BU3" s="8" t="s">
        <v>47</v>
      </c>
      <c r="BV3" s="8" t="s">
        <v>48</v>
      </c>
      <c r="BW3" s="8" t="s">
        <v>49</v>
      </c>
      <c r="BX3" s="8" t="s">
        <v>50</v>
      </c>
      <c r="BY3" s="8" t="s">
        <v>51</v>
      </c>
      <c r="BZ3" s="8" t="s">
        <v>52</v>
      </c>
      <c r="CA3" s="8" t="s">
        <v>53</v>
      </c>
      <c r="CC3" s="8" t="s">
        <v>44</v>
      </c>
      <c r="CD3" s="8" t="s">
        <v>45</v>
      </c>
      <c r="CE3" s="8" t="s">
        <v>46</v>
      </c>
      <c r="CF3" s="8" t="s">
        <v>47</v>
      </c>
      <c r="CG3" s="8" t="s">
        <v>48</v>
      </c>
      <c r="CH3" s="8" t="s">
        <v>49</v>
      </c>
      <c r="CI3" s="8" t="s">
        <v>50</v>
      </c>
      <c r="CJ3" s="8" t="s">
        <v>51</v>
      </c>
      <c r="CK3" s="8" t="s">
        <v>52</v>
      </c>
      <c r="CL3" s="8" t="s">
        <v>53</v>
      </c>
    </row>
    <row r="4" spans="2:90" x14ac:dyDescent="0.2">
      <c r="B4" s="7" t="s">
        <v>39</v>
      </c>
      <c r="C4" s="4" t="s">
        <v>239</v>
      </c>
      <c r="F4" s="7" t="s">
        <v>279</v>
      </c>
      <c r="G4" s="18">
        <f>15+15</f>
        <v>30</v>
      </c>
      <c r="H4" s="7" t="s">
        <v>14</v>
      </c>
      <c r="J4" s="7" t="s">
        <v>114</v>
      </c>
      <c r="K4" s="7">
        <f>MAX(G18,G55)</f>
        <v>1640.4539029117582</v>
      </c>
      <c r="L4" s="7" t="s">
        <v>116</v>
      </c>
      <c r="N4" s="7" t="s">
        <v>240</v>
      </c>
      <c r="O4" s="7">
        <f>$C$5*$C$74*COS(G34/180*PI())</f>
        <v>39763.808997505221</v>
      </c>
      <c r="P4" s="7" t="s">
        <v>22</v>
      </c>
      <c r="R4" s="7" t="s">
        <v>240</v>
      </c>
      <c r="S4" s="7">
        <f xml:space="preserve"> $C$5 * $C$80</f>
        <v>39986.220051761309</v>
      </c>
      <c r="T4" s="7" t="s">
        <v>22</v>
      </c>
      <c r="X4" s="3">
        <v>0</v>
      </c>
      <c r="Y4" s="4">
        <v>0</v>
      </c>
      <c r="Z4" s="3">
        <f t="shared" ref="Z4:Z34" si="0" xml:space="preserve"> $S$22 * TAN($S$19/180*PI()) + $S$23 / (2 * SQRT($S$22^2 + Y4^2)) - Y4</f>
        <v>2.8727716027942187</v>
      </c>
      <c r="AA4" s="4">
        <v>1</v>
      </c>
      <c r="AB4" s="3">
        <f t="shared" ref="AB4:AB34" si="1" xml:space="preserve"> $S$22 * TAN($S$19/180*PI()) + $S$23 / (2 * SQRT($S$22^2 + AA4^2)) - AA4</f>
        <v>-5.4914225569158148E-2</v>
      </c>
      <c r="AC4" s="3">
        <f xml:space="preserve"> (Y4 + AA4)/2</f>
        <v>0.5</v>
      </c>
      <c r="AD4" s="3">
        <f t="shared" ref="AD4:AD34" si="2" xml:space="preserve"> $S$22 * TAN($S$19/180*PI()) + $S$23 / (2 * SQRT($S$22^2 + AC4^2)) - AC4</f>
        <v>0.58774736553336471</v>
      </c>
      <c r="AE4" s="3">
        <f>Z4*AD4</f>
        <v>1.6884639413213636</v>
      </c>
      <c r="AF4" s="3">
        <f>AB4*AD4</f>
        <v>-3.2275691408577639E-2</v>
      </c>
      <c r="AG4" s="3">
        <f>AA4-Y4</f>
        <v>1</v>
      </c>
      <c r="AI4" s="3">
        <v>0</v>
      </c>
      <c r="AK4" s="3">
        <f>K32</f>
        <v>1.0204530553892255E-9</v>
      </c>
      <c r="AM4" s="3">
        <f>K32</f>
        <v>1.0204530553892255E-9</v>
      </c>
      <c r="AO4" s="3">
        <f>K32</f>
        <v>1.0204530553892255E-9</v>
      </c>
      <c r="AT4" s="3" t="s">
        <v>163</v>
      </c>
      <c r="AU4" s="3">
        <f>$C$6</f>
        <v>1042.76649142774</v>
      </c>
      <c r="AV4" s="27" t="s">
        <v>146</v>
      </c>
      <c r="AX4" s="3" t="s">
        <v>164</v>
      </c>
      <c r="AY4" s="3">
        <f>PI()*AY3^2</f>
        <v>7.2965876990039682</v>
      </c>
      <c r="AZ4" s="27" t="s">
        <v>11</v>
      </c>
      <c r="BB4" s="3" t="s">
        <v>165</v>
      </c>
      <c r="BC4" s="3">
        <f>2*($AU$19 - $AU$10)</f>
        <v>0.15049500000000005</v>
      </c>
      <c r="BD4" s="27" t="s">
        <v>8</v>
      </c>
      <c r="BF4" s="3" t="s">
        <v>165</v>
      </c>
      <c r="BG4" s="3">
        <f>$AU$20-$AU$19</f>
        <v>0.15049500000000005</v>
      </c>
      <c r="BH4" s="27" t="s">
        <v>8</v>
      </c>
      <c r="BJ4" s="29" t="s">
        <v>166</v>
      </c>
      <c r="BK4" s="30">
        <f>BW34</f>
        <v>0.34534131216793357</v>
      </c>
      <c r="BL4" s="6" t="s">
        <v>167</v>
      </c>
      <c r="BM4" s="3"/>
      <c r="BN4" s="29" t="s">
        <v>166</v>
      </c>
      <c r="BO4" s="30">
        <f>CH34</f>
        <v>0.29399210410524973</v>
      </c>
      <c r="BP4" s="6" t="s">
        <v>167</v>
      </c>
      <c r="BR4" s="31">
        <v>0</v>
      </c>
      <c r="BS4" s="31"/>
      <c r="BT4" s="31">
        <f>$BK$20</f>
        <v>-1.7774153985433694E-8</v>
      </c>
      <c r="BU4" s="31"/>
      <c r="BV4" s="31">
        <f>$BK$20</f>
        <v>-1.7774153985433694E-8</v>
      </c>
      <c r="BW4" s="31"/>
      <c r="BX4" s="31">
        <f>$BK$20</f>
        <v>-1.7774153985433694E-8</v>
      </c>
      <c r="BY4" s="31"/>
      <c r="BZ4" s="31"/>
      <c r="CA4" s="31"/>
      <c r="CC4" s="31">
        <v>0</v>
      </c>
      <c r="CD4" s="31"/>
      <c r="CE4" s="31">
        <f>$BO$20</f>
        <v>-1.1323439940910673E-8</v>
      </c>
      <c r="CF4" s="31"/>
      <c r="CG4" s="31">
        <f>$BO$20</f>
        <v>-1.1323439940910673E-8</v>
      </c>
      <c r="CH4" s="31"/>
      <c r="CI4" s="31">
        <f>$BO$20</f>
        <v>-1.1323439940910673E-8</v>
      </c>
      <c r="CJ4" s="31"/>
      <c r="CK4" s="31"/>
      <c r="CL4" s="31"/>
    </row>
    <row r="5" spans="2:90" x14ac:dyDescent="0.2">
      <c r="B5" s="11" t="s">
        <v>40</v>
      </c>
      <c r="C5" s="11">
        <f>AN44</f>
        <v>4081.3620803505728</v>
      </c>
      <c r="D5" s="11" t="s">
        <v>7</v>
      </c>
      <c r="F5" s="7" t="s">
        <v>280</v>
      </c>
      <c r="G5" s="18">
        <v>10</v>
      </c>
      <c r="H5" s="7" t="s">
        <v>61</v>
      </c>
      <c r="J5" s="7" t="s">
        <v>115</v>
      </c>
      <c r="K5" s="7">
        <f>K4/$C$23</f>
        <v>205.05673786396977</v>
      </c>
      <c r="L5" s="7" t="s">
        <v>116</v>
      </c>
      <c r="N5" s="7" t="s">
        <v>25</v>
      </c>
      <c r="O5" s="7">
        <f>0.5*$C$71*$G$26^2</f>
        <v>877.13111973536161</v>
      </c>
      <c r="P5" s="7" t="s">
        <v>26</v>
      </c>
      <c r="R5" s="7" t="s">
        <v>25</v>
      </c>
      <c r="S5" s="7">
        <f xml:space="preserve"> 0.5 * $C$77 * $C$9^2</f>
        <v>824.82807327346154</v>
      </c>
      <c r="T5" s="7" t="s">
        <v>26</v>
      </c>
      <c r="X5" s="3">
        <v>1</v>
      </c>
      <c r="Y5" s="3">
        <f>IF(AE4&gt;0, AC4, Y4)</f>
        <v>0.5</v>
      </c>
      <c r="Z5" s="3">
        <f t="shared" si="0"/>
        <v>0.58774736553336471</v>
      </c>
      <c r="AA5" s="3">
        <f>IF(AF4&gt;0, AC4, AA4)</f>
        <v>1</v>
      </c>
      <c r="AB5" s="3">
        <f t="shared" si="1"/>
        <v>-5.4914225569158148E-2</v>
      </c>
      <c r="AC5" s="3">
        <f t="shared" ref="AC5:AC34" si="3" xml:space="preserve"> (Y5 + AA5)/2</f>
        <v>0.75</v>
      </c>
      <c r="AD5" s="3">
        <f t="shared" si="2"/>
        <v>0.24297306255309792</v>
      </c>
      <c r="AE5" s="3">
        <f t="shared" ref="AE5:AE34" si="4">Z5*AD5</f>
        <v>0.14280677741115674</v>
      </c>
      <c r="AF5" s="3">
        <f t="shared" ref="AF5:AF34" si="5">AB5*AD5</f>
        <v>-1.3342677564269993E-2</v>
      </c>
      <c r="AG5" s="3">
        <f t="shared" ref="AG5:AG34" si="6">AA5-Y5</f>
        <v>0.5</v>
      </c>
      <c r="AI5" s="3">
        <v>1</v>
      </c>
      <c r="AJ5" s="4">
        <v>500</v>
      </c>
      <c r="AK5" s="3">
        <f t="dataTable" ref="AK5:AK44" dt2D="0" dtr="0" r1="C5" ca="1"/>
        <v>-1519.3737804615105</v>
      </c>
      <c r="AL5" s="4">
        <v>5000</v>
      </c>
      <c r="AM5" s="3">
        <f t="dataTable" ref="AM5:AM44" dt2D="0" dtr="0" r1="C5" ca="1"/>
        <v>1082.1268931897957</v>
      </c>
      <c r="AN5" s="3">
        <f>(AJ5+AL5)/2</f>
        <v>2750</v>
      </c>
      <c r="AO5" s="3">
        <f t="dataTable" ref="AO5:AO44" dt2D="0" dtr="0" r1="C5" ca="1"/>
        <v>-436.25455542354393</v>
      </c>
      <c r="AP5" s="3">
        <f>AK5*AO5</f>
        <v>662833.73311742547</v>
      </c>
      <c r="AQ5" s="3">
        <f>AM5*AO5</f>
        <v>-472082.78670037515</v>
      </c>
      <c r="AR5" s="3">
        <f>AL5-AJ5</f>
        <v>4500</v>
      </c>
      <c r="AT5" s="3" t="s">
        <v>169</v>
      </c>
      <c r="AU5" s="4">
        <v>15</v>
      </c>
      <c r="AV5" s="27" t="s">
        <v>43</v>
      </c>
      <c r="AX5" s="3" t="s">
        <v>29</v>
      </c>
      <c r="AY5" s="3">
        <f>AU4*2*PI()/60</f>
        <v>109.19825162929973</v>
      </c>
      <c r="AZ5" s="27" t="s">
        <v>30</v>
      </c>
      <c r="BB5" s="3" t="s">
        <v>170</v>
      </c>
      <c r="BC5" s="3">
        <f>(1+$BK$18)*$AU$3</f>
        <v>12.943502105538183</v>
      </c>
      <c r="BD5" s="27" t="s">
        <v>10</v>
      </c>
      <c r="BF5" s="3" t="s">
        <v>170</v>
      </c>
      <c r="BG5" s="3">
        <f>(1+$BO$18)*$AU$3</f>
        <v>16.029214335663795</v>
      </c>
      <c r="BH5" s="27" t="s">
        <v>10</v>
      </c>
      <c r="BJ5" s="3" t="s">
        <v>171</v>
      </c>
      <c r="BK5" s="3">
        <f>($AU$35+$AU$5)/180*PI()</f>
        <v>0.3902447124381071</v>
      </c>
      <c r="BL5" s="3" t="s">
        <v>167</v>
      </c>
      <c r="BM5" s="3"/>
      <c r="BN5" s="3" t="s">
        <v>171</v>
      </c>
      <c r="BO5" s="3">
        <f>($AU$36+$AU$5)/180*PI()</f>
        <v>0.36439202289294115</v>
      </c>
      <c r="BP5" s="3" t="s">
        <v>167</v>
      </c>
      <c r="BR5" s="3">
        <v>1</v>
      </c>
      <c r="BS5" s="4">
        <f>0.01*PI()</f>
        <v>3.1415926535897934E-2</v>
      </c>
      <c r="BT5" s="3">
        <f t="dataTable" ref="BT5:BT34" dt2D="0" dtr="0" r1="BK4" ca="1"/>
        <v>-7.2176631954332899</v>
      </c>
      <c r="BU5" s="4">
        <f>0.9*PI()</f>
        <v>2.8274333882308138</v>
      </c>
      <c r="BV5" s="3">
        <f t="dataTable" ref="BV5:BV34" dt2D="0" dtr="0" r1="BK4" ca="1"/>
        <v>0.8747082038257612</v>
      </c>
      <c r="BW5" s="3">
        <f t="shared" ref="BW5:BW34" si="7">(BS5+BU5)/2</f>
        <v>1.4294246573833558</v>
      </c>
      <c r="BX5" s="3">
        <f t="dataTable" ref="BX5:BX34" dt2D="0" dtr="0" r1="BK4"/>
        <v>1.4126756062357355</v>
      </c>
      <c r="BY5" s="3">
        <f t="shared" ref="BY5:BY34" si="8">BT5*BX5</f>
        <v>-10.196216730214079</v>
      </c>
      <c r="BZ5" s="3">
        <f t="shared" ref="BZ5:BZ34" si="9">BV5*BX5</f>
        <v>1.2356789421189285</v>
      </c>
      <c r="CA5" s="3">
        <f t="shared" ref="CA5:CA34" si="10">BU5-BS5</f>
        <v>2.7960174616949161</v>
      </c>
      <c r="CC5" s="3">
        <v>1</v>
      </c>
      <c r="CD5" s="4">
        <f>0.01*PI()</f>
        <v>3.1415926535897934E-2</v>
      </c>
      <c r="CE5" s="3">
        <f t="dataTable" ref="CE5:CE34" dt2D="0" dtr="0" r1="BO4" ca="1"/>
        <v>-5.4268457558663989</v>
      </c>
      <c r="CF5" s="4">
        <f>0.9*PI()</f>
        <v>2.8274333882308138</v>
      </c>
      <c r="CG5" s="3">
        <f t="dataTable" ref="CG5:CG34" dt2D="0" dtr="0" r1="BO4" ca="1"/>
        <v>0.61690112546774301</v>
      </c>
      <c r="CH5" s="3">
        <f t="shared" ref="CH5:CH34" si="11">(CD5+CF5)/2</f>
        <v>1.4294246573833558</v>
      </c>
      <c r="CI5" s="3">
        <f t="dataTable" ref="CI5:CI34" dt2D="0" dtr="0" r1="BO4"/>
        <v>1.2198132524049645</v>
      </c>
      <c r="CJ5" s="3">
        <f t="shared" ref="CJ5:CJ34" si="12">CE5*CI5</f>
        <v>-6.6197383717634706</v>
      </c>
      <c r="CK5" s="3">
        <f t="shared" ref="CK5:CK34" si="13">CG5*CI5</f>
        <v>0.75250416826909072</v>
      </c>
      <c r="CL5" s="3">
        <f t="shared" ref="CL5:CL34" si="14">CF5-CD5</f>
        <v>2.7960174616949161</v>
      </c>
    </row>
    <row r="6" spans="2:90" x14ac:dyDescent="0.2">
      <c r="B6" s="11" t="s">
        <v>309</v>
      </c>
      <c r="C6" s="11">
        <v>1042.76649142774</v>
      </c>
      <c r="D6" s="11" t="s">
        <v>146</v>
      </c>
      <c r="F6" s="44" t="s">
        <v>281</v>
      </c>
      <c r="G6" s="44">
        <f>$G$5/100*K4</f>
        <v>164.04539029117583</v>
      </c>
      <c r="H6" s="44" t="s">
        <v>116</v>
      </c>
      <c r="J6" s="7" t="s">
        <v>241</v>
      </c>
      <c r="K6" s="7">
        <f>MAX(G36,G43)</f>
        <v>509.35757327849689</v>
      </c>
      <c r="L6" s="7" t="s">
        <v>116</v>
      </c>
      <c r="N6" s="7" t="s">
        <v>131</v>
      </c>
      <c r="O6" s="7">
        <f xml:space="preserve"> ($C$23+$C$29) * 0.4 * ($C$5/($C$23+$C$29) *2.20462/1000)^(2/3) * 0.3048^2</f>
        <v>0.33439773865612404</v>
      </c>
      <c r="P6" s="7" t="s">
        <v>132</v>
      </c>
      <c r="R6" s="7" t="s">
        <v>131</v>
      </c>
      <c r="S6" s="7">
        <f xml:space="preserve"> ($C$23+$C$29) * 0.4 * ($C$5/($C$23+$C$29) *2.20462/1000)^(2/3) * 0.3048^2</f>
        <v>0.33439773865612404</v>
      </c>
      <c r="T6" s="7" t="s">
        <v>132</v>
      </c>
      <c r="X6" s="3">
        <v>2</v>
      </c>
      <c r="Y6" s="3">
        <f t="shared" ref="Y6:Y34" si="15">IF(AE5&gt;0, AC5, Y5)</f>
        <v>0.75</v>
      </c>
      <c r="Z6" s="3">
        <f t="shared" si="0"/>
        <v>0.24297306255309792</v>
      </c>
      <c r="AA6" s="3">
        <f t="shared" ref="AA6:AA34" si="16">IF(AF5&gt;0, AC5, AA5)</f>
        <v>1</v>
      </c>
      <c r="AB6" s="3">
        <f t="shared" si="1"/>
        <v>-5.4914225569158148E-2</v>
      </c>
      <c r="AC6" s="3">
        <f t="shared" si="3"/>
        <v>0.875</v>
      </c>
      <c r="AD6" s="3">
        <f t="shared" si="2"/>
        <v>9.0641992902425583E-2</v>
      </c>
      <c r="AE6" s="3">
        <f t="shared" si="4"/>
        <v>2.202356261141851E-2</v>
      </c>
      <c r="AF6" s="3">
        <f t="shared" si="5"/>
        <v>-4.9775348442818307E-3</v>
      </c>
      <c r="AG6" s="3">
        <f t="shared" si="6"/>
        <v>0.25</v>
      </c>
      <c r="AI6" s="3">
        <v>2</v>
      </c>
      <c r="AJ6" s="3">
        <f>IF(AP5&gt;0,AN5,AJ5)</f>
        <v>2750</v>
      </c>
      <c r="AK6" s="3">
        <v>-436.25455542354393</v>
      </c>
      <c r="AL6" s="3">
        <f>IF(AQ5&gt;0,AN5,AL5)</f>
        <v>5000</v>
      </c>
      <c r="AM6" s="3">
        <v>1082.1268931897957</v>
      </c>
      <c r="AN6" s="3">
        <f t="shared" ref="AN6:AN44" si="17">(AJ6+AL6)/2</f>
        <v>3875</v>
      </c>
      <c r="AO6" s="3">
        <v>-52.566902007687531</v>
      </c>
      <c r="AP6" s="3">
        <f t="shared" ref="AP6:AP44" si="18">AK6*AO6</f>
        <v>22932.550465356722</v>
      </c>
      <c r="AQ6" s="3">
        <f t="shared" ref="AQ6:AQ44" si="19">AM6*AO6</f>
        <v>-56884.058354191344</v>
      </c>
      <c r="AR6" s="3">
        <f t="shared" ref="AR6:AR44" si="20">AL6-AJ6</f>
        <v>2250</v>
      </c>
      <c r="AT6" s="3"/>
      <c r="AU6" s="3"/>
      <c r="AV6" s="27"/>
      <c r="AX6" s="3" t="s">
        <v>173</v>
      </c>
      <c r="AY6" s="3">
        <f>$AU$4/60</f>
        <v>17.379441523795666</v>
      </c>
      <c r="AZ6" s="27" t="s">
        <v>174</v>
      </c>
      <c r="BB6" s="3" t="s">
        <v>175</v>
      </c>
      <c r="BC6" s="3">
        <f>(1-$BK$19)*$AY$5*$AU$19</f>
        <v>35.978311728545144</v>
      </c>
      <c r="BD6" s="27" t="s">
        <v>10</v>
      </c>
      <c r="BF6" s="3" t="s">
        <v>175</v>
      </c>
      <c r="BG6" s="3">
        <f>(1-$BO$19)*$AY$5*$AU$20</f>
        <v>52.942589035889611</v>
      </c>
      <c r="BH6" s="27" t="s">
        <v>10</v>
      </c>
      <c r="BJ6" s="3" t="s">
        <v>28</v>
      </c>
      <c r="BK6" s="3">
        <f>BK5-BK4</f>
        <v>4.4903400270173532E-2</v>
      </c>
      <c r="BL6" s="3" t="s">
        <v>167</v>
      </c>
      <c r="BM6" s="3"/>
      <c r="BN6" s="3" t="s">
        <v>28</v>
      </c>
      <c r="BO6" s="3">
        <f>BO5-BO4</f>
        <v>7.0399918787691418E-2</v>
      </c>
      <c r="BP6" s="3" t="s">
        <v>167</v>
      </c>
      <c r="BR6" s="3">
        <v>2</v>
      </c>
      <c r="BS6" s="3">
        <f t="shared" ref="BS6:BS34" si="21">IF(BY5&gt;0,BW5,BS5)</f>
        <v>3.1415926535897934E-2</v>
      </c>
      <c r="BT6" s="3">
        <v>-7.2176631954332899</v>
      </c>
      <c r="BU6" s="3">
        <f t="shared" ref="BU6:BU34" si="22">IF(BZ5&gt;0,BW5,BU5)</f>
        <v>1.4294246573833558</v>
      </c>
      <c r="BV6" s="3">
        <v>1.4126756062357355</v>
      </c>
      <c r="BW6" s="3">
        <f t="shared" si="7"/>
        <v>0.73042029195962688</v>
      </c>
      <c r="BX6" s="3">
        <v>1.0805024192859081</v>
      </c>
      <c r="BY6" s="3">
        <f t="shared" si="8"/>
        <v>-7.7987025442565274</v>
      </c>
      <c r="BZ6" s="3">
        <f t="shared" si="9"/>
        <v>1.5263994102038991</v>
      </c>
      <c r="CA6" s="3">
        <f t="shared" si="10"/>
        <v>1.3980087308474578</v>
      </c>
      <c r="CC6" s="3">
        <v>2</v>
      </c>
      <c r="CD6" s="3">
        <f t="shared" ref="CD6:CD34" si="23">IF(CJ5&gt;0,CH5,CD5)</f>
        <v>3.1415926535897934E-2</v>
      </c>
      <c r="CE6" s="3">
        <v>-5.4268457558663989</v>
      </c>
      <c r="CF6" s="3">
        <f t="shared" ref="CF6:CF34" si="24">IF(CK5&gt;0,CH5,CF5)</f>
        <v>1.4294246573833558</v>
      </c>
      <c r="CG6" s="3">
        <v>1.2198132524049645</v>
      </c>
      <c r="CH6" s="3">
        <f t="shared" si="11"/>
        <v>0.73042029195962688</v>
      </c>
      <c r="CI6" s="3">
        <v>0.8775037552018945</v>
      </c>
      <c r="CJ6" s="3">
        <f t="shared" si="12"/>
        <v>-4.7620775296742286</v>
      </c>
      <c r="CK6" s="3">
        <f t="shared" si="13"/>
        <v>1.0703907096303926</v>
      </c>
      <c r="CL6" s="3">
        <f t="shared" si="14"/>
        <v>1.3980087308474578</v>
      </c>
    </row>
    <row r="7" spans="2:90" x14ac:dyDescent="0.2">
      <c r="B7" s="7" t="s">
        <v>310</v>
      </c>
      <c r="C7" s="18">
        <v>400</v>
      </c>
      <c r="D7" s="7" t="s">
        <v>146</v>
      </c>
      <c r="J7" s="7" t="s">
        <v>242</v>
      </c>
      <c r="K7" s="7">
        <f>K6/$C$29</f>
        <v>509.35757327849689</v>
      </c>
      <c r="L7" s="7" t="s">
        <v>116</v>
      </c>
      <c r="N7" s="7" t="s">
        <v>133</v>
      </c>
      <c r="O7" s="7">
        <f xml:space="preserve"> O6 / $C$14</f>
        <v>1.7117458345621797E-2</v>
      </c>
      <c r="R7" s="7" t="s">
        <v>133</v>
      </c>
      <c r="S7" s="7">
        <f xml:space="preserve"> S6 / $C$14</f>
        <v>1.7117458345621797E-2</v>
      </c>
      <c r="X7" s="3">
        <v>3</v>
      </c>
      <c r="Y7" s="3">
        <f t="shared" si="15"/>
        <v>0.875</v>
      </c>
      <c r="Z7" s="3">
        <f t="shared" si="0"/>
        <v>9.0641992902425583E-2</v>
      </c>
      <c r="AA7" s="3">
        <f t="shared" si="16"/>
        <v>1</v>
      </c>
      <c r="AB7" s="3">
        <f t="shared" si="1"/>
        <v>-5.4914225569158148E-2</v>
      </c>
      <c r="AC7" s="3">
        <f t="shared" si="3"/>
        <v>0.9375</v>
      </c>
      <c r="AD7" s="3">
        <f t="shared" si="2"/>
        <v>1.7184394774667489E-2</v>
      </c>
      <c r="AE7" s="3">
        <f t="shared" si="4"/>
        <v>1.5576277891978898E-3</v>
      </c>
      <c r="AF7" s="3">
        <f t="shared" si="5"/>
        <v>-9.4366773092555308E-4</v>
      </c>
      <c r="AG7" s="3">
        <f t="shared" si="6"/>
        <v>0.125</v>
      </c>
      <c r="AI7" s="3">
        <v>3</v>
      </c>
      <c r="AJ7" s="3">
        <f t="shared" ref="AJ7:AJ44" si="25">IF(AP6&gt;0,AN6,AJ6)</f>
        <v>3875</v>
      </c>
      <c r="AK7" s="3">
        <v>-52.566902007687531</v>
      </c>
      <c r="AL7" s="3">
        <f t="shared" ref="AL7:AL44" si="26">IF(AQ6&gt;0,AN6,AL6)</f>
        <v>5000</v>
      </c>
      <c r="AM7" s="3">
        <v>1082.1268931897957</v>
      </c>
      <c r="AN7" s="3">
        <f t="shared" si="17"/>
        <v>4437.5</v>
      </c>
      <c r="AO7" s="3">
        <v>76.053089351238214</v>
      </c>
      <c r="AP7" s="3">
        <f t="shared" si="18"/>
        <v>-3997.8752953084431</v>
      </c>
      <c r="AQ7" s="3">
        <f t="shared" si="19"/>
        <v>82299.093297141342</v>
      </c>
      <c r="AR7" s="3">
        <f t="shared" si="20"/>
        <v>1125</v>
      </c>
      <c r="AT7" s="74" t="s">
        <v>177</v>
      </c>
      <c r="AU7" s="74"/>
      <c r="AV7" s="74"/>
      <c r="AX7" s="3" t="s">
        <v>178</v>
      </c>
      <c r="AY7" s="3">
        <f>$AU$3/(AY6*AU9)</f>
        <v>9.5898747056094528E-3</v>
      </c>
      <c r="BB7" s="3" t="s">
        <v>179</v>
      </c>
      <c r="BC7" s="3">
        <f>SQRT(BC5^2 + BC6^2)</f>
        <v>38.235757630684404</v>
      </c>
      <c r="BD7" s="27" t="s">
        <v>10</v>
      </c>
      <c r="BF7" s="3" t="s">
        <v>179</v>
      </c>
      <c r="BG7" s="3">
        <f>SQRT(BG5^2 + BG6^2)</f>
        <v>55.315942060510444</v>
      </c>
      <c r="BH7" s="27" t="s">
        <v>10</v>
      </c>
      <c r="BJ7" s="3" t="s">
        <v>180</v>
      </c>
      <c r="BK7" s="3">
        <f>BK6/PI()*180</f>
        <v>2.5727753212675442</v>
      </c>
      <c r="BL7" s="3" t="s">
        <v>43</v>
      </c>
      <c r="BM7" s="3"/>
      <c r="BN7" s="3" t="s">
        <v>180</v>
      </c>
      <c r="BO7" s="3">
        <f>BO6/PI()*180</f>
        <v>4.0336182245984693</v>
      </c>
      <c r="BP7" s="3" t="s">
        <v>43</v>
      </c>
      <c r="BR7" s="3">
        <v>3</v>
      </c>
      <c r="BS7" s="3">
        <f t="shared" si="21"/>
        <v>3.1415926535897934E-2</v>
      </c>
      <c r="BT7" s="3">
        <v>-7.2176631954332899</v>
      </c>
      <c r="BU7" s="3">
        <f t="shared" si="22"/>
        <v>0.73042029195962688</v>
      </c>
      <c r="BV7" s="3">
        <v>1.0805024192859081</v>
      </c>
      <c r="BW7" s="3">
        <f t="shared" si="7"/>
        <v>0.38091810924776243</v>
      </c>
      <c r="BX7" s="3">
        <v>0.23737655739574304</v>
      </c>
      <c r="BY7" s="3">
        <f t="shared" si="8"/>
        <v>-1.7133040417739125</v>
      </c>
      <c r="BZ7" s="3">
        <f t="shared" si="9"/>
        <v>0.25648594454786056</v>
      </c>
      <c r="CA7" s="3">
        <f t="shared" si="10"/>
        <v>0.6990043654237289</v>
      </c>
      <c r="CC7" s="3">
        <v>3</v>
      </c>
      <c r="CD7" s="3">
        <f t="shared" si="23"/>
        <v>3.1415926535897934E-2</v>
      </c>
      <c r="CE7" s="3">
        <v>-5.4268457558663989</v>
      </c>
      <c r="CF7" s="3">
        <f t="shared" si="24"/>
        <v>0.73042029195962688</v>
      </c>
      <c r="CG7" s="3">
        <v>0.8775037552018945</v>
      </c>
      <c r="CH7" s="3">
        <f t="shared" si="11"/>
        <v>0.38091810924776243</v>
      </c>
      <c r="CI7" s="3">
        <v>0.36813025100167163</v>
      </c>
      <c r="CJ7" s="3">
        <f t="shared" si="12"/>
        <v>-1.9977860902544538</v>
      </c>
      <c r="CK7" s="3">
        <f t="shared" si="13"/>
        <v>0.32303567765738284</v>
      </c>
      <c r="CL7" s="3">
        <f t="shared" si="14"/>
        <v>0.6990043654237289</v>
      </c>
    </row>
    <row r="8" spans="2:90" x14ac:dyDescent="0.2">
      <c r="B8" s="7" t="s">
        <v>311</v>
      </c>
      <c r="C8" s="18">
        <v>370</v>
      </c>
      <c r="D8" s="7" t="s">
        <v>146</v>
      </c>
      <c r="F8" s="66" t="s">
        <v>83</v>
      </c>
      <c r="G8" s="67"/>
      <c r="H8" s="67"/>
      <c r="N8" s="7" t="s">
        <v>135</v>
      </c>
      <c r="O8" s="18">
        <v>2.482413E-2</v>
      </c>
      <c r="R8" s="7" t="s">
        <v>135</v>
      </c>
      <c r="S8" s="18">
        <v>2.5008909999999999E-2</v>
      </c>
      <c r="X8" s="3">
        <v>4</v>
      </c>
      <c r="Y8" s="3">
        <f t="shared" si="15"/>
        <v>0.9375</v>
      </c>
      <c r="Z8" s="3">
        <f t="shared" si="0"/>
        <v>1.7184394774667489E-2</v>
      </c>
      <c r="AA8" s="3">
        <f t="shared" si="16"/>
        <v>1</v>
      </c>
      <c r="AB8" s="3">
        <f t="shared" si="1"/>
        <v>-5.4914225569158148E-2</v>
      </c>
      <c r="AC8" s="3">
        <f t="shared" si="3"/>
        <v>0.96875</v>
      </c>
      <c r="AD8" s="3">
        <f t="shared" si="2"/>
        <v>-1.9018524148965876E-2</v>
      </c>
      <c r="AE8" s="3">
        <f t="shared" si="4"/>
        <v>-3.2682182700737662E-4</v>
      </c>
      <c r="AF8" s="3">
        <f t="shared" si="5"/>
        <v>1.0443875251087936E-3</v>
      </c>
      <c r="AG8" s="3">
        <f t="shared" si="6"/>
        <v>6.25E-2</v>
      </c>
      <c r="AI8" s="3">
        <v>4</v>
      </c>
      <c r="AJ8" s="3">
        <f t="shared" si="25"/>
        <v>3875</v>
      </c>
      <c r="AK8" s="3">
        <v>-52.566902007687531</v>
      </c>
      <c r="AL8" s="3">
        <f t="shared" si="26"/>
        <v>4437.5</v>
      </c>
      <c r="AM8" s="3">
        <v>76.053089351238214</v>
      </c>
      <c r="AN8" s="3">
        <f t="shared" si="17"/>
        <v>4156.25</v>
      </c>
      <c r="AO8" s="3">
        <v>17.563047006944544</v>
      </c>
      <c r="AP8" s="3">
        <f t="shared" si="18"/>
        <v>-923.23497097046356</v>
      </c>
      <c r="AQ8" s="3">
        <f t="shared" si="19"/>
        <v>1335.7239832991502</v>
      </c>
      <c r="AR8" s="3">
        <f t="shared" si="20"/>
        <v>562.5</v>
      </c>
      <c r="AT8" s="3" t="s">
        <v>181</v>
      </c>
      <c r="AU8" s="3">
        <f>$C$24</f>
        <v>2</v>
      </c>
      <c r="AV8" s="27"/>
      <c r="BB8" s="3" t="s">
        <v>182</v>
      </c>
      <c r="BC8" s="38">
        <f>$AU$45*BC7*$AU$27/$AU$46</f>
        <v>1888468.1958908639</v>
      </c>
      <c r="BD8" s="27"/>
      <c r="BF8" s="3" t="s">
        <v>182</v>
      </c>
      <c r="BG8" s="38">
        <f>$AU$45*BG7*$AU$27/$AU$46</f>
        <v>2732060.3482218976</v>
      </c>
      <c r="BH8" s="27"/>
      <c r="BJ8" s="3" t="s">
        <v>183</v>
      </c>
      <c r="BK8" s="3">
        <f xml:space="preserve"> $AU$8*$AU$27 / (2*PI()*$AU$19)</f>
        <v>0.67286936241325579</v>
      </c>
      <c r="BL8" s="3"/>
      <c r="BM8" s="3"/>
      <c r="BN8" s="3" t="s">
        <v>183</v>
      </c>
      <c r="BO8" s="3">
        <f xml:space="preserve"> $AU$8*$AU$28 / (2*PI()*$AU$20)</f>
        <v>0.47184346557538748</v>
      </c>
      <c r="BP8" s="3"/>
      <c r="BR8" s="3">
        <v>4</v>
      </c>
      <c r="BS8" s="3">
        <f t="shared" si="21"/>
        <v>3.1415926535897934E-2</v>
      </c>
      <c r="BT8" s="3">
        <v>-7.2176631954332899</v>
      </c>
      <c r="BU8" s="3">
        <f t="shared" si="22"/>
        <v>0.38091810924776243</v>
      </c>
      <c r="BV8" s="3">
        <v>0.23737655739574304</v>
      </c>
      <c r="BW8" s="3">
        <f t="shared" si="7"/>
        <v>0.20616701789183017</v>
      </c>
      <c r="BX8" s="3">
        <v>-1.2199189732459459</v>
      </c>
      <c r="BY8" s="3">
        <f t="shared" si="8"/>
        <v>8.8049642746080323</v>
      </c>
      <c r="BZ8" s="3">
        <f t="shared" si="9"/>
        <v>-0.28958016617087218</v>
      </c>
      <c r="CA8" s="3">
        <f t="shared" si="10"/>
        <v>0.34950218271186451</v>
      </c>
      <c r="CC8" s="3">
        <v>4</v>
      </c>
      <c r="CD8" s="3">
        <f t="shared" si="23"/>
        <v>3.1415926535897934E-2</v>
      </c>
      <c r="CE8" s="3">
        <v>-5.4268457558663989</v>
      </c>
      <c r="CF8" s="3">
        <f t="shared" si="24"/>
        <v>0.38091810924776243</v>
      </c>
      <c r="CG8" s="3">
        <v>0.36813025100167163</v>
      </c>
      <c r="CH8" s="3">
        <f t="shared" si="11"/>
        <v>0.20616701789183017</v>
      </c>
      <c r="CI8" s="3">
        <v>-0.52425637045236884</v>
      </c>
      <c r="CJ8" s="3">
        <f t="shared" si="12"/>
        <v>2.8450584589753602</v>
      </c>
      <c r="CK8" s="3">
        <f t="shared" si="13"/>
        <v>-0.19299462924385588</v>
      </c>
      <c r="CL8" s="3">
        <f t="shared" si="14"/>
        <v>0.34950218271186451</v>
      </c>
    </row>
    <row r="9" spans="2:90" x14ac:dyDescent="0.2">
      <c r="B9" s="7" t="s">
        <v>9</v>
      </c>
      <c r="C9" s="18">
        <f>83/1.944</f>
        <v>42.695473251028808</v>
      </c>
      <c r="D9" s="7" t="s">
        <v>10</v>
      </c>
      <c r="F9" s="7" t="s">
        <v>87</v>
      </c>
      <c r="G9" s="18">
        <f>100*0.3048/60</f>
        <v>0.50800000000000001</v>
      </c>
      <c r="H9" s="7" t="s">
        <v>10</v>
      </c>
      <c r="N9" s="7" t="s">
        <v>134</v>
      </c>
      <c r="O9" s="7">
        <f>$O$8 + O7</f>
        <v>4.1941588345621797E-2</v>
      </c>
      <c r="R9" s="7" t="s">
        <v>134</v>
      </c>
      <c r="S9" s="7">
        <f xml:space="preserve"> $S$8 + S7</f>
        <v>4.2126368345621792E-2</v>
      </c>
      <c r="X9" s="3">
        <v>5</v>
      </c>
      <c r="Y9" s="3">
        <f t="shared" si="15"/>
        <v>0.9375</v>
      </c>
      <c r="Z9" s="3">
        <f t="shared" si="0"/>
        <v>1.7184394774667489E-2</v>
      </c>
      <c r="AA9" s="3">
        <f t="shared" si="16"/>
        <v>0.96875</v>
      </c>
      <c r="AB9" s="3">
        <f t="shared" si="1"/>
        <v>-1.9018524148965876E-2</v>
      </c>
      <c r="AC9" s="3">
        <f t="shared" si="3"/>
        <v>0.953125</v>
      </c>
      <c r="AD9" s="3">
        <f t="shared" si="2"/>
        <v>-9.573354398297873E-4</v>
      </c>
      <c r="AE9" s="3">
        <f t="shared" si="4"/>
        <v>-1.6451230129815E-5</v>
      </c>
      <c r="AF9" s="3">
        <f t="shared" si="5"/>
        <v>1.8207107181063677E-5</v>
      </c>
      <c r="AG9" s="3">
        <f t="shared" si="6"/>
        <v>3.125E-2</v>
      </c>
      <c r="AI9" s="3">
        <v>5</v>
      </c>
      <c r="AJ9" s="3">
        <f t="shared" si="25"/>
        <v>3875</v>
      </c>
      <c r="AK9" s="3">
        <v>-52.566902007687531</v>
      </c>
      <c r="AL9" s="3">
        <f t="shared" si="26"/>
        <v>4156.25</v>
      </c>
      <c r="AM9" s="3">
        <v>17.563047006944544</v>
      </c>
      <c r="AN9" s="3">
        <f t="shared" si="17"/>
        <v>4015.625</v>
      </c>
      <c r="AO9" s="3">
        <v>-16.087465638640879</v>
      </c>
      <c r="AP9" s="3">
        <f t="shared" si="18"/>
        <v>845.66822977847539</v>
      </c>
      <c r="AQ9" s="3">
        <f t="shared" si="19"/>
        <v>-282.54491523405488</v>
      </c>
      <c r="AR9" s="3">
        <f t="shared" si="20"/>
        <v>281.25</v>
      </c>
      <c r="AT9" s="3" t="s">
        <v>184</v>
      </c>
      <c r="AU9" s="3">
        <f>2*$C$10</f>
        <v>3.048</v>
      </c>
      <c r="AV9" s="27" t="s">
        <v>8</v>
      </c>
      <c r="AX9" s="74" t="s">
        <v>185</v>
      </c>
      <c r="AY9" s="74"/>
      <c r="AZ9" s="74"/>
      <c r="BB9" s="3" t="s">
        <v>186</v>
      </c>
      <c r="BC9" s="3">
        <f xml:space="preserve"> $BK$8 * PI() * $AU$45 * BC7^2 *$BK$14 * $AU$19 * BC4</f>
        <v>75.587389283602292</v>
      </c>
      <c r="BD9" s="27" t="s">
        <v>22</v>
      </c>
      <c r="BF9" s="3" t="s">
        <v>186</v>
      </c>
      <c r="BG9" s="3">
        <f xml:space="preserve"> $BO$8 * PI() * $AU$45 * BG7^2 * $BO$14 * $AU$20 * BG4</f>
        <v>221.94778727250238</v>
      </c>
      <c r="BH9" s="27" t="s">
        <v>22</v>
      </c>
      <c r="BJ9" s="3" t="s">
        <v>187</v>
      </c>
      <c r="BK9" s="3">
        <f>IF(-$AU$8*($AY$3-$AU$19)/(2*$AU$19*SIN(BK4))&gt;500, 1, 2*ACOS(MIN(1, EXP(-$AU$8*($AY$3-$AU$19)/(2*$AU$19*SIN(BK4)))))/PI() )</f>
        <v>0.99986177838811174</v>
      </c>
      <c r="BL9" s="3"/>
      <c r="BM9" s="3"/>
      <c r="BN9" s="3" t="s">
        <v>187</v>
      </c>
      <c r="BO9" s="3">
        <f>IF(-$AU$8*($AY$3-$AU$20)/(2*$AU$20*SIN(BO4))&gt;500, 1, 2*ACOS(MIN(1, EXP(-$AU$8*($AY$3-$AU$20)/(2*$AU$20*SIN(BO4)))))/PI() )</f>
        <v>0.99868877195194183</v>
      </c>
      <c r="BP9" s="3"/>
      <c r="BR9" s="3">
        <v>5</v>
      </c>
      <c r="BS9" s="3">
        <f t="shared" si="21"/>
        <v>0.20616701789183017</v>
      </c>
      <c r="BT9" s="3">
        <v>-1.2199189732459459</v>
      </c>
      <c r="BU9" s="3">
        <f t="shared" si="22"/>
        <v>0.38091810924776243</v>
      </c>
      <c r="BV9" s="3">
        <v>0.23737655739574304</v>
      </c>
      <c r="BW9" s="3">
        <f t="shared" si="7"/>
        <v>0.2935425635697963</v>
      </c>
      <c r="BX9" s="3">
        <v>-0.39405279471387489</v>
      </c>
      <c r="BY9" s="3">
        <f t="shared" si="8"/>
        <v>0.48071248073204575</v>
      </c>
      <c r="BZ9" s="3">
        <f t="shared" si="9"/>
        <v>-9.3538895841351069E-2</v>
      </c>
      <c r="CA9" s="3">
        <f t="shared" si="10"/>
        <v>0.17475109135593225</v>
      </c>
      <c r="CC9" s="3">
        <v>5</v>
      </c>
      <c r="CD9" s="3">
        <f t="shared" si="23"/>
        <v>0.20616701789183017</v>
      </c>
      <c r="CE9" s="3">
        <v>-0.52425637045236884</v>
      </c>
      <c r="CF9" s="3">
        <f t="shared" si="24"/>
        <v>0.38091810924776243</v>
      </c>
      <c r="CG9" s="3">
        <v>0.36813025100167163</v>
      </c>
      <c r="CH9" s="3">
        <f t="shared" si="11"/>
        <v>0.2935425635697963</v>
      </c>
      <c r="CI9" s="3">
        <v>-2.2133791900714791E-3</v>
      </c>
      <c r="CJ9" s="3">
        <f t="shared" si="12"/>
        <v>1.1603781406216774E-3</v>
      </c>
      <c r="CK9" s="3">
        <f t="shared" si="13"/>
        <v>-8.1481183680289025E-4</v>
      </c>
      <c r="CL9" s="3">
        <f t="shared" si="14"/>
        <v>0.17475109135593225</v>
      </c>
    </row>
    <row r="10" spans="2:90" x14ac:dyDescent="0.2">
      <c r="B10" s="7" t="s">
        <v>107</v>
      </c>
      <c r="C10" s="18">
        <f>5*0.3048</f>
        <v>1.524</v>
      </c>
      <c r="D10" s="7" t="s">
        <v>8</v>
      </c>
      <c r="F10" s="7" t="s">
        <v>90</v>
      </c>
      <c r="G10" s="18">
        <f>50*0.3048</f>
        <v>15.24</v>
      </c>
      <c r="H10" s="7" t="s">
        <v>8</v>
      </c>
      <c r="J10" s="68" t="s">
        <v>23</v>
      </c>
      <c r="K10" s="68"/>
      <c r="L10" s="68"/>
      <c r="N10" s="7" t="s">
        <v>41</v>
      </c>
      <c r="O10" s="7">
        <f xml:space="preserve"> O5 * $C$14 * O9</f>
        <v>718.67650174494247</v>
      </c>
      <c r="P10" s="7" t="s">
        <v>22</v>
      </c>
      <c r="R10" s="7" t="s">
        <v>41</v>
      </c>
      <c r="S10" s="7">
        <f xml:space="preserve"> S5 * $C$14 * S9</f>
        <v>678.7994892667931</v>
      </c>
      <c r="T10" s="7" t="s">
        <v>22</v>
      </c>
      <c r="X10" s="3">
        <v>6</v>
      </c>
      <c r="Y10" s="3">
        <f t="shared" si="15"/>
        <v>0.9375</v>
      </c>
      <c r="Z10" s="3">
        <f t="shared" si="0"/>
        <v>1.7184394774667489E-2</v>
      </c>
      <c r="AA10" s="3">
        <f t="shared" si="16"/>
        <v>0.953125</v>
      </c>
      <c r="AB10" s="3">
        <f t="shared" si="1"/>
        <v>-9.573354398297873E-4</v>
      </c>
      <c r="AC10" s="3">
        <f t="shared" si="3"/>
        <v>0.9453125</v>
      </c>
      <c r="AD10" s="3">
        <f t="shared" si="2"/>
        <v>8.103215078449244E-3</v>
      </c>
      <c r="AE10" s="3">
        <f t="shared" si="4"/>
        <v>1.3924884685210999E-4</v>
      </c>
      <c r="AF10" s="3">
        <f t="shared" si="5"/>
        <v>-7.7574949711625714E-6</v>
      </c>
      <c r="AG10" s="3">
        <f t="shared" si="6"/>
        <v>1.5625E-2</v>
      </c>
      <c r="AI10" s="3">
        <v>6</v>
      </c>
      <c r="AJ10" s="3">
        <f t="shared" si="25"/>
        <v>4015.625</v>
      </c>
      <c r="AK10" s="3">
        <v>-16.087465638640879</v>
      </c>
      <c r="AL10" s="3">
        <f t="shared" si="26"/>
        <v>4156.25</v>
      </c>
      <c r="AM10" s="3">
        <v>17.563047006944544</v>
      </c>
      <c r="AN10" s="3">
        <f t="shared" si="17"/>
        <v>4085.9375</v>
      </c>
      <c r="AO10" s="3">
        <v>1.0964922061957623</v>
      </c>
      <c r="AP10" s="3">
        <f t="shared" si="18"/>
        <v>-17.639780690211854</v>
      </c>
      <c r="AQ10" s="3">
        <f t="shared" si="19"/>
        <v>19.257744160164503</v>
      </c>
      <c r="AR10" s="3">
        <f t="shared" si="20"/>
        <v>140.625</v>
      </c>
      <c r="AT10" s="3" t="s">
        <v>188</v>
      </c>
      <c r="AU10" s="4">
        <f>0.21*($AU$9/2)</f>
        <v>0.32003999999999999</v>
      </c>
      <c r="AV10" s="27" t="s">
        <v>8</v>
      </c>
      <c r="AX10" s="5" t="s">
        <v>189</v>
      </c>
      <c r="AY10" s="39">
        <f>BC9+BG9+BC18+BG18+BC27+BG27+BC36+BG36</f>
        <v>5000.1817170002741</v>
      </c>
      <c r="AZ10" s="27" t="s">
        <v>22</v>
      </c>
      <c r="BB10" s="3" t="s">
        <v>190</v>
      </c>
      <c r="BC10" s="3">
        <f xml:space="preserve"> $BK$8 * PI() * $AU$45 * BC7^2 * $BK$15 * $AU$19^2 * BC4</f>
        <v>17.266749767834156</v>
      </c>
      <c r="BD10" s="27" t="s">
        <v>191</v>
      </c>
      <c r="BF10" s="3" t="s">
        <v>190</v>
      </c>
      <c r="BG10" s="3">
        <f xml:space="preserve"> $BO$8 * PI() * $AU$45 * BG7^2 * $BO$15 * $AU$20^2 * BG4</f>
        <v>51.946037864333029</v>
      </c>
      <c r="BH10" s="27" t="s">
        <v>191</v>
      </c>
      <c r="BJ10" s="3" t="s">
        <v>192</v>
      </c>
      <c r="BK10" s="3">
        <f>IF(-$AU$8*($AU$19-$AU$10)/(2*$AU$19*SIN(BK4))&gt;500, 1, 2*ACOS(MIN(1, EXP(-$AU$8*($AU$19-$AU$10)/(2*$AU$19*SIN(BK4)))))/PI() )</f>
        <v>0.61398310833007852</v>
      </c>
      <c r="BL10" s="3"/>
      <c r="BM10" s="3"/>
      <c r="BN10" s="3" t="s">
        <v>192</v>
      </c>
      <c r="BO10" s="3">
        <f>IF(-$AU$8*($AU$20-$AU$10)/(2*$AU$20*SIN(BO4))&gt;500, 1, 2*ACOS(MIN(1, EXP(-$AU$8*($AU$20-$AU$10)/(2*$AU$20*SIN(BO4)))))/PI() )</f>
        <v>0.84574281264635476</v>
      </c>
      <c r="BP10" s="3"/>
      <c r="BR10" s="3">
        <v>6</v>
      </c>
      <c r="BS10" s="3">
        <f t="shared" si="21"/>
        <v>0.2935425635697963</v>
      </c>
      <c r="BT10" s="3">
        <v>-0.39405279471387489</v>
      </c>
      <c r="BU10" s="3">
        <f t="shared" si="22"/>
        <v>0.38091810924776243</v>
      </c>
      <c r="BV10" s="3">
        <v>0.23737655739574304</v>
      </c>
      <c r="BW10" s="3">
        <f t="shared" si="7"/>
        <v>0.33723033640877936</v>
      </c>
      <c r="BX10" s="3">
        <v>-5.7736339935542058E-2</v>
      </c>
      <c r="BY10" s="3">
        <f t="shared" si="8"/>
        <v>2.2751166108150651E-2</v>
      </c>
      <c r="BZ10" s="3">
        <f t="shared" si="9"/>
        <v>-1.3705253610529331E-2</v>
      </c>
      <c r="CA10" s="3">
        <f t="shared" si="10"/>
        <v>8.7375545677966127E-2</v>
      </c>
      <c r="CC10" s="3">
        <v>6</v>
      </c>
      <c r="CD10" s="3">
        <f t="shared" si="23"/>
        <v>0.2935425635697963</v>
      </c>
      <c r="CE10" s="3">
        <v>-2.2133791900714791E-3</v>
      </c>
      <c r="CF10" s="3">
        <f t="shared" si="24"/>
        <v>0.38091810924776243</v>
      </c>
      <c r="CG10" s="3">
        <v>0.36813025100167163</v>
      </c>
      <c r="CH10" s="3">
        <f t="shared" si="11"/>
        <v>0.33723033640877936</v>
      </c>
      <c r="CI10" s="3">
        <v>0.19673225929985977</v>
      </c>
      <c r="CJ10" s="3">
        <f t="shared" si="12"/>
        <v>-4.3544308875005585E-4</v>
      </c>
      <c r="CK10" s="3">
        <f t="shared" si="13"/>
        <v>7.2423095996183323E-2</v>
      </c>
      <c r="CL10" s="3">
        <f t="shared" si="14"/>
        <v>8.7375545677966127E-2</v>
      </c>
    </row>
    <row r="11" spans="2:90" x14ac:dyDescent="0.2">
      <c r="B11" s="7" t="s">
        <v>236</v>
      </c>
      <c r="C11" s="18">
        <f>(0.548288+0.530863+0.513438+0.496013+0.478588+0.461163+0.443738+0.426313)/8</f>
        <v>0.48730050000000003</v>
      </c>
      <c r="D11" s="7" t="s">
        <v>8</v>
      </c>
      <c r="F11" s="7" t="s">
        <v>91</v>
      </c>
      <c r="G11" s="7">
        <f xml:space="preserve"> $G$10/$G$9</f>
        <v>30</v>
      </c>
      <c r="H11" s="7" t="s">
        <v>14</v>
      </c>
      <c r="J11" s="7" t="s">
        <v>109</v>
      </c>
      <c r="K11" s="7">
        <f xml:space="preserve"> $C$20 * (G6*G4 + G18*G11 + G23*G21 + G36*G29 + G43*G39 + G48*G46 + G55*G53)/3600 + G59*G58/3600</f>
        <v>422.02002017444164</v>
      </c>
      <c r="L11" s="7" t="s">
        <v>117</v>
      </c>
      <c r="N11" s="7" t="s">
        <v>246</v>
      </c>
      <c r="O11" s="7">
        <f xml:space="preserve"> 1.78 * (1 - 0.045 * $C$15^0.68) - 0.64</f>
        <v>0.7028810168808014</v>
      </c>
      <c r="R11" s="7" t="s">
        <v>246</v>
      </c>
      <c r="S11" s="7">
        <f xml:space="preserve"> 1.78 * (1 - 0.045 * $C$15^0.68) - 0.64</f>
        <v>0.7028810168808014</v>
      </c>
      <c r="X11" s="3">
        <v>7</v>
      </c>
      <c r="Y11" s="3">
        <f t="shared" si="15"/>
        <v>0.9453125</v>
      </c>
      <c r="Z11" s="3">
        <f t="shared" si="0"/>
        <v>8.103215078449244E-3</v>
      </c>
      <c r="AA11" s="3">
        <f t="shared" si="16"/>
        <v>0.953125</v>
      </c>
      <c r="AB11" s="3">
        <f t="shared" si="1"/>
        <v>-9.573354398297873E-4</v>
      </c>
      <c r="AC11" s="3">
        <f t="shared" si="3"/>
        <v>0.94921875</v>
      </c>
      <c r="AD11" s="3">
        <f t="shared" si="2"/>
        <v>3.5703926610862746E-3</v>
      </c>
      <c r="AE11" s="3">
        <f t="shared" si="4"/>
        <v>2.8931659647298822E-5</v>
      </c>
      <c r="AF11" s="3">
        <f t="shared" si="5"/>
        <v>-3.4180634285660736E-6</v>
      </c>
      <c r="AG11" s="3">
        <f t="shared" si="6"/>
        <v>7.8125E-3</v>
      </c>
      <c r="AI11" s="3">
        <v>7</v>
      </c>
      <c r="AJ11" s="3">
        <f t="shared" si="25"/>
        <v>4015.625</v>
      </c>
      <c r="AK11" s="3">
        <v>-16.087465638640879</v>
      </c>
      <c r="AL11" s="3">
        <f t="shared" si="26"/>
        <v>4085.9375</v>
      </c>
      <c r="AM11" s="3">
        <v>1.0964922061957623</v>
      </c>
      <c r="AN11" s="3">
        <f t="shared" si="17"/>
        <v>4050.78125</v>
      </c>
      <c r="AO11" s="3">
        <v>-7.4064456016049007</v>
      </c>
      <c r="AP11" s="3">
        <f t="shared" si="18"/>
        <v>119.15093912028171</v>
      </c>
      <c r="AQ11" s="3">
        <f t="shared" si="19"/>
        <v>-8.1211098777726569</v>
      </c>
      <c r="AR11" s="3">
        <f t="shared" si="20"/>
        <v>70.3125</v>
      </c>
      <c r="AT11" s="61" t="s">
        <v>193</v>
      </c>
      <c r="AU11" s="4" t="s">
        <v>231</v>
      </c>
      <c r="AV11" s="27"/>
      <c r="AX11" s="5" t="s">
        <v>194</v>
      </c>
      <c r="AY11" s="39">
        <f>BC10+BG10+BC19+BG19+BC28+BG28+BC37+BG37</f>
        <v>1877.8390203543295</v>
      </c>
      <c r="AZ11" s="27" t="s">
        <v>191</v>
      </c>
      <c r="BC11" s="3"/>
      <c r="BJ11" s="3" t="s">
        <v>195</v>
      </c>
      <c r="BK11" s="3">
        <f>IF(BK4=0,1,BK9*BK10)</f>
        <v>0.613898242595173</v>
      </c>
      <c r="BL11" s="3"/>
      <c r="BM11" s="3"/>
      <c r="BN11" s="3" t="s">
        <v>195</v>
      </c>
      <c r="BO11" s="3">
        <f>IF(BO4=0,1,BO9*BO10)</f>
        <v>0.84463385094896926</v>
      </c>
      <c r="BP11" s="3"/>
      <c r="BR11" s="3">
        <v>7</v>
      </c>
      <c r="BS11" s="3">
        <f t="shared" si="21"/>
        <v>0.33723033640877936</v>
      </c>
      <c r="BT11" s="3">
        <v>-5.7736339935542058E-2</v>
      </c>
      <c r="BU11" s="3">
        <f t="shared" si="22"/>
        <v>0.38091810924776243</v>
      </c>
      <c r="BV11" s="3">
        <v>0.23737655739574304</v>
      </c>
      <c r="BW11" s="3">
        <f t="shared" si="7"/>
        <v>0.35907422282827089</v>
      </c>
      <c r="BX11" s="3">
        <v>9.4623104421578313E-2</v>
      </c>
      <c r="BY11" s="3">
        <f t="shared" si="8"/>
        <v>-5.4631917226405386E-3</v>
      </c>
      <c r="BZ11" s="3">
        <f t="shared" si="9"/>
        <v>2.2461306777692171E-2</v>
      </c>
      <c r="CA11" s="3">
        <f t="shared" si="10"/>
        <v>4.3687772838983063E-2</v>
      </c>
      <c r="CC11" s="3">
        <v>7</v>
      </c>
      <c r="CD11" s="3">
        <f t="shared" si="23"/>
        <v>0.2935425635697963</v>
      </c>
      <c r="CE11" s="3">
        <v>-2.2133791900714791E-3</v>
      </c>
      <c r="CF11" s="3">
        <f t="shared" si="24"/>
        <v>0.33723033640877936</v>
      </c>
      <c r="CG11" s="3">
        <v>0.19673225929985977</v>
      </c>
      <c r="CH11" s="3">
        <f t="shared" si="11"/>
        <v>0.31538644998928783</v>
      </c>
      <c r="CI11" s="3">
        <v>0.10115703226457894</v>
      </c>
      <c r="CJ11" s="3">
        <f t="shared" si="12"/>
        <v>-2.2389887014380821E-4</v>
      </c>
      <c r="CK11" s="3">
        <f t="shared" si="13"/>
        <v>1.9900851501479425E-2</v>
      </c>
      <c r="CL11" s="3">
        <f t="shared" si="14"/>
        <v>4.3687772838983063E-2</v>
      </c>
    </row>
    <row r="12" spans="2:90" x14ac:dyDescent="0.2">
      <c r="B12" s="7" t="s">
        <v>243</v>
      </c>
      <c r="C12" s="18">
        <f>4.5*0.3048</f>
        <v>1.3716000000000002</v>
      </c>
      <c r="D12" s="7" t="s">
        <v>8</v>
      </c>
      <c r="F12" s="7" t="s">
        <v>142</v>
      </c>
      <c r="G12" s="7">
        <f>$C$6*2*PI()*$C$10/60</f>
        <v>166.41813548305282</v>
      </c>
      <c r="H12" s="7" t="s">
        <v>10</v>
      </c>
      <c r="J12" s="7" t="s">
        <v>24</v>
      </c>
      <c r="K12" s="7">
        <f xml:space="preserve"> (G4 + G11 + G21 + G29 + G39 + G46 + G53)/60 + G58/60</f>
        <v>49.469171931850653</v>
      </c>
      <c r="L12" s="7" t="s">
        <v>118</v>
      </c>
      <c r="N12" s="7" t="s">
        <v>247</v>
      </c>
      <c r="O12" s="7">
        <f>O4/(O5*$C$14)</f>
        <v>2.3205952942359893</v>
      </c>
      <c r="R12" s="7" t="s">
        <v>247</v>
      </c>
      <c r="S12" s="7">
        <f xml:space="preserve"> S4 / (S5 * $C$14)</f>
        <v>2.4815490601931272</v>
      </c>
      <c r="X12" s="3">
        <v>8</v>
      </c>
      <c r="Y12" s="3">
        <f t="shared" si="15"/>
        <v>0.94921875</v>
      </c>
      <c r="Z12" s="3">
        <f t="shared" si="0"/>
        <v>3.5703926610862746E-3</v>
      </c>
      <c r="AA12" s="3">
        <f t="shared" si="16"/>
        <v>0.953125</v>
      </c>
      <c r="AB12" s="3">
        <f t="shared" si="1"/>
        <v>-9.573354398297873E-4</v>
      </c>
      <c r="AC12" s="3">
        <f t="shared" si="3"/>
        <v>0.951171875</v>
      </c>
      <c r="AD12" s="3">
        <f t="shared" si="2"/>
        <v>1.3058957013917238E-3</v>
      </c>
      <c r="AE12" s="3">
        <f t="shared" si="4"/>
        <v>4.6625604283931242E-6</v>
      </c>
      <c r="AF12" s="3">
        <f t="shared" si="5"/>
        <v>-1.2501802356636746E-6</v>
      </c>
      <c r="AG12" s="3">
        <f t="shared" si="6"/>
        <v>3.90625E-3</v>
      </c>
      <c r="AI12" s="3">
        <v>8</v>
      </c>
      <c r="AJ12" s="3">
        <f t="shared" si="25"/>
        <v>4050.78125</v>
      </c>
      <c r="AK12" s="3">
        <v>-7.4064456016049007</v>
      </c>
      <c r="AL12" s="3">
        <f t="shared" si="26"/>
        <v>4085.9375</v>
      </c>
      <c r="AM12" s="3">
        <v>1.0964922061957623</v>
      </c>
      <c r="AN12" s="3">
        <f t="shared" si="17"/>
        <v>4068.359375</v>
      </c>
      <c r="AO12" s="3">
        <v>-3.1326373355741453</v>
      </c>
      <c r="AP12" s="3">
        <f t="shared" si="18"/>
        <v>23.201708015486425</v>
      </c>
      <c r="AQ12" s="3">
        <f t="shared" si="19"/>
        <v>-3.4349124232949091</v>
      </c>
      <c r="AR12" s="3">
        <f t="shared" si="20"/>
        <v>35.15625</v>
      </c>
      <c r="AT12" s="61"/>
      <c r="AU12" s="4" t="s">
        <v>231</v>
      </c>
      <c r="AV12" s="27"/>
      <c r="AX12" s="5" t="s">
        <v>196</v>
      </c>
      <c r="AY12" s="39">
        <f>AY11*AY5/1000</f>
        <v>205.05673786396977</v>
      </c>
      <c r="AZ12" s="27" t="s">
        <v>116</v>
      </c>
      <c r="BB12" s="75" t="s">
        <v>197</v>
      </c>
      <c r="BC12" s="75"/>
      <c r="BD12" s="75"/>
      <c r="BF12" s="75" t="s">
        <v>198</v>
      </c>
      <c r="BG12" s="75"/>
      <c r="BH12" s="75"/>
      <c r="BJ12" s="3" t="s">
        <v>199</v>
      </c>
      <c r="BK12" s="3">
        <f>IF(BK7&lt;$BC$49, $AY$50*BK7^6 + $AZ$50*BK7^5 + $BA$50*BK7^4 + $AY$51*BK7^3 + $AZ$51*BK7^2 + $BA$51*BK7 + $AY$52, IF(BK7&gt;$BD$49, $BE$50*BK7^6 + $BF$50*BK7^5 + $BG$50*BK7^4 + $BE$51*BK7^3 + $BF$51*BK7^2 + $BG$51*BK7 + $BE$52, $BB$50*BK7^6 + $BC$50*BK7^5 + $BD$50*BK7^4 + $BB$51*BK7^3 + $BC$51*BK7^2 + $BD$51*BK7 + $BB$52) )</f>
        <v>0.45667071159681283</v>
      </c>
      <c r="BL12" s="3"/>
      <c r="BM12" s="3"/>
      <c r="BN12" s="3" t="s">
        <v>199</v>
      </c>
      <c r="BO12" s="3">
        <f>IF(BO7&lt;$BC$49, $AY$50*BO7^6 + $AZ$50*BO7^5 + $BA$50*BO7^4 + $AY$51*BO7^3 + $AZ$51*BO7^2 + $BA$51*BO7 + $AY$52, IF(BO7&gt;$BD$49, $BE$50*BO7^6 + $BF$50*BO7^5 + $BG$50*BO7^4 + $BE$51*BO7^3 + $BF$51*BO7^2 + $BG$51*BO7 + $BE$52, $BB$50*BO7^6 + $BC$50*BO7^5 + $BD$50*BO7^4 + $BB$51*BO7^3 + $BC$51*BO7^2 + $BD$51*BO7 + $BB$52) )</f>
        <v>0.6295589640771464</v>
      </c>
      <c r="BP12" s="3"/>
      <c r="BR12" s="3">
        <v>8</v>
      </c>
      <c r="BS12" s="3">
        <f t="shared" si="21"/>
        <v>0.33723033640877936</v>
      </c>
      <c r="BT12" s="3">
        <v>-5.7736339935542058E-2</v>
      </c>
      <c r="BU12" s="3">
        <f t="shared" si="22"/>
        <v>0.35907422282827089</v>
      </c>
      <c r="BV12" s="3">
        <v>9.4623104421578313E-2</v>
      </c>
      <c r="BW12" s="3">
        <f t="shared" si="7"/>
        <v>0.34815227961852513</v>
      </c>
      <c r="BX12" s="3">
        <v>1.9685118670621029E-2</v>
      </c>
      <c r="BY12" s="3">
        <f t="shared" si="8"/>
        <v>-1.1365467032384616E-3</v>
      </c>
      <c r="BZ12" s="3">
        <f t="shared" si="9"/>
        <v>1.8626670395213345E-3</v>
      </c>
      <c r="CA12" s="3">
        <f t="shared" si="10"/>
        <v>2.1843886419491532E-2</v>
      </c>
      <c r="CC12" s="3">
        <v>8</v>
      </c>
      <c r="CD12" s="3">
        <f t="shared" si="23"/>
        <v>0.2935425635697963</v>
      </c>
      <c r="CE12" s="3">
        <v>-2.2133791900714791E-3</v>
      </c>
      <c r="CF12" s="3">
        <f t="shared" si="24"/>
        <v>0.31538644998928783</v>
      </c>
      <c r="CG12" s="3">
        <v>0.10115703226457894</v>
      </c>
      <c r="CH12" s="3">
        <f t="shared" si="11"/>
        <v>0.30446450677954207</v>
      </c>
      <c r="CI12" s="3">
        <v>5.051448921813026E-2</v>
      </c>
      <c r="CJ12" s="3">
        <f t="shared" si="12"/>
        <v>-1.1180771923249962E-4</v>
      </c>
      <c r="CK12" s="3">
        <f t="shared" si="13"/>
        <v>5.1098958156671273E-3</v>
      </c>
      <c r="CL12" s="3">
        <f t="shared" si="14"/>
        <v>2.1843886419491532E-2</v>
      </c>
    </row>
    <row r="13" spans="2:90" x14ac:dyDescent="0.2">
      <c r="B13" s="7" t="s">
        <v>273</v>
      </c>
      <c r="C13" s="18">
        <f>(0.500656+0.484769+0.468881+0.452994+0.437106+0.421219+0.405331+0.389444)/8</f>
        <v>0.44505</v>
      </c>
      <c r="D13" s="7" t="s">
        <v>8</v>
      </c>
      <c r="F13" s="7" t="s">
        <v>145</v>
      </c>
      <c r="G13" s="7">
        <f>G12/$C$67</f>
        <v>0.4993193135171477</v>
      </c>
      <c r="H13" s="7" t="s">
        <v>143</v>
      </c>
      <c r="N13" s="7" t="s">
        <v>248</v>
      </c>
      <c r="O13" s="7">
        <f>O9+O12^2/(PI()*O11*$C$15)</f>
        <v>0.24303225092605241</v>
      </c>
      <c r="R13" s="7" t="s">
        <v>248</v>
      </c>
      <c r="S13" s="7">
        <f xml:space="preserve"> S9 + S12^2 / ( PI() * S11 * $C$15 )</f>
        <v>0.27207923175442927</v>
      </c>
      <c r="X13" s="3">
        <v>9</v>
      </c>
      <c r="Y13" s="3">
        <f t="shared" si="15"/>
        <v>0.951171875</v>
      </c>
      <c r="Z13" s="3">
        <f t="shared" si="0"/>
        <v>1.3058957013917238E-3</v>
      </c>
      <c r="AA13" s="3">
        <f t="shared" si="16"/>
        <v>0.953125</v>
      </c>
      <c r="AB13" s="3">
        <f t="shared" si="1"/>
        <v>-9.573354398297873E-4</v>
      </c>
      <c r="AC13" s="3">
        <f t="shared" si="3"/>
        <v>0.9521484375</v>
      </c>
      <c r="AD13" s="3">
        <f t="shared" si="2"/>
        <v>1.74122385076525E-4</v>
      </c>
      <c r="AE13" s="3">
        <f t="shared" si="4"/>
        <v>2.2738567418750843E-7</v>
      </c>
      <c r="AF13" s="3">
        <f t="shared" si="5"/>
        <v>-1.6669353010144666E-7</v>
      </c>
      <c r="AG13" s="3">
        <f t="shared" si="6"/>
        <v>1.953125E-3</v>
      </c>
      <c r="AI13" s="3">
        <v>9</v>
      </c>
      <c r="AJ13" s="3">
        <f t="shared" si="25"/>
        <v>4068.359375</v>
      </c>
      <c r="AK13" s="3">
        <v>-3.1326373355741453</v>
      </c>
      <c r="AL13" s="3">
        <f t="shared" si="26"/>
        <v>4085.9375</v>
      </c>
      <c r="AM13" s="3">
        <v>1.0964922061957623</v>
      </c>
      <c r="AN13" s="3">
        <f t="shared" si="17"/>
        <v>4077.1484375</v>
      </c>
      <c r="AO13" s="3">
        <v>-1.0124773444067614</v>
      </c>
      <c r="AP13" s="3">
        <f t="shared" si="18"/>
        <v>3.1717243305115832</v>
      </c>
      <c r="AQ13" s="3">
        <f t="shared" si="19"/>
        <v>-1.1101735170917963</v>
      </c>
      <c r="AR13" s="3">
        <f t="shared" si="20"/>
        <v>17.578125</v>
      </c>
      <c r="AT13" s="61"/>
      <c r="AU13" s="4" t="s">
        <v>231</v>
      </c>
      <c r="AV13" s="27"/>
      <c r="BB13" s="3" t="s">
        <v>165</v>
      </c>
      <c r="BC13" s="3">
        <f>$AU$21-$AU$20</f>
        <v>0.15049499999999993</v>
      </c>
      <c r="BD13" s="27" t="s">
        <v>8</v>
      </c>
      <c r="BF13" s="3" t="s">
        <v>165</v>
      </c>
      <c r="BG13" s="3">
        <f>$AU$22-$AU$21</f>
        <v>0.15049500000000005</v>
      </c>
      <c r="BH13" s="27" t="s">
        <v>8</v>
      </c>
      <c r="BJ13" s="3" t="s">
        <v>200</v>
      </c>
      <c r="BK13" s="3">
        <f>IF(BK7&lt;$BC$49, $AY$53*BK7^6 + $AZ$53*BK7^5 + $BA$53*BK7^4 + $AY$54*BK7^3 + $AZ$54*BK7^2 + $BA$54*BK7 + $AY$55, IF(BK7&gt;$BD$49, $BE$53*BK7^6 + $BF$53*BK7^5 + $BG$53*BK7^4 + $BE$54*BK7^3 + $BF$54*BK7^2 + $BG$54*BK7 + $BE$55, $BB$53*BK7^6 + $BC$53*BK7^5 + $BD$53*BK7^4 + $BB$54*BK7^3 + $BC$54*BK7^2 + $BD$54*BK7 + $BB$55) )</f>
        <v>8.2470534219078906E-2</v>
      </c>
      <c r="BL13" s="3"/>
      <c r="BM13" s="3"/>
      <c r="BN13" s="3" t="s">
        <v>200</v>
      </c>
      <c r="BO13" s="3">
        <f>IF(BO7&lt;$BC$49, $AY$53*BO7^6 + $AZ$53*BO7^5 + $BA$53*BO7^4 + $AY$54*BO7^3 + $AZ$54*BO7^2 + $BA$54*BO7 + $AY$55, IF(BO7&gt;$BD$49, $BE$53*BO7^6 + $BF$53*BO7^5 + $BG$53*BO7^4 + $BE$54*BO7^3 + $BF$54*BO7^2 + $BG$54*BO7 + $BE$55, $BB$53*BO7^6 + $BC$53*BO7^5 + $BD$53*BO7^4 + $BB$54*BO7^3 + $BC$54*BO7^2 + $BD$54*BO7 + $BB$55) )</f>
        <v>7.0243070982040218E-2</v>
      </c>
      <c r="BP13" s="3"/>
      <c r="BR13" s="3">
        <v>9</v>
      </c>
      <c r="BS13" s="3">
        <f t="shared" si="21"/>
        <v>0.33723033640877936</v>
      </c>
      <c r="BT13" s="3">
        <v>-5.7736339935542058E-2</v>
      </c>
      <c r="BU13" s="3">
        <f t="shared" si="22"/>
        <v>0.34815227961852513</v>
      </c>
      <c r="BV13" s="3">
        <v>1.9685118670621029E-2</v>
      </c>
      <c r="BW13" s="3">
        <f t="shared" si="7"/>
        <v>0.34269130801365222</v>
      </c>
      <c r="BX13" s="3">
        <v>-1.8709859754675179E-2</v>
      </c>
      <c r="BY13" s="3">
        <f t="shared" si="8"/>
        <v>1.0802388229422437E-3</v>
      </c>
      <c r="BZ13" s="3">
        <f t="shared" si="9"/>
        <v>-3.6830580958145735E-4</v>
      </c>
      <c r="CA13" s="3">
        <f t="shared" si="10"/>
        <v>1.0921943209745766E-2</v>
      </c>
      <c r="CC13" s="3">
        <v>9</v>
      </c>
      <c r="CD13" s="3">
        <f t="shared" si="23"/>
        <v>0.2935425635697963</v>
      </c>
      <c r="CE13" s="3">
        <v>-2.2133791900714791E-3</v>
      </c>
      <c r="CF13" s="3">
        <f t="shared" si="24"/>
        <v>0.30446450677954207</v>
      </c>
      <c r="CG13" s="3">
        <v>5.051448921813026E-2</v>
      </c>
      <c r="CH13" s="3">
        <f t="shared" si="11"/>
        <v>0.29900353517466915</v>
      </c>
      <c r="CI13" s="3">
        <v>2.4420651155596013E-2</v>
      </c>
      <c r="CJ13" s="3">
        <f t="shared" si="12"/>
        <v>-5.4052161075791231E-5</v>
      </c>
      <c r="CK13" s="3">
        <f t="shared" si="13"/>
        <v>1.2335967194990751E-3</v>
      </c>
      <c r="CL13" s="3">
        <f t="shared" si="14"/>
        <v>1.0921943209745766E-2</v>
      </c>
    </row>
    <row r="14" spans="2:90" x14ac:dyDescent="0.2">
      <c r="B14" s="7" t="s">
        <v>244</v>
      </c>
      <c r="C14" s="18">
        <f>210.27814*0.3048^2</f>
        <v>19.5354784515456</v>
      </c>
      <c r="D14" s="7" t="s">
        <v>11</v>
      </c>
      <c r="F14" s="7" t="s">
        <v>21</v>
      </c>
      <c r="G14" s="7">
        <f xml:space="preserve"> $C$5 * $C$68 / $C$23</f>
        <v>5000.178195054179</v>
      </c>
      <c r="H14" s="7" t="s">
        <v>22</v>
      </c>
      <c r="N14" s="7" t="s">
        <v>249</v>
      </c>
      <c r="O14" s="7">
        <f>O5*O13*$C$14</f>
        <v>4164.400414868097</v>
      </c>
      <c r="P14" s="7" t="s">
        <v>22</v>
      </c>
      <c r="R14" s="7" t="s">
        <v>42</v>
      </c>
      <c r="S14" s="7">
        <f xml:space="preserve"> S5 * S13 * $C$14</f>
        <v>4384.1244998799575</v>
      </c>
      <c r="T14" s="7" t="s">
        <v>22</v>
      </c>
      <c r="X14" s="3">
        <v>10</v>
      </c>
      <c r="Y14" s="3">
        <f t="shared" si="15"/>
        <v>0.9521484375</v>
      </c>
      <c r="Z14" s="3">
        <f t="shared" si="0"/>
        <v>1.74122385076525E-4</v>
      </c>
      <c r="AA14" s="3">
        <f t="shared" si="16"/>
        <v>0.953125</v>
      </c>
      <c r="AB14" s="3">
        <f t="shared" si="1"/>
        <v>-9.573354398297873E-4</v>
      </c>
      <c r="AC14" s="3">
        <f t="shared" si="3"/>
        <v>0.95263671875</v>
      </c>
      <c r="AD14" s="3">
        <f t="shared" si="2"/>
        <v>-3.9164590381524089E-4</v>
      </c>
      <c r="AE14" s="3">
        <f t="shared" si="4"/>
        <v>-6.819431887776105E-8</v>
      </c>
      <c r="AF14" s="3">
        <f t="shared" si="5"/>
        <v>3.7493650358649823E-7</v>
      </c>
      <c r="AG14" s="3">
        <f t="shared" si="6"/>
        <v>9.765625E-4</v>
      </c>
      <c r="AI14" s="3">
        <v>10</v>
      </c>
      <c r="AJ14" s="3">
        <f t="shared" si="25"/>
        <v>4077.1484375</v>
      </c>
      <c r="AK14" s="3">
        <v>-1.0124773444067614</v>
      </c>
      <c r="AL14" s="3">
        <f t="shared" si="26"/>
        <v>4085.9375</v>
      </c>
      <c r="AM14" s="3">
        <v>1.0964922061957623</v>
      </c>
      <c r="AN14" s="3">
        <f t="shared" si="17"/>
        <v>4081.54296875</v>
      </c>
      <c r="AO14" s="3">
        <v>4.3406977304584871E-2</v>
      </c>
      <c r="AP14" s="3">
        <f t="shared" si="18"/>
        <v>-4.3948581110070654E-2</v>
      </c>
      <c r="AQ14" s="3">
        <f t="shared" si="19"/>
        <v>4.7595412308993647E-2</v>
      </c>
      <c r="AR14" s="3">
        <f t="shared" si="20"/>
        <v>8.7890625</v>
      </c>
      <c r="AT14" s="61"/>
      <c r="AU14" s="4" t="s">
        <v>231</v>
      </c>
      <c r="AV14" s="27"/>
      <c r="AX14" s="74" t="s">
        <v>201</v>
      </c>
      <c r="AY14" s="74"/>
      <c r="AZ14" s="74"/>
      <c r="BB14" s="3" t="s">
        <v>170</v>
      </c>
      <c r="BC14" s="3">
        <f>(1+$BK$37)*$AU$3</f>
        <v>18.372123255796993</v>
      </c>
      <c r="BD14" s="27" t="s">
        <v>10</v>
      </c>
      <c r="BF14" s="3" t="s">
        <v>170</v>
      </c>
      <c r="BG14" s="3">
        <f>(1+$BO$37)*$AU$3</f>
        <v>20.166536684659203</v>
      </c>
      <c r="BH14" s="27" t="s">
        <v>10</v>
      </c>
      <c r="BJ14" s="3" t="s">
        <v>202</v>
      </c>
      <c r="BK14" s="3">
        <f xml:space="preserve"> BK12*COS(BK4) - BK13*SIN(BK4)</f>
        <v>0.40179110918808564</v>
      </c>
      <c r="BL14" s="3"/>
      <c r="BM14" s="3"/>
      <c r="BN14" s="3" t="s">
        <v>202</v>
      </c>
      <c r="BO14" s="3">
        <f xml:space="preserve"> BO12*COS(BO4) - BO13*SIN(BO4)</f>
        <v>0.58219283251112419</v>
      </c>
      <c r="BP14" s="3"/>
      <c r="BR14" s="3">
        <v>10</v>
      </c>
      <c r="BS14" s="3">
        <f t="shared" si="21"/>
        <v>0.34269130801365222</v>
      </c>
      <c r="BT14" s="3">
        <v>-1.8709859754675179E-2</v>
      </c>
      <c r="BU14" s="3">
        <f t="shared" si="22"/>
        <v>0.34815227961852513</v>
      </c>
      <c r="BV14" s="3">
        <v>1.9685118670621029E-2</v>
      </c>
      <c r="BW14" s="3">
        <f t="shared" si="7"/>
        <v>0.34542179381608867</v>
      </c>
      <c r="BX14" s="3">
        <v>5.65893728958081E-4</v>
      </c>
      <c r="BY14" s="3">
        <f t="shared" si="8"/>
        <v>-1.0587792304855864E-5</v>
      </c>
      <c r="BZ14" s="3">
        <f t="shared" si="9"/>
        <v>1.1139685209500076E-5</v>
      </c>
      <c r="CA14" s="3">
        <f t="shared" si="10"/>
        <v>5.4609716048729107E-3</v>
      </c>
      <c r="CC14" s="3">
        <v>10</v>
      </c>
      <c r="CD14" s="3">
        <f t="shared" si="23"/>
        <v>0.2935425635697963</v>
      </c>
      <c r="CE14" s="3">
        <v>-2.2133791900714791E-3</v>
      </c>
      <c r="CF14" s="3">
        <f t="shared" si="24"/>
        <v>0.29900353517466915</v>
      </c>
      <c r="CG14" s="3">
        <v>2.4420651155596013E-2</v>
      </c>
      <c r="CH14" s="3">
        <f t="shared" si="11"/>
        <v>0.29627304937223276</v>
      </c>
      <c r="CI14" s="3">
        <v>1.1172402633442722E-2</v>
      </c>
      <c r="CJ14" s="3">
        <f t="shared" si="12"/>
        <v>-2.4728763491961911E-5</v>
      </c>
      <c r="CK14" s="3">
        <f t="shared" si="13"/>
        <v>2.7283734728116693E-4</v>
      </c>
      <c r="CL14" s="3">
        <f t="shared" si="14"/>
        <v>5.4609716048728552E-3</v>
      </c>
    </row>
    <row r="15" spans="2:90" x14ac:dyDescent="0.2">
      <c r="B15" s="7" t="s">
        <v>245</v>
      </c>
      <c r="C15" s="18">
        <v>12.127610000000001</v>
      </c>
      <c r="F15" s="49" t="s">
        <v>227</v>
      </c>
      <c r="G15" s="7">
        <f>AY10</f>
        <v>5000.1817170002741</v>
      </c>
      <c r="H15" s="7" t="s">
        <v>22</v>
      </c>
      <c r="J15" s="47" t="s">
        <v>54</v>
      </c>
      <c r="K15" s="47"/>
      <c r="L15" s="47"/>
      <c r="N15" s="7" t="s">
        <v>250</v>
      </c>
      <c r="O15" s="7">
        <f>O4/O14</f>
        <v>9.5485075968048321</v>
      </c>
      <c r="R15" s="7" t="s">
        <v>250</v>
      </c>
      <c r="S15" s="7">
        <f>S4/S14</f>
        <v>9.120685339309178</v>
      </c>
      <c r="X15" s="3">
        <v>11</v>
      </c>
      <c r="Y15" s="3">
        <f t="shared" si="15"/>
        <v>0.9521484375</v>
      </c>
      <c r="Z15" s="3">
        <f t="shared" si="0"/>
        <v>1.74122385076525E-4</v>
      </c>
      <c r="AA15" s="3">
        <f t="shared" si="16"/>
        <v>0.95263671875</v>
      </c>
      <c r="AB15" s="3">
        <f t="shared" si="1"/>
        <v>-3.9164590381524089E-4</v>
      </c>
      <c r="AC15" s="3">
        <f t="shared" si="3"/>
        <v>0.952392578125</v>
      </c>
      <c r="AD15" s="3">
        <f t="shared" si="2"/>
        <v>-1.0877161096800592E-4</v>
      </c>
      <c r="AE15" s="3">
        <f t="shared" si="4"/>
        <v>-1.8939572330365096E-8</v>
      </c>
      <c r="AF15" s="3">
        <f t="shared" si="5"/>
        <v>4.2599955887004445E-8</v>
      </c>
      <c r="AG15" s="3">
        <f t="shared" si="6"/>
        <v>4.8828125E-4</v>
      </c>
      <c r="AI15" s="3">
        <v>11</v>
      </c>
      <c r="AJ15" s="3">
        <f t="shared" si="25"/>
        <v>4077.1484375</v>
      </c>
      <c r="AK15" s="3">
        <v>-1.0124773444067614</v>
      </c>
      <c r="AL15" s="3">
        <f t="shared" si="26"/>
        <v>4081.54296875</v>
      </c>
      <c r="AM15" s="3">
        <v>4.3406977304584871E-2</v>
      </c>
      <c r="AN15" s="3">
        <f t="shared" si="17"/>
        <v>4079.345703125</v>
      </c>
      <c r="AO15" s="3">
        <v>-0.48418579710642007</v>
      </c>
      <c r="AP15" s="3">
        <f t="shared" si="18"/>
        <v>0.49022715005377915</v>
      </c>
      <c r="AQ15" s="3">
        <f t="shared" si="19"/>
        <v>-2.1017041906200712E-2</v>
      </c>
      <c r="AR15" s="3">
        <f t="shared" si="20"/>
        <v>4.39453125</v>
      </c>
      <c r="AT15" s="61"/>
      <c r="AU15" s="4" t="s">
        <v>231</v>
      </c>
      <c r="AV15" s="27"/>
      <c r="AX15" s="3" t="s">
        <v>203</v>
      </c>
      <c r="AY15" s="3">
        <f>AY10*(AU3/2 + SQRT( (AU3/2)^2 + AY10/(2*AU45*PI()*AY3^2) ) )/1000</f>
        <v>92.775861154813057</v>
      </c>
      <c r="AZ15" s="27" t="s">
        <v>116</v>
      </c>
      <c r="BB15" s="3" t="s">
        <v>175</v>
      </c>
      <c r="BC15" s="3">
        <f>(1-$BK$38)*$AY$5*$AU$21</f>
        <v>69.424452151621054</v>
      </c>
      <c r="BD15" s="27" t="s">
        <v>10</v>
      </c>
      <c r="BF15" s="3" t="s">
        <v>175</v>
      </c>
      <c r="BG15" s="3">
        <f>(1-$BO$38)*$AY$5*$AU$22</f>
        <v>85.885030199021173</v>
      </c>
      <c r="BH15" s="27" t="s">
        <v>10</v>
      </c>
      <c r="BJ15" s="3" t="s">
        <v>204</v>
      </c>
      <c r="BK15" s="3">
        <f xml:space="preserve"> BK12*SIN(BK4) + BK13*COS(BK4)</f>
        <v>0.23219266229174329</v>
      </c>
      <c r="BL15" s="3"/>
      <c r="BM15" s="3"/>
      <c r="BN15" s="3" t="s">
        <v>204</v>
      </c>
      <c r="BO15" s="3">
        <f xml:space="preserve"> BO12*SIN(BO4) + BO13*COS(BO4)</f>
        <v>0.24965993680114507</v>
      </c>
      <c r="BP15" s="3"/>
      <c r="BR15" s="3">
        <v>11</v>
      </c>
      <c r="BS15" s="3">
        <f t="shared" si="21"/>
        <v>0.34269130801365222</v>
      </c>
      <c r="BT15" s="3">
        <v>-1.8709859754675179E-2</v>
      </c>
      <c r="BU15" s="3">
        <f t="shared" si="22"/>
        <v>0.34542179381608867</v>
      </c>
      <c r="BV15" s="3">
        <v>5.65893728958081E-4</v>
      </c>
      <c r="BW15" s="3">
        <f t="shared" si="7"/>
        <v>0.34405655091487042</v>
      </c>
      <c r="BX15" s="3">
        <v>-9.052333330133196E-3</v>
      </c>
      <c r="BY15" s="3">
        <f t="shared" si="8"/>
        <v>1.6936788705936384E-4</v>
      </c>
      <c r="BZ15" s="3">
        <f t="shared" si="9"/>
        <v>-5.1226586639605978E-6</v>
      </c>
      <c r="CA15" s="3">
        <f t="shared" si="10"/>
        <v>2.7304858024364553E-3</v>
      </c>
      <c r="CC15" s="3">
        <v>11</v>
      </c>
      <c r="CD15" s="3">
        <f t="shared" si="23"/>
        <v>0.2935425635697963</v>
      </c>
      <c r="CE15" s="3">
        <v>-2.2133791900714791E-3</v>
      </c>
      <c r="CF15" s="3">
        <f t="shared" si="24"/>
        <v>0.29627304937223276</v>
      </c>
      <c r="CG15" s="3">
        <v>1.1172402633442722E-2</v>
      </c>
      <c r="CH15" s="3">
        <f t="shared" si="11"/>
        <v>0.29490780647101456</v>
      </c>
      <c r="CI15" s="3">
        <v>4.4968629837352503E-3</v>
      </c>
      <c r="CJ15" s="3">
        <f t="shared" si="12"/>
        <v>-9.9532629488023426E-6</v>
      </c>
      <c r="CK15" s="3">
        <f t="shared" si="13"/>
        <v>5.0240763841714807E-5</v>
      </c>
      <c r="CL15" s="3">
        <f t="shared" si="14"/>
        <v>2.7304858024364553E-3</v>
      </c>
    </row>
    <row r="16" spans="2:90" x14ac:dyDescent="0.2">
      <c r="F16" s="49" t="s">
        <v>228</v>
      </c>
      <c r="G16" s="7">
        <f>G14-G15</f>
        <v>-3.5219460951338988E-3</v>
      </c>
      <c r="H16" s="7" t="s">
        <v>22</v>
      </c>
      <c r="J16" s="11" t="s">
        <v>82</v>
      </c>
      <c r="K16" s="19">
        <f>C5</f>
        <v>4081.3620803505728</v>
      </c>
      <c r="L16" s="7" t="s">
        <v>7</v>
      </c>
      <c r="N16" s="7" t="s">
        <v>130</v>
      </c>
      <c r="O16" s="7">
        <f>(O13*$C$14)/(0.3048^2)/($C$5*2.20462/1000)^(2/3)</f>
        <v>11.813142895959754</v>
      </c>
      <c r="R16" s="7" t="s">
        <v>130</v>
      </c>
      <c r="S16" s="7">
        <f>(S13*$C$14)/(0.3048^2)/($C$5*2.20462/1000)^(2/3)</f>
        <v>13.225038370384773</v>
      </c>
      <c r="X16" s="3">
        <v>12</v>
      </c>
      <c r="Y16" s="3">
        <f t="shared" si="15"/>
        <v>0.9521484375</v>
      </c>
      <c r="Z16" s="3">
        <f t="shared" si="0"/>
        <v>1.74122385076525E-4</v>
      </c>
      <c r="AA16" s="3">
        <f t="shared" si="16"/>
        <v>0.952392578125</v>
      </c>
      <c r="AB16" s="3">
        <f t="shared" si="1"/>
        <v>-1.0877161096800592E-4</v>
      </c>
      <c r="AC16" s="3">
        <f t="shared" si="3"/>
        <v>0.9522705078125</v>
      </c>
      <c r="AD16" s="3">
        <f t="shared" si="2"/>
        <v>3.2672923217624827E-5</v>
      </c>
      <c r="AE16" s="3">
        <f t="shared" si="4"/>
        <v>5.6890873180750042E-9</v>
      </c>
      <c r="AF16" s="3">
        <f t="shared" si="5"/>
        <v>-3.5538864934150159E-9</v>
      </c>
      <c r="AG16" s="3">
        <f t="shared" si="6"/>
        <v>2.44140625E-4</v>
      </c>
      <c r="AI16" s="3">
        <v>12</v>
      </c>
      <c r="AJ16" s="3">
        <f t="shared" si="25"/>
        <v>4079.345703125</v>
      </c>
      <c r="AK16" s="3">
        <v>-0.48418579710642007</v>
      </c>
      <c r="AL16" s="3">
        <f t="shared" si="26"/>
        <v>4081.54296875</v>
      </c>
      <c r="AM16" s="3">
        <v>4.3406977304584871E-2</v>
      </c>
      <c r="AN16" s="3">
        <f t="shared" si="17"/>
        <v>4080.4443359375</v>
      </c>
      <c r="AO16" s="3">
        <v>-0.22030200293465896</v>
      </c>
      <c r="AP16" s="3">
        <f t="shared" si="18"/>
        <v>0.10666710089505874</v>
      </c>
      <c r="AQ16" s="3">
        <f t="shared" si="19"/>
        <v>-9.5626440415393314E-3</v>
      </c>
      <c r="AR16" s="3">
        <f t="shared" si="20"/>
        <v>2.197265625</v>
      </c>
      <c r="AT16" s="61"/>
      <c r="AU16" s="4" t="s">
        <v>231</v>
      </c>
      <c r="AV16" s="27"/>
      <c r="AX16" s="3" t="s">
        <v>205</v>
      </c>
      <c r="AY16" s="3">
        <f>AY15/AY12</f>
        <v>0.45243995452789543</v>
      </c>
      <c r="AZ16" s="27"/>
      <c r="BB16" s="3" t="s">
        <v>179</v>
      </c>
      <c r="BC16" s="3">
        <f>SQRT(BC14^2 + BC15^2)</f>
        <v>71.814270653393947</v>
      </c>
      <c r="BD16" s="27" t="s">
        <v>10</v>
      </c>
      <c r="BF16" s="3" t="s">
        <v>179</v>
      </c>
      <c r="BG16" s="3">
        <f>SQRT(BG14^2 + BG15^2)</f>
        <v>88.220902365258567</v>
      </c>
      <c r="BH16" s="27" t="s">
        <v>10</v>
      </c>
      <c r="BJ16" s="3" t="s">
        <v>38</v>
      </c>
      <c r="BK16" s="3">
        <f xml:space="preserve"> 4*BK11*SIN(BK4)*SIN(BK4) / (BK8*BK14)</f>
        <v>1.0408507831600753</v>
      </c>
      <c r="BL16" s="3"/>
      <c r="BM16" s="3"/>
      <c r="BN16" s="3" t="s">
        <v>38</v>
      </c>
      <c r="BO16" s="3">
        <f xml:space="preserve"> 4*BO11*SIN(BO4)*SIN(BO4) / (BO8*BO14)</f>
        <v>1.03272939790753</v>
      </c>
      <c r="BP16" s="3"/>
      <c r="BR16" s="3">
        <v>12</v>
      </c>
      <c r="BS16" s="3">
        <f t="shared" si="21"/>
        <v>0.34405655091487042</v>
      </c>
      <c r="BT16" s="3">
        <v>-9.052333330133196E-3</v>
      </c>
      <c r="BU16" s="3">
        <f t="shared" si="22"/>
        <v>0.34542179381608867</v>
      </c>
      <c r="BV16" s="3">
        <v>5.65893728958081E-4</v>
      </c>
      <c r="BW16" s="3">
        <f t="shared" si="7"/>
        <v>0.34473917236547957</v>
      </c>
      <c r="BX16" s="3">
        <v>-4.2383178666634044E-3</v>
      </c>
      <c r="BY16" s="3">
        <f t="shared" si="8"/>
        <v>3.8366666088096156E-5</v>
      </c>
      <c r="BZ16" s="3">
        <f t="shared" si="9"/>
        <v>-2.3984375020758125E-6</v>
      </c>
      <c r="CA16" s="3">
        <f t="shared" si="10"/>
        <v>1.3652429012182554E-3</v>
      </c>
      <c r="CC16" s="3">
        <v>12</v>
      </c>
      <c r="CD16" s="3">
        <f t="shared" si="23"/>
        <v>0.2935425635697963</v>
      </c>
      <c r="CE16" s="3">
        <v>-2.2133791900714791E-3</v>
      </c>
      <c r="CF16" s="3">
        <f t="shared" si="24"/>
        <v>0.29490780647101456</v>
      </c>
      <c r="CG16" s="3">
        <v>4.4968629837352503E-3</v>
      </c>
      <c r="CH16" s="3">
        <f t="shared" si="11"/>
        <v>0.2942251850204054</v>
      </c>
      <c r="CI16" s="3">
        <v>1.1460999389672297E-3</v>
      </c>
      <c r="CJ16" s="3">
        <f t="shared" si="12"/>
        <v>-2.5367537546522587E-6</v>
      </c>
      <c r="CK16" s="3">
        <f t="shared" si="13"/>
        <v>5.1538543912029653E-6</v>
      </c>
      <c r="CL16" s="3">
        <f t="shared" si="14"/>
        <v>1.3652429012182554E-3</v>
      </c>
    </row>
    <row r="17" spans="2:90" x14ac:dyDescent="0.2">
      <c r="B17" s="68" t="s">
        <v>12</v>
      </c>
      <c r="C17" s="68"/>
      <c r="D17" s="68"/>
      <c r="F17" s="49" t="s">
        <v>229</v>
      </c>
      <c r="G17" s="5" t="str">
        <f>IF(ABS(G16)&lt;1, "TRUE", "FALSE")</f>
        <v>TRUE</v>
      </c>
      <c r="J17" s="12" t="s">
        <v>55</v>
      </c>
      <c r="K17" s="7">
        <f xml:space="preserve"> 1000 * K11 / ($C$60 * $C$61 * $C$62)</f>
        <v>1055.0500504361041</v>
      </c>
      <c r="L17" s="7" t="s">
        <v>7</v>
      </c>
      <c r="X17" s="3">
        <v>13</v>
      </c>
      <c r="Y17" s="3">
        <f t="shared" si="15"/>
        <v>0.9522705078125</v>
      </c>
      <c r="Z17" s="3">
        <f t="shared" si="0"/>
        <v>3.2672923217624827E-5</v>
      </c>
      <c r="AA17" s="3">
        <f t="shared" si="16"/>
        <v>0.952392578125</v>
      </c>
      <c r="AB17" s="3">
        <f t="shared" si="1"/>
        <v>-1.0877161096800592E-4</v>
      </c>
      <c r="AC17" s="3">
        <f t="shared" si="3"/>
        <v>0.95233154296875</v>
      </c>
      <c r="AD17" s="3">
        <f t="shared" si="2"/>
        <v>-3.8049959717123549E-5</v>
      </c>
      <c r="AE17" s="3">
        <f t="shared" si="4"/>
        <v>-1.2432034122712954E-9</v>
      </c>
      <c r="AF17" s="3">
        <f t="shared" si="5"/>
        <v>4.138755415699259E-9</v>
      </c>
      <c r="AG17" s="3">
        <f t="shared" si="6"/>
        <v>1.220703125E-4</v>
      </c>
      <c r="AI17" s="3">
        <v>13</v>
      </c>
      <c r="AJ17" s="3">
        <f t="shared" si="25"/>
        <v>4080.4443359375</v>
      </c>
      <c r="AK17" s="3">
        <v>-0.22030200293465896</v>
      </c>
      <c r="AL17" s="3">
        <f t="shared" si="26"/>
        <v>4081.54296875</v>
      </c>
      <c r="AM17" s="3">
        <v>4.3406977304584871E-2</v>
      </c>
      <c r="AN17" s="3">
        <f t="shared" si="17"/>
        <v>4080.99365234375</v>
      </c>
      <c r="AO17" s="3">
        <v>-8.8425201714926516E-2</v>
      </c>
      <c r="AP17" s="3">
        <f t="shared" si="18"/>
        <v>1.9480249047699551E-2</v>
      </c>
      <c r="AQ17" s="3">
        <f t="shared" si="19"/>
        <v>-3.8382707239931545E-3</v>
      </c>
      <c r="AR17" s="3">
        <f t="shared" si="20"/>
        <v>1.0986328125</v>
      </c>
      <c r="AT17" s="61"/>
      <c r="AU17" s="4" t="s">
        <v>231</v>
      </c>
      <c r="AV17" s="27"/>
      <c r="AX17" s="3" t="s">
        <v>202</v>
      </c>
      <c r="AY17" s="3">
        <f>AY10/($AU$45*AY6^2*AU9^4)</f>
        <v>0.18743921648081815</v>
      </c>
      <c r="AZ17" s="3"/>
      <c r="BB17" s="3" t="s">
        <v>182</v>
      </c>
      <c r="BC17" s="38">
        <f>$AU$45*BC16*$AU$27/$AU$46</f>
        <v>3546914.5779708074</v>
      </c>
      <c r="BD17" s="27"/>
      <c r="BF17" s="3" t="s">
        <v>182</v>
      </c>
      <c r="BG17" s="38">
        <f>$AU$45*BG16*$AU$27/$AU$46</f>
        <v>4357239.8888700083</v>
      </c>
      <c r="BH17" s="27"/>
      <c r="BJ17" s="3" t="s">
        <v>206</v>
      </c>
      <c r="BK17" s="3">
        <f xml:space="preserve"> 4*BK11*SIN(BK4)*COS(BK4) / (BK8*BK15)</f>
        <v>5.0064498173269003</v>
      </c>
      <c r="BL17" s="3"/>
      <c r="BM17" s="3"/>
      <c r="BN17" s="3" t="s">
        <v>206</v>
      </c>
      <c r="BO17" s="3">
        <f xml:space="preserve"> 4*BO11*SIN(BO4)*COS(BO4) / (BO8*BO15)</f>
        <v>7.9542275915380634</v>
      </c>
      <c r="BP17" s="3"/>
      <c r="BR17" s="3">
        <v>13</v>
      </c>
      <c r="BS17" s="3">
        <f t="shared" si="21"/>
        <v>0.34473917236547957</v>
      </c>
      <c r="BT17" s="3">
        <v>-4.2383178666634044E-3</v>
      </c>
      <c r="BU17" s="3">
        <f t="shared" si="22"/>
        <v>0.34542179381608867</v>
      </c>
      <c r="BV17" s="3">
        <v>5.65893728958081E-4</v>
      </c>
      <c r="BW17" s="3">
        <f t="shared" si="7"/>
        <v>0.3450804830907841</v>
      </c>
      <c r="BX17" s="3">
        <v>-1.8349878931481923E-3</v>
      </c>
      <c r="BY17" s="3">
        <f t="shared" si="8"/>
        <v>7.7772619726410207E-6</v>
      </c>
      <c r="BZ17" s="3">
        <f t="shared" si="9"/>
        <v>-1.0384081414465633E-6</v>
      </c>
      <c r="CA17" s="3">
        <f t="shared" si="10"/>
        <v>6.8262145060909996E-4</v>
      </c>
      <c r="CC17" s="3">
        <v>13</v>
      </c>
      <c r="CD17" s="3">
        <f t="shared" si="23"/>
        <v>0.2935425635697963</v>
      </c>
      <c r="CE17" s="3">
        <v>-2.2133791900714791E-3</v>
      </c>
      <c r="CF17" s="3">
        <f t="shared" si="24"/>
        <v>0.2942251850204054</v>
      </c>
      <c r="CG17" s="3">
        <v>1.1460999389672297E-3</v>
      </c>
      <c r="CH17" s="3">
        <f t="shared" si="11"/>
        <v>0.29388387429510088</v>
      </c>
      <c r="CI17" s="3">
        <v>-5.3254756908110643E-4</v>
      </c>
      <c r="CJ17" s="3">
        <f t="shared" si="12"/>
        <v>1.1787297071272744E-6</v>
      </c>
      <c r="CK17" s="3">
        <f t="shared" si="13"/>
        <v>-6.1035273642100267E-7</v>
      </c>
      <c r="CL17" s="3">
        <f t="shared" si="14"/>
        <v>6.8262145060909996E-4</v>
      </c>
    </row>
    <row r="18" spans="2:90" x14ac:dyDescent="0.2">
      <c r="B18" s="7" t="s">
        <v>71</v>
      </c>
      <c r="C18" s="7">
        <f>C35*(1209/6)*0.453592</f>
        <v>548.39272800000003</v>
      </c>
      <c r="D18" s="7" t="s">
        <v>7</v>
      </c>
      <c r="F18" s="44" t="s">
        <v>85</v>
      </c>
      <c r="G18" s="44">
        <f xml:space="preserve"> $C$23 * AY12</f>
        <v>1640.4539029117582</v>
      </c>
      <c r="H18" s="44" t="s">
        <v>116</v>
      </c>
      <c r="J18" s="13" t="s">
        <v>147</v>
      </c>
      <c r="K18" s="7">
        <f xml:space="preserve"> $C$84 * ( $C$23 * (0.0095 * MAX(G14,G54) - 1.9275) +  $C$29 * (0.0095 * MAX(O20,S20) - 1.9275) )</f>
        <v>442.91341466211372</v>
      </c>
      <c r="L18" s="7" t="s">
        <v>7</v>
      </c>
      <c r="N18" s="66" t="s">
        <v>251</v>
      </c>
      <c r="O18" s="72"/>
      <c r="P18" s="72"/>
      <c r="R18" s="66" t="s">
        <v>252</v>
      </c>
      <c r="S18" s="72"/>
      <c r="T18" s="72"/>
      <c r="X18" s="3">
        <v>14</v>
      </c>
      <c r="Y18" s="3">
        <f t="shared" si="15"/>
        <v>0.9522705078125</v>
      </c>
      <c r="Z18" s="3">
        <f t="shared" si="0"/>
        <v>3.2672923217624827E-5</v>
      </c>
      <c r="AA18" s="3">
        <f t="shared" si="16"/>
        <v>0.95233154296875</v>
      </c>
      <c r="AB18" s="3">
        <f t="shared" si="1"/>
        <v>-3.8049959717123549E-5</v>
      </c>
      <c r="AC18" s="3">
        <f t="shared" si="3"/>
        <v>0.952301025390625</v>
      </c>
      <c r="AD18" s="3">
        <f t="shared" si="2"/>
        <v>-2.6886722248598005E-6</v>
      </c>
      <c r="AE18" s="3">
        <f t="shared" si="4"/>
        <v>-8.7846781160204782E-11</v>
      </c>
      <c r="AF18" s="3">
        <f t="shared" si="5"/>
        <v>1.0230386984846436E-10</v>
      </c>
      <c r="AG18" s="3">
        <f t="shared" si="6"/>
        <v>6.103515625E-5</v>
      </c>
      <c r="AI18" s="3">
        <v>14</v>
      </c>
      <c r="AJ18" s="3">
        <f t="shared" si="25"/>
        <v>4080.99365234375</v>
      </c>
      <c r="AK18" s="3">
        <v>-8.8425201714926516E-2</v>
      </c>
      <c r="AL18" s="3">
        <f t="shared" si="26"/>
        <v>4081.54296875</v>
      </c>
      <c r="AM18" s="3">
        <v>4.3406977304584871E-2</v>
      </c>
      <c r="AN18" s="3">
        <f t="shared" si="17"/>
        <v>4081.268310546875</v>
      </c>
      <c r="AO18" s="3">
        <v>-2.2503540297748259E-2</v>
      </c>
      <c r="AP18" s="3">
        <f t="shared" si="18"/>
        <v>1.9898800901283673E-3</v>
      </c>
      <c r="AQ18" s="3">
        <f t="shared" si="19"/>
        <v>-9.7681066297716974E-4</v>
      </c>
      <c r="AR18" s="3">
        <f t="shared" si="20"/>
        <v>0.54931640625</v>
      </c>
      <c r="AT18" s="61"/>
      <c r="AU18" s="4" t="s">
        <v>231</v>
      </c>
      <c r="AX18" s="3" t="s">
        <v>204</v>
      </c>
      <c r="AY18" s="3">
        <f>AY11/($AU$45*AY6^2*AU9^5)</f>
        <v>2.3095005442437429E-2</v>
      </c>
      <c r="AZ18" s="27"/>
      <c r="BB18" s="3" t="s">
        <v>186</v>
      </c>
      <c r="BC18" s="3">
        <f xml:space="preserve"> $BK$27 * PI() * $AU$45 * BC16^2 *$BK$33 * $AU$21 * BC13</f>
        <v>405.59658810977629</v>
      </c>
      <c r="BD18" s="27" t="s">
        <v>22</v>
      </c>
      <c r="BF18" s="3" t="s">
        <v>186</v>
      </c>
      <c r="BG18" s="3">
        <f xml:space="preserve"> $BO$27 * PI() * $AU$45 * BG16^2 * $BO$33 * $AU$22 * BG13</f>
        <v>610.42992606021278</v>
      </c>
      <c r="BH18" s="27" t="s">
        <v>22</v>
      </c>
      <c r="BJ18" s="3" t="s">
        <v>45</v>
      </c>
      <c r="BK18" s="3">
        <f>1/(BK16-1)</f>
        <v>24.479334853421619</v>
      </c>
      <c r="BL18" s="3"/>
      <c r="BM18" s="3"/>
      <c r="BN18" s="3" t="s">
        <v>45</v>
      </c>
      <c r="BO18" s="3">
        <f>1/(BO16-1)</f>
        <v>30.553571526897237</v>
      </c>
      <c r="BP18" s="3"/>
      <c r="BR18" s="3">
        <v>14</v>
      </c>
      <c r="BS18" s="3">
        <f t="shared" si="21"/>
        <v>0.3450804830907841</v>
      </c>
      <c r="BT18" s="3">
        <v>-1.8349878931481923E-3</v>
      </c>
      <c r="BU18" s="3">
        <f t="shared" si="22"/>
        <v>0.34542179381608867</v>
      </c>
      <c r="BV18" s="3">
        <v>5.65893728958081E-4</v>
      </c>
      <c r="BW18" s="3">
        <f t="shared" si="7"/>
        <v>0.34525113845343636</v>
      </c>
      <c r="BX18" s="3">
        <v>-6.3424120145022522E-4</v>
      </c>
      <c r="BY18" s="3">
        <f t="shared" si="8"/>
        <v>1.1638249259969269E-6</v>
      </c>
      <c r="BZ18" s="3">
        <f t="shared" si="9"/>
        <v>-3.5891311854752142E-7</v>
      </c>
      <c r="CA18" s="3">
        <f t="shared" si="10"/>
        <v>3.4131072530457773E-4</v>
      </c>
      <c r="CC18" s="3">
        <v>14</v>
      </c>
      <c r="CD18" s="3">
        <f t="shared" si="23"/>
        <v>0.29388387429510088</v>
      </c>
      <c r="CE18" s="3">
        <v>-5.3254756908110643E-4</v>
      </c>
      <c r="CF18" s="3">
        <f t="shared" si="24"/>
        <v>0.2942251850204054</v>
      </c>
      <c r="CG18" s="3">
        <v>1.1460999389672297E-3</v>
      </c>
      <c r="CH18" s="3">
        <f t="shared" si="11"/>
        <v>0.29405452965775314</v>
      </c>
      <c r="CI18" s="3">
        <v>3.0704888002639624E-4</v>
      </c>
      <c r="CJ18" s="3">
        <f t="shared" si="12"/>
        <v>-1.635181346471336E-7</v>
      </c>
      <c r="CK18" s="3">
        <f t="shared" si="13"/>
        <v>3.5190870265820896E-7</v>
      </c>
      <c r="CL18" s="3">
        <f t="shared" si="14"/>
        <v>3.4131072530452222E-4</v>
      </c>
    </row>
    <row r="19" spans="2:90" x14ac:dyDescent="0.2">
      <c r="B19" s="7" t="s">
        <v>13</v>
      </c>
      <c r="C19" s="18">
        <v>69450</v>
      </c>
      <c r="D19" s="7" t="s">
        <v>8</v>
      </c>
      <c r="J19" s="13" t="s">
        <v>148</v>
      </c>
      <c r="K19" s="7">
        <v>0</v>
      </c>
      <c r="L19" s="7" t="s">
        <v>7</v>
      </c>
      <c r="N19" s="7" t="s">
        <v>28</v>
      </c>
      <c r="O19" s="7">
        <f xml:space="preserve"> 90 - $C$87</f>
        <v>85</v>
      </c>
      <c r="P19" s="7" t="s">
        <v>43</v>
      </c>
      <c r="R19" s="7" t="s">
        <v>28</v>
      </c>
      <c r="S19" s="7">
        <f xml:space="preserve"> 90 - $C$87</f>
        <v>85</v>
      </c>
      <c r="T19" s="7" t="s">
        <v>43</v>
      </c>
      <c r="X19" s="3">
        <v>15</v>
      </c>
      <c r="Y19" s="3">
        <f t="shared" si="15"/>
        <v>0.9522705078125</v>
      </c>
      <c r="Z19" s="3">
        <f t="shared" si="0"/>
        <v>3.2672923217624827E-5</v>
      </c>
      <c r="AA19" s="3">
        <f t="shared" si="16"/>
        <v>0.952301025390625</v>
      </c>
      <c r="AB19" s="3">
        <f t="shared" si="1"/>
        <v>-2.6886722248598005E-6</v>
      </c>
      <c r="AC19" s="3">
        <f t="shared" si="3"/>
        <v>0.9522857666015625</v>
      </c>
      <c r="AD19" s="3">
        <f t="shared" si="2"/>
        <v>1.4992087000842425E-5</v>
      </c>
      <c r="AE19" s="3">
        <f t="shared" si="4"/>
        <v>4.8983530745047584E-10</v>
      </c>
      <c r="AF19" s="3">
        <f t="shared" si="5"/>
        <v>-4.0308807911846694E-11</v>
      </c>
      <c r="AG19" s="3">
        <f t="shared" si="6"/>
        <v>3.0517578125E-5</v>
      </c>
      <c r="AI19" s="3">
        <v>15</v>
      </c>
      <c r="AJ19" s="3">
        <f t="shared" si="25"/>
        <v>4081.268310546875</v>
      </c>
      <c r="AK19" s="3">
        <v>-2.2503540297748259E-2</v>
      </c>
      <c r="AL19" s="3">
        <f t="shared" si="26"/>
        <v>4081.54296875</v>
      </c>
      <c r="AM19" s="3">
        <v>4.3406977304584871E-2</v>
      </c>
      <c r="AN19" s="3">
        <f t="shared" si="17"/>
        <v>4081.4056396484375</v>
      </c>
      <c r="AO19" s="3">
        <v>1.0452829802034103E-2</v>
      </c>
      <c r="AP19" s="3">
        <f t="shared" si="18"/>
        <v>-2.3522567667557838E-4</v>
      </c>
      <c r="AQ19" s="3">
        <f t="shared" si="19"/>
        <v>4.5372574598558264E-4</v>
      </c>
      <c r="AR19" s="3">
        <f t="shared" si="20"/>
        <v>0.274658203125</v>
      </c>
      <c r="AT19" s="61" t="s">
        <v>207</v>
      </c>
      <c r="AU19" s="4">
        <f>0.259375*($AU$9/2)</f>
        <v>0.39528750000000001</v>
      </c>
      <c r="AV19" s="27" t="s">
        <v>8</v>
      </c>
      <c r="AX19" s="3" t="s">
        <v>208</v>
      </c>
      <c r="AY19" s="3">
        <f>2*PI()*AY18</f>
        <v>0.14511019886515544</v>
      </c>
      <c r="AZ19" s="27"/>
      <c r="BB19" s="3" t="s">
        <v>190</v>
      </c>
      <c r="BC19" s="3">
        <f xml:space="preserve"> $BK$27 * PI() * $AU$45 * BC16^2 * $BK$34 * $AU$21^2 * BC13</f>
        <v>104.46105651915897</v>
      </c>
      <c r="BD19" s="27" t="s">
        <v>191</v>
      </c>
      <c r="BF19" s="3" t="s">
        <v>190</v>
      </c>
      <c r="BG19" s="3">
        <f xml:space="preserve"> $BO$27 * PI() * $AU$45 * BG16^2 * $BO$34 * $AU$22^2 * BG13</f>
        <v>173.03994573602398</v>
      </c>
      <c r="BH19" s="27" t="s">
        <v>191</v>
      </c>
      <c r="BJ19" s="3" t="s">
        <v>209</v>
      </c>
      <c r="BK19" s="3">
        <f>1/(BK17+1)</f>
        <v>0.16648769746070038</v>
      </c>
      <c r="BL19" s="3"/>
      <c r="BM19" s="3"/>
      <c r="BN19" s="3" t="s">
        <v>209</v>
      </c>
      <c r="BO19" s="3">
        <f>1/(BO17+1)</f>
        <v>0.11167909121999772</v>
      </c>
      <c r="BP19" s="3"/>
      <c r="BR19" s="3">
        <v>15</v>
      </c>
      <c r="BS19" s="3">
        <f t="shared" si="21"/>
        <v>0.34525113845343636</v>
      </c>
      <c r="BT19" s="3">
        <v>-6.3424120145022522E-4</v>
      </c>
      <c r="BU19" s="3">
        <f t="shared" si="22"/>
        <v>0.34542179381608867</v>
      </c>
      <c r="BV19" s="3">
        <v>5.65893728958081E-4</v>
      </c>
      <c r="BW19" s="3">
        <f t="shared" si="7"/>
        <v>0.34533646613476254</v>
      </c>
      <c r="BX19" s="3">
        <v>-3.4097286482666009E-5</v>
      </c>
      <c r="BY19" s="3">
        <f t="shared" si="8"/>
        <v>2.1625903944958615E-8</v>
      </c>
      <c r="BZ19" s="3">
        <f t="shared" si="9"/>
        <v>-1.9295440595027837E-8</v>
      </c>
      <c r="CA19" s="3">
        <f t="shared" si="10"/>
        <v>1.7065536265231662E-4</v>
      </c>
      <c r="CC19" s="3">
        <v>15</v>
      </c>
      <c r="CD19" s="3">
        <f t="shared" si="23"/>
        <v>0.29388387429510088</v>
      </c>
      <c r="CE19" s="3">
        <v>-5.3254756908110643E-4</v>
      </c>
      <c r="CF19" s="3">
        <f t="shared" si="24"/>
        <v>0.29405452965775314</v>
      </c>
      <c r="CG19" s="3">
        <v>3.0704888002639624E-4</v>
      </c>
      <c r="CH19" s="3">
        <f t="shared" si="11"/>
        <v>0.29396920197642701</v>
      </c>
      <c r="CI19" s="3">
        <v>-1.1268113092695493E-4</v>
      </c>
      <c r="CJ19" s="3">
        <f t="shared" si="12"/>
        <v>6.0008062356459724E-8</v>
      </c>
      <c r="CK19" s="3">
        <f t="shared" si="13"/>
        <v>-3.4598615051229232E-8</v>
      </c>
      <c r="CL19" s="3">
        <f t="shared" si="14"/>
        <v>1.7065536265226111E-4</v>
      </c>
    </row>
    <row r="20" spans="2:90" x14ac:dyDescent="0.2">
      <c r="B20" s="7" t="s">
        <v>277</v>
      </c>
      <c r="C20" s="18">
        <v>2</v>
      </c>
      <c r="F20" s="66" t="s">
        <v>282</v>
      </c>
      <c r="G20" s="67"/>
      <c r="H20" s="67"/>
      <c r="J20" s="14" t="s">
        <v>56</v>
      </c>
      <c r="K20" s="7">
        <f xml:space="preserve"> $C$84 * (0.2138 * K4 + 0.2138 * K6)</f>
        <v>459.62969360947653</v>
      </c>
      <c r="L20" s="7" t="s">
        <v>7</v>
      </c>
      <c r="N20" s="7" t="s">
        <v>21</v>
      </c>
      <c r="O20" s="7">
        <f>(O14+$C$5*$C$74*SIN(G34/180*PI()))/$C$29</f>
        <v>8447.0917724206447</v>
      </c>
      <c r="P20" s="7" t="s">
        <v>22</v>
      </c>
      <c r="R20" s="7" t="s">
        <v>21</v>
      </c>
      <c r="S20" s="7">
        <f xml:space="preserve"> S14 / $C$29</f>
        <v>4384.1244998799575</v>
      </c>
      <c r="T20" s="7" t="s">
        <v>22</v>
      </c>
      <c r="X20" s="3">
        <v>16</v>
      </c>
      <c r="Y20" s="3">
        <f t="shared" si="15"/>
        <v>0.9522857666015625</v>
      </c>
      <c r="Z20" s="3">
        <f t="shared" si="0"/>
        <v>1.4992087000842425E-5</v>
      </c>
      <c r="AA20" s="3">
        <f t="shared" si="16"/>
        <v>0.952301025390625</v>
      </c>
      <c r="AB20" s="3">
        <f t="shared" si="1"/>
        <v>-2.6886722248598005E-6</v>
      </c>
      <c r="AC20" s="3">
        <f t="shared" si="3"/>
        <v>0.95229339599609375</v>
      </c>
      <c r="AD20" s="3">
        <f t="shared" si="2"/>
        <v>6.1516977643005788E-6</v>
      </c>
      <c r="AE20" s="3">
        <f t="shared" si="4"/>
        <v>9.2226788085282109E-11</v>
      </c>
      <c r="AF20" s="3">
        <f t="shared" si="5"/>
        <v>-1.6539898914607097E-11</v>
      </c>
      <c r="AG20" s="3">
        <f t="shared" si="6"/>
        <v>1.52587890625E-5</v>
      </c>
      <c r="AI20" s="3">
        <v>16</v>
      </c>
      <c r="AJ20" s="3">
        <f t="shared" si="25"/>
        <v>4081.268310546875</v>
      </c>
      <c r="AK20" s="3">
        <v>-2.2503540297748259E-2</v>
      </c>
      <c r="AL20" s="3">
        <f t="shared" si="26"/>
        <v>4081.4056396484375</v>
      </c>
      <c r="AM20" s="3">
        <v>1.0452829802034103E-2</v>
      </c>
      <c r="AN20" s="3">
        <f t="shared" si="17"/>
        <v>4081.3369750976562</v>
      </c>
      <c r="AO20" s="3">
        <v>-6.0244307182983903E-3</v>
      </c>
      <c r="AP20" s="3">
        <f t="shared" si="18"/>
        <v>1.3557101944022031E-4</v>
      </c>
      <c r="AQ20" s="3">
        <f t="shared" si="19"/>
        <v>-6.2972348952519135E-5</v>
      </c>
      <c r="AR20" s="3">
        <f t="shared" si="20"/>
        <v>0.1373291015625</v>
      </c>
      <c r="AT20" s="61"/>
      <c r="AU20" s="4">
        <f>0.358125*($AU$9/2)</f>
        <v>0.54578250000000006</v>
      </c>
      <c r="AV20" s="27" t="s">
        <v>8</v>
      </c>
      <c r="AX20" s="3" t="s">
        <v>210</v>
      </c>
      <c r="AY20" s="3">
        <f>AY17/AY19*AY7</f>
        <v>1.238726578163543E-2</v>
      </c>
      <c r="AZ20" s="27"/>
      <c r="BJ20" s="8" t="s">
        <v>211</v>
      </c>
      <c r="BK20" s="41">
        <f>SIN(BK4)/(1+BK18) - $AU$3*COS(BK4)/($AY$5*$AU$19*(1-BK19))</f>
        <v>-1.7774153985433694E-8</v>
      </c>
      <c r="BL20" s="41"/>
      <c r="BM20" s="3"/>
      <c r="BN20" s="8" t="s">
        <v>211</v>
      </c>
      <c r="BO20" s="41">
        <f>SIN(BO4)/(1+BO18) - $AU$3*COS(BO4)/($AY$5*$AU$20*(1-BO19))</f>
        <v>-1.1323439940910673E-8</v>
      </c>
      <c r="BP20" s="41"/>
      <c r="BR20" s="3">
        <v>16</v>
      </c>
      <c r="BS20" s="3">
        <f t="shared" si="21"/>
        <v>0.34533646613476254</v>
      </c>
      <c r="BT20" s="3">
        <v>-3.4097286482666009E-5</v>
      </c>
      <c r="BU20" s="3">
        <f t="shared" si="22"/>
        <v>0.34542179381608867</v>
      </c>
      <c r="BV20" s="3">
        <v>5.65893728958081E-4</v>
      </c>
      <c r="BW20" s="3">
        <f t="shared" si="7"/>
        <v>0.34537912997542564</v>
      </c>
      <c r="BX20" s="3">
        <v>2.6591733112957608E-4</v>
      </c>
      <c r="BY20" s="3">
        <f t="shared" si="8"/>
        <v>-9.0670594202311157E-9</v>
      </c>
      <c r="BZ20" s="3">
        <f t="shared" si="9"/>
        <v>1.5048095010749659E-7</v>
      </c>
      <c r="CA20" s="3">
        <f t="shared" si="10"/>
        <v>8.5327681326130556E-5</v>
      </c>
      <c r="CC20" s="3">
        <v>16</v>
      </c>
      <c r="CD20" s="3">
        <f t="shared" si="23"/>
        <v>0.29396920197642701</v>
      </c>
      <c r="CE20" s="3">
        <v>-1.1268113092695493E-4</v>
      </c>
      <c r="CF20" s="3">
        <f t="shared" si="24"/>
        <v>0.29405452965775314</v>
      </c>
      <c r="CG20" s="3">
        <v>3.0704888002639624E-4</v>
      </c>
      <c r="CH20" s="3">
        <f t="shared" si="11"/>
        <v>0.29401186581709005</v>
      </c>
      <c r="CI20" s="3">
        <v>9.7200922967886558E-5</v>
      </c>
      <c r="CJ20" s="3">
        <f t="shared" si="12"/>
        <v>-1.0952709927165285E-8</v>
      </c>
      <c r="CK20" s="3">
        <f t="shared" si="13"/>
        <v>2.9845434534821585E-8</v>
      </c>
      <c r="CL20" s="3">
        <f t="shared" si="14"/>
        <v>8.5327681326130556E-5</v>
      </c>
    </row>
    <row r="21" spans="2:90" x14ac:dyDescent="0.2">
      <c r="F21" s="7" t="s">
        <v>283</v>
      </c>
      <c r="G21" s="18">
        <f>10+10</f>
        <v>20</v>
      </c>
      <c r="H21" s="7" t="s">
        <v>14</v>
      </c>
      <c r="J21" s="14" t="s">
        <v>80</v>
      </c>
      <c r="K21" s="7">
        <f xml:space="preserve"> $C$84 * (0.1149 * K4 + 0.1149 * K6)</f>
        <v>247.01333861426031</v>
      </c>
      <c r="L21" s="7" t="s">
        <v>7</v>
      </c>
      <c r="N21" s="7" t="s">
        <v>29</v>
      </c>
      <c r="O21" s="7">
        <f>$C$7*2*PI()/60</f>
        <v>41.887902047863911</v>
      </c>
      <c r="P21" s="7" t="s">
        <v>30</v>
      </c>
      <c r="R21" s="7" t="s">
        <v>29</v>
      </c>
      <c r="S21" s="7">
        <f>$C$8*2*PI()/60</f>
        <v>38.746309394274114</v>
      </c>
      <c r="T21" s="7" t="s">
        <v>30</v>
      </c>
      <c r="X21" s="3">
        <v>17</v>
      </c>
      <c r="Y21" s="3">
        <f t="shared" si="15"/>
        <v>0.95229339599609375</v>
      </c>
      <c r="Z21" s="3">
        <f t="shared" si="0"/>
        <v>6.1516977643005788E-6</v>
      </c>
      <c r="AA21" s="3">
        <f t="shared" si="16"/>
        <v>0.952301025390625</v>
      </c>
      <c r="AB21" s="3">
        <f t="shared" si="1"/>
        <v>-2.6886722248598005E-6</v>
      </c>
      <c r="AC21" s="3">
        <f t="shared" si="3"/>
        <v>0.95229721069335938</v>
      </c>
      <c r="AD21" s="3">
        <f t="shared" si="2"/>
        <v>1.7315103638670948E-6</v>
      </c>
      <c r="AE21" s="3">
        <f t="shared" si="4"/>
        <v>1.0651728434264489E-11</v>
      </c>
      <c r="AF21" s="3">
        <f t="shared" si="5"/>
        <v>-4.6554638223863446E-12</v>
      </c>
      <c r="AG21" s="3">
        <f t="shared" si="6"/>
        <v>7.62939453125E-6</v>
      </c>
      <c r="AI21" s="3">
        <v>17</v>
      </c>
      <c r="AJ21" s="3">
        <f t="shared" si="25"/>
        <v>4081.3369750976562</v>
      </c>
      <c r="AK21" s="3">
        <v>-6.0244307182983903E-3</v>
      </c>
      <c r="AL21" s="3">
        <f t="shared" si="26"/>
        <v>4081.4056396484375</v>
      </c>
      <c r="AM21" s="3">
        <v>1.0452829802034103E-2</v>
      </c>
      <c r="AN21" s="3">
        <f t="shared" si="17"/>
        <v>4081.3713073730469</v>
      </c>
      <c r="AO21" s="3">
        <v>2.2136796860650065E-3</v>
      </c>
      <c r="AP21" s="3">
        <f t="shared" si="18"/>
        <v>-1.3336159901203163E-5</v>
      </c>
      <c r="AQ21" s="3">
        <f t="shared" si="19"/>
        <v>2.3139216994657797E-5</v>
      </c>
      <c r="AR21" s="3">
        <f t="shared" si="20"/>
        <v>6.866455078125E-2</v>
      </c>
      <c r="AT21" s="61"/>
      <c r="AU21" s="4">
        <f>0.456875*($AU$9/2)</f>
        <v>0.69627749999999999</v>
      </c>
      <c r="AV21" s="27" t="s">
        <v>8</v>
      </c>
      <c r="AZ21" s="27"/>
      <c r="BB21" s="75" t="s">
        <v>212</v>
      </c>
      <c r="BC21" s="75"/>
      <c r="BD21" s="75"/>
      <c r="BF21" s="75" t="s">
        <v>213</v>
      </c>
      <c r="BG21" s="75"/>
      <c r="BH21" s="75"/>
      <c r="BJ21" s="3"/>
      <c r="BK21" s="3"/>
      <c r="BL21" s="3"/>
      <c r="BM21" s="3"/>
      <c r="BN21" s="3"/>
      <c r="BO21" s="3"/>
      <c r="BP21" s="3"/>
      <c r="BR21" s="3">
        <v>17</v>
      </c>
      <c r="BS21" s="3">
        <f t="shared" si="21"/>
        <v>0.34533646613476254</v>
      </c>
      <c r="BT21" s="3">
        <v>-3.4097286482666009E-5</v>
      </c>
      <c r="BU21" s="3">
        <f t="shared" si="22"/>
        <v>0.34537912997542564</v>
      </c>
      <c r="BV21" s="3">
        <v>2.6591733112957608E-4</v>
      </c>
      <c r="BW21" s="3">
        <f t="shared" si="7"/>
        <v>0.34535779805509409</v>
      </c>
      <c r="BX21" s="3">
        <v>1.1591480011492565E-4</v>
      </c>
      <c r="BY21" s="3">
        <f t="shared" si="8"/>
        <v>-3.9523801470995863E-9</v>
      </c>
      <c r="BZ21" s="3">
        <f t="shared" si="9"/>
        <v>3.0823754284979305E-8</v>
      </c>
      <c r="CA21" s="3">
        <f t="shared" si="10"/>
        <v>4.2663840663093033E-5</v>
      </c>
      <c r="CC21" s="3">
        <v>17</v>
      </c>
      <c r="CD21" s="3">
        <f t="shared" si="23"/>
        <v>0.29396920197642701</v>
      </c>
      <c r="CE21" s="3">
        <v>-1.1268113092695493E-4</v>
      </c>
      <c r="CF21" s="3">
        <f t="shared" si="24"/>
        <v>0.29401186581709005</v>
      </c>
      <c r="CG21" s="3">
        <v>9.7200922967886558E-5</v>
      </c>
      <c r="CH21" s="3">
        <f t="shared" si="11"/>
        <v>0.29399053389675855</v>
      </c>
      <c r="CI21" s="3">
        <v>-7.7358412522987585E-6</v>
      </c>
      <c r="CJ21" s="3">
        <f t="shared" si="12"/>
        <v>8.7168334098041543E-10</v>
      </c>
      <c r="CK21" s="3">
        <f t="shared" si="13"/>
        <v>-7.5193090965649074E-10</v>
      </c>
      <c r="CL21" s="3">
        <f t="shared" si="14"/>
        <v>4.2663840663037522E-5</v>
      </c>
    </row>
    <row r="22" spans="2:90" x14ac:dyDescent="0.2">
      <c r="B22" s="68" t="s">
        <v>127</v>
      </c>
      <c r="C22" s="68"/>
      <c r="D22" s="68"/>
      <c r="F22" s="7" t="s">
        <v>280</v>
      </c>
      <c r="G22" s="18">
        <v>100</v>
      </c>
      <c r="H22" s="7" t="s">
        <v>61</v>
      </c>
      <c r="J22" s="15" t="s">
        <v>63</v>
      </c>
      <c r="K22" s="7">
        <f xml:space="preserve"> $C$85 * (14.86 * ($C$5*2.20462)^0.144 * ($C$36/(PI()*$C$37))^0.778 * ($C$36*3.28084)^0.383 * $C$35^0.455 * 0.453592)</f>
        <v>261.63099067217144</v>
      </c>
      <c r="L22" s="7" t="s">
        <v>7</v>
      </c>
      <c r="N22" s="7" t="s">
        <v>31</v>
      </c>
      <c r="O22" s="7">
        <f xml:space="preserve"> $G$26 * COS(O19/180*PI()) / (O21 * $C$12)</f>
        <v>6.4768189084515218E-2</v>
      </c>
      <c r="R22" s="7" t="s">
        <v>31</v>
      </c>
      <c r="S22" s="7">
        <f xml:space="preserve"> $C$9 * COS(S19/180*PI()) / (S21 * $C$12)</f>
        <v>7.0019663875151586E-2</v>
      </c>
      <c r="X22" s="3">
        <v>18</v>
      </c>
      <c r="Y22" s="3">
        <f t="shared" si="15"/>
        <v>0.95229721069335938</v>
      </c>
      <c r="Z22" s="3">
        <f t="shared" si="0"/>
        <v>1.7315103638670948E-6</v>
      </c>
      <c r="AA22" s="3">
        <f t="shared" si="16"/>
        <v>0.952301025390625</v>
      </c>
      <c r="AB22" s="3">
        <f t="shared" si="1"/>
        <v>-2.6886722248598005E-6</v>
      </c>
      <c r="AC22" s="3">
        <f t="shared" si="3"/>
        <v>0.95229911804199219</v>
      </c>
      <c r="AD22" s="3">
        <f t="shared" si="2"/>
        <v>-4.7858153195967645E-7</v>
      </c>
      <c r="AE22" s="3">
        <f t="shared" si="4"/>
        <v>-8.2866888254357104E-13</v>
      </c>
      <c r="AF22" s="3">
        <f t="shared" si="5"/>
        <v>1.2867488723108349E-12</v>
      </c>
      <c r="AG22" s="3">
        <f t="shared" si="6"/>
        <v>3.814697265625E-6</v>
      </c>
      <c r="AI22" s="3">
        <v>18</v>
      </c>
      <c r="AJ22" s="3">
        <f t="shared" si="25"/>
        <v>4081.3369750976562</v>
      </c>
      <c r="AK22" s="3">
        <v>-6.0244307182983903E-3</v>
      </c>
      <c r="AL22" s="3">
        <f t="shared" si="26"/>
        <v>4081.3713073730469</v>
      </c>
      <c r="AM22" s="3">
        <v>2.2136796860650065E-3</v>
      </c>
      <c r="AN22" s="3">
        <f t="shared" si="17"/>
        <v>4081.3541412353516</v>
      </c>
      <c r="AO22" s="3">
        <v>-1.9049630527661066E-3</v>
      </c>
      <c r="AP22" s="3">
        <f t="shared" si="18"/>
        <v>1.147631793230761E-5</v>
      </c>
      <c r="AQ22" s="3">
        <f t="shared" si="19"/>
        <v>-4.2169780126127113E-6</v>
      </c>
      <c r="AR22" s="3">
        <f t="shared" si="20"/>
        <v>3.4332275390625E-2</v>
      </c>
      <c r="AT22" s="61"/>
      <c r="AU22" s="4">
        <f>0.555625*($AU$9/2)</f>
        <v>0.84677250000000004</v>
      </c>
      <c r="AV22" s="27" t="s">
        <v>8</v>
      </c>
      <c r="AX22" s="74" t="s">
        <v>214</v>
      </c>
      <c r="AY22" s="74"/>
      <c r="AZ22" s="74"/>
      <c r="BB22" s="3" t="s">
        <v>165</v>
      </c>
      <c r="BC22" s="3">
        <f>$AU$23-$AU$22</f>
        <v>0.15049500000000005</v>
      </c>
      <c r="BD22" s="27" t="s">
        <v>8</v>
      </c>
      <c r="BF22" s="3" t="s">
        <v>165</v>
      </c>
      <c r="BG22" s="3">
        <f>$AU$24-$AU$23</f>
        <v>0.15049499999999993</v>
      </c>
      <c r="BH22" s="27" t="s">
        <v>8</v>
      </c>
      <c r="BJ22" s="75" t="s">
        <v>197</v>
      </c>
      <c r="BK22" s="75"/>
      <c r="BL22" s="75"/>
      <c r="BM22" s="3"/>
      <c r="BN22" s="75" t="s">
        <v>198</v>
      </c>
      <c r="BO22" s="75"/>
      <c r="BP22" s="75"/>
      <c r="BR22" s="3">
        <v>18</v>
      </c>
      <c r="BS22" s="3">
        <f t="shared" si="21"/>
        <v>0.34533646613476254</v>
      </c>
      <c r="BT22" s="3">
        <v>-3.4097286482666009E-5</v>
      </c>
      <c r="BU22" s="3">
        <f t="shared" si="22"/>
        <v>0.34535779805509409</v>
      </c>
      <c r="BV22" s="3">
        <v>1.1591480011492565E-4</v>
      </c>
      <c r="BW22" s="3">
        <f t="shared" si="7"/>
        <v>0.34534713209492829</v>
      </c>
      <c r="BX22" s="3">
        <v>4.090995130351209E-5</v>
      </c>
      <c r="BY22" s="3">
        <f t="shared" si="8"/>
        <v>-1.3949183295877675E-9</v>
      </c>
      <c r="BZ22" s="3">
        <f t="shared" si="9"/>
        <v>4.7420688280579457E-9</v>
      </c>
      <c r="CA22" s="3">
        <f t="shared" si="10"/>
        <v>2.1331920331546517E-5</v>
      </c>
      <c r="CC22" s="3">
        <v>18</v>
      </c>
      <c r="CD22" s="3">
        <f t="shared" si="23"/>
        <v>0.29399053389675855</v>
      </c>
      <c r="CE22" s="3">
        <v>-7.7358412522987585E-6</v>
      </c>
      <c r="CF22" s="3">
        <f t="shared" si="24"/>
        <v>0.29401186581709005</v>
      </c>
      <c r="CG22" s="3">
        <v>9.7200922967886558E-5</v>
      </c>
      <c r="CH22" s="3">
        <f t="shared" si="11"/>
        <v>0.2940011998569243</v>
      </c>
      <c r="CI22" s="3">
        <v>4.4733606461821659E-5</v>
      </c>
      <c r="CJ22" s="3">
        <f t="shared" si="12"/>
        <v>-3.460520782314583E-10</v>
      </c>
      <c r="CK22" s="3">
        <f t="shared" si="13"/>
        <v>4.3481478357712794E-9</v>
      </c>
      <c r="CL22" s="3">
        <f t="shared" si="14"/>
        <v>2.1331920331491006E-5</v>
      </c>
    </row>
    <row r="23" spans="2:90" x14ac:dyDescent="0.2">
      <c r="B23" s="7" t="s">
        <v>106</v>
      </c>
      <c r="C23" s="18">
        <v>8</v>
      </c>
      <c r="F23" s="44" t="s">
        <v>293</v>
      </c>
      <c r="G23" s="44">
        <f>$G$22/100*K4</f>
        <v>1640.4539029117582</v>
      </c>
      <c r="H23" s="44" t="s">
        <v>116</v>
      </c>
      <c r="J23" s="15" t="s">
        <v>64</v>
      </c>
      <c r="K23" s="7">
        <f xml:space="preserve"> $C$85 * C41 * $C$5</f>
        <v>118.18604244175171</v>
      </c>
      <c r="L23" s="7" t="s">
        <v>7</v>
      </c>
      <c r="N23" s="7" t="s">
        <v>32</v>
      </c>
      <c r="O23" s="7">
        <f xml:space="preserve"> O20 / ( $C$71 * PI() * $C$12^2 * O21^2 * $C$12^2)</f>
        <v>0.44992421103259628</v>
      </c>
      <c r="R23" s="7" t="s">
        <v>32</v>
      </c>
      <c r="S23" s="7">
        <f xml:space="preserve"> S20 / ( $C$77 * PI() * $C$12^2 * S21^2 * $C$12^2)</f>
        <v>0.29022355007512368</v>
      </c>
      <c r="X23" s="3">
        <v>19</v>
      </c>
      <c r="Y23" s="3">
        <f t="shared" si="15"/>
        <v>0.95229721069335938</v>
      </c>
      <c r="Z23" s="3">
        <f t="shared" si="0"/>
        <v>1.7315103638670948E-6</v>
      </c>
      <c r="AA23" s="3">
        <f t="shared" si="16"/>
        <v>0.95229911804199219</v>
      </c>
      <c r="AB23" s="3">
        <f t="shared" si="1"/>
        <v>-4.7858153195967645E-7</v>
      </c>
      <c r="AC23" s="3">
        <f t="shared" si="3"/>
        <v>0.95229816436767578</v>
      </c>
      <c r="AD23" s="3">
        <f t="shared" si="2"/>
        <v>6.2646426557400048E-7</v>
      </c>
      <c r="AE23" s="3">
        <f t="shared" si="4"/>
        <v>1.0847293684337698E-12</v>
      </c>
      <c r="AF23" s="3">
        <f t="shared" si="5"/>
        <v>-2.9981422793639876E-13</v>
      </c>
      <c r="AG23" s="3">
        <f t="shared" si="6"/>
        <v>1.9073486328125E-6</v>
      </c>
      <c r="AI23" s="3">
        <v>19</v>
      </c>
      <c r="AJ23" s="3">
        <f t="shared" si="25"/>
        <v>4081.3541412353516</v>
      </c>
      <c r="AK23" s="3">
        <v>-1.9049630527661066E-3</v>
      </c>
      <c r="AL23" s="3">
        <f t="shared" si="26"/>
        <v>4081.3713073730469</v>
      </c>
      <c r="AM23" s="3">
        <v>2.2136796860650065E-3</v>
      </c>
      <c r="AN23" s="3">
        <f t="shared" si="17"/>
        <v>4081.3627243041992</v>
      </c>
      <c r="AO23" s="3">
        <v>1.5397114884763141E-4</v>
      </c>
      <c r="AP23" s="3">
        <f t="shared" si="18"/>
        <v>-2.9330934974668855E-7</v>
      </c>
      <c r="AQ23" s="3">
        <f t="shared" si="19"/>
        <v>3.4084280444409311E-7</v>
      </c>
      <c r="AR23" s="3">
        <f t="shared" si="20"/>
        <v>1.71661376953125E-2</v>
      </c>
      <c r="AT23" s="61"/>
      <c r="AU23" s="4">
        <f>0.654375*($AU$9/2)</f>
        <v>0.99726750000000008</v>
      </c>
      <c r="AV23" s="27" t="s">
        <v>8</v>
      </c>
      <c r="AX23" s="64" t="s">
        <v>215</v>
      </c>
      <c r="AY23" s="61">
        <f>BK20</f>
        <v>-1.7774153985433694E-8</v>
      </c>
      <c r="AZ23" s="61"/>
      <c r="BB23" s="3" t="s">
        <v>170</v>
      </c>
      <c r="BC23" s="3">
        <f>(1+$BK$56)*$AU$3</f>
        <v>21.536510379583717</v>
      </c>
      <c r="BD23" s="27" t="s">
        <v>10</v>
      </c>
      <c r="BF23" s="3" t="s">
        <v>170</v>
      </c>
      <c r="BG23" s="3">
        <f>(1+$BO$56)*$AU$3</f>
        <v>22.636541337639724</v>
      </c>
      <c r="BH23" s="27" t="s">
        <v>10</v>
      </c>
      <c r="BJ23" s="29" t="s">
        <v>166</v>
      </c>
      <c r="BK23" s="30">
        <f>BW68</f>
        <v>0.25870421236783075</v>
      </c>
      <c r="BL23" s="6" t="s">
        <v>167</v>
      </c>
      <c r="BM23" s="3"/>
      <c r="BN23" s="29" t="s">
        <v>166</v>
      </c>
      <c r="BO23" s="30">
        <f>CH68</f>
        <v>0.23063046777362606</v>
      </c>
      <c r="BP23" s="6" t="s">
        <v>167</v>
      </c>
      <c r="BR23" s="3">
        <v>19</v>
      </c>
      <c r="BS23" s="3">
        <f t="shared" si="21"/>
        <v>0.34533646613476254</v>
      </c>
      <c r="BT23" s="3">
        <v>-3.4097286482666009E-5</v>
      </c>
      <c r="BU23" s="3">
        <f t="shared" si="22"/>
        <v>0.34534713209492829</v>
      </c>
      <c r="BV23" s="3">
        <v>4.090995130351209E-5</v>
      </c>
      <c r="BW23" s="3">
        <f t="shared" si="7"/>
        <v>0.34534179911484542</v>
      </c>
      <c r="BX23" s="3">
        <v>3.4066310371921871E-6</v>
      </c>
      <c r="BY23" s="3">
        <f t="shared" si="8"/>
        <v>-1.1615687441588365E-10</v>
      </c>
      <c r="BZ23" s="3">
        <f t="shared" si="9"/>
        <v>1.3936510984056527E-10</v>
      </c>
      <c r="CA23" s="3">
        <f t="shared" si="10"/>
        <v>1.0665960165745503E-5</v>
      </c>
      <c r="CC23" s="3">
        <v>19</v>
      </c>
      <c r="CD23" s="3">
        <f t="shared" si="23"/>
        <v>0.29399053389675855</v>
      </c>
      <c r="CE23" s="3">
        <v>-7.7358412522987585E-6</v>
      </c>
      <c r="CF23" s="3">
        <f t="shared" si="24"/>
        <v>0.2940011998569243</v>
      </c>
      <c r="CG23" s="3">
        <v>4.4733606461821659E-5</v>
      </c>
      <c r="CH23" s="3">
        <f t="shared" si="11"/>
        <v>0.29399586687684143</v>
      </c>
      <c r="CI23" s="3">
        <v>1.8499149015567193E-5</v>
      </c>
      <c r="CJ23" s="3">
        <f t="shared" si="12"/>
        <v>-1.4310648008704667E-10</v>
      </c>
      <c r="CK23" s="3">
        <f t="shared" si="13"/>
        <v>8.2753365194097834E-10</v>
      </c>
      <c r="CL23" s="3">
        <f t="shared" si="14"/>
        <v>1.0665960165745503E-5</v>
      </c>
    </row>
    <row r="24" spans="2:90" x14ac:dyDescent="0.2">
      <c r="B24" s="7" t="s">
        <v>126</v>
      </c>
      <c r="C24" s="18">
        <v>2</v>
      </c>
      <c r="J24" s="15" t="s">
        <v>255</v>
      </c>
      <c r="K24" s="7">
        <f xml:space="preserve"> $C$85 * (0.04674 * ($C$5*2.20462)^0.397 * ($C$14*3.28084^2)^0.36 * $C$46^0.397 * $C$15^1.712 * 0.453592)</f>
        <v>533.42227056981847</v>
      </c>
      <c r="L24" s="7" t="s">
        <v>7</v>
      </c>
      <c r="N24" s="7" t="s">
        <v>1</v>
      </c>
      <c r="O24" s="18">
        <v>8.8999999999999999E-3</v>
      </c>
      <c r="R24" s="7" t="s">
        <v>1</v>
      </c>
      <c r="S24" s="18">
        <v>8.8999999999999999E-3</v>
      </c>
      <c r="X24" s="3">
        <v>20</v>
      </c>
      <c r="Y24" s="3">
        <f t="shared" si="15"/>
        <v>0.95229816436767578</v>
      </c>
      <c r="Z24" s="3">
        <f t="shared" si="0"/>
        <v>6.2646426557400048E-7</v>
      </c>
      <c r="AA24" s="3">
        <f t="shared" si="16"/>
        <v>0.95229911804199219</v>
      </c>
      <c r="AB24" s="3">
        <f t="shared" si="1"/>
        <v>-4.7858153195967645E-7</v>
      </c>
      <c r="AC24" s="3">
        <f t="shared" si="3"/>
        <v>0.95229864120483398</v>
      </c>
      <c r="AD24" s="3">
        <f t="shared" si="2"/>
        <v>7.3941329170601477E-8</v>
      </c>
      <c r="AE24" s="3">
        <f t="shared" si="4"/>
        <v>4.6321600474426276E-14</v>
      </c>
      <c r="AF24" s="3">
        <f t="shared" si="5"/>
        <v>-3.5386954589601167E-14</v>
      </c>
      <c r="AG24" s="3">
        <f t="shared" si="6"/>
        <v>9.5367431640625E-7</v>
      </c>
      <c r="AI24" s="3">
        <v>20</v>
      </c>
      <c r="AJ24" s="3">
        <f t="shared" si="25"/>
        <v>4081.3541412353516</v>
      </c>
      <c r="AK24" s="3">
        <v>-1.9049630527661066E-3</v>
      </c>
      <c r="AL24" s="3">
        <f t="shared" si="26"/>
        <v>4081.3627243041992</v>
      </c>
      <c r="AM24" s="3">
        <v>1.5397114884763141E-4</v>
      </c>
      <c r="AN24" s="3">
        <f t="shared" si="17"/>
        <v>4081.3584327697754</v>
      </c>
      <c r="AO24" s="3">
        <v>-8.7549468662473373E-4</v>
      </c>
      <c r="AP24" s="3">
        <f t="shared" si="18"/>
        <v>1.6677850309131585E-6</v>
      </c>
      <c r="AQ24" s="3">
        <f t="shared" si="19"/>
        <v>-1.348009227096073E-7</v>
      </c>
      <c r="AR24" s="3">
        <f t="shared" si="20"/>
        <v>8.58306884765625E-3</v>
      </c>
      <c r="AT24" s="61"/>
      <c r="AU24" s="4">
        <f>0.753125*($AU$9/2)</f>
        <v>1.1477625</v>
      </c>
      <c r="AV24" s="27" t="s">
        <v>8</v>
      </c>
      <c r="AX24" s="64"/>
      <c r="AY24" s="61">
        <f>BO20</f>
        <v>-1.1323439940910673E-8</v>
      </c>
      <c r="AZ24" s="61"/>
      <c r="BB24" s="3" t="s">
        <v>175</v>
      </c>
      <c r="BC24" s="3">
        <f>(1-$BK$57)*$AY$5*$AU$23</f>
        <v>102.30811760401035</v>
      </c>
      <c r="BD24" s="27" t="s">
        <v>10</v>
      </c>
      <c r="BF24" s="3" t="s">
        <v>175</v>
      </c>
      <c r="BG24" s="3">
        <f>(1-$BO$57)*$AY$5*$AU$24</f>
        <v>118.57994400449455</v>
      </c>
      <c r="BH24" s="27" t="s">
        <v>10</v>
      </c>
      <c r="BJ24" s="3" t="s">
        <v>171</v>
      </c>
      <c r="BK24" s="3">
        <f>($AU$37+$AU$5)/180*PI()</f>
        <v>0.33853933334777514</v>
      </c>
      <c r="BL24" s="3" t="s">
        <v>167</v>
      </c>
      <c r="BM24" s="3"/>
      <c r="BN24" s="3" t="s">
        <v>171</v>
      </c>
      <c r="BO24" s="3">
        <f>($AU$38+$AU$5)/180*PI()</f>
        <v>0.31268664380260908</v>
      </c>
      <c r="BP24" s="3" t="s">
        <v>167</v>
      </c>
      <c r="BR24" s="3">
        <v>20</v>
      </c>
      <c r="BS24" s="3">
        <f t="shared" si="21"/>
        <v>0.34533646613476254</v>
      </c>
      <c r="BT24" s="3">
        <v>-3.4097286482666009E-5</v>
      </c>
      <c r="BU24" s="3">
        <f t="shared" si="22"/>
        <v>0.34534179911484542</v>
      </c>
      <c r="BV24" s="3">
        <v>3.4066310371921871E-6</v>
      </c>
      <c r="BW24" s="3">
        <f t="shared" si="7"/>
        <v>0.34533913262480398</v>
      </c>
      <c r="BX24" s="3">
        <v>-1.5345253065396705E-5</v>
      </c>
      <c r="BY24" s="3">
        <f t="shared" si="8"/>
        <v>5.2323148991984018E-10</v>
      </c>
      <c r="BZ24" s="3">
        <f t="shared" si="9"/>
        <v>-5.2275615366148966E-11</v>
      </c>
      <c r="CA24" s="3">
        <f t="shared" si="10"/>
        <v>5.3329800828727514E-6</v>
      </c>
      <c r="CC24" s="3">
        <v>20</v>
      </c>
      <c r="CD24" s="3">
        <f t="shared" si="23"/>
        <v>0.29399053389675855</v>
      </c>
      <c r="CE24" s="3">
        <v>-7.7358412522987585E-6</v>
      </c>
      <c r="CF24" s="3">
        <f t="shared" si="24"/>
        <v>0.29399586687684143</v>
      </c>
      <c r="CG24" s="3">
        <v>1.8499149015567193E-5</v>
      </c>
      <c r="CH24" s="3">
        <f t="shared" si="11"/>
        <v>0.29399320038679999</v>
      </c>
      <c r="CI24" s="3">
        <v>5.3817204855553802E-6</v>
      </c>
      <c r="CJ24" s="3">
        <f t="shared" si="12"/>
        <v>-4.1632135340500615E-11</v>
      </c>
      <c r="CK24" s="3">
        <f t="shared" si="13"/>
        <v>9.9557249222419611E-11</v>
      </c>
      <c r="CL24" s="3">
        <f t="shared" si="14"/>
        <v>5.3329800828727514E-6</v>
      </c>
    </row>
    <row r="25" spans="2:90" x14ac:dyDescent="0.2">
      <c r="B25" s="7" t="s">
        <v>140</v>
      </c>
      <c r="C25" s="7">
        <f>$C$24*$C$11/PI()</f>
        <v>0.31022513338460861</v>
      </c>
      <c r="F25" s="66" t="s">
        <v>95</v>
      </c>
      <c r="G25" s="67"/>
      <c r="H25" s="67"/>
      <c r="J25" s="15" t="s">
        <v>65</v>
      </c>
      <c r="K25" s="7">
        <f xml:space="preserve"> $C$85 * (3.184 * ($C$5*2.20462)^0.887 * ($C$50*3.28084*3.28084)^0.101 * ($C$49)^0.138 ) / ( 174.04 * ($C$51*3.28084)^0.223 ) * 0.453592</f>
        <v>47.828330621712851</v>
      </c>
      <c r="L25" s="7" t="s">
        <v>7</v>
      </c>
      <c r="N25" s="7" t="s">
        <v>33</v>
      </c>
      <c r="O25" s="7">
        <f xml:space="preserve"> ($C$31 * $O$24 / 8) * (1 + 4.65 * O22^2) * ( PI() * $C$71 * O21^3 * $C$12^ 5)</f>
        <v>1039.8820483152379</v>
      </c>
      <c r="P25" s="7" t="s">
        <v>20</v>
      </c>
      <c r="R25" s="7" t="s">
        <v>33</v>
      </c>
      <c r="S25" s="7">
        <f xml:space="preserve"> ($C$31 * $S$24 / 8) * (1 + 4.65 * S22^2) * ( PI() * $C$77 * S21^3 * $C$12^5)</f>
        <v>776.44024182288092</v>
      </c>
      <c r="T25" s="7" t="s">
        <v>20</v>
      </c>
      <c r="X25" s="3">
        <v>21</v>
      </c>
      <c r="Y25" s="3">
        <f t="shared" si="15"/>
        <v>0.95229864120483398</v>
      </c>
      <c r="Z25" s="3">
        <f t="shared" si="0"/>
        <v>7.3941329170601477E-8</v>
      </c>
      <c r="AA25" s="3">
        <f t="shared" si="16"/>
        <v>0.95229911804199219</v>
      </c>
      <c r="AB25" s="3">
        <f t="shared" si="1"/>
        <v>-4.7858153195967645E-7</v>
      </c>
      <c r="AC25" s="3">
        <f t="shared" si="3"/>
        <v>0.95229887962341309</v>
      </c>
      <c r="AD25" s="3">
        <f t="shared" si="2"/>
        <v>-2.0232011077592205E-7</v>
      </c>
      <c r="AE25" s="3">
        <f t="shared" si="4"/>
        <v>-1.4959817908715008E-14</v>
      </c>
      <c r="AF25" s="3">
        <f t="shared" si="5"/>
        <v>9.6826668561392216E-14</v>
      </c>
      <c r="AG25" s="3">
        <f t="shared" si="6"/>
        <v>4.76837158203125E-7</v>
      </c>
      <c r="AI25" s="3">
        <v>21</v>
      </c>
      <c r="AJ25" s="3">
        <f t="shared" si="25"/>
        <v>4081.3584327697754</v>
      </c>
      <c r="AK25" s="3">
        <v>-8.7549468662473373E-4</v>
      </c>
      <c r="AL25" s="3">
        <f t="shared" si="26"/>
        <v>4081.3627243041992</v>
      </c>
      <c r="AM25" s="3">
        <v>1.5397114884763141E-4</v>
      </c>
      <c r="AN25" s="3">
        <f t="shared" si="17"/>
        <v>4081.3605785369873</v>
      </c>
      <c r="AO25" s="3">
        <v>-3.6036922574567143E-4</v>
      </c>
      <c r="AP25" s="3">
        <f t="shared" si="18"/>
        <v>3.1550134236340454E-7</v>
      </c>
      <c r="AQ25" s="3">
        <f t="shared" si="19"/>
        <v>-5.5486463697392464E-8</v>
      </c>
      <c r="AR25" s="3">
        <f t="shared" si="20"/>
        <v>4.291534423828125E-3</v>
      </c>
      <c r="AT25" s="61"/>
      <c r="AU25" s="4">
        <f>0.851875*($AU$9/2)</f>
        <v>1.2982575000000001</v>
      </c>
      <c r="AV25" s="27" t="s">
        <v>8</v>
      </c>
      <c r="AX25" s="64"/>
      <c r="AY25" s="61">
        <f>BK39</f>
        <v>-6.1077523308070147E-9</v>
      </c>
      <c r="AZ25" s="61"/>
      <c r="BB25" s="3" t="s">
        <v>179</v>
      </c>
      <c r="BC25" s="3">
        <f>SQRT(BC23^2 + BC24^2)</f>
        <v>104.55033336630702</v>
      </c>
      <c r="BD25" s="27" t="s">
        <v>10</v>
      </c>
      <c r="BF25" s="3" t="s">
        <v>179</v>
      </c>
      <c r="BG25" s="3">
        <f>SQRT(BG23^2 + BG24^2)</f>
        <v>120.72123311099723</v>
      </c>
      <c r="BH25" s="27" t="s">
        <v>10</v>
      </c>
      <c r="BJ25" s="3" t="s">
        <v>28</v>
      </c>
      <c r="BK25" s="3">
        <f>BK24-BK23</f>
        <v>7.9835120979944385E-2</v>
      </c>
      <c r="BL25" s="3" t="s">
        <v>167</v>
      </c>
      <c r="BM25" s="3"/>
      <c r="BN25" s="3" t="s">
        <v>28</v>
      </c>
      <c r="BO25" s="3">
        <f>BO24-BO23</f>
        <v>8.2056176028983019E-2</v>
      </c>
      <c r="BP25" s="3" t="s">
        <v>167</v>
      </c>
      <c r="BR25" s="3">
        <v>21</v>
      </c>
      <c r="BS25" s="3">
        <f t="shared" si="21"/>
        <v>0.34533913262480398</v>
      </c>
      <c r="BT25" s="3">
        <v>-1.5345253065396705E-5</v>
      </c>
      <c r="BU25" s="3">
        <f t="shared" si="22"/>
        <v>0.34534179911484542</v>
      </c>
      <c r="BV25" s="3">
        <v>3.4066310371921871E-6</v>
      </c>
      <c r="BW25" s="3">
        <f t="shared" si="7"/>
        <v>0.3453404658698247</v>
      </c>
      <c r="BX25" s="3">
        <v>-5.969292349807323E-6</v>
      </c>
      <c r="BY25" s="3">
        <f t="shared" si="8"/>
        <v>9.160030172912993E-11</v>
      </c>
      <c r="BZ25" s="3">
        <f t="shared" si="9"/>
        <v>-2.0335176588927508E-11</v>
      </c>
      <c r="CA25" s="3">
        <f t="shared" si="10"/>
        <v>2.6664900414363757E-6</v>
      </c>
      <c r="CC25" s="3">
        <v>21</v>
      </c>
      <c r="CD25" s="3">
        <f t="shared" si="23"/>
        <v>0.29399053389675855</v>
      </c>
      <c r="CE25" s="3">
        <v>-7.7358412522987585E-6</v>
      </c>
      <c r="CF25" s="3">
        <f t="shared" si="24"/>
        <v>0.29399320038679999</v>
      </c>
      <c r="CG25" s="3">
        <v>5.3817204855553802E-6</v>
      </c>
      <c r="CH25" s="3">
        <f t="shared" si="11"/>
        <v>0.29399186714177927</v>
      </c>
      <c r="CI25" s="3">
        <v>-1.1770437322675825E-6</v>
      </c>
      <c r="CJ25" s="3">
        <f t="shared" si="12"/>
        <v>9.1054234598352608E-12</v>
      </c>
      <c r="CK25" s="3">
        <f t="shared" si="13"/>
        <v>-6.3345203663390112E-12</v>
      </c>
      <c r="CL25" s="3">
        <f t="shared" si="14"/>
        <v>2.6664900414363757E-6</v>
      </c>
    </row>
    <row r="26" spans="2:90" x14ac:dyDescent="0.2">
      <c r="B26" s="7" t="s">
        <v>256</v>
      </c>
      <c r="C26" s="18">
        <v>0.75</v>
      </c>
      <c r="F26" s="10" t="s">
        <v>110</v>
      </c>
      <c r="G26" s="18">
        <f>$C$9</f>
        <v>42.695473251028808</v>
      </c>
      <c r="H26" s="7" t="s">
        <v>10</v>
      </c>
      <c r="J26" s="15" t="s">
        <v>66</v>
      </c>
      <c r="K26" s="7">
        <f xml:space="preserve"> $C$85 * ( 1.68 * ($C$5*2.20462)^0.567 * ($C$55*3.28084*3.28084)^1.249 * ($C$54)^0.482 ) / (639.95 * ($C$56*3.28084)^0.747 * (COS($C$57/180*PI()))^0.882 ) * 0.453592</f>
        <v>13.698391347307254</v>
      </c>
      <c r="L26" s="7" t="s">
        <v>7</v>
      </c>
      <c r="N26" s="7" t="s">
        <v>34</v>
      </c>
      <c r="O26" s="19">
        <f>AC69</f>
        <v>0.97138074366375804</v>
      </c>
      <c r="R26" s="7" t="s">
        <v>34</v>
      </c>
      <c r="S26" s="19">
        <f>AC34</f>
        <v>0.95229870500043035</v>
      </c>
      <c r="X26" s="3">
        <v>22</v>
      </c>
      <c r="Y26" s="3">
        <f t="shared" si="15"/>
        <v>0.95229864120483398</v>
      </c>
      <c r="Z26" s="3">
        <f t="shared" si="0"/>
        <v>7.3941329170601477E-8</v>
      </c>
      <c r="AA26" s="3">
        <f t="shared" si="16"/>
        <v>0.95229887962341309</v>
      </c>
      <c r="AB26" s="3">
        <f t="shared" si="1"/>
        <v>-2.0232011077592205E-7</v>
      </c>
      <c r="AC26" s="3">
        <f t="shared" si="3"/>
        <v>0.95229876041412354</v>
      </c>
      <c r="AD26" s="3">
        <f t="shared" si="2"/>
        <v>-6.4189393134128636E-8</v>
      </c>
      <c r="AE26" s="3">
        <f t="shared" si="4"/>
        <v>-4.7462490469917518E-15</v>
      </c>
      <c r="AF26" s="3">
        <f t="shared" si="5"/>
        <v>1.2986805129536116E-14</v>
      </c>
      <c r="AG26" s="3">
        <f t="shared" si="6"/>
        <v>2.384185791015625E-7</v>
      </c>
      <c r="AI26" s="3">
        <v>22</v>
      </c>
      <c r="AJ26" s="3">
        <f t="shared" si="25"/>
        <v>4081.3605785369873</v>
      </c>
      <c r="AK26" s="3">
        <v>-3.6036922574567143E-4</v>
      </c>
      <c r="AL26" s="3">
        <f t="shared" si="26"/>
        <v>4081.3627243041992</v>
      </c>
      <c r="AM26" s="3">
        <v>1.5397114884763141E-4</v>
      </c>
      <c r="AN26" s="3">
        <f t="shared" si="17"/>
        <v>4081.3616514205933</v>
      </c>
      <c r="AO26" s="3">
        <v>-1.0280673177476274E-4</v>
      </c>
      <c r="AP26" s="3">
        <f t="shared" si="18"/>
        <v>3.7048382331114164E-8</v>
      </c>
      <c r="AQ26" s="3">
        <f t="shared" si="19"/>
        <v>-1.5829270600630513E-8</v>
      </c>
      <c r="AR26" s="3">
        <f t="shared" si="20"/>
        <v>2.1457672119140625E-3</v>
      </c>
      <c r="AT26" s="61"/>
      <c r="AU26" s="4">
        <f>0.950625*($AU$9/2)</f>
        <v>1.4487525000000001</v>
      </c>
      <c r="AV26" s="7" t="s">
        <v>8</v>
      </c>
      <c r="AX26" s="64"/>
      <c r="AY26" s="61">
        <f>BO39</f>
        <v>-6.2994265880023104E-10</v>
      </c>
      <c r="AZ26" s="61"/>
      <c r="BB26" s="3" t="s">
        <v>182</v>
      </c>
      <c r="BC26" s="38">
        <f>$AU$45*BC25*$AU$27/$AU$46</f>
        <v>5163752.2483302783</v>
      </c>
      <c r="BD26" s="27"/>
      <c r="BF26" s="3" t="s">
        <v>182</v>
      </c>
      <c r="BG26" s="38">
        <f>$AU$45*BG25*$AU$27/$AU$46</f>
        <v>5962434.7319298731</v>
      </c>
      <c r="BH26" s="27"/>
      <c r="BJ26" s="3" t="s">
        <v>180</v>
      </c>
      <c r="BK26" s="3">
        <f>BK25/PI()*180</f>
        <v>4.5742154890671465</v>
      </c>
      <c r="BL26" s="3" t="s">
        <v>43</v>
      </c>
      <c r="BM26" s="3"/>
      <c r="BN26" s="3" t="s">
        <v>180</v>
      </c>
      <c r="BO26" s="3">
        <f>BO25/PI()*180</f>
        <v>4.7014725694432826</v>
      </c>
      <c r="BP26" s="3" t="s">
        <v>43</v>
      </c>
      <c r="BR26" s="3">
        <v>22</v>
      </c>
      <c r="BS26" s="3">
        <f t="shared" si="21"/>
        <v>0.3453404658698247</v>
      </c>
      <c r="BT26" s="3">
        <v>-5.969292349807323E-6</v>
      </c>
      <c r="BU26" s="3">
        <f t="shared" si="22"/>
        <v>0.34534179911484542</v>
      </c>
      <c r="BV26" s="3">
        <v>3.4066310371921871E-6</v>
      </c>
      <c r="BW26" s="3">
        <f t="shared" si="7"/>
        <v>0.34534113249233506</v>
      </c>
      <c r="BX26" s="3">
        <v>-1.2813259902752505E-6</v>
      </c>
      <c r="BY26" s="3">
        <f t="shared" si="8"/>
        <v>7.6486094313593453E-12</v>
      </c>
      <c r="BZ26" s="3">
        <f t="shared" si="9"/>
        <v>-4.3650048872326826E-12</v>
      </c>
      <c r="CA26" s="3">
        <f t="shared" si="10"/>
        <v>1.3332450207181878E-6</v>
      </c>
      <c r="CC26" s="3">
        <v>22</v>
      </c>
      <c r="CD26" s="3">
        <f t="shared" si="23"/>
        <v>0.29399186714177927</v>
      </c>
      <c r="CE26" s="3">
        <v>-1.1770437322675825E-6</v>
      </c>
      <c r="CF26" s="3">
        <f t="shared" si="24"/>
        <v>0.29399320038679999</v>
      </c>
      <c r="CG26" s="3">
        <v>5.3817204855553802E-6</v>
      </c>
      <c r="CH26" s="3">
        <f t="shared" si="11"/>
        <v>0.29399253376428963</v>
      </c>
      <c r="CI26" s="3">
        <v>2.102342539344465E-6</v>
      </c>
      <c r="CJ26" s="3">
        <f t="shared" si="12"/>
        <v>-2.4745491090149161E-12</v>
      </c>
      <c r="CK26" s="3">
        <f t="shared" si="13"/>
        <v>1.1314219911644626E-11</v>
      </c>
      <c r="CL26" s="3">
        <f t="shared" si="14"/>
        <v>1.3332450207181878E-6</v>
      </c>
    </row>
    <row r="27" spans="2:90" x14ac:dyDescent="0.2">
      <c r="F27" s="7" t="s">
        <v>97</v>
      </c>
      <c r="G27" s="18">
        <f>900*0.3048/60</f>
        <v>4.5720000000000001</v>
      </c>
      <c r="H27" s="7" t="s">
        <v>10</v>
      </c>
      <c r="J27" s="15" t="s">
        <v>129</v>
      </c>
      <c r="K27" s="7">
        <f>$C$85*(0.14*$G$18*1000/745.7)*0.453592</f>
        <v>124.4718126348989</v>
      </c>
      <c r="L27" s="7" t="s">
        <v>7</v>
      </c>
      <c r="N27" s="7" t="s">
        <v>35</v>
      </c>
      <c r="O27" s="7">
        <f xml:space="preserve"> O21 * $C$12 * O26 - $G$26 * SIN(O19/180*PI())</f>
        <v>13.276167452337106</v>
      </c>
      <c r="P27" s="7" t="s">
        <v>10</v>
      </c>
      <c r="R27" s="7" t="s">
        <v>35</v>
      </c>
      <c r="S27" s="7">
        <f xml:space="preserve"> S21 * $C$12 * S26 - $C$9 * SIN(S19/180*PI())</f>
        <v>8.0763753670298541</v>
      </c>
      <c r="T27" s="7" t="s">
        <v>10</v>
      </c>
      <c r="X27" s="3">
        <v>23</v>
      </c>
      <c r="Y27" s="3">
        <f t="shared" si="15"/>
        <v>0.95229864120483398</v>
      </c>
      <c r="Z27" s="3">
        <f t="shared" si="0"/>
        <v>7.3941329170601477E-8</v>
      </c>
      <c r="AA27" s="3">
        <f t="shared" si="16"/>
        <v>0.95229876041412354</v>
      </c>
      <c r="AB27" s="3">
        <f t="shared" si="1"/>
        <v>-6.4189393134128636E-8</v>
      </c>
      <c r="AC27" s="3">
        <f t="shared" si="3"/>
        <v>0.95229870080947876</v>
      </c>
      <c r="AD27" s="3">
        <f t="shared" si="2"/>
        <v>4.8759674076137571E-9</v>
      </c>
      <c r="AE27" s="3">
        <f t="shared" si="4"/>
        <v>3.6053551111149314E-16</v>
      </c>
      <c r="AF27" s="3">
        <f t="shared" si="5"/>
        <v>-3.1298538883651751E-16</v>
      </c>
      <c r="AG27" s="3">
        <f t="shared" si="6"/>
        <v>1.1920928955078125E-7</v>
      </c>
      <c r="AI27" s="3">
        <v>23</v>
      </c>
      <c r="AJ27" s="3">
        <f t="shared" si="25"/>
        <v>4081.3616514205933</v>
      </c>
      <c r="AK27" s="3">
        <v>-1.0280673177476274E-4</v>
      </c>
      <c r="AL27" s="3">
        <f t="shared" si="26"/>
        <v>4081.3627243041992</v>
      </c>
      <c r="AM27" s="3">
        <v>1.5397114884763141E-4</v>
      </c>
      <c r="AN27" s="3">
        <f t="shared" si="17"/>
        <v>4081.3621878623962</v>
      </c>
      <c r="AO27" s="3">
        <v>2.6183021418546559E-5</v>
      </c>
      <c r="AP27" s="3">
        <f t="shared" si="18"/>
        <v>-2.6917908600293839E-9</v>
      </c>
      <c r="AQ27" s="3">
        <f t="shared" si="19"/>
        <v>4.0314298881157534E-9</v>
      </c>
      <c r="AR27" s="3">
        <f t="shared" si="20"/>
        <v>1.0728836059570312E-3</v>
      </c>
      <c r="AT27" s="61" t="s">
        <v>216</v>
      </c>
      <c r="AU27" s="4">
        <f>0.548288*($AU$9/2)</f>
        <v>0.83559091200000002</v>
      </c>
      <c r="AV27" s="27" t="s">
        <v>8</v>
      </c>
      <c r="AX27" s="64"/>
      <c r="AY27" s="61">
        <f>BK58</f>
        <v>4.5214476000060566E-9</v>
      </c>
      <c r="AZ27" s="61"/>
      <c r="BB27" s="3" t="s">
        <v>186</v>
      </c>
      <c r="BC27" s="3">
        <f xml:space="preserve"> $BK$46 * PI() * $AU$45 * BC25^2 * $BK$52 * $AU$23 * BC22</f>
        <v>811.55377584817359</v>
      </c>
      <c r="BD27" s="27" t="s">
        <v>22</v>
      </c>
      <c r="BF27" s="3" t="s">
        <v>186</v>
      </c>
      <c r="BG27" s="3">
        <f xml:space="preserve"> $BO$46 * PI() * $AU$45 * BG25^2 * $BO$52 * $AU$24 * BG22</f>
        <v>975.21084332844987</v>
      </c>
      <c r="BH27" s="27" t="s">
        <v>22</v>
      </c>
      <c r="BJ27" s="3" t="s">
        <v>183</v>
      </c>
      <c r="BK27" s="3">
        <f xml:space="preserve"> $AU$8*$AU$29 / (2*PI()*$AU$21)</f>
        <v>0.35771795642666621</v>
      </c>
      <c r="BL27" s="3"/>
      <c r="BM27" s="3"/>
      <c r="BN27" s="3" t="s">
        <v>183</v>
      </c>
      <c r="BO27" s="3">
        <f xml:space="preserve"> $AU$8*$AU$30 / (2*PI()*$AU$22)</f>
        <v>0.28415899496185482</v>
      </c>
      <c r="BP27" s="3"/>
      <c r="BR27" s="3">
        <v>23</v>
      </c>
      <c r="BS27" s="3">
        <f t="shared" si="21"/>
        <v>0.34534113249233506</v>
      </c>
      <c r="BT27" s="3">
        <v>-1.2813259902752505E-6</v>
      </c>
      <c r="BU27" s="3">
        <f t="shared" si="22"/>
        <v>0.34534179911484542</v>
      </c>
      <c r="BV27" s="3">
        <v>3.4066310371921871E-6</v>
      </c>
      <c r="BW27" s="3">
        <f t="shared" si="7"/>
        <v>0.34534146580359026</v>
      </c>
      <c r="BX27" s="3">
        <v>1.0626536902091921E-6</v>
      </c>
      <c r="BY27" s="3">
        <f t="shared" si="8"/>
        <v>-1.3616057919269423E-12</v>
      </c>
      <c r="BZ27" s="3">
        <f t="shared" si="9"/>
        <v>3.6200690428534453E-12</v>
      </c>
      <c r="CA27" s="3">
        <f t="shared" si="10"/>
        <v>6.6662251035909392E-7</v>
      </c>
      <c r="CC27" s="3">
        <v>23</v>
      </c>
      <c r="CD27" s="3">
        <f t="shared" si="23"/>
        <v>0.29399186714177927</v>
      </c>
      <c r="CE27" s="3">
        <v>-1.1770437322675825E-6</v>
      </c>
      <c r="CF27" s="3">
        <f t="shared" si="24"/>
        <v>0.29399253376428963</v>
      </c>
      <c r="CG27" s="3">
        <v>2.102342539344465E-6</v>
      </c>
      <c r="CH27" s="3">
        <f t="shared" si="11"/>
        <v>0.29399220045303442</v>
      </c>
      <c r="CI27" s="3">
        <v>4.6265044413053291E-7</v>
      </c>
      <c r="CJ27" s="3">
        <f t="shared" si="12"/>
        <v>-5.4455980549465712E-13</v>
      </c>
      <c r="CK27" s="3">
        <f t="shared" si="13"/>
        <v>9.7264970954222906E-13</v>
      </c>
      <c r="CL27" s="3">
        <f t="shared" si="14"/>
        <v>6.6662251035909392E-7</v>
      </c>
    </row>
    <row r="28" spans="2:90" x14ac:dyDescent="0.2">
      <c r="B28" s="68" t="s">
        <v>257</v>
      </c>
      <c r="C28" s="68"/>
      <c r="D28" s="68"/>
      <c r="F28" s="7" t="s">
        <v>96</v>
      </c>
      <c r="G28" s="18">
        <f>(10000-6050)*0.3048</f>
        <v>1203.96</v>
      </c>
      <c r="H28" s="7" t="s">
        <v>8</v>
      </c>
      <c r="J28" s="16" t="s">
        <v>67</v>
      </c>
      <c r="K28" s="7">
        <f xml:space="preserve"> $C$86 * (0.0268 * $C$5)</f>
        <v>97.458028844275262</v>
      </c>
      <c r="L28" s="7" t="s">
        <v>7</v>
      </c>
      <c r="N28" s="7" t="s">
        <v>36</v>
      </c>
      <c r="O28" s="7">
        <f xml:space="preserve"> 1/$C$32 - O25 * SQRT( (2*$C$71*PI()*$C$12^2) / O20^3 )</f>
        <v>1.3288157507685101</v>
      </c>
      <c r="R28" s="7" t="s">
        <v>36</v>
      </c>
      <c r="S28" s="7">
        <f xml:space="preserve"> 1/$C$32 - S25 * SQRT( (2*$C$77*PI()*$C$12^2) / S20^3 )</f>
        <v>1.3245851875496122</v>
      </c>
      <c r="X28" s="3">
        <v>24</v>
      </c>
      <c r="Y28" s="3">
        <f t="shared" si="15"/>
        <v>0.95229870080947876</v>
      </c>
      <c r="Z28" s="3">
        <f t="shared" si="0"/>
        <v>4.8759674076137571E-9</v>
      </c>
      <c r="AA28" s="3">
        <f t="shared" si="16"/>
        <v>0.95229876041412354</v>
      </c>
      <c r="AB28" s="3">
        <f t="shared" si="1"/>
        <v>-6.4189393134128636E-8</v>
      </c>
      <c r="AC28" s="3">
        <f t="shared" si="3"/>
        <v>0.95229873061180115</v>
      </c>
      <c r="AD28" s="3">
        <f t="shared" si="2"/>
        <v>-2.9656712974279742E-8</v>
      </c>
      <c r="AE28" s="3">
        <f t="shared" si="4"/>
        <v>-1.4460516587954407E-16</v>
      </c>
      <c r="AF28" s="3">
        <f t="shared" si="5"/>
        <v>1.9036464081720558E-15</v>
      </c>
      <c r="AG28" s="3">
        <f t="shared" si="6"/>
        <v>5.9604644775390625E-8</v>
      </c>
      <c r="AI28" s="3">
        <v>24</v>
      </c>
      <c r="AJ28" s="3">
        <f t="shared" si="25"/>
        <v>4081.3616514205933</v>
      </c>
      <c r="AK28" s="3">
        <v>-1.0280673177476274E-4</v>
      </c>
      <c r="AL28" s="3">
        <f t="shared" si="26"/>
        <v>4081.3621878623962</v>
      </c>
      <c r="AM28" s="3">
        <v>2.6183021418546559E-5</v>
      </c>
      <c r="AN28" s="3">
        <f t="shared" si="17"/>
        <v>4081.3619196414948</v>
      </c>
      <c r="AO28" s="3">
        <v>-3.8520417092513526E-5</v>
      </c>
      <c r="AP28" s="3">
        <f t="shared" si="18"/>
        <v>3.9601581878820236E-9</v>
      </c>
      <c r="AQ28" s="3">
        <f t="shared" si="19"/>
        <v>-1.0085809057846286E-9</v>
      </c>
      <c r="AR28" s="3">
        <f t="shared" si="20"/>
        <v>5.3644180297851562E-4</v>
      </c>
      <c r="AT28" s="61"/>
      <c r="AU28" s="4">
        <f>0.530863*($AU$9/2)</f>
        <v>0.80903521199999995</v>
      </c>
      <c r="AV28" s="27" t="s">
        <v>8</v>
      </c>
      <c r="AX28" s="64"/>
      <c r="AY28" s="61">
        <f>BO58</f>
        <v>-6.8360290102209564E-9</v>
      </c>
      <c r="AZ28" s="61"/>
      <c r="BB28" s="3" t="s">
        <v>190</v>
      </c>
      <c r="BC28" s="3">
        <f xml:space="preserve"> $BK$46 * PI() * $AU$45 * BC25^2 * $BK$53 * $AU$23^2 * BC22</f>
        <v>253.70017704261821</v>
      </c>
      <c r="BD28" s="27" t="s">
        <v>191</v>
      </c>
      <c r="BF28" s="3" t="s">
        <v>190</v>
      </c>
      <c r="BG28" s="3">
        <f xml:space="preserve"> $BO$46 * PI() * $AU$45 * BG25^2 * $BO$53 * $AU$24^2 * BG22</f>
        <v>341.61832173926388</v>
      </c>
      <c r="BH28" s="27" t="s">
        <v>191</v>
      </c>
      <c r="BJ28" s="3" t="s">
        <v>187</v>
      </c>
      <c r="BK28" s="3">
        <f>IF(-$AU$8*($AY$3-$AU$21)/(2*$AU$21*SIN(BK23))&gt;500, 1, 2*ACOS(MIN(1, EXP(-$AU$8*($AY$3-$AU$21)/(2*$AU$21*SIN(BK23)))))/PI() )</f>
        <v>0.99389330287543631</v>
      </c>
      <c r="BL28" s="3"/>
      <c r="BM28" s="3"/>
      <c r="BN28" s="3" t="s">
        <v>187</v>
      </c>
      <c r="BO28" s="3">
        <f>IF(-$AU$8*($AY$3-$AU$22)/(2*$AU$22*SIN(BO23))&gt;500, 1, 2*ACOS(MIN(1, EXP(-$AU$8*($AY$3-$AU$22)/(2*$AU$22*SIN(BO23)))))/PI() )</f>
        <v>0.98074801670012968</v>
      </c>
      <c r="BP28" s="3"/>
      <c r="BR28" s="3">
        <v>24</v>
      </c>
      <c r="BS28" s="3">
        <f t="shared" si="21"/>
        <v>0.34534113249233506</v>
      </c>
      <c r="BT28" s="3">
        <v>-1.2813259902752505E-6</v>
      </c>
      <c r="BU28" s="3">
        <f t="shared" si="22"/>
        <v>0.34534146580359026</v>
      </c>
      <c r="BV28" s="3">
        <v>1.0626536902091921E-6</v>
      </c>
      <c r="BW28" s="3">
        <f t="shared" si="7"/>
        <v>0.34534129914796263</v>
      </c>
      <c r="BX28" s="3">
        <v>-1.0933585855611716E-7</v>
      </c>
      <c r="BY28" s="3">
        <f t="shared" si="8"/>
        <v>1.4009487723701154E-13</v>
      </c>
      <c r="BZ28" s="3">
        <f t="shared" si="9"/>
        <v>-1.1618615356684817E-13</v>
      </c>
      <c r="CA28" s="3">
        <f t="shared" si="10"/>
        <v>3.3331125520730254E-7</v>
      </c>
      <c r="CC28" s="3">
        <v>24</v>
      </c>
      <c r="CD28" s="3">
        <f t="shared" si="23"/>
        <v>0.29399186714177927</v>
      </c>
      <c r="CE28" s="3">
        <v>-1.1770437322675825E-6</v>
      </c>
      <c r="CF28" s="3">
        <f t="shared" si="24"/>
        <v>0.29399220045303442</v>
      </c>
      <c r="CG28" s="3">
        <v>4.6265044413053291E-7</v>
      </c>
      <c r="CH28" s="3">
        <f t="shared" si="11"/>
        <v>0.29399203379740685</v>
      </c>
      <c r="CI28" s="3">
        <v>-3.5719638385306451E-7</v>
      </c>
      <c r="CJ28" s="3">
        <f t="shared" si="12"/>
        <v>4.2043576480289511E-13</v>
      </c>
      <c r="CK28" s="3">
        <f t="shared" si="13"/>
        <v>-1.6525706563144061E-13</v>
      </c>
      <c r="CL28" s="3">
        <f t="shared" si="14"/>
        <v>3.3331125515179139E-7</v>
      </c>
    </row>
    <row r="29" spans="2:90" x14ac:dyDescent="0.2">
      <c r="B29" s="7" t="s">
        <v>258</v>
      </c>
      <c r="C29" s="18">
        <v>1</v>
      </c>
      <c r="F29" s="7" t="s">
        <v>101</v>
      </c>
      <c r="G29" s="7">
        <f>$G$28/$G$27</f>
        <v>263.33333333333331</v>
      </c>
      <c r="H29" s="7" t="s">
        <v>14</v>
      </c>
      <c r="J29" s="16" t="s">
        <v>68</v>
      </c>
      <c r="K29" s="7">
        <f xml:space="preserve"> $C$86 * (11.5 * ($C$5*2.20462/1000)^0.4 * 0.453592)</f>
        <v>11.191710767037337</v>
      </c>
      <c r="L29" s="7" t="s">
        <v>7</v>
      </c>
      <c r="N29" s="7" t="s">
        <v>37</v>
      </c>
      <c r="O29" s="18">
        <v>1.1499999999999999</v>
      </c>
      <c r="R29" s="7" t="s">
        <v>37</v>
      </c>
      <c r="S29" s="18">
        <v>1.1499999999999999</v>
      </c>
      <c r="X29" s="3">
        <v>25</v>
      </c>
      <c r="Y29" s="3">
        <f t="shared" si="15"/>
        <v>0.95229870080947876</v>
      </c>
      <c r="Z29" s="3">
        <f t="shared" si="0"/>
        <v>4.8759674076137571E-9</v>
      </c>
      <c r="AA29" s="3">
        <f t="shared" si="16"/>
        <v>0.95229873061180115</v>
      </c>
      <c r="AB29" s="3">
        <f t="shared" si="1"/>
        <v>-2.9656712974279742E-8</v>
      </c>
      <c r="AC29" s="3">
        <f t="shared" si="3"/>
        <v>0.95229871571063995</v>
      </c>
      <c r="AD29" s="3">
        <f t="shared" si="2"/>
        <v>-1.2390372838844144E-8</v>
      </c>
      <c r="AE29" s="3">
        <f t="shared" si="4"/>
        <v>-6.0415054130386788E-17</v>
      </c>
      <c r="AF29" s="3">
        <f t="shared" si="5"/>
        <v>3.6745773092591245E-16</v>
      </c>
      <c r="AG29" s="3">
        <f t="shared" si="6"/>
        <v>2.9802322387695312E-8</v>
      </c>
      <c r="AI29" s="3">
        <v>25</v>
      </c>
      <c r="AJ29" s="3">
        <f t="shared" si="25"/>
        <v>4081.3619196414948</v>
      </c>
      <c r="AK29" s="3">
        <v>-3.8520417092513526E-5</v>
      </c>
      <c r="AL29" s="3">
        <f t="shared" si="26"/>
        <v>4081.3621878623962</v>
      </c>
      <c r="AM29" s="3">
        <v>2.6183021418546559E-5</v>
      </c>
      <c r="AN29" s="3">
        <f t="shared" si="17"/>
        <v>4081.3620537519455</v>
      </c>
      <c r="AO29" s="3">
        <v>-6.3772627072467003E-6</v>
      </c>
      <c r="AP29" s="3">
        <f t="shared" si="18"/>
        <v>2.4565481939167488E-10</v>
      </c>
      <c r="AQ29" s="3">
        <f t="shared" si="19"/>
        <v>-1.6697600605553857E-10</v>
      </c>
      <c r="AR29" s="3">
        <f t="shared" si="20"/>
        <v>2.6822090148925781E-4</v>
      </c>
      <c r="AT29" s="61"/>
      <c r="AU29" s="4">
        <f>0.513438*($AU$9/2)</f>
        <v>0.78247951199999999</v>
      </c>
      <c r="AV29" s="27" t="s">
        <v>8</v>
      </c>
      <c r="AX29" s="64"/>
      <c r="AY29" s="61">
        <f>BK77</f>
        <v>-6.2775295144382182E-9</v>
      </c>
      <c r="AZ29" s="61"/>
      <c r="BJ29" s="3" t="s">
        <v>192</v>
      </c>
      <c r="BK29" s="3">
        <f>IF(-$AU$8*($AU$21-$AU$10)/(2*$AU$21*SIN(BK23))&gt;500, 1, 2*ACOS(MIN(1, EXP(-$AU$8*($AU$21-$AU$10)/(2*$AU$21*SIN(BK23)))))/PI() )</f>
        <v>0.92279669922061081</v>
      </c>
      <c r="BL29" s="3"/>
      <c r="BM29" s="3"/>
      <c r="BN29" s="3" t="s">
        <v>192</v>
      </c>
      <c r="BO29" s="3">
        <f>IF(-$AU$8*($AU$22-$AU$10)/(2*$AU$22*SIN(BO23))&gt;500, 1, 2*ACOS(MIN(1, EXP(-$AU$8*($AU$22-$AU$10)/(2*$AU$22*SIN(BO23)))))/PI() )</f>
        <v>0.95808366501174391</v>
      </c>
      <c r="BP29" s="3"/>
      <c r="BR29" s="3">
        <v>25</v>
      </c>
      <c r="BS29" s="3">
        <f t="shared" si="21"/>
        <v>0.34534129914796263</v>
      </c>
      <c r="BT29" s="3">
        <v>-1.0933585855611716E-7</v>
      </c>
      <c r="BU29" s="3">
        <f t="shared" si="22"/>
        <v>0.34534146580359026</v>
      </c>
      <c r="BV29" s="3">
        <v>1.0626536902091921E-6</v>
      </c>
      <c r="BW29" s="3">
        <f t="shared" si="7"/>
        <v>0.34534138247577645</v>
      </c>
      <c r="BX29" s="3">
        <v>4.7665898879681312E-7</v>
      </c>
      <c r="BY29" s="3">
        <f t="shared" si="8"/>
        <v>-5.2115919778590194E-14</v>
      </c>
      <c r="BZ29" s="3">
        <f t="shared" si="9"/>
        <v>5.0652343341631545E-13</v>
      </c>
      <c r="CA29" s="3">
        <f t="shared" si="10"/>
        <v>1.6665562763140684E-7</v>
      </c>
      <c r="CC29" s="3">
        <v>25</v>
      </c>
      <c r="CD29" s="3">
        <f t="shared" si="23"/>
        <v>0.29399203379740685</v>
      </c>
      <c r="CE29" s="3">
        <v>-3.5719638385306451E-7</v>
      </c>
      <c r="CF29" s="3">
        <f t="shared" si="24"/>
        <v>0.29399220045303442</v>
      </c>
      <c r="CG29" s="3">
        <v>4.6265044413053291E-7</v>
      </c>
      <c r="CH29" s="3">
        <f t="shared" si="11"/>
        <v>0.29399211712522066</v>
      </c>
      <c r="CI29" s="3">
        <v>5.272709523163055E-8</v>
      </c>
      <c r="CJ29" s="3">
        <f t="shared" si="12"/>
        <v>-1.8833927747814595E-14</v>
      </c>
      <c r="CK29" s="3">
        <f t="shared" si="13"/>
        <v>2.4394214026626778E-14</v>
      </c>
      <c r="CL29" s="3">
        <f t="shared" si="14"/>
        <v>1.6665562757589569E-7</v>
      </c>
    </row>
    <row r="30" spans="2:90" x14ac:dyDescent="0.2">
      <c r="B30" s="7" t="s">
        <v>259</v>
      </c>
      <c r="C30" s="18">
        <v>6</v>
      </c>
      <c r="F30" s="7" t="s">
        <v>253</v>
      </c>
      <c r="G30" s="7">
        <f>O21*$C$12</f>
        <v>57.453446448850144</v>
      </c>
      <c r="H30" s="7" t="s">
        <v>10</v>
      </c>
      <c r="J30" s="16" t="s">
        <v>69</v>
      </c>
      <c r="K30" s="7">
        <f xml:space="preserve"> $C$86 * (8 * ($C$5/1000))</f>
        <v>29.091948908738882</v>
      </c>
      <c r="L30" s="7" t="s">
        <v>7</v>
      </c>
      <c r="N30" s="7" t="s">
        <v>38</v>
      </c>
      <c r="O30" s="7">
        <f xml:space="preserve"> 1/$C$83 * LN( EXP($C$83 * O28) + EXP($C$83 * O29) )</f>
        <v>1.3289713844794033</v>
      </c>
      <c r="R30" s="7" t="s">
        <v>38</v>
      </c>
      <c r="S30" s="7">
        <f xml:space="preserve"> 1/$C$83 * LN( EXP($C$83 * S28) + EXP($C$83 * S29) )</f>
        <v>1.3247618263193421</v>
      </c>
      <c r="X30" s="3">
        <v>26</v>
      </c>
      <c r="Y30" s="3">
        <f>IF(AE29&gt;0, AC29, Y29)</f>
        <v>0.95229870080947876</v>
      </c>
      <c r="Z30" s="3">
        <f t="shared" si="0"/>
        <v>4.8759674076137571E-9</v>
      </c>
      <c r="AA30" s="3">
        <f t="shared" si="16"/>
        <v>0.95229871571063995</v>
      </c>
      <c r="AB30" s="3">
        <f t="shared" si="1"/>
        <v>-1.2390372838844144E-8</v>
      </c>
      <c r="AC30" s="3">
        <f t="shared" si="3"/>
        <v>0.95229870826005936</v>
      </c>
      <c r="AD30" s="3">
        <f t="shared" si="2"/>
        <v>-3.757202660104042E-9</v>
      </c>
      <c r="AE30" s="3">
        <f t="shared" si="4"/>
        <v>-1.8319997714467018E-17</v>
      </c>
      <c r="AF30" s="3">
        <f t="shared" si="5"/>
        <v>4.6553141789786087E-17</v>
      </c>
      <c r="AG30" s="3">
        <f t="shared" si="6"/>
        <v>1.4901161193847656E-8</v>
      </c>
      <c r="AI30" s="3">
        <v>26</v>
      </c>
      <c r="AJ30" s="3">
        <f t="shared" si="25"/>
        <v>4081.3620537519455</v>
      </c>
      <c r="AK30" s="3">
        <v>-6.3772627072467003E-6</v>
      </c>
      <c r="AL30" s="3">
        <f t="shared" si="26"/>
        <v>4081.3621878623962</v>
      </c>
      <c r="AM30" s="3">
        <v>2.6183021418546559E-5</v>
      </c>
      <c r="AN30" s="3">
        <f t="shared" si="17"/>
        <v>4081.3621208071709</v>
      </c>
      <c r="AO30" s="3">
        <v>9.9028802651446313E-6</v>
      </c>
      <c r="AP30" s="3">
        <f t="shared" si="18"/>
        <v>-6.3153269009236172E-11</v>
      </c>
      <c r="AQ30" s="3">
        <f t="shared" si="19"/>
        <v>2.5928732608758391E-10</v>
      </c>
      <c r="AR30" s="3">
        <f t="shared" si="20"/>
        <v>1.3411045074462891E-4</v>
      </c>
      <c r="AT30" s="61"/>
      <c r="AU30" s="4">
        <f>0.496013*($AU$9/2)</f>
        <v>0.75592381200000003</v>
      </c>
      <c r="AV30" s="27" t="s">
        <v>8</v>
      </c>
      <c r="AX30" s="39" t="s">
        <v>217</v>
      </c>
      <c r="AY30" s="61" t="b">
        <f>IF(AY23&lt;0.00001,IF(AY24&lt;0.00001,IF(AY25&lt;0.00001,IF(AY26&lt;0.00001,IF(AY27&lt;0.00001,IF(AY28&lt;0.00001,IF(AY29&lt;0.00001,TRUE,FALSE),FALSE),FALSE),FALSE),FALSE),FALSE),FALSE)</f>
        <v>1</v>
      </c>
      <c r="AZ30" s="61"/>
      <c r="BB30" s="75" t="s">
        <v>218</v>
      </c>
      <c r="BC30" s="75"/>
      <c r="BD30" s="75"/>
      <c r="BF30" s="75" t="s">
        <v>232</v>
      </c>
      <c r="BG30" s="75"/>
      <c r="BH30" s="75"/>
      <c r="BJ30" s="3" t="s">
        <v>195</v>
      </c>
      <c r="BK30" s="3">
        <f>IF(BK23=0,1,BK28*BK29)</f>
        <v>0.91716145927092341</v>
      </c>
      <c r="BL30" s="3"/>
      <c r="BM30" s="3"/>
      <c r="BN30" s="3" t="s">
        <v>195</v>
      </c>
      <c r="BO30" s="3">
        <f>IF(BO23=0,1,BO28*BO29)</f>
        <v>0.93963865429305926</v>
      </c>
      <c r="BP30" s="3"/>
      <c r="BR30" s="3">
        <v>26</v>
      </c>
      <c r="BS30" s="3">
        <f t="shared" si="21"/>
        <v>0.34534129914796263</v>
      </c>
      <c r="BT30" s="3">
        <v>-1.0933585855611716E-7</v>
      </c>
      <c r="BU30" s="3">
        <f t="shared" si="22"/>
        <v>0.34534138247577645</v>
      </c>
      <c r="BV30" s="3">
        <v>4.7665898879681312E-7</v>
      </c>
      <c r="BW30" s="3">
        <f t="shared" si="7"/>
        <v>0.34534134081186951</v>
      </c>
      <c r="BX30" s="3">
        <v>1.8366158305652136E-7</v>
      </c>
      <c r="BY30" s="3">
        <f t="shared" si="8"/>
        <v>-2.0080796867260382E-14</v>
      </c>
      <c r="BZ30" s="3">
        <f t="shared" si="9"/>
        <v>8.7543944460543378E-14</v>
      </c>
      <c r="CA30" s="3">
        <f t="shared" si="10"/>
        <v>8.3327813815703422E-8</v>
      </c>
      <c r="CC30" s="3">
        <v>26</v>
      </c>
      <c r="CD30" s="3">
        <f t="shared" si="23"/>
        <v>0.29399203379740685</v>
      </c>
      <c r="CE30" s="3">
        <v>-3.5719638385306451E-7</v>
      </c>
      <c r="CF30" s="3">
        <f t="shared" si="24"/>
        <v>0.29399211712522066</v>
      </c>
      <c r="CG30" s="3">
        <v>5.272709523163055E-8</v>
      </c>
      <c r="CH30" s="3">
        <f t="shared" si="11"/>
        <v>0.29399207546131378</v>
      </c>
      <c r="CI30" s="3">
        <v>-1.5223462793839682E-7</v>
      </c>
      <c r="CJ30" s="3">
        <f t="shared" si="12"/>
        <v>5.4377658596812045E-14</v>
      </c>
      <c r="CK30" s="3">
        <f t="shared" si="13"/>
        <v>-8.0268897248596938E-15</v>
      </c>
      <c r="CL30" s="3">
        <f t="shared" si="14"/>
        <v>8.3327813815703422E-8</v>
      </c>
    </row>
    <row r="31" spans="2:90" x14ac:dyDescent="0.2">
      <c r="B31" s="7" t="s">
        <v>260</v>
      </c>
      <c r="C31" s="7">
        <f>$C$30*$C$13/PI()</f>
        <v>0.84998288907657626</v>
      </c>
      <c r="F31" s="7" t="s">
        <v>254</v>
      </c>
      <c r="G31" s="7">
        <f>G30/$C$73</f>
        <v>0.1736326646200034</v>
      </c>
      <c r="H31" s="7" t="s">
        <v>143</v>
      </c>
      <c r="J31" s="16" t="s">
        <v>70</v>
      </c>
      <c r="K31" s="7">
        <f xml:space="preserve"> $C$86 * (13 * ($C$5*2.20462/1000)^1.3 * 0.453592)</f>
        <v>91.383328219885556</v>
      </c>
      <c r="L31" s="7" t="s">
        <v>7</v>
      </c>
      <c r="X31" s="3">
        <v>27</v>
      </c>
      <c r="Y31" s="3">
        <f t="shared" si="15"/>
        <v>0.95229870080947876</v>
      </c>
      <c r="Z31" s="3">
        <f t="shared" si="0"/>
        <v>4.8759674076137571E-9</v>
      </c>
      <c r="AA31" s="3">
        <f t="shared" si="16"/>
        <v>0.95229870826005936</v>
      </c>
      <c r="AB31" s="3">
        <f t="shared" si="1"/>
        <v>-3.757202660104042E-9</v>
      </c>
      <c r="AC31" s="3">
        <f t="shared" si="3"/>
        <v>0.95229870453476906</v>
      </c>
      <c r="AD31" s="3">
        <f t="shared" si="2"/>
        <v>5.5938231824370632E-10</v>
      </c>
      <c r="AE31" s="3">
        <f t="shared" si="4"/>
        <v>2.7275299521517384E-18</v>
      </c>
      <c r="AF31" s="3">
        <f t="shared" si="5"/>
        <v>-2.1017127341204192E-18</v>
      </c>
      <c r="AG31" s="3">
        <f t="shared" si="6"/>
        <v>7.4505805969238281E-9</v>
      </c>
      <c r="AI31" s="3">
        <v>27</v>
      </c>
      <c r="AJ31" s="3">
        <f t="shared" si="25"/>
        <v>4081.3620537519455</v>
      </c>
      <c r="AK31" s="3">
        <v>-6.3772627072467003E-6</v>
      </c>
      <c r="AL31" s="3">
        <f t="shared" si="26"/>
        <v>4081.3621208071709</v>
      </c>
      <c r="AM31" s="3">
        <v>9.9028802651446313E-6</v>
      </c>
      <c r="AN31" s="3">
        <f t="shared" si="17"/>
        <v>4081.3620872795582</v>
      </c>
      <c r="AO31" s="3">
        <v>1.76280855157529E-6</v>
      </c>
      <c r="AP31" s="3">
        <f t="shared" si="18"/>
        <v>-1.1241893235976669E-11</v>
      </c>
      <c r="AQ31" s="3">
        <f t="shared" si="19"/>
        <v>1.7456882016623132E-11</v>
      </c>
      <c r="AR31" s="3">
        <f t="shared" si="20"/>
        <v>6.7055225372314453E-5</v>
      </c>
      <c r="AT31" s="61"/>
      <c r="AU31" s="4">
        <f>0.478588*($AU$9/2)</f>
        <v>0.72936811200000007</v>
      </c>
      <c r="AV31" s="27" t="s">
        <v>8</v>
      </c>
      <c r="BB31" s="3" t="s">
        <v>165</v>
      </c>
      <c r="BC31" s="3">
        <f>$AU$25-$AU$24</f>
        <v>0.15049500000000005</v>
      </c>
      <c r="BD31" s="27" t="s">
        <v>8</v>
      </c>
      <c r="BF31" s="3" t="s">
        <v>165</v>
      </c>
      <c r="BG31" s="3">
        <f>2*($AU$9/2 - $AU$26)</f>
        <v>0.15049499999999982</v>
      </c>
      <c r="BH31" s="27" t="s">
        <v>8</v>
      </c>
      <c r="BJ31" s="3" t="s">
        <v>199</v>
      </c>
      <c r="BK31" s="3">
        <f>IF(BK26&lt;$BC$49, $AY$50*BK26^6 + $AZ$50*BK26^5 + $BA$50*BK26^4 + $AY$51*BK26^3 + $AZ$51*BK26^2 + $BA$51*BK26 + $AY$52, IF(BK26&gt;$BD$49, $BE$50*BK26^6 + $BF$50*BK26^5 + $BG$50*BK26^4 + $BE$51*BK26^3 + $BF$51*BK26^2 + $BG$51*BK26 + $BE$52, $BB$50*BK26^6 + $BC$50*BK26^5 + $BD$50*BK26^4 + $BB$51*BK26^3 + $BC$51*BK26^2 + $BD$51*BK26 + $BB$52) )</f>
        <v>0.69269683390414094</v>
      </c>
      <c r="BL31" s="3"/>
      <c r="BM31" s="3"/>
      <c r="BN31" s="3" t="s">
        <v>199</v>
      </c>
      <c r="BO31" s="3">
        <f>IF(BO26&lt;$BC$49, $AY$50*BO26^6 + $AZ$50*BO26^5 + $BA$50*BO26^4 + $AY$51*BO26^3 + $AZ$51*BO26^2 + $BA$51*BO26 + $AY$52, IF(BO26&gt;$BD$49, $BE$50*BO26^6 + $BF$50*BO26^5 + $BG$50*BO26^4 + $BE$51*BO26^3 + $BF$51*BO26^2 + $BG$51*BO26 + $BE$52, $BB$50*BO26^6 + $BC$50*BO26^5 + $BD$50*BO26^4 + $BB$51*BO26^3 + $BC$51*BO26^2 + $BD$51*BO26 + $BB$52) )</f>
        <v>0.70746968459518123</v>
      </c>
      <c r="BP31" s="3"/>
      <c r="BR31" s="3">
        <v>27</v>
      </c>
      <c r="BS31" s="3">
        <f t="shared" si="21"/>
        <v>0.34534129914796263</v>
      </c>
      <c r="BT31" s="3">
        <v>-1.0933585855611716E-7</v>
      </c>
      <c r="BU31" s="3">
        <f t="shared" si="22"/>
        <v>0.34534134081186951</v>
      </c>
      <c r="BV31" s="3">
        <v>1.8366158305652136E-7</v>
      </c>
      <c r="BW31" s="3">
        <f t="shared" si="7"/>
        <v>0.34534131997991607</v>
      </c>
      <c r="BX31" s="3">
        <v>3.7162866872372802E-8</v>
      </c>
      <c r="BY31" s="3">
        <f t="shared" si="8"/>
        <v>-4.0632339558975648E-15</v>
      </c>
      <c r="BZ31" s="3">
        <f t="shared" si="9"/>
        <v>6.8253909606987439E-15</v>
      </c>
      <c r="CA31" s="3">
        <f t="shared" si="10"/>
        <v>4.1663906880096135E-8</v>
      </c>
      <c r="CC31" s="3">
        <v>27</v>
      </c>
      <c r="CD31" s="3">
        <f t="shared" si="23"/>
        <v>0.29399207546131378</v>
      </c>
      <c r="CE31" s="3">
        <v>-1.5223462793839682E-7</v>
      </c>
      <c r="CF31" s="3">
        <f t="shared" si="24"/>
        <v>0.29399211712522066</v>
      </c>
      <c r="CG31" s="3">
        <v>5.272709523163055E-8</v>
      </c>
      <c r="CH31" s="3">
        <f t="shared" si="11"/>
        <v>0.29399209629326722</v>
      </c>
      <c r="CI31" s="3">
        <v>-4.9753762276782965E-8</v>
      </c>
      <c r="CJ31" s="3">
        <f t="shared" si="12"/>
        <v>7.5742454887414974E-15</v>
      </c>
      <c r="CK31" s="3">
        <f t="shared" si="13"/>
        <v>-2.623371361699843E-15</v>
      </c>
      <c r="CL31" s="3">
        <f t="shared" si="14"/>
        <v>4.1663906880096135E-8</v>
      </c>
    </row>
    <row r="32" spans="2:90" x14ac:dyDescent="0.2">
      <c r="B32" s="7" t="s">
        <v>261</v>
      </c>
      <c r="C32" s="18">
        <v>0.75</v>
      </c>
      <c r="F32" s="7" t="s">
        <v>98</v>
      </c>
      <c r="G32" s="7">
        <f>SQRT($G$26^2-$G$27^2)</f>
        <v>42.449973523305246</v>
      </c>
      <c r="H32" s="7" t="s">
        <v>10</v>
      </c>
      <c r="J32" s="11" t="s">
        <v>57</v>
      </c>
      <c r="K32" s="11">
        <f>$C$5 - $C$18 - SUM(K17:K31)</f>
        <v>1.0204530553892255E-9</v>
      </c>
      <c r="L32" s="11" t="s">
        <v>7</v>
      </c>
      <c r="X32" s="3">
        <v>28</v>
      </c>
      <c r="Y32" s="3">
        <f t="shared" si="15"/>
        <v>0.95229870453476906</v>
      </c>
      <c r="Z32" s="3">
        <f t="shared" si="0"/>
        <v>5.5938231824370632E-10</v>
      </c>
      <c r="AA32" s="3">
        <f t="shared" si="16"/>
        <v>0.95229870826005936</v>
      </c>
      <c r="AB32" s="3">
        <f t="shared" si="1"/>
        <v>-3.757202660104042E-9</v>
      </c>
      <c r="AC32" s="3">
        <f t="shared" si="3"/>
        <v>0.95229870639741421</v>
      </c>
      <c r="AD32" s="3">
        <f t="shared" si="2"/>
        <v>-1.5989101154190166E-9</v>
      </c>
      <c r="AE32" s="3">
        <f t="shared" si="4"/>
        <v>-8.9440204702640156E-19</v>
      </c>
      <c r="AF32" s="3">
        <f t="shared" si="5"/>
        <v>6.0074293389195901E-18</v>
      </c>
      <c r="AG32" s="3">
        <f t="shared" si="6"/>
        <v>3.7252902984619141E-9</v>
      </c>
      <c r="AI32" s="3">
        <v>28</v>
      </c>
      <c r="AJ32" s="3">
        <f t="shared" si="25"/>
        <v>4081.3620537519455</v>
      </c>
      <c r="AK32" s="3">
        <v>-6.3772627072467003E-6</v>
      </c>
      <c r="AL32" s="3">
        <f t="shared" si="26"/>
        <v>4081.3620872795582</v>
      </c>
      <c r="AM32" s="3">
        <v>1.76280855157529E-6</v>
      </c>
      <c r="AN32" s="3">
        <f t="shared" si="17"/>
        <v>4081.3620705157518</v>
      </c>
      <c r="AO32" s="3">
        <v>-2.3072261683410034E-6</v>
      </c>
      <c r="AP32" s="3">
        <f t="shared" si="18"/>
        <v>1.4713787400544778E-11</v>
      </c>
      <c r="AQ32" s="3">
        <f t="shared" si="19"/>
        <v>-4.0671980199698104E-12</v>
      </c>
      <c r="AR32" s="3">
        <f t="shared" si="20"/>
        <v>3.3527612686157227E-5</v>
      </c>
      <c r="AT32" s="61"/>
      <c r="AU32" s="4">
        <f>0.461163*($AU$9/2)</f>
        <v>0.702812412</v>
      </c>
      <c r="AV32" s="27" t="s">
        <v>8</v>
      </c>
      <c r="BB32" s="3" t="s">
        <v>170</v>
      </c>
      <c r="BC32" s="3">
        <f>(1+$BK$75)*$AU$3</f>
        <v>23.753297756952659</v>
      </c>
      <c r="BD32" s="27" t="s">
        <v>10</v>
      </c>
      <c r="BF32" s="3" t="s">
        <v>170</v>
      </c>
      <c r="BG32" s="3">
        <f>(1+$BO$75)*$AU$3</f>
        <v>25.79582350862372</v>
      </c>
      <c r="BH32" s="27" t="s">
        <v>10</v>
      </c>
      <c r="BJ32" s="3" t="s">
        <v>200</v>
      </c>
      <c r="BK32" s="3">
        <f>IF(BK26&lt;$BC$49, $AY$53*BK26^6 + $AZ$53*BK26^5 + $BA$53*BK26^4 + $AY$54*BK26^3 + $AZ$54*BK26^2 + $BA$54*BK26 + $AY$55, IF(BK26&gt;$BD$49, $BE$53*BK26^6 + $BF$53*BK26^5 + $BG$53*BK26^4 + $BE$54*BK26^3 + $BF$54*BK26^2 + $BG$54*BK26 + $BE$55, $BB$53*BK26^6 + $BC$53*BK26^5 + $BD$53*BK26^4 + $BB$54*BK26^3 + $BC$54*BK26^2 + $BD$54*BK26 + $BB$55) )</f>
        <v>6.6412290594733886E-2</v>
      </c>
      <c r="BL32" s="3"/>
      <c r="BM32" s="3"/>
      <c r="BN32" s="3" t="s">
        <v>200</v>
      </c>
      <c r="BO32" s="3">
        <f>IF(BO26&lt;$BC$49, $AY$53*BO26^6 + $AZ$53*BO26^5 + $BA$53*BO26^4 + $AY$54*BO26^3 + $AZ$54*BO26^2 + $BA$54*BO26 + $AY$55, IF(BO26&gt;$BD$49, $BE$53*BO26^6 + $BF$53*BO26^5 + $BG$53*BO26^4 + $BE$54*BO26^3 + $BF$54*BO26^2 + $BG$54*BO26 + $BE$55, $BB$53*BO26^6 + $BC$53*BO26^5 + $BD$53*BO26^4 + $BB$54*BO26^3 + $BC$54*BO26^2 + $BD$54*BO26 + $BB$55) )</f>
        <v>6.556446741304732E-2</v>
      </c>
      <c r="BP32" s="3"/>
      <c r="BR32" s="3">
        <v>28</v>
      </c>
      <c r="BS32" s="3">
        <f t="shared" si="21"/>
        <v>0.34534129914796263</v>
      </c>
      <c r="BT32" s="3">
        <v>-1.0933585855611716E-7</v>
      </c>
      <c r="BU32" s="3">
        <f t="shared" si="22"/>
        <v>0.34534131997991607</v>
      </c>
      <c r="BV32" s="3">
        <v>3.7162866872372802E-8</v>
      </c>
      <c r="BW32" s="3">
        <f t="shared" si="7"/>
        <v>0.34534130956393938</v>
      </c>
      <c r="BX32" s="3">
        <v>-3.6086494655321322E-8</v>
      </c>
      <c r="BY32" s="3">
        <f t="shared" si="8"/>
        <v>3.9455478754202901E-15</v>
      </c>
      <c r="BZ32" s="3">
        <f t="shared" si="9"/>
        <v>-1.3410775967662989E-15</v>
      </c>
      <c r="CA32" s="3">
        <f t="shared" si="10"/>
        <v>2.0831953440048068E-8</v>
      </c>
      <c r="CC32" s="3">
        <v>28</v>
      </c>
      <c r="CD32" s="3">
        <f t="shared" si="23"/>
        <v>0.29399209629326722</v>
      </c>
      <c r="CE32" s="3">
        <v>-4.9753762276782965E-8</v>
      </c>
      <c r="CF32" s="3">
        <f t="shared" si="24"/>
        <v>0.29399211712522066</v>
      </c>
      <c r="CG32" s="3">
        <v>5.272709523163055E-8</v>
      </c>
      <c r="CH32" s="3">
        <f t="shared" si="11"/>
        <v>0.29399210670924392</v>
      </c>
      <c r="CI32" s="3">
        <v>1.4866673291730192E-9</v>
      </c>
      <c r="CJ32" s="3">
        <f t="shared" si="12"/>
        <v>-7.3967292880334252E-17</v>
      </c>
      <c r="CK32" s="3">
        <f t="shared" si="13"/>
        <v>7.838764984305963E-17</v>
      </c>
      <c r="CL32" s="3">
        <f t="shared" si="14"/>
        <v>2.0831953440048068E-8</v>
      </c>
    </row>
    <row r="33" spans="2:90" x14ac:dyDescent="0.2">
      <c r="F33" s="7" t="s">
        <v>99</v>
      </c>
      <c r="G33" s="7">
        <f>$G$32 * ($G$28/$G$27)</f>
        <v>11178.493027803714</v>
      </c>
      <c r="H33" s="7" t="s">
        <v>8</v>
      </c>
      <c r="J33" s="7" t="s">
        <v>58</v>
      </c>
      <c r="K33" s="5" t="str">
        <f>IF(ABS(K32)&lt;1, "TRUE", "FALSE")</f>
        <v>TRUE</v>
      </c>
      <c r="O33" s="61" t="s">
        <v>295</v>
      </c>
      <c r="P33" s="61"/>
      <c r="Q33" s="61" t="s">
        <v>297</v>
      </c>
      <c r="R33" s="61"/>
      <c r="S33" s="7" t="s">
        <v>300</v>
      </c>
      <c r="X33" s="3">
        <v>29</v>
      </c>
      <c r="Y33" s="3">
        <f t="shared" si="15"/>
        <v>0.95229870453476906</v>
      </c>
      <c r="Z33" s="3">
        <f t="shared" si="0"/>
        <v>5.5938231824370632E-10</v>
      </c>
      <c r="AA33" s="3">
        <f t="shared" si="16"/>
        <v>0.95229870639741421</v>
      </c>
      <c r="AB33" s="3">
        <f t="shared" si="1"/>
        <v>-1.5989101154190166E-9</v>
      </c>
      <c r="AC33" s="3">
        <f t="shared" si="3"/>
        <v>0.95229870546609163</v>
      </c>
      <c r="AD33" s="3">
        <f t="shared" si="2"/>
        <v>-5.1976389858765515E-10</v>
      </c>
      <c r="AE33" s="3">
        <f t="shared" si="4"/>
        <v>-2.9074673453134921E-19</v>
      </c>
      <c r="AF33" s="3">
        <f t="shared" si="5"/>
        <v>8.3105575508142574E-19</v>
      </c>
      <c r="AG33" s="3">
        <f t="shared" si="6"/>
        <v>1.862645149230957E-9</v>
      </c>
      <c r="AI33" s="3">
        <v>29</v>
      </c>
      <c r="AJ33" s="3">
        <f t="shared" si="25"/>
        <v>4081.3620705157518</v>
      </c>
      <c r="AK33" s="3">
        <v>-2.3072261683410034E-6</v>
      </c>
      <c r="AL33" s="3">
        <f t="shared" si="26"/>
        <v>4081.3620872795582</v>
      </c>
      <c r="AM33" s="3">
        <v>1.76280855157529E-6</v>
      </c>
      <c r="AN33" s="3">
        <f t="shared" si="17"/>
        <v>4081.362078897655</v>
      </c>
      <c r="AO33" s="3">
        <v>-4.5586921260110103E-7</v>
      </c>
      <c r="AP33" s="3">
        <f t="shared" si="18"/>
        <v>1.0517933766542686E-12</v>
      </c>
      <c r="AQ33" s="3">
        <f t="shared" si="19"/>
        <v>-8.0361014637311486E-13</v>
      </c>
      <c r="AR33" s="3">
        <f t="shared" si="20"/>
        <v>1.6763806343078613E-5</v>
      </c>
      <c r="AT33" s="61"/>
      <c r="AU33" s="4">
        <f>0.443738*($AU$9/2)</f>
        <v>0.67625671200000004</v>
      </c>
      <c r="AV33" s="27" t="s">
        <v>8</v>
      </c>
      <c r="BB33" s="3" t="s">
        <v>175</v>
      </c>
      <c r="BC33" s="3">
        <f>(1-$BK$76)*$AY$5*$AU$25</f>
        <v>134.38196949365468</v>
      </c>
      <c r="BD33" s="27" t="s">
        <v>10</v>
      </c>
      <c r="BF33" s="3" t="s">
        <v>175</v>
      </c>
      <c r="BG33" s="3">
        <f>(1-$BO$76)*$AY$5*$AU$26</f>
        <v>147.89358867964637</v>
      </c>
      <c r="BH33" s="27" t="s">
        <v>10</v>
      </c>
      <c r="BJ33" s="3" t="s">
        <v>202</v>
      </c>
      <c r="BK33" s="3">
        <f xml:space="preserve"> BK31*COS(BK23) - BK32*SIN(BK23)</f>
        <v>0.65265533839078205</v>
      </c>
      <c r="BL33" s="3"/>
      <c r="BN33" s="3" t="s">
        <v>202</v>
      </c>
      <c r="BO33" s="3">
        <f xml:space="preserve"> BO31*COS(BO23) - BO32*SIN(BO23)</f>
        <v>0.67375016441555158</v>
      </c>
      <c r="BP33" s="3"/>
      <c r="BR33" s="3">
        <v>29</v>
      </c>
      <c r="BS33" s="3">
        <f t="shared" si="21"/>
        <v>0.34534130956393938</v>
      </c>
      <c r="BT33" s="3">
        <v>-3.6086494655321322E-8</v>
      </c>
      <c r="BU33" s="3">
        <f t="shared" si="22"/>
        <v>0.34534131997991607</v>
      </c>
      <c r="BV33" s="3">
        <v>3.7162866872372802E-8</v>
      </c>
      <c r="BW33" s="3">
        <f t="shared" si="7"/>
        <v>0.34534131477192775</v>
      </c>
      <c r="BX33" s="3">
        <v>5.381865855746959E-10</v>
      </c>
      <c r="BY33" s="3">
        <f t="shared" si="8"/>
        <v>-1.9421267343906894E-17</v>
      </c>
      <c r="BZ33" s="3">
        <f t="shared" si="9"/>
        <v>2.0000556432209295E-17</v>
      </c>
      <c r="CA33" s="3">
        <f t="shared" si="10"/>
        <v>1.0415976692268458E-8</v>
      </c>
      <c r="CC33" s="3">
        <v>29</v>
      </c>
      <c r="CD33" s="3">
        <f t="shared" si="23"/>
        <v>0.29399209629326722</v>
      </c>
      <c r="CE33" s="3">
        <v>-4.9753762276782965E-8</v>
      </c>
      <c r="CF33" s="3">
        <f t="shared" si="24"/>
        <v>0.29399210670924392</v>
      </c>
      <c r="CG33" s="3">
        <v>1.4866673291730192E-9</v>
      </c>
      <c r="CH33" s="3">
        <f t="shared" si="11"/>
        <v>0.29399210150125554</v>
      </c>
      <c r="CI33" s="3">
        <v>-2.4133547419161183E-8</v>
      </c>
      <c r="CJ33" s="3">
        <f t="shared" si="12"/>
        <v>1.2007347811884146E-15</v>
      </c>
      <c r="CK33" s="3">
        <f t="shared" si="13"/>
        <v>-3.5878556485114771E-17</v>
      </c>
      <c r="CL33" s="3">
        <f t="shared" si="14"/>
        <v>1.0415976692268458E-8</v>
      </c>
    </row>
    <row r="34" spans="2:90" x14ac:dyDescent="0.2">
      <c r="B34" s="68" t="s">
        <v>119</v>
      </c>
      <c r="C34" s="68"/>
      <c r="D34" s="68"/>
      <c r="F34" s="7" t="s">
        <v>108</v>
      </c>
      <c r="G34" s="7">
        <f>ATAN(G27/G32)/PI()*180</f>
        <v>6.1472452712877885</v>
      </c>
      <c r="H34" s="7" t="s">
        <v>43</v>
      </c>
      <c r="N34" s="7" t="s">
        <v>296</v>
      </c>
      <c r="O34" s="61">
        <f>9482*0.453592</f>
        <v>4300.9593439999999</v>
      </c>
      <c r="P34" s="61"/>
      <c r="Q34" s="61">
        <f>K16</f>
        <v>4081.3620803505728</v>
      </c>
      <c r="R34" s="61"/>
      <c r="S34" s="50">
        <f>(Q34-O34)/O34</f>
        <v>-5.1057739933248504E-2</v>
      </c>
      <c r="X34" s="3">
        <v>30</v>
      </c>
      <c r="Y34" s="3">
        <f t="shared" si="15"/>
        <v>0.95229870453476906</v>
      </c>
      <c r="Z34" s="3">
        <f t="shared" si="0"/>
        <v>5.5938231824370632E-10</v>
      </c>
      <c r="AA34" s="3">
        <f t="shared" si="16"/>
        <v>0.95229870546609163</v>
      </c>
      <c r="AB34" s="3">
        <f t="shared" si="1"/>
        <v>-5.1976389858765515E-10</v>
      </c>
      <c r="AC34" s="3">
        <f t="shared" si="3"/>
        <v>0.95229870500043035</v>
      </c>
      <c r="AD34" s="3">
        <f t="shared" si="2"/>
        <v>1.9809265339176818E-11</v>
      </c>
      <c r="AE34" s="3">
        <f t="shared" si="4"/>
        <v>1.1080952768133428E-20</v>
      </c>
      <c r="AF34" s="3">
        <f t="shared" si="5"/>
        <v>-1.0296140980847852E-20</v>
      </c>
      <c r="AG34" s="3">
        <f t="shared" si="6"/>
        <v>9.3132257461547852E-10</v>
      </c>
      <c r="AI34" s="3">
        <v>30</v>
      </c>
      <c r="AJ34" s="3">
        <f t="shared" si="25"/>
        <v>4081.362078897655</v>
      </c>
      <c r="AK34" s="3">
        <v>-4.5586921260110103E-7</v>
      </c>
      <c r="AL34" s="3">
        <f t="shared" si="26"/>
        <v>4081.3620872795582</v>
      </c>
      <c r="AM34" s="3">
        <v>1.76280855157529E-6</v>
      </c>
      <c r="AN34" s="3">
        <f t="shared" si="17"/>
        <v>4081.3620830886066</v>
      </c>
      <c r="AO34" s="3">
        <v>4.4490252548712306E-7</v>
      </c>
      <c r="AP34" s="3">
        <f t="shared" si="18"/>
        <v>-2.0281736397805607E-13</v>
      </c>
      <c r="AQ34" s="3">
        <f t="shared" si="19"/>
        <v>7.8427797654614396E-13</v>
      </c>
      <c r="AR34" s="3">
        <f t="shared" si="20"/>
        <v>8.3819031715393066E-6</v>
      </c>
      <c r="AT34" s="61"/>
      <c r="AU34" s="4">
        <f>0.426313*($AU$9/2)</f>
        <v>0.64970101199999997</v>
      </c>
      <c r="AV34" s="27" t="s">
        <v>8</v>
      </c>
      <c r="BB34" s="3" t="s">
        <v>179</v>
      </c>
      <c r="BC34" s="3">
        <f>SQRT(BC32^2 + BC33^2)</f>
        <v>136.46513429929269</v>
      </c>
      <c r="BD34" s="27" t="s">
        <v>10</v>
      </c>
      <c r="BF34" s="3" t="s">
        <v>179</v>
      </c>
      <c r="BG34" s="3">
        <f>SQRT(BG32^2 + BG33^2)</f>
        <v>150.12640701433071</v>
      </c>
      <c r="BH34" s="27" t="s">
        <v>10</v>
      </c>
      <c r="BJ34" s="3" t="s">
        <v>204</v>
      </c>
      <c r="BK34" s="3">
        <f xml:space="preserve"> BK31*SIN(BK23) + BK32*COS(BK23)</f>
        <v>0.24141355660541119</v>
      </c>
      <c r="BL34" s="3"/>
      <c r="BN34" s="3" t="s">
        <v>204</v>
      </c>
      <c r="BO34" s="3">
        <f xml:space="preserve"> BO31*SIN(BO23) + BO32*COS(BO23)</f>
        <v>0.22554992786161321</v>
      </c>
      <c r="BP34" s="3"/>
      <c r="BR34" s="3">
        <v>30</v>
      </c>
      <c r="BS34" s="3">
        <f t="shared" si="21"/>
        <v>0.34534130956393938</v>
      </c>
      <c r="BT34" s="3">
        <v>-3.6086494655321322E-8</v>
      </c>
      <c r="BU34" s="3">
        <f t="shared" si="22"/>
        <v>0.34534131477192775</v>
      </c>
      <c r="BV34" s="3">
        <v>5.381865855746959E-10</v>
      </c>
      <c r="BW34" s="6">
        <f t="shared" si="7"/>
        <v>0.34534131216793357</v>
      </c>
      <c r="BX34" s="3">
        <v>-1.7774153985433694E-8</v>
      </c>
      <c r="BY34" s="3">
        <f t="shared" si="8"/>
        <v>6.4140691279821118E-16</v>
      </c>
      <c r="BZ34" s="3">
        <f t="shared" si="9"/>
        <v>-9.5658112448994333E-18</v>
      </c>
      <c r="CA34" s="3">
        <f t="shared" si="10"/>
        <v>5.2079883738898047E-9</v>
      </c>
      <c r="CC34" s="3">
        <v>30</v>
      </c>
      <c r="CD34" s="3">
        <f t="shared" si="23"/>
        <v>0.29399210150125554</v>
      </c>
      <c r="CE34" s="3">
        <v>-2.4133547419161183E-8</v>
      </c>
      <c r="CF34" s="3">
        <f t="shared" si="24"/>
        <v>0.29399210670924392</v>
      </c>
      <c r="CG34" s="3">
        <v>1.4866673291730192E-9</v>
      </c>
      <c r="CH34" s="6">
        <f t="shared" si="11"/>
        <v>0.29399210410524973</v>
      </c>
      <c r="CI34" s="3">
        <v>-1.1323439940910673E-8</v>
      </c>
      <c r="CJ34" s="3">
        <f t="shared" si="12"/>
        <v>2.7327477476199142E-16</v>
      </c>
      <c r="CK34" s="3">
        <f t="shared" si="13"/>
        <v>-1.6834188214004762E-17</v>
      </c>
      <c r="CL34" s="3">
        <f t="shared" si="14"/>
        <v>5.2079883738898047E-9</v>
      </c>
    </row>
    <row r="35" spans="2:90" x14ac:dyDescent="0.2">
      <c r="B35" s="7" t="s">
        <v>120</v>
      </c>
      <c r="C35" s="18">
        <v>6</v>
      </c>
      <c r="F35" s="7" t="s">
        <v>111</v>
      </c>
      <c r="G35" s="7">
        <f xml:space="preserve"> 1/1000 * (O25 + O20 * (O30 * O27 + $G$26 * SIN(O19/180*PI())))</f>
        <v>509.35757327849689</v>
      </c>
      <c r="H35" s="7" t="s">
        <v>116</v>
      </c>
      <c r="J35" s="48" t="s">
        <v>59</v>
      </c>
      <c r="K35" s="48"/>
      <c r="L35" s="48"/>
      <c r="N35" s="7" t="s">
        <v>305</v>
      </c>
      <c r="O35" s="61">
        <f>8274*0.453592</f>
        <v>3753.0202079999999</v>
      </c>
      <c r="P35" s="61"/>
      <c r="Q35" s="61">
        <f>K16-C18</f>
        <v>3532.969352350573</v>
      </c>
      <c r="R35" s="61"/>
      <c r="S35" s="50">
        <f t="shared" ref="S35:S37" si="27">(Q35-O35)/O35</f>
        <v>-5.8633005806993224E-2</v>
      </c>
      <c r="AI35" s="3">
        <v>31</v>
      </c>
      <c r="AJ35" s="3">
        <f t="shared" si="25"/>
        <v>4081.362078897655</v>
      </c>
      <c r="AK35" s="3">
        <v>-4.5586921260110103E-7</v>
      </c>
      <c r="AL35" s="3">
        <f t="shared" si="26"/>
        <v>4081.3620830886066</v>
      </c>
      <c r="AM35" s="3">
        <v>4.4490252548712306E-7</v>
      </c>
      <c r="AN35" s="3">
        <f t="shared" si="17"/>
        <v>4081.3620809931308</v>
      </c>
      <c r="AO35" s="3">
        <v>2.0308198145357892E-7</v>
      </c>
      <c r="AP35" s="3">
        <f t="shared" si="18"/>
        <v>-9.2578822978714424E-14</v>
      </c>
      <c r="AQ35" s="3">
        <f t="shared" si="19"/>
        <v>9.0351686429626347E-14</v>
      </c>
      <c r="AR35" s="3">
        <f t="shared" si="20"/>
        <v>4.1909515857696533E-6</v>
      </c>
      <c r="AT35" s="61" t="s">
        <v>235</v>
      </c>
      <c r="AU35" s="4">
        <v>7.359375</v>
      </c>
      <c r="AV35" s="27" t="s">
        <v>43</v>
      </c>
      <c r="BB35" s="3" t="s">
        <v>182</v>
      </c>
      <c r="BC35" s="38">
        <f>$AU$45*BC34*$AU$27/$AU$46</f>
        <v>6740027.7107462343</v>
      </c>
      <c r="BD35" s="27"/>
      <c r="BF35" s="3" t="s">
        <v>182</v>
      </c>
      <c r="BG35" s="38">
        <f>$AU$45*BG34*$AU$27/$AU$46</f>
        <v>7414759.4445052436</v>
      </c>
      <c r="BH35" s="27"/>
      <c r="BJ35" s="3" t="s">
        <v>38</v>
      </c>
      <c r="BK35" s="3">
        <f xml:space="preserve"> 4*BK30*SIN(BK23)*SIN(BK23) / (BK27*BK33)</f>
        <v>1.0284368839559563</v>
      </c>
      <c r="BL35" s="3"/>
      <c r="BN35" s="3" t="s">
        <v>38</v>
      </c>
      <c r="BO35" s="3">
        <f xml:space="preserve"> 4*BO30*SIN(BO23)*SIN(BO23) / (BO27*BO33)</f>
        <v>1.0258411909364762</v>
      </c>
      <c r="BP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2:90" x14ac:dyDescent="0.2">
      <c r="B36" s="7" t="s">
        <v>121</v>
      </c>
      <c r="C36" s="18">
        <v>9.1440000000000001</v>
      </c>
      <c r="D36" s="7" t="s">
        <v>8</v>
      </c>
      <c r="F36" s="44" t="s">
        <v>100</v>
      </c>
      <c r="G36" s="44">
        <f>$C$29*G35</f>
        <v>509.35757327849689</v>
      </c>
      <c r="H36" s="44" t="s">
        <v>116</v>
      </c>
      <c r="J36" s="7" t="s">
        <v>60</v>
      </c>
      <c r="K36" s="7">
        <f>ROUND($C$18/$C$5 * 100, 2)</f>
        <v>13.44</v>
      </c>
      <c r="L36" s="7" t="s">
        <v>61</v>
      </c>
      <c r="N36" s="7" t="s">
        <v>298</v>
      </c>
      <c r="O36" s="61">
        <f>2058*0.453592</f>
        <v>933.49233600000002</v>
      </c>
      <c r="P36" s="61"/>
      <c r="Q36" s="61">
        <f>K17</f>
        <v>1055.0500504361041</v>
      </c>
      <c r="R36" s="61"/>
      <c r="S36" s="50">
        <f t="shared" si="27"/>
        <v>0.13021822434769739</v>
      </c>
      <c r="AI36" s="3">
        <v>32</v>
      </c>
      <c r="AJ36" s="3">
        <f t="shared" si="25"/>
        <v>4081.362078897655</v>
      </c>
      <c r="AK36" s="3">
        <v>-4.5586921260110103E-7</v>
      </c>
      <c r="AL36" s="3">
        <f t="shared" si="26"/>
        <v>4081.3620809931308</v>
      </c>
      <c r="AM36" s="3">
        <v>2.0308198145357892E-7</v>
      </c>
      <c r="AN36" s="3">
        <f t="shared" si="17"/>
        <v>4081.3620799453929</v>
      </c>
      <c r="AO36" s="3">
        <v>-1.2639338820008561E-7</v>
      </c>
      <c r="AP36" s="3">
        <f t="shared" si="18"/>
        <v>5.7618854356758321E-14</v>
      </c>
      <c r="AQ36" s="3">
        <f t="shared" si="19"/>
        <v>-2.5668219718304786E-14</v>
      </c>
      <c r="AR36" s="3">
        <f t="shared" si="20"/>
        <v>2.0954757928848267E-6</v>
      </c>
      <c r="AT36" s="61"/>
      <c r="AU36" s="4">
        <v>5.8781249999999998</v>
      </c>
      <c r="AV36" s="27" t="s">
        <v>43</v>
      </c>
      <c r="BB36" s="3" t="s">
        <v>186</v>
      </c>
      <c r="BC36" s="3">
        <f xml:space="preserve"> $BK$65 * PI() * $AU$45 * BC34^2 * $BK$71 * $AU$25 * BC31</f>
        <v>1045.3089703709829</v>
      </c>
      <c r="BD36" s="27" t="s">
        <v>22</v>
      </c>
      <c r="BF36" s="3" t="s">
        <v>186</v>
      </c>
      <c r="BG36" s="3">
        <f xml:space="preserve"> $BO$65 * PI() * $AU$45 * BG34^2 * $BO$71 * $AU$26 * BG31</f>
        <v>854.54643672657448</v>
      </c>
      <c r="BH36" s="27" t="s">
        <v>22</v>
      </c>
      <c r="BJ36" s="3" t="s">
        <v>206</v>
      </c>
      <c r="BK36" s="3">
        <f xml:space="preserve"> 4*BK30*SIN(BK23)*COS(BK23) / (BK27*BK34)</f>
        <v>10.506386424696187</v>
      </c>
      <c r="BL36" s="3"/>
      <c r="BN36" s="3" t="s">
        <v>206</v>
      </c>
      <c r="BO36" s="3">
        <f xml:space="preserve"> 4*BO30*SIN(BO23)*COS(BO23) / (BO27*BO34)</f>
        <v>13.050360977375712</v>
      </c>
      <c r="BP36" s="3"/>
      <c r="BR36" s="74" t="s">
        <v>219</v>
      </c>
      <c r="BS36" s="74"/>
      <c r="BT36" s="74"/>
      <c r="BU36" s="74"/>
      <c r="BV36" s="74"/>
      <c r="BW36" s="74"/>
      <c r="BX36" s="74"/>
      <c r="BY36" s="74"/>
      <c r="BZ36" s="74"/>
      <c r="CA36" s="74"/>
      <c r="CC36" s="74" t="s">
        <v>220</v>
      </c>
      <c r="CD36" s="74"/>
      <c r="CE36" s="74"/>
      <c r="CF36" s="74"/>
      <c r="CG36" s="74"/>
      <c r="CH36" s="74"/>
      <c r="CI36" s="74"/>
      <c r="CJ36" s="74"/>
      <c r="CK36" s="74"/>
      <c r="CL36" s="74"/>
    </row>
    <row r="37" spans="2:90" x14ac:dyDescent="0.2">
      <c r="B37" s="7" t="s">
        <v>122</v>
      </c>
      <c r="C37" s="18">
        <v>1.8675309360000001</v>
      </c>
      <c r="D37" s="7" t="s">
        <v>8</v>
      </c>
      <c r="J37" s="12" t="s">
        <v>55</v>
      </c>
      <c r="K37" s="7">
        <f>ROUND(K17/$C$5 * 100, 2)</f>
        <v>25.85</v>
      </c>
      <c r="L37" s="7" t="s">
        <v>61</v>
      </c>
      <c r="N37" s="7" t="s">
        <v>301</v>
      </c>
      <c r="O37" s="61">
        <f>O35-O36</f>
        <v>2819.5278719999997</v>
      </c>
      <c r="P37" s="61"/>
      <c r="Q37" s="61">
        <f>Q35-Q36</f>
        <v>2477.9193019144686</v>
      </c>
      <c r="R37" s="61"/>
      <c r="S37" s="50">
        <f t="shared" si="27"/>
        <v>-0.12115807525010026</v>
      </c>
      <c r="X37" s="17" t="s">
        <v>105</v>
      </c>
      <c r="AI37" s="3">
        <v>33</v>
      </c>
      <c r="AJ37" s="3">
        <f t="shared" si="25"/>
        <v>4081.3620799453929</v>
      </c>
      <c r="AK37" s="3">
        <v>-1.2639338820008561E-7</v>
      </c>
      <c r="AL37" s="3">
        <f t="shared" si="26"/>
        <v>4081.3620809931308</v>
      </c>
      <c r="AM37" s="3">
        <v>2.0308198145357892E-7</v>
      </c>
      <c r="AN37" s="3">
        <f t="shared" si="17"/>
        <v>4081.3620804692619</v>
      </c>
      <c r="AO37" s="3">
        <v>3.8343841879395768E-8</v>
      </c>
      <c r="AP37" s="3">
        <f t="shared" si="18"/>
        <v>-4.8464080917451695E-15</v>
      </c>
      <c r="AQ37" s="3">
        <f t="shared" si="19"/>
        <v>7.786943385410414E-15</v>
      </c>
      <c r="AR37" s="3">
        <f t="shared" si="20"/>
        <v>1.0477378964424133E-6</v>
      </c>
      <c r="AT37" s="61"/>
      <c r="AU37" s="4">
        <v>4.3968749999999996</v>
      </c>
      <c r="AV37" s="27" t="s">
        <v>43</v>
      </c>
      <c r="BB37" s="3" t="s">
        <v>190</v>
      </c>
      <c r="BC37" s="3">
        <f xml:space="preserve"> $BK$65 * PI() * $AU$45 * BC34^2 * $BK$72 * $AU$25^2 * BC31</f>
        <v>431.1712981188445</v>
      </c>
      <c r="BD37" s="27" t="s">
        <v>191</v>
      </c>
      <c r="BF37" s="3" t="s">
        <v>190</v>
      </c>
      <c r="BG37" s="3">
        <f xml:space="preserve"> $BO$65 * PI() * $AU$45 * BG34^2 * $BO$72 * $AU$26^2 * BG31</f>
        <v>504.63543356625257</v>
      </c>
      <c r="BH37" s="27" t="s">
        <v>191</v>
      </c>
      <c r="BJ37" s="3" t="s">
        <v>45</v>
      </c>
      <c r="BK37" s="3">
        <f>1/(BK35-1)</f>
        <v>35.165596960230303</v>
      </c>
      <c r="BL37" s="3"/>
      <c r="BN37" s="3" t="s">
        <v>45</v>
      </c>
      <c r="BO37" s="3">
        <f>1/(BO35-1)</f>
        <v>38.697906859565357</v>
      </c>
      <c r="BP37" s="3"/>
      <c r="BR37" s="8" t="s">
        <v>44</v>
      </c>
      <c r="BS37" s="8" t="s">
        <v>45</v>
      </c>
      <c r="BT37" s="8" t="s">
        <v>46</v>
      </c>
      <c r="BU37" s="8" t="s">
        <v>47</v>
      </c>
      <c r="BV37" s="8" t="s">
        <v>48</v>
      </c>
      <c r="BW37" s="8" t="s">
        <v>49</v>
      </c>
      <c r="BX37" s="8" t="s">
        <v>50</v>
      </c>
      <c r="BY37" s="8" t="s">
        <v>51</v>
      </c>
      <c r="BZ37" s="8" t="s">
        <v>52</v>
      </c>
      <c r="CA37" s="8" t="s">
        <v>53</v>
      </c>
      <c r="CC37" s="8" t="s">
        <v>44</v>
      </c>
      <c r="CD37" s="8" t="s">
        <v>45</v>
      </c>
      <c r="CE37" s="8" t="s">
        <v>46</v>
      </c>
      <c r="CF37" s="8" t="s">
        <v>47</v>
      </c>
      <c r="CG37" s="8" t="s">
        <v>48</v>
      </c>
      <c r="CH37" s="8" t="s">
        <v>49</v>
      </c>
      <c r="CI37" s="8" t="s">
        <v>50</v>
      </c>
      <c r="CJ37" s="8" t="s">
        <v>51</v>
      </c>
      <c r="CK37" s="8" t="s">
        <v>52</v>
      </c>
      <c r="CL37" s="8" t="s">
        <v>53</v>
      </c>
    </row>
    <row r="38" spans="2:90" x14ac:dyDescent="0.2">
      <c r="F38" s="66" t="s">
        <v>89</v>
      </c>
      <c r="G38" s="67"/>
      <c r="H38" s="67"/>
      <c r="J38" s="20" t="s">
        <v>81</v>
      </c>
      <c r="K38" s="7">
        <f>ROUND(SUM(K18:K21)/$C$5 * 100, 2)</f>
        <v>28.17</v>
      </c>
      <c r="L38" s="7" t="s">
        <v>61</v>
      </c>
      <c r="N38" s="7" t="s">
        <v>299</v>
      </c>
      <c r="O38" s="61">
        <f>15.1*4.882*C68</f>
        <v>722.51200253613638</v>
      </c>
      <c r="P38" s="61"/>
      <c r="Q38" s="61">
        <f>K16*C80/(C23*PI()*C10^2)</f>
        <v>685.0157515618514</v>
      </c>
      <c r="R38" s="61"/>
      <c r="S38" s="50">
        <f>(Q38-O38)/O38</f>
        <v>-5.1897063083612381E-2</v>
      </c>
      <c r="X38" s="8" t="s">
        <v>44</v>
      </c>
      <c r="Y38" s="8" t="s">
        <v>45</v>
      </c>
      <c r="Z38" s="8" t="s">
        <v>46</v>
      </c>
      <c r="AA38" s="8" t="s">
        <v>47</v>
      </c>
      <c r="AB38" s="8" t="s">
        <v>48</v>
      </c>
      <c r="AC38" s="8" t="s">
        <v>49</v>
      </c>
      <c r="AD38" s="8" t="s">
        <v>50</v>
      </c>
      <c r="AE38" s="8" t="s">
        <v>51</v>
      </c>
      <c r="AF38" s="8" t="s">
        <v>52</v>
      </c>
      <c r="AG38" s="8" t="s">
        <v>53</v>
      </c>
      <c r="AI38" s="3">
        <v>34</v>
      </c>
      <c r="AJ38" s="3">
        <f t="shared" si="25"/>
        <v>4081.3620799453929</v>
      </c>
      <c r="AK38" s="3">
        <v>-1.2639338820008561E-7</v>
      </c>
      <c r="AL38" s="3">
        <f t="shared" si="26"/>
        <v>4081.3620804692619</v>
      </c>
      <c r="AM38" s="3">
        <v>3.8343841879395768E-8</v>
      </c>
      <c r="AN38" s="3">
        <f t="shared" si="17"/>
        <v>4081.3620802073274</v>
      </c>
      <c r="AO38" s="3">
        <v>-4.4024091039318591E-8</v>
      </c>
      <c r="AP38" s="3">
        <f t="shared" si="18"/>
        <v>5.5643540288885051E-15</v>
      </c>
      <c r="AQ38" s="3">
        <f t="shared" si="19"/>
        <v>-1.6880527856957562E-15</v>
      </c>
      <c r="AR38" s="3">
        <f t="shared" si="20"/>
        <v>5.2386894822120667E-7</v>
      </c>
      <c r="AT38" s="61"/>
      <c r="AU38" s="4">
        <v>2.9156249999999999</v>
      </c>
      <c r="AV38" s="27" t="s">
        <v>43</v>
      </c>
      <c r="BJ38" s="3" t="s">
        <v>209</v>
      </c>
      <c r="BK38" s="3">
        <f>1/(BK36+1)</f>
        <v>8.6908257996072283E-2</v>
      </c>
      <c r="BL38" s="3"/>
      <c r="BN38" s="3" t="s">
        <v>209</v>
      </c>
      <c r="BO38" s="3">
        <f>1/(BO36+1)</f>
        <v>7.1172548634887617E-2</v>
      </c>
      <c r="BP38" s="3"/>
      <c r="BR38" s="31">
        <v>0</v>
      </c>
      <c r="BS38" s="31"/>
      <c r="BT38" s="31">
        <f>$BK$39</f>
        <v>-6.1077523308070147E-9</v>
      </c>
      <c r="BU38" s="31"/>
      <c r="BV38" s="31">
        <f>$BK$39</f>
        <v>-6.1077523308070147E-9</v>
      </c>
      <c r="BW38" s="31"/>
      <c r="BX38" s="31">
        <f>$BK$39</f>
        <v>-6.1077523308070147E-9</v>
      </c>
      <c r="BY38" s="31"/>
      <c r="BZ38" s="31"/>
      <c r="CA38" s="31"/>
      <c r="CC38" s="31">
        <v>0</v>
      </c>
      <c r="CD38" s="31"/>
      <c r="CE38" s="31">
        <f>$BO$39</f>
        <v>-6.2994265880023104E-10</v>
      </c>
      <c r="CF38" s="31"/>
      <c r="CG38" s="31">
        <f>$BO$39</f>
        <v>-6.2994265880023104E-10</v>
      </c>
      <c r="CH38" s="31"/>
      <c r="CI38" s="31">
        <f>$BO$39</f>
        <v>-6.2994265880023104E-10</v>
      </c>
      <c r="CJ38" s="31"/>
      <c r="CK38" s="31"/>
      <c r="CL38" s="31"/>
    </row>
    <row r="39" spans="2:90" x14ac:dyDescent="0.2">
      <c r="B39" s="68" t="s">
        <v>123</v>
      </c>
      <c r="C39" s="68"/>
      <c r="D39" s="68"/>
      <c r="F39" s="10" t="s">
        <v>92</v>
      </c>
      <c r="G39" s="7">
        <f xml:space="preserve"> ($C$19-G33)/$C$9</f>
        <v>1364.8169825777056</v>
      </c>
      <c r="H39" s="7" t="s">
        <v>14</v>
      </c>
      <c r="J39" s="21" t="s">
        <v>72</v>
      </c>
      <c r="K39" s="7">
        <f>ROUND(SUM(K22:K27)/$C$5 * 100, 2)</f>
        <v>26.93</v>
      </c>
      <c r="L39" s="7" t="s">
        <v>61</v>
      </c>
      <c r="N39" s="7" t="s">
        <v>306</v>
      </c>
      <c r="O39" s="61">
        <f>O34*C80*C9/O40/1000</f>
        <v>227.73265233864669</v>
      </c>
      <c r="P39" s="61"/>
      <c r="Q39" s="61">
        <f>G43</f>
        <v>234.15337382058715</v>
      </c>
      <c r="R39" s="61"/>
      <c r="S39" s="50">
        <f t="shared" ref="S39" si="28">(Q39-O39)/O39</f>
        <v>2.8194118919726171E-2</v>
      </c>
      <c r="X39" s="3">
        <v>0</v>
      </c>
      <c r="Y39" s="4">
        <v>0</v>
      </c>
      <c r="Z39" s="3">
        <f t="shared" ref="Z39:Z69" si="29" xml:space="preserve"> $O$22 * TAN($O$19/180*PI()) + $O$23 / (2 * SQRT($O$22^2 + Y39^2)) - Y39</f>
        <v>4.213646315363067</v>
      </c>
      <c r="AA39" s="4">
        <v>1</v>
      </c>
      <c r="AB39" s="3">
        <f t="shared" ref="AB39:AB69" si="30" xml:space="preserve"> $O$22 * TAN($O$19/180*PI()) + $O$23 / (2 * SQRT($O$22^2 + AA39^2)) - AA39</f>
        <v>-3.5204475166226268E-2</v>
      </c>
      <c r="AC39" s="3">
        <f xml:space="preserve"> (Y39 + AA39)/2</f>
        <v>0.5</v>
      </c>
      <c r="AD39" s="3">
        <f t="shared" ref="AD39:AD69" si="31" xml:space="preserve"> $O$22 * TAN($O$19/180*PI()) + $O$23 / (2 * SQRT($O$22^2 + AC39^2)) - AC39</f>
        <v>0.68650005935535496</v>
      </c>
      <c r="AE39" s="3">
        <f>Z39*AD39</f>
        <v>2.8926684455992184</v>
      </c>
      <c r="AF39" s="3">
        <f>AB39*AD39</f>
        <v>-2.4167874291188454E-2</v>
      </c>
      <c r="AG39" s="3">
        <f>AA39-Y39</f>
        <v>1</v>
      </c>
      <c r="AI39" s="3">
        <v>35</v>
      </c>
      <c r="AJ39" s="3">
        <f t="shared" si="25"/>
        <v>4081.3620802073274</v>
      </c>
      <c r="AK39" s="3">
        <v>-4.4024091039318591E-8</v>
      </c>
      <c r="AL39" s="3">
        <f t="shared" si="26"/>
        <v>4081.3620804692619</v>
      </c>
      <c r="AM39" s="3">
        <v>3.8343841879395768E-8</v>
      </c>
      <c r="AN39" s="3">
        <f t="shared" si="17"/>
        <v>4081.3620803382946</v>
      </c>
      <c r="AO39" s="3">
        <v>-2.8403519536368549E-9</v>
      </c>
      <c r="AP39" s="3">
        <f t="shared" si="18"/>
        <v>1.2504391299061532E-16</v>
      </c>
      <c r="AQ39" s="3">
        <f t="shared" si="19"/>
        <v>-1.0891000619208442E-16</v>
      </c>
      <c r="AR39" s="3">
        <f t="shared" si="20"/>
        <v>2.6193447411060333E-7</v>
      </c>
      <c r="AT39" s="61"/>
      <c r="AU39" s="4">
        <v>1.434375</v>
      </c>
      <c r="AV39" s="27" t="s">
        <v>43</v>
      </c>
      <c r="BJ39" s="8" t="s">
        <v>211</v>
      </c>
      <c r="BK39" s="41">
        <f>SIN(BK23)/(1+BK37) - $AU$3*COS(BK23)/($AY$5*$AU$21*(1-BK38))</f>
        <v>-6.1077523308070147E-9</v>
      </c>
      <c r="BL39" s="41"/>
      <c r="BN39" s="8" t="s">
        <v>211</v>
      </c>
      <c r="BO39" s="41">
        <f>SIN(BO23)/(1+BO37) - $AU$3*COS(BO23)/($AY$5*$AU$22*(1-BO38))</f>
        <v>-6.2994265880023104E-10</v>
      </c>
      <c r="BP39" s="41"/>
      <c r="BR39" s="3">
        <v>1</v>
      </c>
      <c r="BS39" s="4">
        <f>0.01*PI()</f>
        <v>3.1415926535897934E-2</v>
      </c>
      <c r="BT39" s="3">
        <f t="dataTable" ref="BT39:BT68" dt2D="0" dtr="0" r1="BK23" ca="1"/>
        <v>-4.3408625723566123</v>
      </c>
      <c r="BU39" s="4">
        <f>0.9*PI()</f>
        <v>2.8274333882308138</v>
      </c>
      <c r="BV39" s="3">
        <f t="dataTable" ref="BV39:BV68" dt2D="0" dtr="0" r1="BK23"/>
        <v>0.53159620456075829</v>
      </c>
      <c r="BW39" s="3">
        <f t="shared" ref="BW39:BW68" si="32">(BS39+BU39)/2</f>
        <v>1.4294246573833558</v>
      </c>
      <c r="BX39" s="3">
        <f t="dataTable" ref="BX39:BX68" dt2D="0" dtr="0" r1="BK23" ca="1"/>
        <v>1.1669729475874457</v>
      </c>
      <c r="BY39" s="3">
        <f t="shared" ref="BY39:BY68" si="33">BT39*BX39</f>
        <v>-5.0656691911350178</v>
      </c>
      <c r="BZ39" s="3">
        <f t="shared" ref="BZ39:BZ68" si="34">BV39*BX39</f>
        <v>0.62035838976256685</v>
      </c>
      <c r="CA39" s="3">
        <f t="shared" ref="CA39:CA68" si="35">BU39-BS39</f>
        <v>2.7960174616949161</v>
      </c>
      <c r="CC39" s="3">
        <v>1</v>
      </c>
      <c r="CD39" s="4">
        <f>0.01*PI()</f>
        <v>3.1415926535897934E-2</v>
      </c>
      <c r="CE39" s="3">
        <f t="dataTable" ref="CE39:CE68" dt2D="0" dtr="0" r1="BO23" ca="1"/>
        <v>-3.5050057163744612</v>
      </c>
      <c r="CF39" s="4">
        <f>0.9*PI()</f>
        <v>2.8274333882308138</v>
      </c>
      <c r="CG39" s="3">
        <f t="dataTable" ref="CG39:CG68" dt2D="0" dtr="0" r1="BO23"/>
        <v>0.4881656409973178</v>
      </c>
      <c r="CH39" s="3">
        <f t="shared" ref="CH39:CH68" si="36">(CD39+CF39)/2</f>
        <v>1.4294246573833558</v>
      </c>
      <c r="CI39" s="3">
        <f t="dataTable" ref="CI39:CI68" dt2D="0" dtr="0" r1="BO23" ca="1"/>
        <v>1.1448097782572053</v>
      </c>
      <c r="CJ39" s="3">
        <f t="shared" ref="CJ39:CJ68" si="37">CE39*CI39</f>
        <v>-4.0125648169528843</v>
      </c>
      <c r="CK39" s="3">
        <f t="shared" ref="CK39:CK68" si="38">CG39*CI39</f>
        <v>0.55885679922292586</v>
      </c>
      <c r="CL39" s="3">
        <f t="shared" ref="CL39:CL68" si="39">CF39-CD39</f>
        <v>2.7960174616949161</v>
      </c>
    </row>
    <row r="40" spans="2:90" x14ac:dyDescent="0.2">
      <c r="B40" s="7" t="s">
        <v>136</v>
      </c>
      <c r="C40" s="23" t="s">
        <v>137</v>
      </c>
      <c r="F40" s="7" t="s">
        <v>253</v>
      </c>
      <c r="G40" s="7">
        <f>S21*$C$12</f>
        <v>53.144437965186384</v>
      </c>
      <c r="H40" s="7" t="s">
        <v>10</v>
      </c>
      <c r="J40" s="16" t="s">
        <v>73</v>
      </c>
      <c r="K40" s="7">
        <f>ROUND(SUM(K28:K31)/$C$5*100, 2)</f>
        <v>5.61</v>
      </c>
      <c r="L40" s="7" t="s">
        <v>61</v>
      </c>
      <c r="N40" s="7" t="s">
        <v>312</v>
      </c>
      <c r="O40" s="61">
        <f>7.9</f>
        <v>7.9</v>
      </c>
      <c r="P40" s="61"/>
      <c r="Q40" s="61">
        <f>K16*C80*C9/(G43*1000)</f>
        <v>7.2910783251743361</v>
      </c>
      <c r="R40" s="61"/>
      <c r="S40" s="50">
        <f>(Q40-O40)/O40</f>
        <v>-7.7078693015906863E-2</v>
      </c>
      <c r="X40" s="3">
        <v>1</v>
      </c>
      <c r="Y40" s="3">
        <f>IF(AE39&gt;0, AC39, Y39)</f>
        <v>0.5</v>
      </c>
      <c r="Z40" s="3">
        <f t="shared" si="29"/>
        <v>0.68650005935535496</v>
      </c>
      <c r="AA40" s="3">
        <f>IF(AF39&gt;0, AC39, AA39)</f>
        <v>1</v>
      </c>
      <c r="AB40" s="3">
        <f t="shared" si="30"/>
        <v>-3.5204475166226268E-2</v>
      </c>
      <c r="AC40" s="3">
        <f t="shared" ref="AC40:AC69" si="40" xml:space="preserve"> (Y40 + AA40)/2</f>
        <v>0.75</v>
      </c>
      <c r="AD40" s="3">
        <f t="shared" si="31"/>
        <v>0.28914102348272652</v>
      </c>
      <c r="AE40" s="3">
        <f t="shared" ref="AE40:AE69" si="41">Z40*AD40</f>
        <v>0.19849532978295983</v>
      </c>
      <c r="AF40" s="3">
        <f t="shared" ref="AF40:AF69" si="42">AB40*AD40</f>
        <v>-1.0179057980734893E-2</v>
      </c>
      <c r="AG40" s="3">
        <f t="shared" ref="AG40:AG69" si="43">AA40-Y40</f>
        <v>0.5</v>
      </c>
      <c r="AI40" s="3">
        <v>36</v>
      </c>
      <c r="AJ40" s="3">
        <f t="shared" si="25"/>
        <v>4081.3620803382946</v>
      </c>
      <c r="AK40" s="3">
        <v>-2.8403519536368549E-9</v>
      </c>
      <c r="AL40" s="3">
        <f t="shared" si="26"/>
        <v>4081.3620804692619</v>
      </c>
      <c r="AM40" s="3">
        <v>3.8343841879395768E-8</v>
      </c>
      <c r="AN40" s="3">
        <f t="shared" si="17"/>
        <v>4081.3620804037782</v>
      </c>
      <c r="AO40" s="3">
        <v>1.7752881831256673E-8</v>
      </c>
      <c r="AP40" s="3">
        <f t="shared" si="18"/>
        <v>-5.0424432592094116E-17</v>
      </c>
      <c r="AQ40" s="3">
        <f t="shared" si="19"/>
        <v>6.8071369384130384E-16</v>
      </c>
      <c r="AR40" s="3">
        <f t="shared" si="20"/>
        <v>1.3096723705530167E-7</v>
      </c>
      <c r="AT40" s="61"/>
      <c r="AU40" s="4">
        <v>-4.6875E-2</v>
      </c>
      <c r="AV40" s="27" t="s">
        <v>43</v>
      </c>
      <c r="BR40" s="3">
        <v>2</v>
      </c>
      <c r="BS40" s="3">
        <f t="shared" ref="BS40:BS68" si="44">IF(BY39&gt;0,BW39,BS39)</f>
        <v>3.1415926535897934E-2</v>
      </c>
      <c r="BT40" s="3">
        <v>-4.3408625723566123</v>
      </c>
      <c r="BU40" s="3">
        <f t="shared" ref="BU40:BU68" si="45">IF(BZ39&gt;0,BW39,BU39)</f>
        <v>1.4294246573833558</v>
      </c>
      <c r="BV40" s="3">
        <v>1.1669729475874457</v>
      </c>
      <c r="BW40" s="3">
        <f t="shared" si="32"/>
        <v>0.73042029195962688</v>
      </c>
      <c r="BX40" s="3">
        <v>0.81998275020742606</v>
      </c>
      <c r="BY40" s="3">
        <f t="shared" si="33"/>
        <v>-3.559432430353457</v>
      </c>
      <c r="BZ40" s="3">
        <f t="shared" si="34"/>
        <v>0.95689768698042021</v>
      </c>
      <c r="CA40" s="3">
        <f t="shared" si="35"/>
        <v>1.3980087308474578</v>
      </c>
      <c r="CC40" s="3">
        <v>2</v>
      </c>
      <c r="CD40" s="3">
        <f t="shared" ref="CD40:CD68" si="46">IF(CJ39&gt;0,CH39,CD39)</f>
        <v>3.1415926535897934E-2</v>
      </c>
      <c r="CE40" s="3">
        <v>-3.5050057163744612</v>
      </c>
      <c r="CF40" s="3">
        <f t="shared" ref="CF40:CF68" si="47">IF(CK39&gt;0,CH39,CF39)</f>
        <v>1.4294246573833558</v>
      </c>
      <c r="CG40" s="3">
        <v>1.1448097782572053</v>
      </c>
      <c r="CH40" s="3">
        <f t="shared" si="36"/>
        <v>0.73042029195962688</v>
      </c>
      <c r="CI40" s="3">
        <v>0.79502165704128003</v>
      </c>
      <c r="CJ40" s="3">
        <f t="shared" si="37"/>
        <v>-2.7865554525711831</v>
      </c>
      <c r="CK40" s="3">
        <f t="shared" si="38"/>
        <v>0.91014856690710377</v>
      </c>
      <c r="CL40" s="3">
        <f t="shared" si="39"/>
        <v>1.3980087308474578</v>
      </c>
    </row>
    <row r="41" spans="2:90" x14ac:dyDescent="0.2">
      <c r="B41" s="7" t="s">
        <v>138</v>
      </c>
      <c r="C41" s="7">
        <f>IF(C40="wheeled",0.0325,0.014)</f>
        <v>3.2500000000000001E-2</v>
      </c>
      <c r="F41" s="7" t="s">
        <v>254</v>
      </c>
      <c r="G41" s="7">
        <f>G40/$C$79</f>
        <v>0.16177697546520675</v>
      </c>
      <c r="H41" s="7" t="s">
        <v>143</v>
      </c>
      <c r="J41" s="11" t="s">
        <v>62</v>
      </c>
      <c r="K41" s="11">
        <f>SUM(K36:K40)</f>
        <v>100.00000000000001</v>
      </c>
      <c r="L41" s="11" t="s">
        <v>61</v>
      </c>
      <c r="X41" s="3">
        <v>2</v>
      </c>
      <c r="Y41" s="3">
        <f t="shared" ref="Y41:Y69" si="48">IF(AE40&gt;0, AC40, Y40)</f>
        <v>0.75</v>
      </c>
      <c r="Z41" s="3">
        <f t="shared" si="29"/>
        <v>0.28914102348272652</v>
      </c>
      <c r="AA41" s="3">
        <f t="shared" ref="AA41:AA69" si="49">IF(AF40&gt;0, AC40, AA40)</f>
        <v>1</v>
      </c>
      <c r="AB41" s="3">
        <f t="shared" si="30"/>
        <v>-3.5204475166226268E-2</v>
      </c>
      <c r="AC41" s="3">
        <f t="shared" si="40"/>
        <v>0.875</v>
      </c>
      <c r="AD41" s="3">
        <f t="shared" si="31"/>
        <v>0.12170188501465296</v>
      </c>
      <c r="AE41" s="3">
        <f t="shared" si="41"/>
        <v>3.5189007592913851E-2</v>
      </c>
      <c r="AF41" s="3">
        <f t="shared" si="42"/>
        <v>-4.2844509886812744E-3</v>
      </c>
      <c r="AG41" s="3">
        <f t="shared" si="43"/>
        <v>0.25</v>
      </c>
      <c r="AI41" s="3">
        <v>37</v>
      </c>
      <c r="AJ41" s="3">
        <f t="shared" si="25"/>
        <v>4081.3620803382946</v>
      </c>
      <c r="AK41" s="3">
        <v>-2.8403519536368549E-9</v>
      </c>
      <c r="AL41" s="3">
        <f t="shared" si="26"/>
        <v>4081.3620804037782</v>
      </c>
      <c r="AM41" s="3">
        <v>1.7752881831256673E-8</v>
      </c>
      <c r="AN41" s="3">
        <f t="shared" si="17"/>
        <v>4081.3620803710364</v>
      </c>
      <c r="AO41" s="3">
        <v>7.4564923124853522E-9</v>
      </c>
      <c r="AP41" s="3">
        <f t="shared" si="18"/>
        <v>-2.117906250704596E-17</v>
      </c>
      <c r="AQ41" s="3">
        <f t="shared" si="19"/>
        <v>1.3237422689922626E-16</v>
      </c>
      <c r="AR41" s="3">
        <f t="shared" si="20"/>
        <v>6.5483618527650833E-8</v>
      </c>
      <c r="AT41" s="61"/>
      <c r="AU41" s="4">
        <v>-1.528125</v>
      </c>
      <c r="AV41" s="27" t="s">
        <v>43</v>
      </c>
      <c r="AX41" s="24" t="s">
        <v>155</v>
      </c>
      <c r="AY41" s="63" t="s">
        <v>230</v>
      </c>
      <c r="AZ41" s="63"/>
      <c r="BA41" s="25"/>
      <c r="BB41" s="25"/>
      <c r="BC41" s="25"/>
      <c r="BD41" s="25"/>
      <c r="BE41" s="25"/>
      <c r="BF41" s="25"/>
      <c r="BG41" s="25"/>
      <c r="BH41" s="26"/>
      <c r="BJ41" s="75" t="s">
        <v>212</v>
      </c>
      <c r="BK41" s="75"/>
      <c r="BL41" s="75"/>
      <c r="BM41" s="3"/>
      <c r="BN41" s="75" t="s">
        <v>213</v>
      </c>
      <c r="BO41" s="75"/>
      <c r="BP41" s="75"/>
      <c r="BR41" s="3">
        <v>3</v>
      </c>
      <c r="BS41" s="3">
        <f t="shared" si="44"/>
        <v>3.1415926535897934E-2</v>
      </c>
      <c r="BT41" s="3">
        <v>-4.3408625723566123</v>
      </c>
      <c r="BU41" s="3">
        <f t="shared" si="45"/>
        <v>0.73042029195962688</v>
      </c>
      <c r="BV41" s="3">
        <v>0.81998275020742606</v>
      </c>
      <c r="BW41" s="3">
        <f t="shared" si="32"/>
        <v>0.38091810924776243</v>
      </c>
      <c r="BX41" s="3">
        <v>0.41811624723845325</v>
      </c>
      <c r="BY41" s="3">
        <f t="shared" si="33"/>
        <v>-1.8149851685316054</v>
      </c>
      <c r="BZ41" s="3">
        <f t="shared" si="34"/>
        <v>0.34284811031699503</v>
      </c>
      <c r="CA41" s="3">
        <f t="shared" si="35"/>
        <v>0.6990043654237289</v>
      </c>
      <c r="CC41" s="3">
        <v>3</v>
      </c>
      <c r="CD41" s="3">
        <f t="shared" si="46"/>
        <v>3.1415926535897934E-2</v>
      </c>
      <c r="CE41" s="3">
        <v>-3.5050057163744612</v>
      </c>
      <c r="CF41" s="3">
        <f t="shared" si="47"/>
        <v>0.73042029195962688</v>
      </c>
      <c r="CG41" s="3">
        <v>0.79502165704128003</v>
      </c>
      <c r="CH41" s="3">
        <f t="shared" si="36"/>
        <v>0.38091810924776243</v>
      </c>
      <c r="CI41" s="3">
        <v>0.44845016689551231</v>
      </c>
      <c r="CJ41" s="3">
        <f t="shared" si="37"/>
        <v>-1.5718203984778518</v>
      </c>
      <c r="CK41" s="3">
        <f t="shared" si="38"/>
        <v>0.35652759478570878</v>
      </c>
      <c r="CL41" s="3">
        <f t="shared" si="39"/>
        <v>0.6990043654237289</v>
      </c>
    </row>
    <row r="42" spans="2:90" x14ac:dyDescent="0.2">
      <c r="B42" s="7" t="s">
        <v>124</v>
      </c>
      <c r="C42" s="18">
        <v>0.30480000000000002</v>
      </c>
      <c r="D42" s="7" t="s">
        <v>8</v>
      </c>
      <c r="F42" s="10" t="s">
        <v>111</v>
      </c>
      <c r="G42" s="7">
        <f xml:space="preserve"> 1/1000 * (S25 + S20 * (S30 * S27 + $C$9 * SIN(S19/180*PI())))</f>
        <v>234.15337382058715</v>
      </c>
      <c r="H42" s="7" t="s">
        <v>116</v>
      </c>
      <c r="X42" s="3">
        <v>3</v>
      </c>
      <c r="Y42" s="3">
        <f>IF(AE41&gt;0, AC41, Y41)</f>
        <v>0.875</v>
      </c>
      <c r="Z42" s="3">
        <f t="shared" si="29"/>
        <v>0.12170188501465296</v>
      </c>
      <c r="AA42" s="3">
        <f t="shared" si="49"/>
        <v>1</v>
      </c>
      <c r="AB42" s="3">
        <f t="shared" si="30"/>
        <v>-3.5204475166226268E-2</v>
      </c>
      <c r="AC42" s="3">
        <f t="shared" si="40"/>
        <v>0.9375</v>
      </c>
      <c r="AD42" s="3">
        <f t="shared" si="31"/>
        <v>4.2192760063501256E-2</v>
      </c>
      <c r="AE42" s="3">
        <f t="shared" si="41"/>
        <v>5.1349384336990709E-3</v>
      </c>
      <c r="AF42" s="3">
        <f t="shared" si="42"/>
        <v>-1.4853739738500734E-3</v>
      </c>
      <c r="AG42" s="3">
        <f t="shared" si="43"/>
        <v>0.125</v>
      </c>
      <c r="AI42" s="3">
        <v>38</v>
      </c>
      <c r="AJ42" s="3">
        <f t="shared" si="25"/>
        <v>4081.3620803382946</v>
      </c>
      <c r="AK42" s="3">
        <v>-2.8403519536368549E-9</v>
      </c>
      <c r="AL42" s="3">
        <f t="shared" si="26"/>
        <v>4081.3620803710364</v>
      </c>
      <c r="AM42" s="3">
        <v>7.4564923124853522E-9</v>
      </c>
      <c r="AN42" s="3">
        <f t="shared" si="17"/>
        <v>4081.3620803546655</v>
      </c>
      <c r="AO42" s="3">
        <v>2.3078428057488054E-9</v>
      </c>
      <c r="AP42" s="3">
        <f t="shared" si="18"/>
        <v>-6.55508582199538E-18</v>
      </c>
      <c r="AQ42" s="3">
        <f t="shared" si="19"/>
        <v>1.7208412139490593E-17</v>
      </c>
      <c r="AR42" s="3">
        <f t="shared" si="20"/>
        <v>3.2741809263825417E-8</v>
      </c>
      <c r="AT42" s="61"/>
      <c r="AU42" s="4">
        <v>-3.0093749999999999</v>
      </c>
      <c r="AV42" s="27" t="s">
        <v>43</v>
      </c>
      <c r="AX42" s="28"/>
      <c r="AY42" s="64" t="s">
        <v>160</v>
      </c>
      <c r="AZ42" s="64"/>
      <c r="BA42" s="64"/>
      <c r="BB42" s="64" t="s">
        <v>161</v>
      </c>
      <c r="BC42" s="64"/>
      <c r="BD42" s="64"/>
      <c r="BE42" s="64"/>
      <c r="BF42" s="64" t="s">
        <v>162</v>
      </c>
      <c r="BG42" s="64"/>
      <c r="BH42" s="77"/>
      <c r="BJ42" s="29" t="s">
        <v>166</v>
      </c>
      <c r="BK42" s="30">
        <f>BW102</f>
        <v>0.20747731391183311</v>
      </c>
      <c r="BL42" s="6" t="s">
        <v>167</v>
      </c>
      <c r="BM42" s="3"/>
      <c r="BN42" s="29" t="s">
        <v>166</v>
      </c>
      <c r="BO42" s="30">
        <f>CH102</f>
        <v>0.18862713544257981</v>
      </c>
      <c r="BP42" s="6" t="s">
        <v>167</v>
      </c>
      <c r="BR42" s="3">
        <v>4</v>
      </c>
      <c r="BS42" s="3">
        <f t="shared" si="44"/>
        <v>3.1415926535897934E-2</v>
      </c>
      <c r="BT42" s="3">
        <v>-4.3408625723566123</v>
      </c>
      <c r="BU42" s="3">
        <f t="shared" si="45"/>
        <v>0.38091810924776243</v>
      </c>
      <c r="BV42" s="3">
        <v>0.41811624723845325</v>
      </c>
      <c r="BW42" s="3">
        <f t="shared" si="32"/>
        <v>0.20616701789183017</v>
      </c>
      <c r="BX42" s="3">
        <v>-0.25923111185325026</v>
      </c>
      <c r="BY42" s="3">
        <f t="shared" si="33"/>
        <v>1.1252866310341647</v>
      </c>
      <c r="BZ42" s="3">
        <f t="shared" si="34"/>
        <v>-0.10838873965553272</v>
      </c>
      <c r="CA42" s="3">
        <f t="shared" si="35"/>
        <v>0.34950218271186451</v>
      </c>
      <c r="CC42" s="3">
        <v>4</v>
      </c>
      <c r="CD42" s="3">
        <f t="shared" si="46"/>
        <v>3.1415926535897934E-2</v>
      </c>
      <c r="CE42" s="3">
        <v>-3.5050057163744612</v>
      </c>
      <c r="CF42" s="3">
        <f t="shared" si="47"/>
        <v>0.38091810924776243</v>
      </c>
      <c r="CG42" s="3">
        <v>0.44845016689551231</v>
      </c>
      <c r="CH42" s="3">
        <f t="shared" si="36"/>
        <v>0.20616701789183017</v>
      </c>
      <c r="CI42" s="3">
        <v>-0.10465609304955661</v>
      </c>
      <c r="CJ42" s="3">
        <f t="shared" si="37"/>
        <v>0.36682020439211344</v>
      </c>
      <c r="CK42" s="3">
        <f t="shared" si="38"/>
        <v>-4.6933042394705929E-2</v>
      </c>
      <c r="CL42" s="3">
        <f t="shared" si="39"/>
        <v>0.34950218271186451</v>
      </c>
    </row>
    <row r="43" spans="2:90" x14ac:dyDescent="0.2">
      <c r="B43" s="7" t="s">
        <v>125</v>
      </c>
      <c r="C43" s="18">
        <v>5.7</v>
      </c>
      <c r="F43" s="45" t="s">
        <v>237</v>
      </c>
      <c r="G43" s="44">
        <f xml:space="preserve"> $C$29 * G42</f>
        <v>234.15337382058715</v>
      </c>
      <c r="H43" s="44" t="s">
        <v>116</v>
      </c>
      <c r="J43" s="68" t="s">
        <v>128</v>
      </c>
      <c r="K43" s="68"/>
      <c r="L43" s="68"/>
      <c r="X43" s="3">
        <v>4</v>
      </c>
      <c r="Y43" s="3">
        <f t="shared" si="48"/>
        <v>0.9375</v>
      </c>
      <c r="Z43" s="3">
        <f t="shared" si="29"/>
        <v>4.2192760063501256E-2</v>
      </c>
      <c r="AA43" s="3">
        <f t="shared" si="49"/>
        <v>1</v>
      </c>
      <c r="AB43" s="3">
        <f t="shared" si="30"/>
        <v>-3.5204475166226268E-2</v>
      </c>
      <c r="AC43" s="3">
        <f t="shared" si="40"/>
        <v>0.96875</v>
      </c>
      <c r="AD43" s="3">
        <f t="shared" si="31"/>
        <v>3.2554694339288481E-3</v>
      </c>
      <c r="AE43" s="3">
        <f t="shared" si="41"/>
        <v>1.3735724071982215E-4</v>
      </c>
      <c r="AF43" s="3">
        <f t="shared" si="42"/>
        <v>-1.1460709284115682E-4</v>
      </c>
      <c r="AG43" s="3">
        <f t="shared" si="43"/>
        <v>6.25E-2</v>
      </c>
      <c r="AI43" s="3">
        <v>39</v>
      </c>
      <c r="AJ43" s="3">
        <f t="shared" si="25"/>
        <v>4081.3620803382946</v>
      </c>
      <c r="AK43" s="3">
        <v>-2.8403519536368549E-9</v>
      </c>
      <c r="AL43" s="3">
        <f t="shared" si="26"/>
        <v>4081.3620803546655</v>
      </c>
      <c r="AM43" s="3">
        <v>2.3078428057488054E-9</v>
      </c>
      <c r="AN43" s="3">
        <f t="shared" si="17"/>
        <v>4081.3620803464801</v>
      </c>
      <c r="AO43" s="3">
        <v>-2.6602720026858151E-10</v>
      </c>
      <c r="AP43" s="3">
        <f t="shared" si="18"/>
        <v>7.5561087800340834E-19</v>
      </c>
      <c r="AQ43" s="3">
        <f t="shared" si="19"/>
        <v>-6.1394896027334251E-19</v>
      </c>
      <c r="AR43" s="3">
        <f t="shared" si="20"/>
        <v>1.6370904631912708E-8</v>
      </c>
      <c r="AT43" s="3"/>
      <c r="AU43" s="3"/>
      <c r="AV43" s="27"/>
      <c r="AX43" s="28"/>
      <c r="AY43" s="5" t="s">
        <v>168</v>
      </c>
      <c r="AZ43" s="3">
        <v>-180</v>
      </c>
      <c r="BA43" s="3">
        <v>-9.5</v>
      </c>
      <c r="BB43" s="64" t="s">
        <v>168</v>
      </c>
      <c r="BC43" s="64"/>
      <c r="BD43" s="3">
        <v>-9.5</v>
      </c>
      <c r="BE43" s="3">
        <v>18.5</v>
      </c>
      <c r="BF43" s="5" t="s">
        <v>168</v>
      </c>
      <c r="BG43" s="3">
        <v>18.5</v>
      </c>
      <c r="BH43" s="32">
        <v>180</v>
      </c>
      <c r="BJ43" s="3" t="s">
        <v>171</v>
      </c>
      <c r="BK43" s="3">
        <f>($AU$39+$AU$5)/180*PI()</f>
        <v>0.28683395425744307</v>
      </c>
      <c r="BL43" s="3" t="s">
        <v>167</v>
      </c>
      <c r="BM43" s="3"/>
      <c r="BN43" s="3" t="s">
        <v>171</v>
      </c>
      <c r="BO43" s="3">
        <f>($AU$40+$AU$5)/180*PI()</f>
        <v>0.26098126471227706</v>
      </c>
      <c r="BP43" s="3" t="s">
        <v>167</v>
      </c>
      <c r="BR43" s="3">
        <v>5</v>
      </c>
      <c r="BS43" s="3">
        <f t="shared" si="44"/>
        <v>0.20616701789183017</v>
      </c>
      <c r="BT43" s="3">
        <v>-0.25923111185325026</v>
      </c>
      <c r="BU43" s="3">
        <f t="shared" si="45"/>
        <v>0.38091810924776243</v>
      </c>
      <c r="BV43" s="3">
        <v>0.41811624723845325</v>
      </c>
      <c r="BW43" s="3">
        <f t="shared" si="32"/>
        <v>0.2935425635697963</v>
      </c>
      <c r="BX43" s="3">
        <v>0.13901572089425071</v>
      </c>
      <c r="BY43" s="3">
        <f t="shared" si="33"/>
        <v>-3.6037199892497727E-2</v>
      </c>
      <c r="BZ43" s="3">
        <f t="shared" si="34"/>
        <v>5.8124731527452345E-2</v>
      </c>
      <c r="CA43" s="3">
        <f t="shared" si="35"/>
        <v>0.17475109135593225</v>
      </c>
      <c r="CC43" s="3">
        <v>5</v>
      </c>
      <c r="CD43" s="3">
        <f t="shared" si="46"/>
        <v>0.20616701789183017</v>
      </c>
      <c r="CE43" s="3">
        <v>-0.10465609304955661</v>
      </c>
      <c r="CF43" s="3">
        <f t="shared" si="47"/>
        <v>0.38091810924776243</v>
      </c>
      <c r="CG43" s="3">
        <v>0.44845016689551231</v>
      </c>
      <c r="CH43" s="3">
        <f t="shared" si="36"/>
        <v>0.2935425635697963</v>
      </c>
      <c r="CI43" s="3">
        <v>0.21746764009988725</v>
      </c>
      <c r="CJ43" s="3">
        <f t="shared" si="37"/>
        <v>-2.275931357756129E-2</v>
      </c>
      <c r="CK43" s="3">
        <f t="shared" si="38"/>
        <v>9.7523399497167651E-2</v>
      </c>
      <c r="CL43" s="3">
        <f t="shared" si="39"/>
        <v>0.17475109135593225</v>
      </c>
    </row>
    <row r="44" spans="2:90" x14ac:dyDescent="0.2">
      <c r="J44" s="7" t="s">
        <v>60</v>
      </c>
      <c r="K44" s="7">
        <f>ROUND(C18,2)</f>
        <v>548.39</v>
      </c>
      <c r="L44" s="7" t="s">
        <v>7</v>
      </c>
      <c r="X44" s="3">
        <v>5</v>
      </c>
      <c r="Y44" s="3">
        <f t="shared" si="48"/>
        <v>0.96875</v>
      </c>
      <c r="Z44" s="3">
        <f t="shared" si="29"/>
        <v>3.2554694339288481E-3</v>
      </c>
      <c r="AA44" s="3">
        <f t="shared" si="49"/>
        <v>1</v>
      </c>
      <c r="AB44" s="3">
        <f t="shared" si="30"/>
        <v>-3.5204475166226268E-2</v>
      </c>
      <c r="AC44" s="3">
        <f t="shared" si="40"/>
        <v>0.984375</v>
      </c>
      <c r="AD44" s="3">
        <f t="shared" si="31"/>
        <v>-1.603135460638061E-2</v>
      </c>
      <c r="AE44" s="3">
        <f t="shared" si="41"/>
        <v>-5.2189584905546514E-5</v>
      </c>
      <c r="AF44" s="3">
        <f t="shared" si="42"/>
        <v>5.643754251212933E-4</v>
      </c>
      <c r="AG44" s="3">
        <f t="shared" si="43"/>
        <v>3.125E-2</v>
      </c>
      <c r="AI44" s="3">
        <v>40</v>
      </c>
      <c r="AJ44" s="3">
        <f t="shared" si="25"/>
        <v>4081.3620803464801</v>
      </c>
      <c r="AK44" s="3">
        <v>-2.6602720026858151E-10</v>
      </c>
      <c r="AL44" s="3">
        <f t="shared" si="26"/>
        <v>4081.3620803546655</v>
      </c>
      <c r="AM44" s="3">
        <v>2.3078428057488054E-9</v>
      </c>
      <c r="AN44" s="6">
        <f t="shared" si="17"/>
        <v>4081.3620803505728</v>
      </c>
      <c r="AO44" s="3">
        <v>1.0204530553892255E-9</v>
      </c>
      <c r="AP44" s="3">
        <f t="shared" si="18"/>
        <v>-2.7146826933071539E-19</v>
      </c>
      <c r="AQ44" s="3">
        <f t="shared" si="19"/>
        <v>2.3550452424844113E-18</v>
      </c>
      <c r="AR44" s="3">
        <f t="shared" si="20"/>
        <v>8.1854523159563541E-9</v>
      </c>
      <c r="AT44" s="74" t="s">
        <v>221</v>
      </c>
      <c r="AU44" s="74"/>
      <c r="AV44" s="74"/>
      <c r="AX44" s="33" t="s">
        <v>172</v>
      </c>
      <c r="AY44" s="3">
        <v>-4.9719999999999998E-5</v>
      </c>
      <c r="AZ44" s="3">
        <v>-9.4228200000000002E-3</v>
      </c>
      <c r="BA44" s="3">
        <v>-0.58952914000000001</v>
      </c>
      <c r="BB44" s="3">
        <v>-2.3201E-4</v>
      </c>
      <c r="BC44" s="3">
        <v>1.5145600000000001E-3</v>
      </c>
      <c r="BD44" s="3">
        <v>0.11609899</v>
      </c>
      <c r="BE44" s="3">
        <v>0.17357117999999999</v>
      </c>
      <c r="BF44" s="3">
        <v>6.9132000000000004E-4</v>
      </c>
      <c r="BG44" s="3">
        <v>-0.13722607000000001</v>
      </c>
      <c r="BH44" s="32">
        <v>3.6431797299999999</v>
      </c>
      <c r="BJ44" s="3" t="s">
        <v>28</v>
      </c>
      <c r="BK44" s="3">
        <f>BK43-BK42</f>
        <v>7.9356640345609963E-2</v>
      </c>
      <c r="BL44" s="3" t="s">
        <v>167</v>
      </c>
      <c r="BM44" s="3"/>
      <c r="BN44" s="3" t="s">
        <v>28</v>
      </c>
      <c r="BO44" s="3">
        <f>BO43-BO42</f>
        <v>7.2354129269697254E-2</v>
      </c>
      <c r="BP44" s="3" t="s">
        <v>167</v>
      </c>
      <c r="BR44" s="3">
        <v>6</v>
      </c>
      <c r="BS44" s="3">
        <f t="shared" si="44"/>
        <v>0.20616701789183017</v>
      </c>
      <c r="BT44" s="3">
        <v>-0.25923111185325026</v>
      </c>
      <c r="BU44" s="3">
        <f t="shared" si="45"/>
        <v>0.2935425635697963</v>
      </c>
      <c r="BV44" s="3">
        <v>0.13901572089425071</v>
      </c>
      <c r="BW44" s="3">
        <f t="shared" si="32"/>
        <v>0.24985479073081324</v>
      </c>
      <c r="BX44" s="3">
        <v>-3.8868539253171297E-2</v>
      </c>
      <c r="BY44" s="3">
        <f t="shared" si="33"/>
        <v>1.0075934646711297E-2</v>
      </c>
      <c r="BZ44" s="3">
        <f t="shared" si="34"/>
        <v>-5.4033380043860893E-3</v>
      </c>
      <c r="CA44" s="3">
        <f t="shared" si="35"/>
        <v>8.7375545677966127E-2</v>
      </c>
      <c r="CC44" s="3">
        <v>6</v>
      </c>
      <c r="CD44" s="3">
        <f t="shared" si="46"/>
        <v>0.20616701789183017</v>
      </c>
      <c r="CE44" s="3">
        <v>-0.10465609304955661</v>
      </c>
      <c r="CF44" s="3">
        <f t="shared" si="47"/>
        <v>0.2935425635697963</v>
      </c>
      <c r="CG44" s="3">
        <v>0.21746764009988725</v>
      </c>
      <c r="CH44" s="3">
        <f t="shared" si="36"/>
        <v>0.24985479073081324</v>
      </c>
      <c r="CI44" s="3">
        <v>7.3062078425048527E-2</v>
      </c>
      <c r="CJ44" s="3">
        <f t="shared" si="37"/>
        <v>-7.6463916780458814E-3</v>
      </c>
      <c r="CK44" s="3">
        <f t="shared" si="38"/>
        <v>1.5888637775888191E-2</v>
      </c>
      <c r="CL44" s="3">
        <f t="shared" si="39"/>
        <v>8.7375545677966127E-2</v>
      </c>
    </row>
    <row r="45" spans="2:90" x14ac:dyDescent="0.2">
      <c r="B45" s="68" t="s">
        <v>262</v>
      </c>
      <c r="C45" s="68"/>
      <c r="D45" s="68"/>
      <c r="F45" s="66" t="s">
        <v>284</v>
      </c>
      <c r="G45" s="67"/>
      <c r="H45" s="67"/>
      <c r="J45" s="12" t="s">
        <v>55</v>
      </c>
      <c r="K45" s="7">
        <f>ROUND(K17, 2)</f>
        <v>1055.05</v>
      </c>
      <c r="L45" s="7" t="s">
        <v>7</v>
      </c>
      <c r="X45" s="3">
        <v>6</v>
      </c>
      <c r="Y45" s="3">
        <f t="shared" si="48"/>
        <v>0.96875</v>
      </c>
      <c r="Z45" s="3">
        <f t="shared" si="29"/>
        <v>3.2554694339288481E-3</v>
      </c>
      <c r="AA45" s="3">
        <f t="shared" si="49"/>
        <v>0.984375</v>
      </c>
      <c r="AB45" s="3">
        <f t="shared" si="30"/>
        <v>-1.603135460638061E-2</v>
      </c>
      <c r="AC45" s="3">
        <f t="shared" si="40"/>
        <v>0.9765625</v>
      </c>
      <c r="AD45" s="3">
        <f t="shared" si="31"/>
        <v>-6.4024936581658087E-3</v>
      </c>
      <c r="AE45" s="3">
        <f t="shared" si="41"/>
        <v>-2.0843122405082086E-5</v>
      </c>
      <c r="AF45" s="3">
        <f t="shared" si="42"/>
        <v>1.0264064619915908E-4</v>
      </c>
      <c r="AG45" s="3">
        <f t="shared" si="43"/>
        <v>1.5625E-2</v>
      </c>
      <c r="AT45" s="3" t="s">
        <v>19</v>
      </c>
      <c r="AU45" s="3">
        <f>$C$65</f>
        <v>1.02327848692001</v>
      </c>
      <c r="AV45" s="27" t="s">
        <v>16</v>
      </c>
      <c r="AX45" s="35" t="s">
        <v>176</v>
      </c>
      <c r="AY45" s="36">
        <v>-1.4875000000000001E-4</v>
      </c>
      <c r="AZ45" s="36">
        <v>-2.818766E-2</v>
      </c>
      <c r="BA45" s="36">
        <v>-0.15965826999999999</v>
      </c>
      <c r="BB45" s="36">
        <v>-4.4100000000000001E-6</v>
      </c>
      <c r="BC45" s="36">
        <v>3.8060999999999998E-4</v>
      </c>
      <c r="BD45" s="36">
        <v>-2.2518899999999999E-3</v>
      </c>
      <c r="BE45" s="36">
        <v>6.2865899999999999E-3</v>
      </c>
      <c r="BF45" s="36">
        <v>-2.0911000000000001E-4</v>
      </c>
      <c r="BG45" s="36">
        <v>4.150877E-2</v>
      </c>
      <c r="BH45" s="37">
        <v>-0.59881362999999999</v>
      </c>
      <c r="BJ45" s="3" t="s">
        <v>180</v>
      </c>
      <c r="BK45" s="3">
        <f>BK44/PI()*180</f>
        <v>4.5468005681410411</v>
      </c>
      <c r="BL45" s="3" t="s">
        <v>43</v>
      </c>
      <c r="BM45" s="3"/>
      <c r="BN45" s="3" t="s">
        <v>180</v>
      </c>
      <c r="BO45" s="3">
        <f>BO44/PI()*180</f>
        <v>4.1455862374976302</v>
      </c>
      <c r="BP45" s="3" t="s">
        <v>43</v>
      </c>
      <c r="BR45" s="3">
        <v>7</v>
      </c>
      <c r="BS45" s="3">
        <f t="shared" si="44"/>
        <v>0.24985479073081324</v>
      </c>
      <c r="BT45" s="3">
        <v>-3.8868539253171297E-2</v>
      </c>
      <c r="BU45" s="3">
        <f t="shared" si="45"/>
        <v>0.2935425635697963</v>
      </c>
      <c r="BV45" s="3">
        <v>0.13901572089425071</v>
      </c>
      <c r="BW45" s="3">
        <f t="shared" si="32"/>
        <v>0.27169867715030477</v>
      </c>
      <c r="BX45" s="3">
        <v>5.4287962363451722E-2</v>
      </c>
      <c r="BY45" s="3">
        <f t="shared" si="33"/>
        <v>-2.1100937960985091E-3</v>
      </c>
      <c r="BZ45" s="3">
        <f t="shared" si="34"/>
        <v>7.5468802238351914E-3</v>
      </c>
      <c r="CA45" s="3">
        <f t="shared" si="35"/>
        <v>4.3687772838983063E-2</v>
      </c>
      <c r="CC45" s="3">
        <v>7</v>
      </c>
      <c r="CD45" s="3">
        <f t="shared" si="46"/>
        <v>0.20616701789183017</v>
      </c>
      <c r="CE45" s="3">
        <v>-0.10465609304955661</v>
      </c>
      <c r="CF45" s="3">
        <f t="shared" si="47"/>
        <v>0.24985479073081324</v>
      </c>
      <c r="CG45" s="3">
        <v>7.3062078425048527E-2</v>
      </c>
      <c r="CH45" s="3">
        <f t="shared" si="36"/>
        <v>0.2280109043113217</v>
      </c>
      <c r="CI45" s="3">
        <v>-1.0524826347951355E-2</v>
      </c>
      <c r="CJ45" s="3">
        <f t="shared" si="37"/>
        <v>1.1014872056016221E-3</v>
      </c>
      <c r="CK45" s="3">
        <f t="shared" si="38"/>
        <v>-7.6896568804403899E-4</v>
      </c>
      <c r="CL45" s="3">
        <f t="shared" si="39"/>
        <v>4.3687772838983063E-2</v>
      </c>
    </row>
    <row r="46" spans="2:90" x14ac:dyDescent="0.2">
      <c r="B46" s="7" t="s">
        <v>125</v>
      </c>
      <c r="C46" s="18">
        <v>3</v>
      </c>
      <c r="F46" s="7" t="s">
        <v>285</v>
      </c>
      <c r="G46" s="18">
        <v>30</v>
      </c>
      <c r="H46" s="7" t="s">
        <v>14</v>
      </c>
      <c r="J46" s="20" t="s">
        <v>81</v>
      </c>
      <c r="K46" s="7">
        <f>ROUND(SUM(K18:K21), 2)</f>
        <v>1149.56</v>
      </c>
      <c r="L46" s="7" t="s">
        <v>7</v>
      </c>
      <c r="X46" s="3">
        <v>7</v>
      </c>
      <c r="Y46" s="3">
        <f t="shared" si="48"/>
        <v>0.96875</v>
      </c>
      <c r="Z46" s="3">
        <f t="shared" si="29"/>
        <v>3.2554694339288481E-3</v>
      </c>
      <c r="AA46" s="3">
        <f t="shared" si="49"/>
        <v>0.9765625</v>
      </c>
      <c r="AB46" s="3">
        <f t="shared" si="30"/>
        <v>-6.4024936581658087E-3</v>
      </c>
      <c r="AC46" s="3">
        <f t="shared" si="40"/>
        <v>0.97265625</v>
      </c>
      <c r="AD46" s="3">
        <f t="shared" si="31"/>
        <v>-1.5771933223922563E-3</v>
      </c>
      <c r="AE46" s="3">
        <f t="shared" si="41"/>
        <v>-5.134504652444678E-6</v>
      </c>
      <c r="AF46" s="3">
        <f t="shared" si="42"/>
        <v>1.0097970244317882E-5</v>
      </c>
      <c r="AG46" s="3">
        <f t="shared" si="43"/>
        <v>7.8125E-3</v>
      </c>
      <c r="AT46" s="3" t="s">
        <v>31</v>
      </c>
      <c r="AU46" s="38">
        <f>$C$66</f>
        <v>1.7312013277058499E-5</v>
      </c>
      <c r="AV46" s="27" t="s">
        <v>222</v>
      </c>
      <c r="BJ46" s="3" t="s">
        <v>183</v>
      </c>
      <c r="BK46" s="3">
        <f xml:space="preserve"> $AU$8*$AU$31 / (2*PI()*$AU$23)</f>
        <v>0.23280121002319468</v>
      </c>
      <c r="BL46" s="3"/>
      <c r="BM46" s="3"/>
      <c r="BN46" s="3" t="s">
        <v>183</v>
      </c>
      <c r="BO46" s="3">
        <f xml:space="preserve"> $AU$8*$AU$32 / (2*PI()*$AU$24)</f>
        <v>0.19491152470330353</v>
      </c>
      <c r="BP46" s="3"/>
      <c r="BR46" s="3">
        <v>8</v>
      </c>
      <c r="BS46" s="3">
        <f t="shared" si="44"/>
        <v>0.24985479073081324</v>
      </c>
      <c r="BT46" s="3">
        <v>-3.8868539253171297E-2</v>
      </c>
      <c r="BU46" s="3">
        <f t="shared" si="45"/>
        <v>0.27169867715030477</v>
      </c>
      <c r="BV46" s="3">
        <v>5.4287962363451722E-2</v>
      </c>
      <c r="BW46" s="3">
        <f t="shared" si="32"/>
        <v>0.260776733940559</v>
      </c>
      <c r="BX46" s="3">
        <v>8.8729221051100475E-3</v>
      </c>
      <c r="BY46" s="3">
        <f t="shared" si="33"/>
        <v>-3.4487752113280119E-4</v>
      </c>
      <c r="BZ46" s="3">
        <f t="shared" si="34"/>
        <v>4.8169286129605307E-4</v>
      </c>
      <c r="CA46" s="3">
        <f t="shared" si="35"/>
        <v>2.1843886419491532E-2</v>
      </c>
      <c r="CC46" s="3">
        <v>8</v>
      </c>
      <c r="CD46" s="3">
        <f t="shared" si="46"/>
        <v>0.2280109043113217</v>
      </c>
      <c r="CE46" s="3">
        <v>-1.0524826347951355E-2</v>
      </c>
      <c r="CF46" s="3">
        <f t="shared" si="47"/>
        <v>0.24985479073081324</v>
      </c>
      <c r="CG46" s="3">
        <v>7.3062078425048527E-2</v>
      </c>
      <c r="CH46" s="3">
        <f t="shared" si="36"/>
        <v>0.23893284752106747</v>
      </c>
      <c r="CI46" s="3">
        <v>3.2416599163213926E-2</v>
      </c>
      <c r="CJ46" s="3">
        <f t="shared" si="37"/>
        <v>-3.4117907698397176E-4</v>
      </c>
      <c r="CK46" s="3">
        <f t="shared" si="38"/>
        <v>2.3684241103360984E-3</v>
      </c>
      <c r="CL46" s="3">
        <f t="shared" si="39"/>
        <v>2.1843886419491532E-2</v>
      </c>
    </row>
    <row r="47" spans="2:90" x14ac:dyDescent="0.2">
      <c r="F47" s="7" t="s">
        <v>280</v>
      </c>
      <c r="G47" s="18">
        <v>100</v>
      </c>
      <c r="H47" s="7" t="s">
        <v>61</v>
      </c>
      <c r="J47" s="21" t="s">
        <v>72</v>
      </c>
      <c r="K47" s="7">
        <f>ROUND(SUM(K22:K27), 2)</f>
        <v>1099.24</v>
      </c>
      <c r="L47" s="7" t="s">
        <v>7</v>
      </c>
      <c r="X47" s="3">
        <v>8</v>
      </c>
      <c r="Y47" s="3">
        <f t="shared" si="48"/>
        <v>0.96875</v>
      </c>
      <c r="Z47" s="3">
        <f t="shared" si="29"/>
        <v>3.2554694339288481E-3</v>
      </c>
      <c r="AA47" s="3">
        <f t="shared" si="49"/>
        <v>0.97265625</v>
      </c>
      <c r="AB47" s="3">
        <f t="shared" si="30"/>
        <v>-1.5771933223922563E-3</v>
      </c>
      <c r="AC47" s="3">
        <f t="shared" si="40"/>
        <v>0.970703125</v>
      </c>
      <c r="AD47" s="3">
        <f t="shared" si="31"/>
        <v>8.3821224727775867E-4</v>
      </c>
      <c r="AE47" s="3">
        <f t="shared" si="41"/>
        <v>2.7287743501575527E-6</v>
      </c>
      <c r="AF47" s="3">
        <f t="shared" si="42"/>
        <v>-1.3220227591538878E-6</v>
      </c>
      <c r="AG47" s="3">
        <f t="shared" si="43"/>
        <v>3.90625E-3</v>
      </c>
      <c r="AI47" s="64" t="s">
        <v>234</v>
      </c>
      <c r="AJ47" s="64"/>
      <c r="AK47" s="64"/>
      <c r="AL47" s="64"/>
      <c r="AX47" s="24" t="s">
        <v>155</v>
      </c>
      <c r="AY47" s="63" t="s">
        <v>230</v>
      </c>
      <c r="AZ47" s="63"/>
      <c r="BA47" s="25"/>
      <c r="BB47" s="25"/>
      <c r="BC47" s="25"/>
      <c r="BD47" s="25"/>
      <c r="BE47" s="25"/>
      <c r="BF47" s="25"/>
      <c r="BG47" s="26"/>
      <c r="BJ47" s="3" t="s">
        <v>187</v>
      </c>
      <c r="BK47" s="3">
        <f>IF(-$AU$8*($AY$3-$AU$23)/(2*$AU$23*SIN(BK42))&gt;500, 1, 2*ACOS(MIN(1, EXP(-$AU$8*($AY$3-$AU$23)/(2*$AU$23*SIN(BK42)))))/PI() )</f>
        <v>0.9509371133227329</v>
      </c>
      <c r="BL47" s="3"/>
      <c r="BM47" s="3"/>
      <c r="BN47" s="3" t="s">
        <v>187</v>
      </c>
      <c r="BO47" s="3">
        <f>IF(-$AU$8*($AY$3-$AU$24)/(2*$AU$24*SIN(BO42))&gt;500, 1, 2*ACOS(MIN(1, EXP(-$AU$8*($AY$3-$AU$24)/(2*$AU$24*SIN(BO42)))))/PI() )</f>
        <v>0.8886021150119181</v>
      </c>
      <c r="BP47" s="3"/>
      <c r="BR47" s="3">
        <v>9</v>
      </c>
      <c r="BS47" s="3">
        <f t="shared" si="44"/>
        <v>0.24985479073081324</v>
      </c>
      <c r="BT47" s="3">
        <v>-3.8868539253171297E-2</v>
      </c>
      <c r="BU47" s="3">
        <f t="shared" si="45"/>
        <v>0.260776733940559</v>
      </c>
      <c r="BV47" s="3">
        <v>8.8729221051100475E-3</v>
      </c>
      <c r="BW47" s="3">
        <f t="shared" si="32"/>
        <v>0.25531576233568609</v>
      </c>
      <c r="BX47" s="3">
        <v>-1.4691368884049079E-2</v>
      </c>
      <c r="BY47" s="3">
        <f t="shared" si="33"/>
        <v>5.7103204815248099E-4</v>
      </c>
      <c r="BZ47" s="3">
        <f t="shared" si="34"/>
        <v>-1.3035537172560499E-4</v>
      </c>
      <c r="CA47" s="3">
        <f t="shared" si="35"/>
        <v>1.0921943209745766E-2</v>
      </c>
      <c r="CC47" s="3">
        <v>9</v>
      </c>
      <c r="CD47" s="3">
        <f t="shared" si="46"/>
        <v>0.2280109043113217</v>
      </c>
      <c r="CE47" s="3">
        <v>-1.0524826347951355E-2</v>
      </c>
      <c r="CF47" s="3">
        <f t="shared" si="47"/>
        <v>0.23893284752106747</v>
      </c>
      <c r="CG47" s="3">
        <v>3.2416599163213926E-2</v>
      </c>
      <c r="CH47" s="3">
        <f t="shared" si="36"/>
        <v>0.23347187591619459</v>
      </c>
      <c r="CI47" s="3">
        <v>1.1251675590263837E-2</v>
      </c>
      <c r="CJ47" s="3">
        <f t="shared" si="37"/>
        <v>-1.1842193171100994E-4</v>
      </c>
      <c r="CK47" s="3">
        <f t="shared" si="38"/>
        <v>3.6474105752410123E-4</v>
      </c>
      <c r="CL47" s="3">
        <f t="shared" si="39"/>
        <v>1.0921943209745766E-2</v>
      </c>
    </row>
    <row r="48" spans="2:90" x14ac:dyDescent="0.2">
      <c r="B48" s="68" t="s">
        <v>263</v>
      </c>
      <c r="C48" s="68"/>
      <c r="D48" s="68"/>
      <c r="F48" s="44" t="s">
        <v>294</v>
      </c>
      <c r="G48" s="44">
        <f>$G$47/100*K4</f>
        <v>1640.4539029117582</v>
      </c>
      <c r="H48" s="44" t="s">
        <v>116</v>
      </c>
      <c r="J48" s="16" t="s">
        <v>73</v>
      </c>
      <c r="K48" s="7">
        <f>ROUND(SUM(K28:K31), 2)</f>
        <v>229.13</v>
      </c>
      <c r="L48" s="7" t="s">
        <v>7</v>
      </c>
      <c r="X48" s="3">
        <v>9</v>
      </c>
      <c r="Y48" s="3">
        <f t="shared" si="48"/>
        <v>0.970703125</v>
      </c>
      <c r="Z48" s="3">
        <f t="shared" si="29"/>
        <v>8.3821224727775867E-4</v>
      </c>
      <c r="AA48" s="3">
        <f t="shared" si="49"/>
        <v>0.97265625</v>
      </c>
      <c r="AB48" s="3">
        <f t="shared" si="30"/>
        <v>-1.5771933223922563E-3</v>
      </c>
      <c r="AC48" s="3">
        <f t="shared" si="40"/>
        <v>0.9716796875</v>
      </c>
      <c r="AD48" s="3">
        <f t="shared" si="31"/>
        <v>-3.697212980194875E-4</v>
      </c>
      <c r="AE48" s="3">
        <f t="shared" si="41"/>
        <v>-3.0990492007936455E-7</v>
      </c>
      <c r="AF48" s="3">
        <f t="shared" si="42"/>
        <v>5.8312196238253302E-7</v>
      </c>
      <c r="AG48" s="3">
        <f t="shared" si="43"/>
        <v>1.953125E-3</v>
      </c>
      <c r="AI48" s="8" t="s">
        <v>44</v>
      </c>
      <c r="AJ48" s="8" t="s">
        <v>45</v>
      </c>
      <c r="AK48" s="8" t="s">
        <v>46</v>
      </c>
      <c r="AL48" s="8" t="s">
        <v>47</v>
      </c>
      <c r="AM48" s="8" t="s">
        <v>48</v>
      </c>
      <c r="AN48" s="8" t="s">
        <v>49</v>
      </c>
      <c r="AO48" s="8" t="s">
        <v>50</v>
      </c>
      <c r="AP48" s="8" t="s">
        <v>51</v>
      </c>
      <c r="AQ48" s="8" t="s">
        <v>52</v>
      </c>
      <c r="AR48" s="8" t="s">
        <v>53</v>
      </c>
      <c r="AX48" s="28"/>
      <c r="AY48" s="64" t="s">
        <v>160</v>
      </c>
      <c r="AZ48" s="64"/>
      <c r="BA48" s="64"/>
      <c r="BB48" s="64" t="s">
        <v>161</v>
      </c>
      <c r="BC48" s="64"/>
      <c r="BD48" s="64"/>
      <c r="BE48" s="64" t="s">
        <v>162</v>
      </c>
      <c r="BF48" s="64"/>
      <c r="BG48" s="77"/>
      <c r="BJ48" s="3" t="s">
        <v>192</v>
      </c>
      <c r="BK48" s="3">
        <f>IF(-$AU$8*($AU$23-$AU$10)/(2*$AU$23*SIN(BK42))&gt;500, 1, 2*ACOS(MIN(1, EXP(-$AU$8*($AU$23-$AU$10)/(2*$AU$23*SIN(BK42)))))/PI() )</f>
        <v>0.97643523409568156</v>
      </c>
      <c r="BL48" s="3"/>
      <c r="BM48" s="3"/>
      <c r="BN48" s="3" t="s">
        <v>192</v>
      </c>
      <c r="BO48" s="3">
        <f>IF(-$AU$8*($AU$24-$AU$10)/(2*$AU$24*SIN(BO42))&gt;500, 1, 2*ACOS(MIN(1, EXP(-$AU$8*($AU$24-$AU$10)/(2*$AU$24*SIN(BO42)))))/PI() )</f>
        <v>0.98639729268560461</v>
      </c>
      <c r="BP48" s="3"/>
      <c r="BR48" s="3">
        <v>10</v>
      </c>
      <c r="BS48" s="3">
        <f t="shared" si="44"/>
        <v>0.25531576233568609</v>
      </c>
      <c r="BT48" s="3">
        <v>-1.4691368884049079E-2</v>
      </c>
      <c r="BU48" s="3">
        <f t="shared" si="45"/>
        <v>0.260776733940559</v>
      </c>
      <c r="BV48" s="3">
        <v>8.8729221051100475E-3</v>
      </c>
      <c r="BW48" s="3">
        <f t="shared" si="32"/>
        <v>0.25804624813812255</v>
      </c>
      <c r="BX48" s="3">
        <v>-2.8346661510856011E-3</v>
      </c>
      <c r="BY48" s="3">
        <f t="shared" si="33"/>
        <v>4.1645126088726162E-5</v>
      </c>
      <c r="BZ48" s="3">
        <f t="shared" si="34"/>
        <v>-2.5151771952574648E-5</v>
      </c>
      <c r="CA48" s="3">
        <f t="shared" si="35"/>
        <v>5.4609716048729107E-3</v>
      </c>
      <c r="CC48" s="3">
        <v>10</v>
      </c>
      <c r="CD48" s="3">
        <f t="shared" si="46"/>
        <v>0.2280109043113217</v>
      </c>
      <c r="CE48" s="3">
        <v>-1.0524826347951355E-2</v>
      </c>
      <c r="CF48" s="3">
        <f t="shared" si="47"/>
        <v>0.23347187591619459</v>
      </c>
      <c r="CG48" s="3">
        <v>1.1251675590263837E-2</v>
      </c>
      <c r="CH48" s="3">
        <f t="shared" si="36"/>
        <v>0.23074139011375816</v>
      </c>
      <c r="CI48" s="3">
        <v>4.4241478068339762E-4</v>
      </c>
      <c r="CJ48" s="3">
        <f t="shared" si="37"/>
        <v>-4.6563387404597434E-6</v>
      </c>
      <c r="CK48" s="3">
        <f t="shared" si="38"/>
        <v>4.9779075885873142E-6</v>
      </c>
      <c r="CL48" s="3">
        <f t="shared" si="39"/>
        <v>5.4609716048728829E-3</v>
      </c>
    </row>
    <row r="49" spans="2:90" x14ac:dyDescent="0.2">
      <c r="B49" s="7" t="s">
        <v>264</v>
      </c>
      <c r="C49" s="18">
        <v>4.3036300000000001</v>
      </c>
      <c r="J49" s="11" t="s">
        <v>62</v>
      </c>
      <c r="K49" s="11">
        <f>SUM(K44:K48)</f>
        <v>4081.37</v>
      </c>
      <c r="L49" s="7" t="s">
        <v>7</v>
      </c>
      <c r="X49" s="3">
        <v>10</v>
      </c>
      <c r="Y49" s="3">
        <f t="shared" si="48"/>
        <v>0.970703125</v>
      </c>
      <c r="Z49" s="3">
        <f t="shared" si="29"/>
        <v>8.3821224727775867E-4</v>
      </c>
      <c r="AA49" s="3">
        <f t="shared" si="49"/>
        <v>0.9716796875</v>
      </c>
      <c r="AB49" s="3">
        <f t="shared" si="30"/>
        <v>-3.697212980194875E-4</v>
      </c>
      <c r="AC49" s="3">
        <f t="shared" si="40"/>
        <v>0.97119140625</v>
      </c>
      <c r="AD49" s="3">
        <f t="shared" si="31"/>
        <v>2.3418769827099339E-4</v>
      </c>
      <c r="AE49" s="3">
        <f t="shared" si="41"/>
        <v>1.9629899685253505E-7</v>
      </c>
      <c r="AF49" s="3">
        <f t="shared" si="42"/>
        <v>-8.6584179784947765E-8</v>
      </c>
      <c r="AG49" s="3">
        <f t="shared" si="43"/>
        <v>9.765625E-4</v>
      </c>
      <c r="AI49" s="3">
        <v>0</v>
      </c>
      <c r="AK49" s="3">
        <f>$G$16</f>
        <v>-3.5219460951338988E-3</v>
      </c>
      <c r="AM49" s="3">
        <f>$G$16</f>
        <v>-3.5219460951338988E-3</v>
      </c>
      <c r="AO49" s="3">
        <f>$G$16</f>
        <v>-3.5219460951338988E-3</v>
      </c>
      <c r="AX49" s="28"/>
      <c r="AY49" s="5" t="s">
        <v>168</v>
      </c>
      <c r="AZ49" s="3">
        <v>-180</v>
      </c>
      <c r="BA49" s="3">
        <v>-13.25</v>
      </c>
      <c r="BB49" s="5" t="s">
        <v>168</v>
      </c>
      <c r="BC49" s="3">
        <v>-13.25</v>
      </c>
      <c r="BD49" s="3">
        <v>19.25</v>
      </c>
      <c r="BE49" s="55" t="s">
        <v>168</v>
      </c>
      <c r="BF49" s="36">
        <v>19.25</v>
      </c>
      <c r="BG49" s="37">
        <v>180</v>
      </c>
      <c r="BJ49" s="3" t="s">
        <v>195</v>
      </c>
      <c r="BK49" s="3">
        <f>IF(BK42=0,1,BK47*BK48)</f>
        <v>0.92852850285755439</v>
      </c>
      <c r="BL49" s="3"/>
      <c r="BM49" s="3"/>
      <c r="BN49" s="3" t="s">
        <v>195</v>
      </c>
      <c r="BO49" s="3">
        <f>IF(BO42=0,1,BO47*BO48)</f>
        <v>0.87651472052245827</v>
      </c>
      <c r="BP49" s="3"/>
      <c r="BR49" s="3">
        <v>11</v>
      </c>
      <c r="BS49" s="3">
        <f t="shared" si="44"/>
        <v>0.25804624813812255</v>
      </c>
      <c r="BT49" s="3">
        <v>-2.8346661510856011E-3</v>
      </c>
      <c r="BU49" s="3">
        <f t="shared" si="45"/>
        <v>0.260776733940559</v>
      </c>
      <c r="BV49" s="3">
        <v>8.8729221051100475E-3</v>
      </c>
      <c r="BW49" s="3">
        <f t="shared" si="32"/>
        <v>0.2594114910393408</v>
      </c>
      <c r="BX49" s="3">
        <v>3.0375196819186091E-3</v>
      </c>
      <c r="BY49" s="3">
        <f t="shared" si="33"/>
        <v>-8.6103542255909834E-6</v>
      </c>
      <c r="BZ49" s="3">
        <f t="shared" si="34"/>
        <v>2.6951675530402467E-5</v>
      </c>
      <c r="CA49" s="3">
        <f t="shared" si="35"/>
        <v>2.7304858024364553E-3</v>
      </c>
      <c r="CC49" s="3">
        <v>11</v>
      </c>
      <c r="CD49" s="3">
        <f t="shared" si="46"/>
        <v>0.2280109043113217</v>
      </c>
      <c r="CE49" s="3">
        <v>-1.0524826347951355E-2</v>
      </c>
      <c r="CF49" s="3">
        <f t="shared" si="47"/>
        <v>0.23074139011375816</v>
      </c>
      <c r="CG49" s="3">
        <v>4.4241478068339762E-4</v>
      </c>
      <c r="CH49" s="3">
        <f t="shared" si="36"/>
        <v>0.22937614721253993</v>
      </c>
      <c r="CI49" s="3">
        <v>-5.0211272575430826E-3</v>
      </c>
      <c r="CJ49" s="3">
        <f t="shared" si="37"/>
        <v>5.2846492456606162E-5</v>
      </c>
      <c r="CK49" s="3">
        <f t="shared" si="38"/>
        <v>-2.2214209144293528E-6</v>
      </c>
      <c r="CL49" s="3">
        <f t="shared" si="39"/>
        <v>2.7304858024364553E-3</v>
      </c>
    </row>
    <row r="50" spans="2:90" x14ac:dyDescent="0.2">
      <c r="B50" s="7" t="s">
        <v>265</v>
      </c>
      <c r="C50" s="18">
        <f>39.5112*0.3048^2</f>
        <v>3.6707105940480003</v>
      </c>
      <c r="D50" s="7" t="s">
        <v>11</v>
      </c>
      <c r="F50" s="68" t="s">
        <v>84</v>
      </c>
      <c r="G50" s="68"/>
      <c r="H50" s="68"/>
      <c r="X50" s="3">
        <v>11</v>
      </c>
      <c r="Y50" s="3">
        <f t="shared" si="48"/>
        <v>0.97119140625</v>
      </c>
      <c r="Z50" s="3">
        <f t="shared" si="29"/>
        <v>2.3418769827099339E-4</v>
      </c>
      <c r="AA50" s="3">
        <f t="shared" si="49"/>
        <v>0.9716796875</v>
      </c>
      <c r="AB50" s="3">
        <f t="shared" si="30"/>
        <v>-3.697212980194875E-4</v>
      </c>
      <c r="AC50" s="3">
        <f t="shared" si="40"/>
        <v>0.971435546875</v>
      </c>
      <c r="AD50" s="3">
        <f t="shared" si="31"/>
        <v>-6.7781233170083333E-5</v>
      </c>
      <c r="AE50" s="3">
        <f t="shared" si="41"/>
        <v>-1.5873530982071323E-8</v>
      </c>
      <c r="AF50" s="3">
        <f t="shared" si="42"/>
        <v>2.506016550900475E-8</v>
      </c>
      <c r="AG50" s="3">
        <f t="shared" si="43"/>
        <v>4.8828125E-4</v>
      </c>
      <c r="AI50" s="3">
        <v>1</v>
      </c>
      <c r="AJ50" s="4">
        <v>50</v>
      </c>
      <c r="AK50" s="3">
        <f t="dataTable" ref="AK50:AK79" dt2D="0" dtr="0" r1="C6" ca="1"/>
        <v>4777.8009025467973</v>
      </c>
      <c r="AL50" s="4">
        <v>1500</v>
      </c>
      <c r="AM50" s="3">
        <f t="dataTable" ref="AM50:AM79" dt2D="0" dtr="0" r1="C6" ca="1"/>
        <v>-5120.3390296146536</v>
      </c>
      <c r="AN50" s="3">
        <f t="shared" ref="AN50:AN79" si="50">(AJ50+AL50)/2</f>
        <v>775</v>
      </c>
      <c r="AO50" s="3">
        <f t="dataTable" ref="AO50:AO79" dt2D="0" dtr="0" r1="C6" ca="1"/>
        <v>2143.6185012457659</v>
      </c>
      <c r="AP50" s="3">
        <f t="shared" ref="AP50:AP79" si="51">AK50*AO50</f>
        <v>10241782.409968033</v>
      </c>
      <c r="AQ50" s="3">
        <f t="shared" ref="AQ50:AQ79" si="52">AM50*AO50</f>
        <v>-10976053.476532763</v>
      </c>
      <c r="AR50" s="3">
        <f t="shared" ref="AR50:AR79" si="53">AL50-AJ50</f>
        <v>1450</v>
      </c>
      <c r="AX50" s="59" t="s">
        <v>172</v>
      </c>
      <c r="AY50" s="54">
        <v>-8.4939000000000004E-12</v>
      </c>
      <c r="AZ50" s="25">
        <v>-4.8275424E-9</v>
      </c>
      <c r="BA50" s="26">
        <v>-1.06847729E-6</v>
      </c>
      <c r="BB50" s="54">
        <v>3.7013959E-9</v>
      </c>
      <c r="BC50" s="25">
        <v>-1.9300005930000001E-7</v>
      </c>
      <c r="BD50" s="26">
        <v>-1.9024789776000001E-6</v>
      </c>
      <c r="BE50" s="54">
        <v>1.0310799999999999E-11</v>
      </c>
      <c r="BF50" s="25">
        <v>-5.7492829999999999E-9</v>
      </c>
      <c r="BG50" s="26">
        <v>1.2571656448000001E-6</v>
      </c>
      <c r="BJ50" s="3" t="s">
        <v>199</v>
      </c>
      <c r="BK50" s="3">
        <f>IF(BK45&lt;$BC$49, $AY$50*BK45^6 + $AZ$50*BK45^5 + $BA$50*BK45^4 + $AY$51*BK45^3 + $AZ$51*BK45^2 + $BA$51*BK45 + $AY$52, IF(BK45&gt;$BD$49, $BE$50*BK45^6 + $BF$50*BK45^5 + $BG$50*BK45^4 + $BE$51*BK45^3 + $BF$51*BK45^2 + $BG$51*BK45 + $BE$52, $BB$50*BK45^6 + $BC$50*BK45^5 + $BD$50*BK45^4 + $BB$51*BK45^3 + $BC$51*BK45^2 + $BD$51*BK45 + $BB$52) )</f>
        <v>0.68950953619778155</v>
      </c>
      <c r="BL50" s="3"/>
      <c r="BM50" s="3"/>
      <c r="BN50" s="3" t="s">
        <v>199</v>
      </c>
      <c r="BO50" s="3">
        <f>IF(BO45&lt;$BC$49, $AY$50*BO45^6 + $AZ$50*BO45^5 + $BA$50*BO45^4 + $AY$51*BO45^3 + $AZ$51*BO45^2 + $BA$51*BO45 + $AY$52, IF(BO45&gt;$BD$49, $BE$50*BO45^6 + $BF$50*BO45^5 + $BG$50*BO45^4 + $BE$51*BO45^3 + $BF$51*BO45^2 + $BG$51*BO45 + $BE$52, $BB$50*BO45^6 + $BC$50*BO45^5 + $BD$50*BO45^4 + $BB$51*BO45^3 + $BC$51*BO45^2 + $BD$51*BO45 + $BB$52) )</f>
        <v>0.64268305038442619</v>
      </c>
      <c r="BP50" s="3"/>
      <c r="BR50" s="3">
        <v>12</v>
      </c>
      <c r="BS50" s="3">
        <f t="shared" si="44"/>
        <v>0.25804624813812255</v>
      </c>
      <c r="BT50" s="3">
        <v>-2.8346661510856011E-3</v>
      </c>
      <c r="BU50" s="3">
        <f t="shared" si="45"/>
        <v>0.2594114910393408</v>
      </c>
      <c r="BV50" s="3">
        <v>3.0375196819186091E-3</v>
      </c>
      <c r="BW50" s="3">
        <f t="shared" si="32"/>
        <v>0.25872886958873165</v>
      </c>
      <c r="BX50" s="3">
        <v>1.0605525489549E-4</v>
      </c>
      <c r="BY50" s="3">
        <f t="shared" si="33"/>
        <v>-3.0063124119700098E-7</v>
      </c>
      <c r="BZ50" s="3">
        <f t="shared" si="34"/>
        <v>3.2214492411594575E-7</v>
      </c>
      <c r="CA50" s="3">
        <f t="shared" si="35"/>
        <v>1.3652429012182554E-3</v>
      </c>
      <c r="CC50" s="3">
        <v>12</v>
      </c>
      <c r="CD50" s="3">
        <f t="shared" si="46"/>
        <v>0.22937614721253993</v>
      </c>
      <c r="CE50" s="3">
        <v>-5.0211272575430826E-3</v>
      </c>
      <c r="CF50" s="3">
        <f t="shared" si="47"/>
        <v>0.23074139011375816</v>
      </c>
      <c r="CG50" s="3">
        <v>4.4241478068339762E-4</v>
      </c>
      <c r="CH50" s="3">
        <f t="shared" si="36"/>
        <v>0.23005876866314906</v>
      </c>
      <c r="CI50" s="3">
        <v>-2.2843785880829284E-3</v>
      </c>
      <c r="CJ50" s="3">
        <f t="shared" si="37"/>
        <v>1.1470155595170973E-5</v>
      </c>
      <c r="CK50" s="3">
        <f t="shared" si="38"/>
        <v>-1.0106428520445583E-6</v>
      </c>
      <c r="CL50" s="3">
        <f t="shared" si="39"/>
        <v>1.3652429012182277E-3</v>
      </c>
    </row>
    <row r="51" spans="2:90" x14ac:dyDescent="0.2">
      <c r="B51" s="7" t="s">
        <v>266</v>
      </c>
      <c r="C51" s="18">
        <f>0.15*3.7875*0.3048</f>
        <v>0.1731645</v>
      </c>
      <c r="D51" s="7" t="s">
        <v>8</v>
      </c>
      <c r="F51" s="7" t="s">
        <v>88</v>
      </c>
      <c r="G51" s="18">
        <f>100*0.3048/60</f>
        <v>0.50800000000000001</v>
      </c>
      <c r="H51" s="7" t="s">
        <v>10</v>
      </c>
      <c r="X51" s="3">
        <v>12</v>
      </c>
      <c r="Y51" s="3">
        <f t="shared" si="48"/>
        <v>0.97119140625</v>
      </c>
      <c r="Z51" s="3">
        <f t="shared" si="29"/>
        <v>2.3418769827099339E-4</v>
      </c>
      <c r="AA51" s="3">
        <f t="shared" si="49"/>
        <v>0.971435546875</v>
      </c>
      <c r="AB51" s="3">
        <f t="shared" si="30"/>
        <v>-6.7781233170083333E-5</v>
      </c>
      <c r="AC51" s="3">
        <f t="shared" si="40"/>
        <v>0.9713134765625</v>
      </c>
      <c r="AD51" s="3">
        <f t="shared" si="31"/>
        <v>8.3199622878060708E-5</v>
      </c>
      <c r="AE51" s="3">
        <f t="shared" si="41"/>
        <v>1.948432817882772E-8</v>
      </c>
      <c r="AF51" s="3">
        <f t="shared" si="42"/>
        <v>-5.6393730379608327E-9</v>
      </c>
      <c r="AG51" s="3">
        <f t="shared" si="43"/>
        <v>2.44140625E-4</v>
      </c>
      <c r="AI51" s="3">
        <v>2</v>
      </c>
      <c r="AJ51" s="3">
        <f t="shared" ref="AJ51:AJ79" si="54">IF(AP50&gt;0, AN50, AJ50)</f>
        <v>775</v>
      </c>
      <c r="AK51" s="3">
        <v>2143.6185012457659</v>
      </c>
      <c r="AL51" s="3">
        <f t="shared" ref="AL51:AL79" si="55">IF(AQ50&gt;0, AN50, AL50)</f>
        <v>1500</v>
      </c>
      <c r="AM51" s="3">
        <v>-5120.3390296146536</v>
      </c>
      <c r="AN51" s="3">
        <f t="shared" si="50"/>
        <v>1137.5</v>
      </c>
      <c r="AO51" s="3">
        <v>-909.6383729895224</v>
      </c>
      <c r="AP51" s="3">
        <f t="shared" si="51"/>
        <v>-1949917.645783437</v>
      </c>
      <c r="AQ51" s="3">
        <f t="shared" si="52"/>
        <v>4657656.8640534235</v>
      </c>
      <c r="AR51" s="3">
        <f t="shared" si="53"/>
        <v>725</v>
      </c>
      <c r="AX51" s="59"/>
      <c r="AY51" s="28">
        <v>-1.1499587328259999E-4</v>
      </c>
      <c r="AZ51" s="3">
        <v>-6.1271552300758998E-3</v>
      </c>
      <c r="BA51" s="32">
        <v>-0.159010230133804</v>
      </c>
      <c r="BB51" s="28">
        <v>-7.5438686490999997E-5</v>
      </c>
      <c r="BC51" s="3">
        <v>3.1904202837819998E-4</v>
      </c>
      <c r="BD51" s="32">
        <v>0.119153856516412</v>
      </c>
      <c r="BE51" s="28">
        <v>-1.3598505110960001E-4</v>
      </c>
      <c r="BF51" s="3">
        <v>7.5612407541648004E-3</v>
      </c>
      <c r="BG51" s="32">
        <v>-0.21971859837524699</v>
      </c>
      <c r="BJ51" s="3" t="s">
        <v>200</v>
      </c>
      <c r="BK51" s="3">
        <f>IF(BK45&lt;$BC$49, $AY$53*BK45^6 + $AZ$53*BK45^5 + $BA$53*BK45^4 + $AY$54*BK45^3 + $AZ$54*BK45^2 + $BA$54*BK45 + $AY$55, IF(BK45&gt;$BD$49, $BE$53*BK45^6 + $BF$53*BK45^5 + $BG$53*BK45^4 + $BE$54*BK45^3 + $BF$54*BK45^2 + $BG$54*BK45 + $BE$55, $BB$53*BK45^6 + $BC$53*BK45^5 + $BD$53*BK45^4 + $BB$54*BK45^3 + $BC$54*BK45^2 + $BD$54*BK45 + $BB$55) )</f>
        <v>6.659762104210773E-2</v>
      </c>
      <c r="BL51" s="3"/>
      <c r="BM51" s="3"/>
      <c r="BN51" s="3" t="s">
        <v>200</v>
      </c>
      <c r="BO51" s="3">
        <f>IF(BO45&lt;$BC$49, $AY$53*BO45^6 + $AZ$53*BO45^5 + $BA$53*BO45^4 + $AY$54*BO45^3 + $AZ$54*BO45^2 + $BA$54*BO45 + $AY$55, IF(BO45&gt;$BD$49, $BE$53*BO45^6 + $BF$53*BO45^5 + $BG$53*BO45^4 + $BE$54*BO45^3 + $BF$54*BO45^2 + $BG$54*BO45 + $BE$55, $BB$53*BO45^6 + $BC$53*BO45^5 + $BD$53*BO45^4 + $BB$54*BO45^3 + $BC$54*BO45^2 + $BD$54*BO45 + $BB$55) )</f>
        <v>6.9419093573161728E-2</v>
      </c>
      <c r="BP51" s="3"/>
      <c r="BR51" s="3">
        <v>13</v>
      </c>
      <c r="BS51" s="3">
        <f t="shared" si="44"/>
        <v>0.25804624813812255</v>
      </c>
      <c r="BT51" s="3">
        <v>-2.8346661510856011E-3</v>
      </c>
      <c r="BU51" s="3">
        <f t="shared" si="45"/>
        <v>0.25872886958873165</v>
      </c>
      <c r="BV51" s="3">
        <v>1.0605525489549E-4</v>
      </c>
      <c r="BW51" s="3">
        <f t="shared" si="32"/>
        <v>0.25838755886342712</v>
      </c>
      <c r="BX51" s="3">
        <v>-1.3631444718249361E-3</v>
      </c>
      <c r="BY51" s="3">
        <f t="shared" si="33"/>
        <v>3.864059493321606E-6</v>
      </c>
      <c r="BZ51" s="3">
        <f t="shared" si="34"/>
        <v>-1.4456863441877168E-7</v>
      </c>
      <c r="CA51" s="3">
        <f t="shared" si="35"/>
        <v>6.8262145060909996E-4</v>
      </c>
      <c r="CC51" s="3">
        <v>13</v>
      </c>
      <c r="CD51" s="3">
        <f t="shared" si="46"/>
        <v>0.23005876866314906</v>
      </c>
      <c r="CE51" s="3">
        <v>-2.2843785880829284E-3</v>
      </c>
      <c r="CF51" s="3">
        <f t="shared" si="47"/>
        <v>0.23074139011375816</v>
      </c>
      <c r="CG51" s="3">
        <v>4.4241478068339762E-4</v>
      </c>
      <c r="CH51" s="3">
        <f t="shared" si="36"/>
        <v>0.23040007938845361</v>
      </c>
      <c r="CI51" s="3">
        <v>-9.1974268488472129E-4</v>
      </c>
      <c r="CJ51" s="3">
        <f t="shared" si="37"/>
        <v>2.1010404958965614E-6</v>
      </c>
      <c r="CK51" s="3">
        <f t="shared" si="38"/>
        <v>-4.0690775821843323E-7</v>
      </c>
      <c r="CL51" s="3">
        <f t="shared" si="39"/>
        <v>6.8262145060909996E-4</v>
      </c>
    </row>
    <row r="52" spans="2:90" x14ac:dyDescent="0.2">
      <c r="F52" s="7" t="s">
        <v>94</v>
      </c>
      <c r="G52" s="18">
        <f>50*0.3048</f>
        <v>15.24</v>
      </c>
      <c r="H52" s="7" t="s">
        <v>8</v>
      </c>
      <c r="X52" s="3">
        <v>13</v>
      </c>
      <c r="Y52" s="3">
        <f t="shared" si="48"/>
        <v>0.9713134765625</v>
      </c>
      <c r="Z52" s="3">
        <f t="shared" si="29"/>
        <v>8.3199622878060708E-5</v>
      </c>
      <c r="AA52" s="3">
        <f t="shared" si="49"/>
        <v>0.971435546875</v>
      </c>
      <c r="AB52" s="3">
        <f t="shared" si="30"/>
        <v>-6.7781233170083333E-5</v>
      </c>
      <c r="AC52" s="3">
        <f t="shared" si="40"/>
        <v>0.97137451171875</v>
      </c>
      <c r="AD52" s="3">
        <f t="shared" si="31"/>
        <v>7.7082926045468625E-6</v>
      </c>
      <c r="AE52" s="3">
        <f t="shared" si="41"/>
        <v>6.4132703773204327E-10</v>
      </c>
      <c r="AF52" s="3">
        <f t="shared" si="42"/>
        <v>-5.2247757837201985E-10</v>
      </c>
      <c r="AG52" s="3">
        <f t="shared" si="43"/>
        <v>1.220703125E-4</v>
      </c>
      <c r="AI52" s="3">
        <v>3</v>
      </c>
      <c r="AJ52" s="3">
        <f t="shared" si="54"/>
        <v>775</v>
      </c>
      <c r="AK52" s="3">
        <v>2143.6185012457659</v>
      </c>
      <c r="AL52" s="3">
        <f t="shared" si="55"/>
        <v>1137.5</v>
      </c>
      <c r="AM52" s="3">
        <v>-909.6383729895224</v>
      </c>
      <c r="AN52" s="3">
        <f t="shared" si="50"/>
        <v>956.25</v>
      </c>
      <c r="AO52" s="3">
        <v>761.67053692685386</v>
      </c>
      <c r="AP52" s="3">
        <f t="shared" si="51"/>
        <v>1632731.0548102001</v>
      </c>
      <c r="AQ52" s="3">
        <f t="shared" si="52"/>
        <v>-692844.74796419928</v>
      </c>
      <c r="AR52" s="3">
        <f t="shared" si="53"/>
        <v>362.5</v>
      </c>
      <c r="AX52" s="59"/>
      <c r="AY52" s="56">
        <v>-2.4012358386552801</v>
      </c>
      <c r="AZ52" s="57"/>
      <c r="BA52" s="58"/>
      <c r="BB52" s="56">
        <v>0.149391545914075</v>
      </c>
      <c r="BC52" s="57"/>
      <c r="BD52" s="58"/>
      <c r="BE52" s="56">
        <v>3.65120250353774</v>
      </c>
      <c r="BF52" s="57"/>
      <c r="BG52" s="58"/>
      <c r="BJ52" s="3" t="s">
        <v>202</v>
      </c>
      <c r="BK52" s="3">
        <f xml:space="preserve"> BK50*COS(BK42) - BK51*SIN(BK42)</f>
        <v>0.66100351929058443</v>
      </c>
      <c r="BL52" s="3"/>
      <c r="BM52" s="3"/>
      <c r="BN52" s="3" t="s">
        <v>202</v>
      </c>
      <c r="BO52" s="3">
        <f xml:space="preserve"> BO50*COS(BO42) - BO51*SIN(BO42)</f>
        <v>0.61826670286978092</v>
      </c>
      <c r="BP52" s="3"/>
      <c r="BR52" s="3">
        <v>14</v>
      </c>
      <c r="BS52" s="3">
        <f t="shared" si="44"/>
        <v>0.25838755886342712</v>
      </c>
      <c r="BT52" s="3">
        <v>-1.3631444718249361E-3</v>
      </c>
      <c r="BU52" s="3">
        <f t="shared" si="45"/>
        <v>0.25872886958873165</v>
      </c>
      <c r="BV52" s="3">
        <v>1.0605525489549E-4</v>
      </c>
      <c r="BW52" s="3">
        <f t="shared" si="32"/>
        <v>0.25855821422607939</v>
      </c>
      <c r="BX52" s="3">
        <v>-6.2825484764266522E-4</v>
      </c>
      <c r="BY52" s="3">
        <f t="shared" si="33"/>
        <v>8.5640212246131652E-7</v>
      </c>
      <c r="BZ52" s="3">
        <f t="shared" si="34"/>
        <v>-6.6629728006070091E-8</v>
      </c>
      <c r="CA52" s="3">
        <f t="shared" si="35"/>
        <v>3.4131072530452222E-4</v>
      </c>
      <c r="CC52" s="3">
        <v>14</v>
      </c>
      <c r="CD52" s="3">
        <f t="shared" si="46"/>
        <v>0.23040007938845361</v>
      </c>
      <c r="CE52" s="3">
        <v>-9.1974268488472129E-4</v>
      </c>
      <c r="CF52" s="3">
        <f t="shared" si="47"/>
        <v>0.23074139011375816</v>
      </c>
      <c r="CG52" s="3">
        <v>4.4241478068339762E-4</v>
      </c>
      <c r="CH52" s="3">
        <f t="shared" si="36"/>
        <v>0.2305707347511059</v>
      </c>
      <c r="CI52" s="3">
        <v>-2.3835479328710579E-4</v>
      </c>
      <c r="CJ52" s="3">
        <f t="shared" si="37"/>
        <v>2.1922507753302541E-7</v>
      </c>
      <c r="CK52" s="3">
        <f t="shared" si="38"/>
        <v>-1.0545168359695148E-7</v>
      </c>
      <c r="CL52" s="3">
        <f t="shared" si="39"/>
        <v>3.4131072530454998E-4</v>
      </c>
    </row>
    <row r="53" spans="2:90" x14ac:dyDescent="0.2">
      <c r="B53" s="68" t="s">
        <v>267</v>
      </c>
      <c r="C53" s="68"/>
      <c r="D53" s="68"/>
      <c r="F53" s="7" t="s">
        <v>93</v>
      </c>
      <c r="G53" s="7">
        <f xml:space="preserve"> $G$52/$G$51</f>
        <v>30</v>
      </c>
      <c r="H53" s="7" t="s">
        <v>14</v>
      </c>
      <c r="X53" s="3">
        <v>14</v>
      </c>
      <c r="Y53" s="3">
        <f t="shared" si="48"/>
        <v>0.97137451171875</v>
      </c>
      <c r="Z53" s="3">
        <f t="shared" si="29"/>
        <v>7.7082926045468625E-6</v>
      </c>
      <c r="AA53" s="3">
        <f t="shared" si="49"/>
        <v>0.971435546875</v>
      </c>
      <c r="AB53" s="3">
        <f t="shared" si="30"/>
        <v>-6.7781233170083333E-5</v>
      </c>
      <c r="AC53" s="3">
        <f t="shared" si="40"/>
        <v>0.971405029296875</v>
      </c>
      <c r="AD53" s="3">
        <f t="shared" si="31"/>
        <v>-3.0036695824131598E-5</v>
      </c>
      <c r="AE53" s="3">
        <f t="shared" si="41"/>
        <v>-2.3153164028617724E-10</v>
      </c>
      <c r="AF53" s="3">
        <f t="shared" si="42"/>
        <v>2.0359242833143322E-9</v>
      </c>
      <c r="AG53" s="3">
        <f t="shared" si="43"/>
        <v>6.103515625E-5</v>
      </c>
      <c r="AI53" s="3">
        <v>4</v>
      </c>
      <c r="AJ53" s="3">
        <f t="shared" si="54"/>
        <v>956.25</v>
      </c>
      <c r="AK53" s="3">
        <v>761.67053692685386</v>
      </c>
      <c r="AL53" s="3">
        <f t="shared" si="55"/>
        <v>1137.5</v>
      </c>
      <c r="AM53" s="3">
        <v>-909.6383729895224</v>
      </c>
      <c r="AN53" s="3">
        <f t="shared" si="50"/>
        <v>1046.875</v>
      </c>
      <c r="AO53" s="3">
        <v>-37.813799831649703</v>
      </c>
      <c r="AP53" s="3">
        <f t="shared" si="51"/>
        <v>-28801.657221017205</v>
      </c>
      <c r="AQ53" s="3">
        <f t="shared" si="52"/>
        <v>34396.883355413309</v>
      </c>
      <c r="AR53" s="3">
        <f t="shared" si="53"/>
        <v>181.25</v>
      </c>
      <c r="AX53" s="59" t="s">
        <v>176</v>
      </c>
      <c r="AY53" s="54">
        <v>-1.0006E-12</v>
      </c>
      <c r="AZ53" s="25">
        <v>-5.4488110000000002E-10</v>
      </c>
      <c r="BA53" s="26">
        <v>-8.9150928300000004E-8</v>
      </c>
      <c r="BB53" s="3">
        <v>-7.9540000000000002E-13</v>
      </c>
      <c r="BC53" s="3">
        <v>4.1436390000000001E-10</v>
      </c>
      <c r="BD53" s="3">
        <v>-5.42459956E-8</v>
      </c>
      <c r="BE53" s="54">
        <v>5.9965836000000003E-9</v>
      </c>
      <c r="BF53" s="25">
        <v>-6.3543269799999999E-8</v>
      </c>
      <c r="BG53" s="26">
        <v>-1.1662640125E-6</v>
      </c>
      <c r="BJ53" s="3" t="s">
        <v>204</v>
      </c>
      <c r="BK53" s="3">
        <f xml:space="preserve"> BK50*SIN(BK42) + BK51*COS(BK42)</f>
        <v>0.2072027777844932</v>
      </c>
      <c r="BL53" s="3"/>
      <c r="BM53" s="3"/>
      <c r="BN53" s="3" t="s">
        <v>204</v>
      </c>
      <c r="BO53" s="3">
        <f xml:space="preserve"> BO50*SIN(BO42) + BO51*COS(BO42)</f>
        <v>0.18869763625037872</v>
      </c>
      <c r="BP53" s="3"/>
      <c r="BR53" s="3">
        <v>15</v>
      </c>
      <c r="BS53" s="3">
        <f t="shared" si="44"/>
        <v>0.25855821422607939</v>
      </c>
      <c r="BT53" s="3">
        <v>-6.2825484764266522E-4</v>
      </c>
      <c r="BU53" s="3">
        <f t="shared" si="45"/>
        <v>0.25872886958873165</v>
      </c>
      <c r="BV53" s="3">
        <v>1.0605525489549E-4</v>
      </c>
      <c r="BW53" s="3">
        <f t="shared" si="32"/>
        <v>0.25864354190740552</v>
      </c>
      <c r="BX53" s="3">
        <v>-2.6102741644128905E-4</v>
      </c>
      <c r="BY53" s="3">
        <f t="shared" si="33"/>
        <v>1.6399173974688058E-7</v>
      </c>
      <c r="BZ53" s="3">
        <f t="shared" si="34"/>
        <v>-2.7683329185392126E-8</v>
      </c>
      <c r="CA53" s="3">
        <f t="shared" si="35"/>
        <v>1.7065536265226111E-4</v>
      </c>
      <c r="CC53" s="3">
        <v>15</v>
      </c>
      <c r="CD53" s="3">
        <f t="shared" si="46"/>
        <v>0.2305707347511059</v>
      </c>
      <c r="CE53" s="3">
        <v>-2.3835479328710579E-4</v>
      </c>
      <c r="CF53" s="3">
        <f t="shared" si="47"/>
        <v>0.23074139011375816</v>
      </c>
      <c r="CG53" s="3">
        <v>4.4241478068339762E-4</v>
      </c>
      <c r="CH53" s="3">
        <f t="shared" si="36"/>
        <v>0.23065606243243203</v>
      </c>
      <c r="CI53" s="3">
        <v>1.0210720287224997E-4</v>
      </c>
      <c r="CJ53" s="3">
        <f t="shared" si="37"/>
        <v>-2.4337741233739717E-8</v>
      </c>
      <c r="CK53" s="3">
        <f t="shared" si="38"/>
        <v>4.5173735764921656E-8</v>
      </c>
      <c r="CL53" s="3">
        <f t="shared" si="39"/>
        <v>1.7065536265226111E-4</v>
      </c>
    </row>
    <row r="54" spans="2:90" x14ac:dyDescent="0.2">
      <c r="B54" s="7" t="s">
        <v>268</v>
      </c>
      <c r="C54" s="18">
        <v>1.1798999999999999</v>
      </c>
      <c r="F54" s="7" t="s">
        <v>21</v>
      </c>
      <c r="G54" s="7">
        <f xml:space="preserve"> $C$5 * $C$68 / $C$23</f>
        <v>5000.178195054179</v>
      </c>
      <c r="H54" s="7" t="s">
        <v>22</v>
      </c>
      <c r="X54" s="3">
        <v>15</v>
      </c>
      <c r="Y54" s="3">
        <f t="shared" si="48"/>
        <v>0.97137451171875</v>
      </c>
      <c r="Z54" s="3">
        <f t="shared" si="29"/>
        <v>7.7082926045468625E-6</v>
      </c>
      <c r="AA54" s="3">
        <f t="shared" si="49"/>
        <v>0.971405029296875</v>
      </c>
      <c r="AB54" s="3">
        <f t="shared" si="30"/>
        <v>-3.0036695824131598E-5</v>
      </c>
      <c r="AC54" s="3">
        <f t="shared" si="40"/>
        <v>0.9713897705078125</v>
      </c>
      <c r="AD54" s="3">
        <f t="shared" si="31"/>
        <v>-1.1164257997742233E-5</v>
      </c>
      <c r="AE54" s="3">
        <f t="shared" si="41"/>
        <v>-8.6057367359249616E-11</v>
      </c>
      <c r="AF54" s="3">
        <f t="shared" si="42"/>
        <v>3.3533742158031195E-10</v>
      </c>
      <c r="AG54" s="3">
        <f t="shared" si="43"/>
        <v>3.0517578125E-5</v>
      </c>
      <c r="AI54" s="3">
        <v>5</v>
      </c>
      <c r="AJ54" s="3">
        <f t="shared" si="54"/>
        <v>956.25</v>
      </c>
      <c r="AK54" s="3">
        <v>761.67053692685386</v>
      </c>
      <c r="AL54" s="3">
        <f t="shared" si="55"/>
        <v>1046.875</v>
      </c>
      <c r="AM54" s="3">
        <v>-37.813799831649703</v>
      </c>
      <c r="AN54" s="3">
        <f t="shared" si="50"/>
        <v>1001.5625</v>
      </c>
      <c r="AO54" s="3">
        <v>370.97089809752288</v>
      </c>
      <c r="AP54" s="3">
        <f t="shared" si="51"/>
        <v>282557.60313817742</v>
      </c>
      <c r="AQ54" s="3">
        <f t="shared" si="52"/>
        <v>-14027.819284027049</v>
      </c>
      <c r="AR54" s="3">
        <f t="shared" si="53"/>
        <v>90.625</v>
      </c>
      <c r="AX54" s="59"/>
      <c r="AY54" s="28">
        <v>-2.5152080542999999E-6</v>
      </c>
      <c r="AZ54" s="3">
        <v>3.1024404767040001E-4</v>
      </c>
      <c r="BA54" s="32">
        <v>2.5353308848270002E-4</v>
      </c>
      <c r="BB54" s="3">
        <v>-2.3838353068999999E-6</v>
      </c>
      <c r="BC54" s="3">
        <v>6.7252067827910001E-4</v>
      </c>
      <c r="BD54" s="3">
        <v>-1.27258419497411E-2</v>
      </c>
      <c r="BE54" s="28">
        <v>9.3159135848999998E-6</v>
      </c>
      <c r="BF54" s="3">
        <v>1.3749855601419999E-4</v>
      </c>
      <c r="BG54" s="32">
        <v>-3.8346064905490001E-4</v>
      </c>
      <c r="BJ54" s="3" t="s">
        <v>38</v>
      </c>
      <c r="BK54" s="3">
        <f xml:space="preserve"> 4*BK49*SIN(BK42)*SIN(BK42) / (BK46*BK52)</f>
        <v>1.0241576788288917</v>
      </c>
      <c r="BL54" s="3"/>
      <c r="BM54" s="3"/>
      <c r="BN54" s="3" t="s">
        <v>38</v>
      </c>
      <c r="BO54" s="3">
        <f xml:space="preserve"> 4*BO49*SIN(BO42)*SIN(BO42) / (BO46*BO52)</f>
        <v>1.0229567775050727</v>
      </c>
      <c r="BP54" s="3"/>
      <c r="BR54" s="3">
        <v>16</v>
      </c>
      <c r="BS54" s="3">
        <f t="shared" si="44"/>
        <v>0.25864354190740552</v>
      </c>
      <c r="BT54" s="3">
        <v>-2.6102741644128905E-4</v>
      </c>
      <c r="BU54" s="3">
        <f t="shared" si="45"/>
        <v>0.25872886958873165</v>
      </c>
      <c r="BV54" s="3">
        <v>1.0605525489549E-4</v>
      </c>
      <c r="BW54" s="3">
        <f t="shared" si="32"/>
        <v>0.25868620574806855</v>
      </c>
      <c r="BX54" s="3">
        <v>-7.7467993315935048E-5</v>
      </c>
      <c r="BY54" s="3">
        <f t="shared" si="33"/>
        <v>2.0221270152149573E-8</v>
      </c>
      <c r="BZ54" s="3">
        <f t="shared" si="34"/>
        <v>-8.2158877773636065E-9</v>
      </c>
      <c r="CA54" s="3">
        <f t="shared" si="35"/>
        <v>8.5327681326130556E-5</v>
      </c>
      <c r="CC54" s="3">
        <v>16</v>
      </c>
      <c r="CD54" s="3">
        <f t="shared" si="46"/>
        <v>0.2305707347511059</v>
      </c>
      <c r="CE54" s="3">
        <v>-2.3835479328710579E-4</v>
      </c>
      <c r="CF54" s="3">
        <f t="shared" si="47"/>
        <v>0.23065606243243203</v>
      </c>
      <c r="CG54" s="3">
        <v>1.0210720287224997E-4</v>
      </c>
      <c r="CH54" s="3">
        <f t="shared" si="36"/>
        <v>0.23061339859176896</v>
      </c>
      <c r="CI54" s="3">
        <v>-6.8104482856936113E-5</v>
      </c>
      <c r="CJ54" s="3">
        <f t="shared" si="37"/>
        <v>1.6233029933290246E-8</v>
      </c>
      <c r="CK54" s="3">
        <f t="shared" si="38"/>
        <v>-6.9539582475828456E-9</v>
      </c>
      <c r="CL54" s="3">
        <f t="shared" si="39"/>
        <v>8.5327681326130556E-5</v>
      </c>
    </row>
    <row r="55" spans="2:90" x14ac:dyDescent="0.2">
      <c r="B55" s="7" t="s">
        <v>269</v>
      </c>
      <c r="C55" s="18">
        <f>27.34325*0.3048^2</f>
        <v>2.5402710484800002</v>
      </c>
      <c r="D55" s="7" t="s">
        <v>11</v>
      </c>
      <c r="F55" s="44" t="s">
        <v>86</v>
      </c>
      <c r="G55" s="44">
        <f xml:space="preserve"> 1/1000 * IF( $G$51&gt;=2*SQRT(($C$5*$C$68)/(2*$C$65*$C$23*PI()*$C$10*$C$10)), ($C$5*$C$68)/$C$26 * ( ($G$51/2) - SQRT( ($G$51/2)^2 - ($C$5*$C$68)/(2*$C$65*$C$23*PI()*$C$10*$C$10 ) ) ), 1/$C$26 * SQRT(($C$5*$C$68)^3/(2*$C$65*$C$23*PI()*$C$10*$C$10)) )</f>
        <v>975.96697772530467</v>
      </c>
      <c r="H55" s="44" t="s">
        <v>116</v>
      </c>
      <c r="X55" s="3">
        <v>16</v>
      </c>
      <c r="Y55" s="3">
        <f t="shared" si="48"/>
        <v>0.97137451171875</v>
      </c>
      <c r="Z55" s="3">
        <f t="shared" si="29"/>
        <v>7.7082926045468625E-6</v>
      </c>
      <c r="AA55" s="3">
        <f t="shared" si="49"/>
        <v>0.9713897705078125</v>
      </c>
      <c r="AB55" s="3">
        <f t="shared" si="30"/>
        <v>-1.1164257997742233E-5</v>
      </c>
      <c r="AC55" s="3">
        <f t="shared" si="40"/>
        <v>0.97138214111328125</v>
      </c>
      <c r="AD55" s="3">
        <f t="shared" si="31"/>
        <v>-1.727996793876585E-6</v>
      </c>
      <c r="AE55" s="3">
        <f t="shared" si="41"/>
        <v>-1.331990490691957E-11</v>
      </c>
      <c r="AF55" s="3">
        <f t="shared" si="42"/>
        <v>1.9291802026109602E-11</v>
      </c>
      <c r="AG55" s="3">
        <f t="shared" si="43"/>
        <v>1.52587890625E-5</v>
      </c>
      <c r="AI55" s="3">
        <v>6</v>
      </c>
      <c r="AJ55" s="3">
        <f t="shared" si="54"/>
        <v>1001.5625</v>
      </c>
      <c r="AK55" s="3">
        <v>370.97089809752288</v>
      </c>
      <c r="AL55" s="3">
        <f t="shared" si="55"/>
        <v>1046.875</v>
      </c>
      <c r="AM55" s="3">
        <v>-37.813799831649703</v>
      </c>
      <c r="AN55" s="3">
        <f t="shared" si="50"/>
        <v>1024.21875</v>
      </c>
      <c r="AO55" s="3">
        <v>168.83918152041679</v>
      </c>
      <c r="AP55" s="3">
        <f t="shared" si="51"/>
        <v>62634.422802679706</v>
      </c>
      <c r="AQ55" s="3">
        <f t="shared" si="52"/>
        <v>-6384.4510137526104</v>
      </c>
      <c r="AR55" s="3">
        <f t="shared" si="53"/>
        <v>45.3125</v>
      </c>
      <c r="AX55" s="60"/>
      <c r="AY55" s="56">
        <v>-1.5880058514071E-2</v>
      </c>
      <c r="AZ55" s="57"/>
      <c r="BA55" s="58"/>
      <c r="BB55" s="57">
        <v>0.110802661807325</v>
      </c>
      <c r="BC55" s="57"/>
      <c r="BD55" s="57"/>
      <c r="BE55" s="56">
        <v>7.4721088420790002E-3</v>
      </c>
      <c r="BF55" s="57"/>
      <c r="BG55" s="58"/>
      <c r="BJ55" s="3" t="s">
        <v>206</v>
      </c>
      <c r="BK55" s="3">
        <f xml:space="preserve"> 4*BK49*SIN(BK42)*COS(BK42) / (BK46*BK53)</f>
        <v>15.520631192936532</v>
      </c>
      <c r="BL55" s="3"/>
      <c r="BM55" s="3"/>
      <c r="BN55" s="3" t="s">
        <v>206</v>
      </c>
      <c r="BO55" s="3">
        <f xml:space="preserve"> 4*BO49*SIN(BO42)*COS(BO42) / (BO46*BO53)</f>
        <v>17.557737722920582</v>
      </c>
      <c r="BP55" s="3"/>
      <c r="BR55" s="3">
        <v>17</v>
      </c>
      <c r="BS55" s="3">
        <f t="shared" si="44"/>
        <v>0.25868620574806855</v>
      </c>
      <c r="BT55" s="3">
        <v>-7.7467993315935048E-5</v>
      </c>
      <c r="BU55" s="3">
        <f t="shared" si="45"/>
        <v>0.25872886958873165</v>
      </c>
      <c r="BV55" s="3">
        <v>1.0605525489549E-4</v>
      </c>
      <c r="BW55" s="3">
        <f t="shared" si="32"/>
        <v>0.2587075376684001</v>
      </c>
      <c r="BX55" s="3">
        <v>1.429815171386916E-5</v>
      </c>
      <c r="BY55" s="3">
        <f t="shared" si="33"/>
        <v>-1.1076491214002414E-9</v>
      </c>
      <c r="BZ55" s="3">
        <f t="shared" si="34"/>
        <v>1.5163941245487809E-9</v>
      </c>
      <c r="CA55" s="3">
        <f t="shared" si="35"/>
        <v>4.2663840663093033E-5</v>
      </c>
      <c r="CC55" s="3">
        <v>17</v>
      </c>
      <c r="CD55" s="3">
        <f t="shared" si="46"/>
        <v>0.23061339859176896</v>
      </c>
      <c r="CE55" s="3">
        <v>-6.8104482856936113E-5</v>
      </c>
      <c r="CF55" s="3">
        <f t="shared" si="47"/>
        <v>0.23065606243243203</v>
      </c>
      <c r="CG55" s="3">
        <v>1.0210720287224997E-4</v>
      </c>
      <c r="CH55" s="3">
        <f t="shared" si="36"/>
        <v>0.23063473051210048</v>
      </c>
      <c r="CI55" s="3">
        <v>1.7006186837554942E-5</v>
      </c>
      <c r="CJ55" s="3">
        <f t="shared" si="37"/>
        <v>-1.158197559940113E-9</v>
      </c>
      <c r="CK55" s="3">
        <f t="shared" si="38"/>
        <v>1.7364541695056096E-9</v>
      </c>
      <c r="CL55" s="3">
        <f t="shared" si="39"/>
        <v>4.2663840663065278E-5</v>
      </c>
    </row>
    <row r="56" spans="2:90" x14ac:dyDescent="0.2">
      <c r="B56" s="7" t="s">
        <v>270</v>
      </c>
      <c r="C56" s="18">
        <f>0.115*9.73719*0.3048</f>
        <v>0.34130798388000005</v>
      </c>
      <c r="D56" s="7" t="s">
        <v>8</v>
      </c>
      <c r="X56" s="3">
        <v>17</v>
      </c>
      <c r="Y56" s="3">
        <f t="shared" si="48"/>
        <v>0.97137451171875</v>
      </c>
      <c r="Z56" s="3">
        <f t="shared" si="29"/>
        <v>7.7082926045468625E-6</v>
      </c>
      <c r="AA56" s="3">
        <f t="shared" si="49"/>
        <v>0.97138214111328125</v>
      </c>
      <c r="AB56" s="3">
        <f t="shared" si="30"/>
        <v>-1.727996793876585E-6</v>
      </c>
      <c r="AC56" s="3">
        <f t="shared" si="40"/>
        <v>0.97137832641601562</v>
      </c>
      <c r="AD56" s="3">
        <f t="shared" si="31"/>
        <v>2.9901443809876582E-6</v>
      </c>
      <c r="AE56" s="3">
        <f t="shared" si="41"/>
        <v>2.3048907818494521E-11</v>
      </c>
      <c r="AF56" s="3">
        <f t="shared" si="42"/>
        <v>-5.1669599035747591E-12</v>
      </c>
      <c r="AG56" s="3">
        <f t="shared" si="43"/>
        <v>7.62939453125E-6</v>
      </c>
      <c r="AI56" s="3">
        <v>7</v>
      </c>
      <c r="AJ56" s="3">
        <f t="shared" si="54"/>
        <v>1024.21875</v>
      </c>
      <c r="AK56" s="3">
        <v>168.83918152041679</v>
      </c>
      <c r="AL56" s="3">
        <f t="shared" si="55"/>
        <v>1046.875</v>
      </c>
      <c r="AM56" s="3">
        <v>-37.813799831649703</v>
      </c>
      <c r="AN56" s="3">
        <f t="shared" si="50"/>
        <v>1035.546875</v>
      </c>
      <c r="AO56" s="3">
        <v>66.077848941253251</v>
      </c>
      <c r="AP56" s="3">
        <f t="shared" si="51"/>
        <v>11156.529931870939</v>
      </c>
      <c r="AQ56" s="3">
        <f t="shared" si="52"/>
        <v>-2498.6545531705365</v>
      </c>
      <c r="AR56" s="3">
        <f t="shared" si="53"/>
        <v>22.65625</v>
      </c>
      <c r="BJ56" s="3" t="s">
        <v>45</v>
      </c>
      <c r="BK56" s="3">
        <f>1/(BK54-1)</f>
        <v>41.394705471621492</v>
      </c>
      <c r="BL56" s="3"/>
      <c r="BM56" s="3"/>
      <c r="BN56" s="3" t="s">
        <v>45</v>
      </c>
      <c r="BO56" s="3">
        <f>1/(BO54-1)</f>
        <v>43.560120743385284</v>
      </c>
      <c r="BP56" s="3"/>
      <c r="BR56" s="3">
        <v>18</v>
      </c>
      <c r="BS56" s="3">
        <f t="shared" si="44"/>
        <v>0.25868620574806855</v>
      </c>
      <c r="BT56" s="3">
        <v>-7.7467993315935048E-5</v>
      </c>
      <c r="BU56" s="3">
        <f t="shared" si="45"/>
        <v>0.2587075376684001</v>
      </c>
      <c r="BV56" s="3">
        <v>1.429815171386916E-5</v>
      </c>
      <c r="BW56" s="3">
        <f t="shared" si="32"/>
        <v>0.2586968717082343</v>
      </c>
      <c r="BX56" s="3">
        <v>-3.158379045268677E-5</v>
      </c>
      <c r="BY56" s="3">
        <f t="shared" si="33"/>
        <v>2.4467328676806319E-9</v>
      </c>
      <c r="BZ56" s="3">
        <f t="shared" si="34"/>
        <v>-4.5158982759156775E-10</v>
      </c>
      <c r="CA56" s="3">
        <f t="shared" si="35"/>
        <v>2.1331920331546517E-5</v>
      </c>
      <c r="CC56" s="3">
        <v>18</v>
      </c>
      <c r="CD56" s="3">
        <f t="shared" si="46"/>
        <v>0.23061339859176896</v>
      </c>
      <c r="CE56" s="3">
        <v>-6.8104482856936113E-5</v>
      </c>
      <c r="CF56" s="3">
        <f t="shared" si="47"/>
        <v>0.23063473051210048</v>
      </c>
      <c r="CG56" s="3">
        <v>1.7006186837554942E-5</v>
      </c>
      <c r="CH56" s="3">
        <f t="shared" si="36"/>
        <v>0.23062406455193474</v>
      </c>
      <c r="CI56" s="3">
        <v>-2.5547941145025524E-5</v>
      </c>
      <c r="CJ56" s="3">
        <f t="shared" si="37"/>
        <v>1.7399293197414036E-9</v>
      </c>
      <c r="CK56" s="3">
        <f t="shared" si="38"/>
        <v>-4.3447306042716138E-10</v>
      </c>
      <c r="CL56" s="3">
        <f t="shared" si="39"/>
        <v>2.1331920331518761E-5</v>
      </c>
    </row>
    <row r="57" spans="2:90" x14ac:dyDescent="0.2">
      <c r="B57" s="7" t="s">
        <v>271</v>
      </c>
      <c r="C57" s="18">
        <v>35</v>
      </c>
      <c r="D57" s="7" t="s">
        <v>43</v>
      </c>
      <c r="F57" s="66" t="s">
        <v>286</v>
      </c>
      <c r="G57" s="67"/>
      <c r="H57" s="67"/>
      <c r="X57" s="3">
        <v>18</v>
      </c>
      <c r="Y57" s="3">
        <f t="shared" si="48"/>
        <v>0.97137832641601562</v>
      </c>
      <c r="Z57" s="3">
        <f t="shared" si="29"/>
        <v>2.9901443809876582E-6</v>
      </c>
      <c r="AA57" s="3">
        <f t="shared" si="49"/>
        <v>0.97138214111328125</v>
      </c>
      <c r="AB57" s="3">
        <f t="shared" si="30"/>
        <v>-1.727996793876585E-6</v>
      </c>
      <c r="AC57" s="3">
        <f t="shared" si="40"/>
        <v>0.97138023376464844</v>
      </c>
      <c r="AD57" s="3">
        <f t="shared" si="31"/>
        <v>6.3107291237152197E-7</v>
      </c>
      <c r="AE57" s="3">
        <f t="shared" si="41"/>
        <v>1.8869991229212231E-12</v>
      </c>
      <c r="AF57" s="3">
        <f t="shared" si="42"/>
        <v>-1.090491969280349E-12</v>
      </c>
      <c r="AG57" s="3">
        <f t="shared" si="43"/>
        <v>3.814697265625E-6</v>
      </c>
      <c r="AI57" s="3">
        <v>8</v>
      </c>
      <c r="AJ57" s="3">
        <f t="shared" si="54"/>
        <v>1035.546875</v>
      </c>
      <c r="AK57" s="3">
        <v>66.077848941253251</v>
      </c>
      <c r="AL57" s="3">
        <f t="shared" si="55"/>
        <v>1046.875</v>
      </c>
      <c r="AM57" s="3">
        <v>-37.813799831649703</v>
      </c>
      <c r="AN57" s="3">
        <f t="shared" si="50"/>
        <v>1041.2109375</v>
      </c>
      <c r="AO57" s="3">
        <v>14.273314079018746</v>
      </c>
      <c r="AP57" s="3">
        <f t="shared" si="51"/>
        <v>943.14989160446396</v>
      </c>
      <c r="AQ57" s="3">
        <f t="shared" si="52"/>
        <v>-539.7282415182824</v>
      </c>
      <c r="AR57" s="3">
        <f t="shared" si="53"/>
        <v>11.328125</v>
      </c>
      <c r="BJ57" s="3" t="s">
        <v>209</v>
      </c>
      <c r="BK57" s="3">
        <f>1/(BK55+1)</f>
        <v>6.0530374918577823E-2</v>
      </c>
      <c r="BL57" s="3"/>
      <c r="BM57" s="3"/>
      <c r="BN57" s="3" t="s">
        <v>209</v>
      </c>
      <c r="BO57" s="3">
        <f>1/(BO55+1)</f>
        <v>5.3885878490722731E-2</v>
      </c>
      <c r="BP57" s="3"/>
      <c r="BR57" s="3">
        <v>19</v>
      </c>
      <c r="BS57" s="3">
        <f t="shared" si="44"/>
        <v>0.2586968717082343</v>
      </c>
      <c r="BT57" s="3">
        <v>-3.158379045268677E-5</v>
      </c>
      <c r="BU57" s="3">
        <f t="shared" si="45"/>
        <v>0.2587075376684001</v>
      </c>
      <c r="BV57" s="3">
        <v>1.429815171386916E-5</v>
      </c>
      <c r="BW57" s="3">
        <f t="shared" si="32"/>
        <v>0.25870220468831717</v>
      </c>
      <c r="BX57" s="3">
        <v>-8.6425367970431252E-6</v>
      </c>
      <c r="BY57" s="3">
        <f t="shared" si="33"/>
        <v>2.7296407117744475E-10</v>
      </c>
      <c r="BZ57" s="3">
        <f t="shared" si="34"/>
        <v>-1.2357230231681945E-10</v>
      </c>
      <c r="CA57" s="3">
        <f t="shared" si="35"/>
        <v>1.0665960165801014E-5</v>
      </c>
      <c r="CC57" s="3">
        <v>19</v>
      </c>
      <c r="CD57" s="3">
        <f t="shared" si="46"/>
        <v>0.23062406455193474</v>
      </c>
      <c r="CE57" s="3">
        <v>-2.5547941145025524E-5</v>
      </c>
      <c r="CF57" s="3">
        <f t="shared" si="47"/>
        <v>0.23063473051210048</v>
      </c>
      <c r="CG57" s="3">
        <v>1.7006186837554942E-5</v>
      </c>
      <c r="CH57" s="3">
        <f t="shared" si="36"/>
        <v>0.23062939753201761</v>
      </c>
      <c r="CI57" s="3">
        <v>-4.2705754571947113E-6</v>
      </c>
      <c r="CJ57" s="3">
        <f t="shared" si="37"/>
        <v>1.0910441043580095E-10</v>
      </c>
      <c r="CK57" s="3">
        <f t="shared" si="38"/>
        <v>-7.2626204128929881E-11</v>
      </c>
      <c r="CL57" s="3">
        <f t="shared" si="39"/>
        <v>1.0665960165745503E-5</v>
      </c>
    </row>
    <row r="58" spans="2:90" x14ac:dyDescent="0.2">
      <c r="F58" s="10" t="s">
        <v>287</v>
      </c>
      <c r="G58" s="18">
        <v>1200</v>
      </c>
      <c r="H58" s="7" t="s">
        <v>14</v>
      </c>
      <c r="X58" s="3">
        <v>19</v>
      </c>
      <c r="Y58" s="3">
        <f t="shared" si="48"/>
        <v>0.97138023376464844</v>
      </c>
      <c r="Z58" s="3">
        <f t="shared" si="29"/>
        <v>6.3107291237152197E-7</v>
      </c>
      <c r="AA58" s="3">
        <f t="shared" si="49"/>
        <v>0.97138214111328125</v>
      </c>
      <c r="AB58" s="3">
        <f t="shared" si="30"/>
        <v>-1.727996793876585E-6</v>
      </c>
      <c r="AC58" s="3">
        <f t="shared" si="40"/>
        <v>0.97138118743896484</v>
      </c>
      <c r="AD58" s="3">
        <f t="shared" si="31"/>
        <v>-5.484621610207796E-7</v>
      </c>
      <c r="AE58" s="3">
        <f t="shared" si="41"/>
        <v>-3.4611961328096202E-13</v>
      </c>
      <c r="AF58" s="3">
        <f t="shared" si="42"/>
        <v>9.4774085580653047E-13</v>
      </c>
      <c r="AG58" s="3">
        <f t="shared" si="43"/>
        <v>1.9073486328125E-6</v>
      </c>
      <c r="AI58" s="3">
        <v>9</v>
      </c>
      <c r="AJ58" s="3">
        <f t="shared" si="54"/>
        <v>1041.2109375</v>
      </c>
      <c r="AK58" s="3">
        <v>14.273314079018746</v>
      </c>
      <c r="AL58" s="3">
        <f t="shared" si="55"/>
        <v>1046.875</v>
      </c>
      <c r="AM58" s="3">
        <v>-37.813799831649703</v>
      </c>
      <c r="AN58" s="3">
        <f t="shared" si="50"/>
        <v>1044.04296875</v>
      </c>
      <c r="AO58" s="3">
        <v>-11.734920495260667</v>
      </c>
      <c r="AP58" s="3">
        <f t="shared" si="51"/>
        <v>-167.49620592116972</v>
      </c>
      <c r="AQ58" s="3">
        <f t="shared" si="52"/>
        <v>443.74193464811049</v>
      </c>
      <c r="AR58" s="3">
        <f t="shared" si="53"/>
        <v>5.6640625</v>
      </c>
      <c r="BJ58" s="8" t="s">
        <v>211</v>
      </c>
      <c r="BK58" s="41">
        <f>SIN(BK42)/(1+BK56) - $AU$3*COS(BK42)/($AY$5*$AU$23*(1-BK57))</f>
        <v>4.5214476000060566E-9</v>
      </c>
      <c r="BL58" s="41"/>
      <c r="BM58" s="3"/>
      <c r="BN58" s="8" t="s">
        <v>211</v>
      </c>
      <c r="BO58" s="41">
        <f>SIN(BO42)/(1+BO56) - $AU$3*COS(BO42)/($AY$5*$AU$24*(1-BO57))</f>
        <v>-6.8360290102209564E-9</v>
      </c>
      <c r="BP58" s="41"/>
      <c r="BR58" s="3">
        <v>20</v>
      </c>
      <c r="BS58" s="3">
        <f t="shared" si="44"/>
        <v>0.25870220468831717</v>
      </c>
      <c r="BT58" s="3">
        <v>-8.6425367970431252E-6</v>
      </c>
      <c r="BU58" s="3">
        <f t="shared" si="45"/>
        <v>0.2587075376684001</v>
      </c>
      <c r="BV58" s="3">
        <v>1.429815171386916E-5</v>
      </c>
      <c r="BW58" s="3">
        <f t="shared" si="32"/>
        <v>0.25870487117835861</v>
      </c>
      <c r="BX58" s="3">
        <v>2.8278780995249012E-6</v>
      </c>
      <c r="BY58" s="3">
        <f t="shared" si="33"/>
        <v>-2.4440040532696339E-11</v>
      </c>
      <c r="BZ58" s="3">
        <f t="shared" si="34"/>
        <v>4.0433430095335027E-11</v>
      </c>
      <c r="CA58" s="3">
        <f t="shared" si="35"/>
        <v>5.3329800829282625E-6</v>
      </c>
      <c r="CC58" s="3">
        <v>20</v>
      </c>
      <c r="CD58" s="3">
        <f t="shared" si="46"/>
        <v>0.23062939753201761</v>
      </c>
      <c r="CE58" s="3">
        <v>-4.2705754571947113E-6</v>
      </c>
      <c r="CF58" s="3">
        <f t="shared" si="47"/>
        <v>0.23063473051210048</v>
      </c>
      <c r="CG58" s="3">
        <v>1.7006186837554942E-5</v>
      </c>
      <c r="CH58" s="3">
        <f t="shared" si="36"/>
        <v>0.23063206402205905</v>
      </c>
      <c r="CI58" s="3">
        <v>6.3678811119197154E-6</v>
      </c>
      <c r="CJ58" s="3">
        <f t="shared" si="37"/>
        <v>-2.7194516790898104E-11</v>
      </c>
      <c r="CK58" s="3">
        <f t="shared" si="38"/>
        <v>1.0829337594864379E-10</v>
      </c>
      <c r="CL58" s="3">
        <f t="shared" si="39"/>
        <v>5.3329800828727514E-6</v>
      </c>
    </row>
    <row r="59" spans="2:90" x14ac:dyDescent="0.2">
      <c r="B59" s="66" t="s">
        <v>2</v>
      </c>
      <c r="C59" s="67"/>
      <c r="D59" s="67"/>
      <c r="F59" s="45" t="s">
        <v>237</v>
      </c>
      <c r="G59" s="44">
        <f xml:space="preserve"> G43</f>
        <v>234.15337382058715</v>
      </c>
      <c r="H59" s="44" t="s">
        <v>116</v>
      </c>
      <c r="X59" s="3">
        <v>20</v>
      </c>
      <c r="Y59" s="3">
        <f t="shared" si="48"/>
        <v>0.97138023376464844</v>
      </c>
      <c r="Z59" s="3">
        <f t="shared" si="29"/>
        <v>6.3107291237152197E-7</v>
      </c>
      <c r="AA59" s="3">
        <f t="shared" si="49"/>
        <v>0.97138118743896484</v>
      </c>
      <c r="AB59" s="3">
        <f t="shared" si="30"/>
        <v>-5.484621610207796E-7</v>
      </c>
      <c r="AC59" s="3">
        <f t="shared" si="40"/>
        <v>0.97138071060180664</v>
      </c>
      <c r="AD59" s="3">
        <f t="shared" si="31"/>
        <v>4.130532060830916E-8</v>
      </c>
      <c r="AE59" s="3">
        <f t="shared" si="41"/>
        <v>2.6066668972725106E-14</v>
      </c>
      <c r="AF59" s="3">
        <f t="shared" si="42"/>
        <v>-2.2654405402489385E-14</v>
      </c>
      <c r="AG59" s="3">
        <f t="shared" si="43"/>
        <v>9.5367431640625E-7</v>
      </c>
      <c r="AI59" s="3">
        <v>10</v>
      </c>
      <c r="AJ59" s="3">
        <f t="shared" si="54"/>
        <v>1041.2109375</v>
      </c>
      <c r="AK59" s="3">
        <v>14.273314079018746</v>
      </c>
      <c r="AL59" s="3">
        <f t="shared" si="55"/>
        <v>1044.04296875</v>
      </c>
      <c r="AM59" s="3">
        <v>-11.734920495260667</v>
      </c>
      <c r="AN59" s="3">
        <f t="shared" si="50"/>
        <v>1042.626953125</v>
      </c>
      <c r="AO59" s="3">
        <v>1.2780273871439931</v>
      </c>
      <c r="AP59" s="3">
        <f t="shared" si="51"/>
        <v>18.241686298293899</v>
      </c>
      <c r="AQ59" s="3">
        <f t="shared" si="52"/>
        <v>-14.997549778900483</v>
      </c>
      <c r="AR59" s="3">
        <f t="shared" si="53"/>
        <v>2.83203125</v>
      </c>
      <c r="BJ59" s="3"/>
      <c r="BK59" s="3"/>
      <c r="BL59" s="3"/>
      <c r="BM59" s="3"/>
      <c r="BN59" s="3"/>
      <c r="BO59" s="3"/>
      <c r="BP59" s="3"/>
      <c r="BR59" s="3">
        <v>21</v>
      </c>
      <c r="BS59" s="3">
        <f t="shared" si="44"/>
        <v>0.25870220468831717</v>
      </c>
      <c r="BT59" s="3">
        <v>-8.6425367970431252E-6</v>
      </c>
      <c r="BU59" s="3">
        <f t="shared" si="45"/>
        <v>0.25870487117835861</v>
      </c>
      <c r="BV59" s="3">
        <v>2.8278780995249012E-6</v>
      </c>
      <c r="BW59" s="3">
        <f t="shared" si="32"/>
        <v>0.25870353793333789</v>
      </c>
      <c r="BX59" s="3">
        <v>-2.9073116881916591E-6</v>
      </c>
      <c r="BY59" s="3">
        <f t="shared" si="33"/>
        <v>2.5126548245669982E-11</v>
      </c>
      <c r="BZ59" s="3">
        <f t="shared" si="34"/>
        <v>-8.2215230515299615E-12</v>
      </c>
      <c r="CA59" s="3">
        <f t="shared" si="35"/>
        <v>2.6664900414363757E-6</v>
      </c>
      <c r="CC59" s="3">
        <v>21</v>
      </c>
      <c r="CD59" s="3">
        <f t="shared" si="46"/>
        <v>0.23062939753201761</v>
      </c>
      <c r="CE59" s="3">
        <v>-4.2705754571947113E-6</v>
      </c>
      <c r="CF59" s="3">
        <f t="shared" si="47"/>
        <v>0.23063206402205905</v>
      </c>
      <c r="CG59" s="3">
        <v>6.3678811119197154E-6</v>
      </c>
      <c r="CH59" s="3">
        <f t="shared" si="36"/>
        <v>0.23063073077703833</v>
      </c>
      <c r="CI59" s="3">
        <v>1.0486716830746326E-6</v>
      </c>
      <c r="CJ59" s="3">
        <f t="shared" si="37"/>
        <v>-4.4784315523935962E-12</v>
      </c>
      <c r="CK59" s="3">
        <f t="shared" si="38"/>
        <v>6.6778166032560111E-12</v>
      </c>
      <c r="CL59" s="3">
        <f t="shared" si="39"/>
        <v>2.6664900414363757E-6</v>
      </c>
    </row>
    <row r="60" spans="2:90" x14ac:dyDescent="0.2">
      <c r="B60" s="7" t="s">
        <v>3</v>
      </c>
      <c r="C60" s="18">
        <v>400</v>
      </c>
      <c r="D60" s="7" t="s">
        <v>4</v>
      </c>
      <c r="X60" s="3">
        <v>21</v>
      </c>
      <c r="Y60" s="3">
        <f t="shared" si="48"/>
        <v>0.97138071060180664</v>
      </c>
      <c r="Z60" s="3">
        <f t="shared" si="29"/>
        <v>4.130532060830916E-8</v>
      </c>
      <c r="AA60" s="3">
        <f t="shared" si="49"/>
        <v>0.97138118743896484</v>
      </c>
      <c r="AB60" s="3">
        <f t="shared" si="30"/>
        <v>-5.484621610207796E-7</v>
      </c>
      <c r="AC60" s="3">
        <f t="shared" si="40"/>
        <v>0.97138094902038574</v>
      </c>
      <c r="AD60" s="3">
        <f t="shared" si="31"/>
        <v>-2.5357843391748958E-7</v>
      </c>
      <c r="AE60" s="3">
        <f t="shared" si="41"/>
        <v>-1.0474138512314844E-14</v>
      </c>
      <c r="AF60" s="3">
        <f t="shared" si="42"/>
        <v>1.3907817585465128E-13</v>
      </c>
      <c r="AG60" s="3">
        <f t="shared" si="43"/>
        <v>4.76837158203125E-7</v>
      </c>
      <c r="AI60" s="3">
        <v>11</v>
      </c>
      <c r="AJ60" s="3">
        <f t="shared" si="54"/>
        <v>1042.626953125</v>
      </c>
      <c r="AK60" s="3">
        <v>1.2780273871439931</v>
      </c>
      <c r="AL60" s="3">
        <f t="shared" si="55"/>
        <v>1044.04296875</v>
      </c>
      <c r="AM60" s="3">
        <v>-11.734920495260667</v>
      </c>
      <c r="AN60" s="3">
        <f t="shared" si="50"/>
        <v>1043.3349609375</v>
      </c>
      <c r="AO60" s="3">
        <v>-5.226238905243008</v>
      </c>
      <c r="AP60" s="3">
        <f t="shared" si="51"/>
        <v>-6.6792764526580042</v>
      </c>
      <c r="AQ60" s="3">
        <f t="shared" si="52"/>
        <v>61.329498042264845</v>
      </c>
      <c r="AR60" s="3">
        <f t="shared" si="53"/>
        <v>1.416015625</v>
      </c>
      <c r="BJ60" s="75" t="s">
        <v>218</v>
      </c>
      <c r="BK60" s="75"/>
      <c r="BL60" s="75"/>
      <c r="BM60" s="3"/>
      <c r="BN60" s="75" t="s">
        <v>232</v>
      </c>
      <c r="BO60" s="75"/>
      <c r="BP60" s="75"/>
      <c r="BR60" s="3">
        <v>22</v>
      </c>
      <c r="BS60" s="3">
        <f t="shared" si="44"/>
        <v>0.25870353793333789</v>
      </c>
      <c r="BT60" s="3">
        <v>-2.9073116881916591E-6</v>
      </c>
      <c r="BU60" s="3">
        <f t="shared" si="45"/>
        <v>0.25870487117835861</v>
      </c>
      <c r="BV60" s="3">
        <v>2.8278780995249012E-6</v>
      </c>
      <c r="BW60" s="3">
        <f t="shared" si="32"/>
        <v>0.25870420455584825</v>
      </c>
      <c r="BX60" s="3">
        <v>-3.9712379214934534E-8</v>
      </c>
      <c r="BY60" s="3">
        <f t="shared" si="33"/>
        <v>1.1545626425747868E-13</v>
      </c>
      <c r="BZ60" s="3">
        <f t="shared" si="34"/>
        <v>-1.1230176746194126E-13</v>
      </c>
      <c r="CA60" s="3">
        <f t="shared" si="35"/>
        <v>1.3332450207181878E-6</v>
      </c>
      <c r="CC60" s="3">
        <v>22</v>
      </c>
      <c r="CD60" s="3">
        <f t="shared" si="46"/>
        <v>0.23062939753201761</v>
      </c>
      <c r="CE60" s="3">
        <v>-4.2705754571947113E-6</v>
      </c>
      <c r="CF60" s="3">
        <f t="shared" si="47"/>
        <v>0.23063073077703833</v>
      </c>
      <c r="CG60" s="3">
        <v>1.0486716830746326E-6</v>
      </c>
      <c r="CH60" s="3">
        <f t="shared" si="36"/>
        <v>0.23063006415452797</v>
      </c>
      <c r="CI60" s="3">
        <v>-1.6109471730405001E-6</v>
      </c>
      <c r="CJ60" s="3">
        <f t="shared" si="37"/>
        <v>6.8796714600239612E-12</v>
      </c>
      <c r="CK60" s="3">
        <f t="shared" si="38"/>
        <v>-1.6893546832967027E-12</v>
      </c>
      <c r="CL60" s="3">
        <f t="shared" si="39"/>
        <v>1.3332450207181878E-6</v>
      </c>
    </row>
    <row r="61" spans="2:90" x14ac:dyDescent="0.2">
      <c r="B61" s="7" t="s">
        <v>5</v>
      </c>
      <c r="C61" s="18">
        <v>1</v>
      </c>
      <c r="X61" s="3">
        <v>22</v>
      </c>
      <c r="Y61" s="3">
        <f t="shared" si="48"/>
        <v>0.97138071060180664</v>
      </c>
      <c r="Z61" s="3">
        <f t="shared" si="29"/>
        <v>4.130532060830916E-8</v>
      </c>
      <c r="AA61" s="3">
        <f t="shared" si="49"/>
        <v>0.97138094902038574</v>
      </c>
      <c r="AB61" s="3">
        <f t="shared" si="30"/>
        <v>-2.5357843391748958E-7</v>
      </c>
      <c r="AC61" s="3">
        <f t="shared" si="40"/>
        <v>0.97138082981109619</v>
      </c>
      <c r="AD61" s="3">
        <f t="shared" si="31"/>
        <v>-1.0613656009628158E-7</v>
      </c>
      <c r="AE61" s="3">
        <f t="shared" si="41"/>
        <v>-4.384004643039983E-15</v>
      </c>
      <c r="AF61" s="3">
        <f t="shared" si="42"/>
        <v>2.69139426906046E-14</v>
      </c>
      <c r="AG61" s="3">
        <f t="shared" si="43"/>
        <v>2.384185791015625E-7</v>
      </c>
      <c r="AI61" s="3">
        <v>12</v>
      </c>
      <c r="AJ61" s="3">
        <f t="shared" si="54"/>
        <v>1042.626953125</v>
      </c>
      <c r="AK61" s="3">
        <v>1.2780273871439931</v>
      </c>
      <c r="AL61" s="3">
        <f t="shared" si="55"/>
        <v>1043.3349609375</v>
      </c>
      <c r="AM61" s="3">
        <v>-5.226238905243008</v>
      </c>
      <c r="AN61" s="3">
        <f t="shared" si="50"/>
        <v>1042.98095703125</v>
      </c>
      <c r="AO61" s="3">
        <v>-1.9735538468457889</v>
      </c>
      <c r="AP61" s="3">
        <f t="shared" si="51"/>
        <v>-2.5222558662723</v>
      </c>
      <c r="AQ61" s="3">
        <f t="shared" si="52"/>
        <v>10.314263895977463</v>
      </c>
      <c r="AR61" s="3">
        <f t="shared" si="53"/>
        <v>0.7080078125</v>
      </c>
      <c r="BJ61" s="29" t="s">
        <v>166</v>
      </c>
      <c r="BK61" s="30">
        <f>BW136</f>
        <v>0.17495214021682431</v>
      </c>
      <c r="BL61" s="6" t="s">
        <v>167</v>
      </c>
      <c r="BM61" s="3"/>
      <c r="BN61" s="29" t="s">
        <v>166</v>
      </c>
      <c r="BO61" s="30">
        <f>CH136</f>
        <v>0.17268446750818234</v>
      </c>
      <c r="BP61" s="6" t="s">
        <v>167</v>
      </c>
      <c r="BR61" s="3">
        <v>23</v>
      </c>
      <c r="BS61" s="3">
        <f t="shared" si="44"/>
        <v>0.25870420455584825</v>
      </c>
      <c r="BT61" s="3">
        <v>-3.9712379214934534E-8</v>
      </c>
      <c r="BU61" s="3">
        <f t="shared" si="45"/>
        <v>0.25870487117835861</v>
      </c>
      <c r="BV61" s="3">
        <v>2.8278780995249012E-6</v>
      </c>
      <c r="BW61" s="3">
        <f t="shared" si="32"/>
        <v>0.25870453786710346</v>
      </c>
      <c r="BX61" s="3">
        <v>1.3940839640666502E-6</v>
      </c>
      <c r="BY61" s="3">
        <f t="shared" si="33"/>
        <v>-5.5362391038473985E-14</v>
      </c>
      <c r="BZ61" s="3">
        <f t="shared" si="34"/>
        <v>3.9422995108829398E-12</v>
      </c>
      <c r="CA61" s="3">
        <f t="shared" si="35"/>
        <v>6.6662251035909392E-7</v>
      </c>
      <c r="CC61" s="3">
        <v>23</v>
      </c>
      <c r="CD61" s="3">
        <f t="shared" si="46"/>
        <v>0.23063006415452797</v>
      </c>
      <c r="CE61" s="3">
        <v>-1.6109471730405001E-6</v>
      </c>
      <c r="CF61" s="3">
        <f t="shared" si="47"/>
        <v>0.23063073077703833</v>
      </c>
      <c r="CG61" s="3">
        <v>1.0486716830746326E-6</v>
      </c>
      <c r="CH61" s="3">
        <f t="shared" si="36"/>
        <v>0.23063039746578315</v>
      </c>
      <c r="CI61" s="3">
        <v>-2.811365664876983E-7</v>
      </c>
      <c r="CJ61" s="3">
        <f t="shared" si="37"/>
        <v>4.5289615702167017E-13</v>
      </c>
      <c r="CK61" s="3">
        <f t="shared" si="38"/>
        <v>-2.9481995635247793E-13</v>
      </c>
      <c r="CL61" s="3">
        <f t="shared" si="39"/>
        <v>6.6662251035909392E-7</v>
      </c>
    </row>
    <row r="62" spans="2:90" x14ac:dyDescent="0.2">
      <c r="B62" s="7" t="s">
        <v>6</v>
      </c>
      <c r="C62" s="18">
        <v>1</v>
      </c>
      <c r="X62" s="3">
        <v>23</v>
      </c>
      <c r="Y62" s="3">
        <f t="shared" si="48"/>
        <v>0.97138071060180664</v>
      </c>
      <c r="Z62" s="3">
        <f t="shared" si="29"/>
        <v>4.130532060830916E-8</v>
      </c>
      <c r="AA62" s="3">
        <f t="shared" si="49"/>
        <v>0.97138082981109619</v>
      </c>
      <c r="AB62" s="3">
        <f t="shared" si="30"/>
        <v>-1.0613656009628158E-7</v>
      </c>
      <c r="AC62" s="3">
        <f t="shared" si="40"/>
        <v>0.97138077020645142</v>
      </c>
      <c r="AD62" s="3">
        <f t="shared" si="31"/>
        <v>-3.2415620632164632E-8</v>
      </c>
      <c r="AE62" s="3">
        <f t="shared" si="41"/>
        <v>-1.3389376029288814E-15</v>
      </c>
      <c r="AF62" s="3">
        <f t="shared" si="42"/>
        <v>3.4404824672840069E-15</v>
      </c>
      <c r="AG62" s="3">
        <f t="shared" si="43"/>
        <v>1.1920928955078125E-7</v>
      </c>
      <c r="AI62" s="3">
        <v>13</v>
      </c>
      <c r="AJ62" s="3">
        <f t="shared" si="54"/>
        <v>1042.626953125</v>
      </c>
      <c r="AK62" s="3">
        <v>1.2780273871439931</v>
      </c>
      <c r="AL62" s="3">
        <f t="shared" si="55"/>
        <v>1042.98095703125</v>
      </c>
      <c r="AM62" s="3">
        <v>-1.9735538468457889</v>
      </c>
      <c r="AN62" s="3">
        <f t="shared" si="50"/>
        <v>1042.803955078125</v>
      </c>
      <c r="AO62" s="3">
        <v>-0.34762525180121884</v>
      </c>
      <c r="AP62" s="3">
        <f t="shared" si="51"/>
        <v>-0.44427459226478438</v>
      </c>
      <c r="AQ62" s="3">
        <f t="shared" si="52"/>
        <v>0.68605715295303149</v>
      </c>
      <c r="AR62" s="3">
        <f t="shared" si="53"/>
        <v>0.35400390625</v>
      </c>
      <c r="BJ62" s="3" t="s">
        <v>171</v>
      </c>
      <c r="BK62" s="3">
        <f>($AU$41+$AU$5)/180*PI()</f>
        <v>0.23512857516711108</v>
      </c>
      <c r="BL62" s="3" t="s">
        <v>167</v>
      </c>
      <c r="BM62" s="3"/>
      <c r="BN62" s="3" t="s">
        <v>171</v>
      </c>
      <c r="BO62" s="3">
        <f>($AU$42+$AU$5)/180*PI()</f>
        <v>0.2092758856219451</v>
      </c>
      <c r="BP62" s="3" t="s">
        <v>167</v>
      </c>
      <c r="BR62" s="3">
        <v>24</v>
      </c>
      <c r="BS62" s="3">
        <f t="shared" si="44"/>
        <v>0.25870420455584825</v>
      </c>
      <c r="BT62" s="3">
        <v>-3.9712379214934534E-8</v>
      </c>
      <c r="BU62" s="3">
        <f t="shared" si="45"/>
        <v>0.25870453786710346</v>
      </c>
      <c r="BV62" s="3">
        <v>1.3940839640666502E-6</v>
      </c>
      <c r="BW62" s="3">
        <f t="shared" si="32"/>
        <v>0.25870437121147583</v>
      </c>
      <c r="BX62" s="3">
        <v>6.7718606825469679E-7</v>
      </c>
      <c r="BY62" s="3">
        <f t="shared" si="33"/>
        <v>-2.6892669941601061E-14</v>
      </c>
      <c r="BZ62" s="3">
        <f t="shared" si="34"/>
        <v>9.4405423844321695E-13</v>
      </c>
      <c r="CA62" s="3">
        <f t="shared" si="35"/>
        <v>3.3331125520730254E-7</v>
      </c>
      <c r="CC62" s="3">
        <v>24</v>
      </c>
      <c r="CD62" s="3">
        <f t="shared" si="46"/>
        <v>0.23063039746578315</v>
      </c>
      <c r="CE62" s="3">
        <v>-2.811365664876983E-7</v>
      </c>
      <c r="CF62" s="3">
        <f t="shared" si="47"/>
        <v>0.23063073077703833</v>
      </c>
      <c r="CG62" s="3">
        <v>1.0486716830746326E-6</v>
      </c>
      <c r="CH62" s="3">
        <f t="shared" si="36"/>
        <v>0.23063056412141075</v>
      </c>
      <c r="CI62" s="3">
        <v>3.8376785294839261E-7</v>
      </c>
      <c r="CJ62" s="3">
        <f t="shared" si="37"/>
        <v>-1.0789117650626701E-13</v>
      </c>
      <c r="CK62" s="3">
        <f t="shared" si="38"/>
        <v>4.0244648026132899E-13</v>
      </c>
      <c r="CL62" s="3">
        <f t="shared" si="39"/>
        <v>3.3331125517954696E-7</v>
      </c>
    </row>
    <row r="63" spans="2:90" x14ac:dyDescent="0.2">
      <c r="X63" s="3">
        <v>24</v>
      </c>
      <c r="Y63" s="3">
        <f t="shared" si="48"/>
        <v>0.97138071060180664</v>
      </c>
      <c r="Z63" s="3">
        <f t="shared" si="29"/>
        <v>4.130532060830916E-8</v>
      </c>
      <c r="AA63" s="3">
        <f t="shared" si="49"/>
        <v>0.97138077020645142</v>
      </c>
      <c r="AB63" s="3">
        <f t="shared" si="30"/>
        <v>-3.2415620632164632E-8</v>
      </c>
      <c r="AC63" s="3">
        <f t="shared" si="40"/>
        <v>0.97138074040412903</v>
      </c>
      <c r="AD63" s="3">
        <f t="shared" si="31"/>
        <v>4.4448498215388099E-9</v>
      </c>
      <c r="AE63" s="3">
        <f t="shared" si="41"/>
        <v>1.835959469344463E-16</v>
      </c>
      <c r="AF63" s="3">
        <f t="shared" si="42"/>
        <v>-1.4408256558194673E-16</v>
      </c>
      <c r="AG63" s="3">
        <f t="shared" si="43"/>
        <v>5.9604644775390625E-8</v>
      </c>
      <c r="AI63" s="3">
        <v>14</v>
      </c>
      <c r="AJ63" s="3">
        <f t="shared" si="54"/>
        <v>1042.626953125</v>
      </c>
      <c r="AK63" s="3">
        <v>1.2780273871439931</v>
      </c>
      <c r="AL63" s="3">
        <f t="shared" si="55"/>
        <v>1042.803955078125</v>
      </c>
      <c r="AM63" s="3">
        <v>-0.34762525180121884</v>
      </c>
      <c r="AN63" s="3">
        <f t="shared" si="50"/>
        <v>1042.7154541015625</v>
      </c>
      <c r="AO63" s="3">
        <v>0.46523556218289741</v>
      </c>
      <c r="AP63" s="3">
        <f t="shared" si="51"/>
        <v>0.59458378994307515</v>
      </c>
      <c r="AQ63" s="3">
        <f t="shared" si="52"/>
        <v>-0.16172762945071131</v>
      </c>
      <c r="AR63" s="3">
        <f t="shared" si="53"/>
        <v>0.177001953125</v>
      </c>
      <c r="BJ63" s="3" t="s">
        <v>28</v>
      </c>
      <c r="BK63" s="3">
        <f>BK62-BK61</f>
        <v>6.0176434950286767E-2</v>
      </c>
      <c r="BL63" s="3" t="s">
        <v>167</v>
      </c>
      <c r="BM63" s="3"/>
      <c r="BN63" s="3" t="s">
        <v>28</v>
      </c>
      <c r="BO63" s="3">
        <f>BO62-BO61</f>
        <v>3.6591418113762764E-2</v>
      </c>
      <c r="BP63" s="3" t="s">
        <v>167</v>
      </c>
      <c r="BR63" s="3">
        <v>25</v>
      </c>
      <c r="BS63" s="3">
        <f t="shared" si="44"/>
        <v>0.25870420455584825</v>
      </c>
      <c r="BT63" s="3">
        <v>-3.9712379214934534E-8</v>
      </c>
      <c r="BU63" s="3">
        <f t="shared" si="45"/>
        <v>0.25870437121147583</v>
      </c>
      <c r="BV63" s="3">
        <v>6.7718606825469679E-7</v>
      </c>
      <c r="BW63" s="3">
        <f t="shared" si="32"/>
        <v>0.25870428788366207</v>
      </c>
      <c r="BX63" s="3">
        <v>3.1873691365078005E-7</v>
      </c>
      <c r="BY63" s="3">
        <f t="shared" si="33"/>
        <v>-1.2657801184697621E-14</v>
      </c>
      <c r="BZ63" s="3">
        <f t="shared" si="34"/>
        <v>2.1584419736280853E-13</v>
      </c>
      <c r="CA63" s="3">
        <f t="shared" si="35"/>
        <v>1.6665562757589569E-7</v>
      </c>
      <c r="CC63" s="3">
        <v>25</v>
      </c>
      <c r="CD63" s="3">
        <f t="shared" si="46"/>
        <v>0.23063039746578315</v>
      </c>
      <c r="CE63" s="3">
        <v>-2.811365664876983E-7</v>
      </c>
      <c r="CF63" s="3">
        <f t="shared" si="47"/>
        <v>0.23063056412141075</v>
      </c>
      <c r="CG63" s="3">
        <v>3.8376785294839261E-7</v>
      </c>
      <c r="CH63" s="3">
        <f t="shared" si="36"/>
        <v>0.23063048079359694</v>
      </c>
      <c r="CI63" s="3">
        <v>5.1315716734050276E-8</v>
      </c>
      <c r="CJ63" s="3">
        <f t="shared" si="37"/>
        <v>-1.4426724409466218E-14</v>
      </c>
      <c r="CK63" s="3">
        <f t="shared" si="38"/>
        <v>1.9693322433534377E-14</v>
      </c>
      <c r="CL63" s="3">
        <f t="shared" si="39"/>
        <v>1.6665562760365127E-7</v>
      </c>
    </row>
    <row r="64" spans="2:90" x14ac:dyDescent="0.2">
      <c r="B64" s="68" t="s">
        <v>288</v>
      </c>
      <c r="C64" s="68"/>
      <c r="D64" s="68"/>
      <c r="X64" s="3">
        <v>25</v>
      </c>
      <c r="Y64" s="3">
        <f t="shared" si="48"/>
        <v>0.97138074040412903</v>
      </c>
      <c r="Z64" s="3">
        <f t="shared" si="29"/>
        <v>4.4448498215388099E-9</v>
      </c>
      <c r="AA64" s="3">
        <f t="shared" si="49"/>
        <v>0.97138077020645142</v>
      </c>
      <c r="AB64" s="3">
        <f t="shared" si="30"/>
        <v>-3.2415620632164632E-8</v>
      </c>
      <c r="AC64" s="3">
        <f t="shared" si="40"/>
        <v>0.97138075530529022</v>
      </c>
      <c r="AD64" s="3">
        <f t="shared" si="31"/>
        <v>-1.3985385405312911E-8</v>
      </c>
      <c r="AE64" s="3">
        <f t="shared" si="41"/>
        <v>-6.216293782295657E-17</v>
      </c>
      <c r="AF64" s="3">
        <f t="shared" si="42"/>
        <v>4.5334494769323531E-16</v>
      </c>
      <c r="AG64" s="3">
        <f t="shared" si="43"/>
        <v>2.9802322387695312E-8</v>
      </c>
      <c r="AI64" s="3">
        <v>15</v>
      </c>
      <c r="AJ64" s="3">
        <f t="shared" si="54"/>
        <v>1042.7154541015625</v>
      </c>
      <c r="AK64" s="3">
        <v>0.46523556218289741</v>
      </c>
      <c r="AL64" s="3">
        <f t="shared" si="55"/>
        <v>1042.803955078125</v>
      </c>
      <c r="AM64" s="3">
        <v>-0.34762525180121884</v>
      </c>
      <c r="AN64" s="3">
        <f t="shared" si="50"/>
        <v>1042.7597045898438</v>
      </c>
      <c r="AO64" s="3">
        <v>5.8813778819057916E-2</v>
      </c>
      <c r="AP64" s="3">
        <f t="shared" si="51"/>
        <v>2.7362261452984992E-2</v>
      </c>
      <c r="AQ64" s="3">
        <f t="shared" si="52"/>
        <v>-2.04451546713562E-2</v>
      </c>
      <c r="AR64" s="3">
        <f t="shared" si="53"/>
        <v>8.85009765625E-2</v>
      </c>
      <c r="BJ64" s="3" t="s">
        <v>180</v>
      </c>
      <c r="BK64" s="3">
        <f>BK63/PI()*180</f>
        <v>3.4478557487949715</v>
      </c>
      <c r="BL64" s="3" t="s">
        <v>43</v>
      </c>
      <c r="BM64" s="3"/>
      <c r="BN64" s="3" t="s">
        <v>180</v>
      </c>
      <c r="BO64" s="3">
        <f>BO63/PI()*180</f>
        <v>2.0965338243171581</v>
      </c>
      <c r="BP64" s="3" t="s">
        <v>43</v>
      </c>
      <c r="BR64" s="3">
        <v>26</v>
      </c>
      <c r="BS64" s="3">
        <f t="shared" si="44"/>
        <v>0.25870420455584825</v>
      </c>
      <c r="BT64" s="3">
        <v>-3.9712379214934534E-8</v>
      </c>
      <c r="BU64" s="3">
        <f t="shared" si="45"/>
        <v>0.25870428788366207</v>
      </c>
      <c r="BV64" s="3">
        <v>3.1873691365078005E-7</v>
      </c>
      <c r="BW64" s="3">
        <f t="shared" si="32"/>
        <v>0.25870424621975519</v>
      </c>
      <c r="BX64" s="3">
        <v>1.3951228457556586E-7</v>
      </c>
      <c r="BY64" s="3">
        <f t="shared" si="33"/>
        <v>-5.5403647502067335E-15</v>
      </c>
      <c r="BZ64" s="3">
        <f t="shared" si="34"/>
        <v>4.4467715001985191E-14</v>
      </c>
      <c r="CA64" s="3">
        <f t="shared" si="35"/>
        <v>8.3327813815703422E-8</v>
      </c>
      <c r="CC64" s="3">
        <v>26</v>
      </c>
      <c r="CD64" s="3">
        <f t="shared" si="46"/>
        <v>0.23063039746578315</v>
      </c>
      <c r="CE64" s="3">
        <v>-2.811365664876983E-7</v>
      </c>
      <c r="CF64" s="3">
        <f t="shared" si="47"/>
        <v>0.23063048079359694</v>
      </c>
      <c r="CG64" s="3">
        <v>5.1315716734050276E-8</v>
      </c>
      <c r="CH64" s="3">
        <f t="shared" si="36"/>
        <v>0.23063043912969006</v>
      </c>
      <c r="CI64" s="3">
        <v>-1.1491040639681482E-7</v>
      </c>
      <c r="CJ64" s="3">
        <f t="shared" si="37"/>
        <v>3.2305517108106561E-14</v>
      </c>
      <c r="CK64" s="3">
        <f t="shared" si="38"/>
        <v>-5.8967098644535485E-15</v>
      </c>
      <c r="CL64" s="3">
        <f t="shared" si="39"/>
        <v>8.3327813787947846E-8</v>
      </c>
    </row>
    <row r="65" spans="2:90" x14ac:dyDescent="0.2">
      <c r="B65" s="7" t="s">
        <v>15</v>
      </c>
      <c r="C65" s="18">
        <v>1.02327848692001</v>
      </c>
      <c r="D65" s="7" t="s">
        <v>16</v>
      </c>
      <c r="X65" s="3">
        <v>26</v>
      </c>
      <c r="Y65" s="3">
        <f t="shared" si="48"/>
        <v>0.97138074040412903</v>
      </c>
      <c r="Z65" s="3">
        <f t="shared" si="29"/>
        <v>4.4448498215388099E-9</v>
      </c>
      <c r="AA65" s="3">
        <f t="shared" si="49"/>
        <v>0.97138075530529022</v>
      </c>
      <c r="AB65" s="3">
        <f t="shared" si="30"/>
        <v>-1.3985385405312911E-8</v>
      </c>
      <c r="AC65" s="3">
        <f t="shared" si="40"/>
        <v>0.97138074785470963</v>
      </c>
      <c r="AD65" s="3">
        <f t="shared" si="31"/>
        <v>-4.7702678473982019E-9</v>
      </c>
      <c r="AE65" s="3">
        <f t="shared" si="41"/>
        <v>-2.1203124190200221E-17</v>
      </c>
      <c r="AF65" s="3">
        <f t="shared" si="42"/>
        <v>6.671403433243625E-17</v>
      </c>
      <c r="AG65" s="3">
        <f t="shared" si="43"/>
        <v>1.4901161193847656E-8</v>
      </c>
      <c r="AI65" s="3">
        <v>16</v>
      </c>
      <c r="AJ65" s="3">
        <f t="shared" si="54"/>
        <v>1042.7597045898438</v>
      </c>
      <c r="AK65" s="3">
        <v>5.8813778819057916E-2</v>
      </c>
      <c r="AL65" s="3">
        <f t="shared" si="55"/>
        <v>1042.803955078125</v>
      </c>
      <c r="AM65" s="3">
        <v>-0.34762525180121884</v>
      </c>
      <c r="AN65" s="3">
        <f t="shared" si="50"/>
        <v>1042.7818298339844</v>
      </c>
      <c r="AO65" s="3">
        <v>-0.14440358058254787</v>
      </c>
      <c r="AP65" s="3">
        <f t="shared" si="51"/>
        <v>-8.4929202490619769E-3</v>
      </c>
      <c r="AQ65" s="3">
        <f t="shared" si="52"/>
        <v>5.0198331061005803E-2</v>
      </c>
      <c r="AR65" s="3">
        <f t="shared" si="53"/>
        <v>4.425048828125E-2</v>
      </c>
      <c r="AT65" s="3"/>
      <c r="AU65" s="3"/>
      <c r="AV65" s="27"/>
      <c r="BJ65" s="3" t="s">
        <v>183</v>
      </c>
      <c r="BK65" s="3">
        <f xml:space="preserve"> $AU$8*$AU$33 / (2*PI()*$AU$25)</f>
        <v>0.16580624184935927</v>
      </c>
      <c r="BL65" s="3"/>
      <c r="BM65" s="3"/>
      <c r="BN65" s="3" t="s">
        <v>183</v>
      </c>
      <c r="BO65" s="3">
        <f xml:space="preserve"> $AU$8*$AU$34 / (2*PI()*$AU$26)</f>
        <v>0.14274781591970581</v>
      </c>
      <c r="BP65" s="3"/>
      <c r="BR65" s="3">
        <v>27</v>
      </c>
      <c r="BS65" s="3">
        <f t="shared" si="44"/>
        <v>0.25870420455584825</v>
      </c>
      <c r="BT65" s="3">
        <v>-3.9712379214934534E-8</v>
      </c>
      <c r="BU65" s="3">
        <f t="shared" si="45"/>
        <v>0.25870424621975519</v>
      </c>
      <c r="BV65" s="3">
        <v>1.3951228457556586E-7</v>
      </c>
      <c r="BW65" s="3">
        <f t="shared" si="32"/>
        <v>0.25870422538780169</v>
      </c>
      <c r="BX65" s="3">
        <v>4.9899956912173582E-8</v>
      </c>
      <c r="BY65" s="3">
        <f t="shared" si="33"/>
        <v>-1.9816460117051308E-15</v>
      </c>
      <c r="BZ65" s="3">
        <f t="shared" si="34"/>
        <v>6.9616569890396354E-15</v>
      </c>
      <c r="CA65" s="3">
        <f t="shared" si="35"/>
        <v>4.1663906935607287E-8</v>
      </c>
      <c r="CC65" s="3">
        <v>27</v>
      </c>
      <c r="CD65" s="3">
        <f t="shared" si="46"/>
        <v>0.23063043912969006</v>
      </c>
      <c r="CE65" s="3">
        <v>-1.1491040639681482E-7</v>
      </c>
      <c r="CF65" s="3">
        <f t="shared" si="47"/>
        <v>0.23063048079359694</v>
      </c>
      <c r="CG65" s="3">
        <v>5.1315716734050276E-8</v>
      </c>
      <c r="CH65" s="3">
        <f t="shared" si="36"/>
        <v>0.2306304599616435</v>
      </c>
      <c r="CI65" s="3">
        <v>-3.179734013331742E-8</v>
      </c>
      <c r="CJ65" s="3">
        <f t="shared" si="37"/>
        <v>3.6538452770572546E-15</v>
      </c>
      <c r="CK65" s="3">
        <f t="shared" si="38"/>
        <v>-1.6317032991775652E-15</v>
      </c>
      <c r="CL65" s="3">
        <f t="shared" si="39"/>
        <v>4.1663906880096135E-8</v>
      </c>
    </row>
    <row r="66" spans="2:90" x14ac:dyDescent="0.2">
      <c r="B66" s="7" t="s">
        <v>226</v>
      </c>
      <c r="C66" s="18">
        <v>1.7312013277058499E-5</v>
      </c>
      <c r="D66" s="7" t="s">
        <v>16</v>
      </c>
      <c r="X66" s="3">
        <v>27</v>
      </c>
      <c r="Y66" s="3">
        <f t="shared" si="48"/>
        <v>0.97138074040412903</v>
      </c>
      <c r="Z66" s="3">
        <f t="shared" si="29"/>
        <v>4.4448498215388099E-9</v>
      </c>
      <c r="AA66" s="3">
        <f t="shared" si="49"/>
        <v>0.97138074785470963</v>
      </c>
      <c r="AB66" s="3">
        <f t="shared" si="30"/>
        <v>-4.7702678473982019E-9</v>
      </c>
      <c r="AC66" s="3">
        <f t="shared" si="40"/>
        <v>0.97138074412941933</v>
      </c>
      <c r="AD66" s="3">
        <f t="shared" si="31"/>
        <v>-1.627090684408472E-10</v>
      </c>
      <c r="AE66" s="3">
        <f t="shared" si="41"/>
        <v>-7.2321737382204571E-19</v>
      </c>
      <c r="AF66" s="3">
        <f t="shared" si="42"/>
        <v>7.7616583766348689E-19</v>
      </c>
      <c r="AG66" s="3">
        <f t="shared" si="43"/>
        <v>7.4505805969238281E-9</v>
      </c>
      <c r="AI66" s="3">
        <v>17</v>
      </c>
      <c r="AJ66" s="3">
        <f t="shared" si="54"/>
        <v>1042.7597045898438</v>
      </c>
      <c r="AK66" s="3">
        <v>5.8813778819057916E-2</v>
      </c>
      <c r="AL66" s="3">
        <f t="shared" si="55"/>
        <v>1042.7818298339844</v>
      </c>
      <c r="AM66" s="3">
        <v>-0.14440358058254787</v>
      </c>
      <c r="AN66" s="3">
        <f t="shared" si="50"/>
        <v>1042.7707672119141</v>
      </c>
      <c r="AO66" s="3">
        <v>-4.2794361905180267E-2</v>
      </c>
      <c r="AP66" s="3">
        <f t="shared" si="51"/>
        <v>-2.5168981357939903E-3</v>
      </c>
      <c r="AQ66" s="3">
        <f t="shared" si="52"/>
        <v>6.1796590878534161E-3</v>
      </c>
      <c r="AR66" s="3">
        <f t="shared" si="53"/>
        <v>2.2125244140625E-2</v>
      </c>
      <c r="BJ66" s="3" t="s">
        <v>187</v>
      </c>
      <c r="BK66" s="3">
        <f>IF(-$AU$8*($AY$3-$AU$25)/(2*$AU$25*SIN(BK61))&gt;500, 1, 2*ACOS(MIN(1, EXP(-$AU$8*($AY$3-$AU$25)/(2*$AU$25*SIN(BK61)))))/PI() )</f>
        <v>0.75990740563207892</v>
      </c>
      <c r="BL66" s="3"/>
      <c r="BM66" s="3"/>
      <c r="BN66" s="3" t="s">
        <v>187</v>
      </c>
      <c r="BO66" s="3">
        <f>IF(-$AU$8*($AY$3-$AU$26)/(2*$AU$26*SIN(BO61))&gt;500, 1, 2*ACOS(MIN(1, EXP(-$AU$8*($AY$3-$AU$26)/(2*$AU$26*SIN(BO61)))))/PI() )</f>
        <v>0.47047073080672391</v>
      </c>
      <c r="BP66" s="3"/>
      <c r="BR66" s="3">
        <v>28</v>
      </c>
      <c r="BS66" s="3">
        <f t="shared" si="44"/>
        <v>0.25870420455584825</v>
      </c>
      <c r="BT66" s="3">
        <v>-3.9712379214934534E-8</v>
      </c>
      <c r="BU66" s="3">
        <f t="shared" si="45"/>
        <v>0.25870422538780169</v>
      </c>
      <c r="BV66" s="3">
        <v>4.9899956912173582E-8</v>
      </c>
      <c r="BW66" s="3">
        <f t="shared" si="32"/>
        <v>0.25870421497182494</v>
      </c>
      <c r="BX66" s="3">
        <v>5.0937897571809443E-9</v>
      </c>
      <c r="BY66" s="3">
        <f t="shared" si="33"/>
        <v>-2.0228651047831897E-16</v>
      </c>
      <c r="BZ66" s="3">
        <f t="shared" si="34"/>
        <v>2.5417988940300026E-16</v>
      </c>
      <c r="CA66" s="3">
        <f t="shared" si="35"/>
        <v>2.0831953440048068E-8</v>
      </c>
      <c r="CC66" s="3">
        <v>28</v>
      </c>
      <c r="CD66" s="3">
        <f t="shared" si="46"/>
        <v>0.2306304599616435</v>
      </c>
      <c r="CE66" s="3">
        <v>-3.179734013331742E-8</v>
      </c>
      <c r="CF66" s="3">
        <f t="shared" si="47"/>
        <v>0.23063048079359694</v>
      </c>
      <c r="CG66" s="3">
        <v>5.1315716734050276E-8</v>
      </c>
      <c r="CH66" s="3">
        <f t="shared" si="36"/>
        <v>0.23063047037762022</v>
      </c>
      <c r="CI66" s="3">
        <v>9.7591894088547293E-9</v>
      </c>
      <c r="CJ66" s="3">
        <f t="shared" si="37"/>
        <v>-3.1031626505882281E-16</v>
      </c>
      <c r="CK66" s="3">
        <f t="shared" si="38"/>
        <v>5.0079979925873286E-16</v>
      </c>
      <c r="CL66" s="3">
        <f t="shared" si="39"/>
        <v>2.0831953440048068E-8</v>
      </c>
    </row>
    <row r="67" spans="2:90" x14ac:dyDescent="0.2">
      <c r="B67" s="7" t="s">
        <v>144</v>
      </c>
      <c r="C67" s="18">
        <v>333.29000296588299</v>
      </c>
      <c r="D67" s="7" t="s">
        <v>10</v>
      </c>
      <c r="X67" s="3">
        <v>28</v>
      </c>
      <c r="Y67" s="3">
        <f t="shared" si="48"/>
        <v>0.97138074040412903</v>
      </c>
      <c r="Z67" s="3">
        <f t="shared" si="29"/>
        <v>4.4448498215388099E-9</v>
      </c>
      <c r="AA67" s="3">
        <f t="shared" si="49"/>
        <v>0.97138074412941933</v>
      </c>
      <c r="AB67" s="3">
        <f t="shared" si="30"/>
        <v>-1.627090684408472E-10</v>
      </c>
      <c r="AC67" s="3">
        <f t="shared" si="40"/>
        <v>0.97138074226677418</v>
      </c>
      <c r="AD67" s="3">
        <f t="shared" si="31"/>
        <v>2.1410704320601326E-9</v>
      </c>
      <c r="AE67" s="3">
        <f t="shared" si="41"/>
        <v>9.516736527844503E-18</v>
      </c>
      <c r="AF67" s="3">
        <f t="shared" si="42"/>
        <v>-3.4837157546674641E-19</v>
      </c>
      <c r="AG67" s="3">
        <f t="shared" si="43"/>
        <v>3.7252902984619141E-9</v>
      </c>
      <c r="AI67" s="3">
        <v>18</v>
      </c>
      <c r="AJ67" s="3">
        <f t="shared" si="54"/>
        <v>1042.7597045898438</v>
      </c>
      <c r="AK67" s="3">
        <v>5.8813778819057916E-2</v>
      </c>
      <c r="AL67" s="3">
        <f t="shared" si="55"/>
        <v>1042.7707672119141</v>
      </c>
      <c r="AM67" s="3">
        <v>-4.2794361905180267E-2</v>
      </c>
      <c r="AN67" s="3">
        <f t="shared" si="50"/>
        <v>1042.7652359008789</v>
      </c>
      <c r="AO67" s="3">
        <v>8.0098432008526288E-3</v>
      </c>
      <c r="AP67" s="3">
        <f t="shared" si="51"/>
        <v>4.7108914639028141E-4</v>
      </c>
      <c r="AQ67" s="3">
        <f t="shared" si="52"/>
        <v>-3.4277612874103491E-4</v>
      </c>
      <c r="AR67" s="3">
        <f t="shared" si="53"/>
        <v>1.10626220703125E-2</v>
      </c>
      <c r="BJ67" s="3" t="s">
        <v>192</v>
      </c>
      <c r="BK67" s="3">
        <f>IF(-$AU$8*($AU$25-$AU$10)/(2*$AU$25*SIN(BK61))&gt;500, 1, 2*ACOS(MIN(1, EXP(-$AU$8*($AU$25-$AU$10)/(2*$AU$25*SIN(BK61)))))/PI() )</f>
        <v>0.99160743656009809</v>
      </c>
      <c r="BL67" s="3"/>
      <c r="BM67" s="3"/>
      <c r="BN67" s="3" t="s">
        <v>192</v>
      </c>
      <c r="BO67" s="3">
        <f>IF(-$AU$8*($AU$26-$AU$10)/(2*$AU$26*SIN(BO61))&gt;500, 1, 2*ACOS(MIN(1, EXP(-$AU$8*($AU$26-$AU$10)/(2*$AU$26*SIN(BO61)))))/PI() )</f>
        <v>0.9931651406781139</v>
      </c>
      <c r="BP67" s="3"/>
      <c r="BR67" s="3">
        <v>29</v>
      </c>
      <c r="BS67" s="3">
        <f t="shared" si="44"/>
        <v>0.25870420455584825</v>
      </c>
      <c r="BT67" s="3">
        <v>-3.9712379214934534E-8</v>
      </c>
      <c r="BU67" s="3">
        <f t="shared" si="45"/>
        <v>0.25870421497182494</v>
      </c>
      <c r="BV67" s="3">
        <v>5.0937897571809443E-9</v>
      </c>
      <c r="BW67" s="3">
        <f t="shared" si="32"/>
        <v>0.25870420976383657</v>
      </c>
      <c r="BX67" s="3">
        <v>-1.7309294548031873E-8</v>
      </c>
      <c r="BY67" s="3">
        <f t="shared" si="33"/>
        <v>6.8739326903444058E-16</v>
      </c>
      <c r="BZ67" s="3">
        <f t="shared" si="34"/>
        <v>-8.8169907272792716E-17</v>
      </c>
      <c r="CA67" s="3">
        <f t="shared" si="35"/>
        <v>1.0415976692268458E-8</v>
      </c>
      <c r="CC67" s="3">
        <v>29</v>
      </c>
      <c r="CD67" s="3">
        <f t="shared" si="46"/>
        <v>0.2306304599616435</v>
      </c>
      <c r="CE67" s="3">
        <v>-3.179734013331742E-8</v>
      </c>
      <c r="CF67" s="3">
        <f t="shared" si="47"/>
        <v>0.23063047037762022</v>
      </c>
      <c r="CG67" s="3">
        <v>9.7591894088547293E-9</v>
      </c>
      <c r="CH67" s="3">
        <f t="shared" si="36"/>
        <v>0.23063046516963187</v>
      </c>
      <c r="CI67" s="3">
        <v>-1.1019075017888735E-8</v>
      </c>
      <c r="CJ67" s="3">
        <f t="shared" si="37"/>
        <v>3.5037727629834887E-16</v>
      </c>
      <c r="CK67" s="3">
        <f t="shared" si="38"/>
        <v>-1.0753724020995549E-16</v>
      </c>
      <c r="CL67" s="3">
        <f t="shared" si="39"/>
        <v>1.0415976720024034E-8</v>
      </c>
    </row>
    <row r="68" spans="2:90" x14ac:dyDescent="0.2">
      <c r="B68" s="7" t="s">
        <v>17</v>
      </c>
      <c r="C68" s="18">
        <v>9.80099897360674</v>
      </c>
      <c r="D68" s="7" t="s">
        <v>18</v>
      </c>
      <c r="X68" s="3">
        <v>29</v>
      </c>
      <c r="Y68" s="3">
        <f t="shared" si="48"/>
        <v>0.97138074226677418</v>
      </c>
      <c r="Z68" s="3">
        <f t="shared" si="29"/>
        <v>2.1410704320601326E-9</v>
      </c>
      <c r="AA68" s="3">
        <f t="shared" si="49"/>
        <v>0.97138074412941933</v>
      </c>
      <c r="AB68" s="3">
        <f t="shared" si="30"/>
        <v>-1.627090684408472E-10</v>
      </c>
      <c r="AC68" s="3">
        <f t="shared" si="40"/>
        <v>0.97138074319809675</v>
      </c>
      <c r="AD68" s="3">
        <f t="shared" si="31"/>
        <v>9.8918073732079392E-10</v>
      </c>
      <c r="AE68" s="3">
        <f t="shared" si="41"/>
        <v>2.1179056286409928E-18</v>
      </c>
      <c r="AF68" s="3">
        <f t="shared" si="42"/>
        <v>-1.6094867628909676E-19</v>
      </c>
      <c r="AG68" s="3">
        <f t="shared" si="43"/>
        <v>1.862645149230957E-9</v>
      </c>
      <c r="AI68" s="3">
        <v>19</v>
      </c>
      <c r="AJ68" s="3">
        <f t="shared" si="54"/>
        <v>1042.7652359008789</v>
      </c>
      <c r="AK68" s="3">
        <v>8.0098432008526288E-3</v>
      </c>
      <c r="AL68" s="3">
        <f t="shared" si="55"/>
        <v>1042.7707672119141</v>
      </c>
      <c r="AM68" s="3">
        <v>-4.2794361905180267E-2</v>
      </c>
      <c r="AN68" s="3">
        <f t="shared" si="50"/>
        <v>1042.7680015563965</v>
      </c>
      <c r="AO68" s="3">
        <v>-1.7392225666299055E-2</v>
      </c>
      <c r="AP68" s="3">
        <f t="shared" si="51"/>
        <v>-1.3930900050090008E-4</v>
      </c>
      <c r="AQ68" s="3">
        <f t="shared" si="52"/>
        <v>7.442891995001668E-4</v>
      </c>
      <c r="AR68" s="3">
        <f t="shared" si="53"/>
        <v>5.53131103515625E-3</v>
      </c>
      <c r="BJ68" s="3" t="s">
        <v>195</v>
      </c>
      <c r="BK68" s="3">
        <f>IF(BK61=0,1,BK66*BK67)</f>
        <v>0.7535298345218604</v>
      </c>
      <c r="BL68" s="3"/>
      <c r="BM68" s="3"/>
      <c r="BN68" s="3" t="s">
        <v>195</v>
      </c>
      <c r="BO68" s="3">
        <f>IF(BO61=0,1,BO66*BO67)</f>
        <v>0.46725512954659504</v>
      </c>
      <c r="BP68" s="3"/>
      <c r="BR68" s="3">
        <v>30</v>
      </c>
      <c r="BS68" s="3">
        <f t="shared" si="44"/>
        <v>0.25870420976383657</v>
      </c>
      <c r="BT68" s="3">
        <v>-1.7309294548031873E-8</v>
      </c>
      <c r="BU68" s="3">
        <f t="shared" si="45"/>
        <v>0.25870421497182494</v>
      </c>
      <c r="BV68" s="3">
        <v>5.0937897571809443E-9</v>
      </c>
      <c r="BW68" s="6">
        <f t="shared" si="32"/>
        <v>0.25870421236783075</v>
      </c>
      <c r="BX68" s="3">
        <v>-6.1077523308070147E-9</v>
      </c>
      <c r="BY68" s="3">
        <f t="shared" si="33"/>
        <v>1.0572088412036683E-16</v>
      </c>
      <c r="BZ68" s="3">
        <f t="shared" si="34"/>
        <v>-3.1111606262062813E-17</v>
      </c>
      <c r="CA68" s="3">
        <f t="shared" si="35"/>
        <v>5.2079883738898047E-9</v>
      </c>
      <c r="CC68" s="3">
        <v>30</v>
      </c>
      <c r="CD68" s="3">
        <f t="shared" si="46"/>
        <v>0.23063046516963187</v>
      </c>
      <c r="CE68" s="3">
        <v>-1.1019075017888735E-8</v>
      </c>
      <c r="CF68" s="3">
        <f t="shared" si="47"/>
        <v>0.23063047037762022</v>
      </c>
      <c r="CG68" s="3">
        <v>9.7591894088547293E-9</v>
      </c>
      <c r="CH68" s="6">
        <f t="shared" si="36"/>
        <v>0.23063046777362606</v>
      </c>
      <c r="CI68" s="3">
        <v>-6.2994265880023104E-10</v>
      </c>
      <c r="CJ68" s="3">
        <f t="shared" si="37"/>
        <v>6.941385414288034E-18</v>
      </c>
      <c r="CK68" s="3">
        <f t="shared" si="38"/>
        <v>-6.1477297239490031E-18</v>
      </c>
      <c r="CL68" s="3">
        <f t="shared" si="39"/>
        <v>5.2079883461342291E-9</v>
      </c>
    </row>
    <row r="69" spans="2:90" x14ac:dyDescent="0.2">
      <c r="X69" s="3">
        <v>30</v>
      </c>
      <c r="Y69" s="3">
        <f t="shared" si="48"/>
        <v>0.97138074319809675</v>
      </c>
      <c r="Z69" s="3">
        <f t="shared" si="29"/>
        <v>9.8918073732079392E-10</v>
      </c>
      <c r="AA69" s="3">
        <f t="shared" si="49"/>
        <v>0.97138074412941933</v>
      </c>
      <c r="AB69" s="3">
        <f t="shared" si="30"/>
        <v>-1.627090684408472E-10</v>
      </c>
      <c r="AC69" s="3">
        <f t="shared" si="40"/>
        <v>0.97138074366375804</v>
      </c>
      <c r="AD69" s="3">
        <f t="shared" si="31"/>
        <v>4.1323588995112459E-10</v>
      </c>
      <c r="AE69" s="3">
        <f t="shared" si="41"/>
        <v>4.0876498230926788E-19</v>
      </c>
      <c r="AF69" s="3">
        <f t="shared" si="42"/>
        <v>-6.7237226700271935E-20</v>
      </c>
      <c r="AG69" s="3">
        <f t="shared" si="43"/>
        <v>9.3132257461547852E-10</v>
      </c>
      <c r="AI69" s="3">
        <v>20</v>
      </c>
      <c r="AJ69" s="3">
        <f t="shared" si="54"/>
        <v>1042.7652359008789</v>
      </c>
      <c r="AK69" s="3">
        <v>8.0098432008526288E-3</v>
      </c>
      <c r="AL69" s="3">
        <f t="shared" si="55"/>
        <v>1042.7680015563965</v>
      </c>
      <c r="AM69" s="3">
        <v>-1.7392225666299055E-2</v>
      </c>
      <c r="AN69" s="3">
        <f t="shared" si="50"/>
        <v>1042.7666187286377</v>
      </c>
      <c r="AO69" s="3">
        <v>-4.6911828103475273E-3</v>
      </c>
      <c r="AP69" s="3">
        <f t="shared" si="51"/>
        <v>-3.7575638737418871E-5</v>
      </c>
      <c r="AQ69" s="3">
        <f t="shared" si="52"/>
        <v>8.1590110079427192E-5</v>
      </c>
      <c r="AR69" s="3">
        <f t="shared" si="53"/>
        <v>2.765655517578125E-3</v>
      </c>
      <c r="BJ69" s="3" t="s">
        <v>199</v>
      </c>
      <c r="BK69" s="3">
        <f>IF(BK64&lt;$BC$49, $AY$50*BK64^6 + $AZ$50*BK64^5 + $BA$50*BK64^4 + $AY$51*BK64^3 + $AZ$51*BK64^2 + $BA$51*BK64 + $AY$52, IF(BK64&gt;$BD$49, $BE$50*BK64^6 + $BF$50*BK64^5 + $BG$50*BK64^4 + $BE$51*BK64^3 + $BF$51*BK64^2 + $BG$51*BK64 + $BE$52, $BB$50*BK64^6 + $BC$50*BK64^5 + $BD$50*BK64^4 + $BB$51*BK64^3 + $BC$51*BK64^2 + $BD$51*BK64 + $BB$52) )</f>
        <v>0.56056084689691388</v>
      </c>
      <c r="BL69" s="3"/>
      <c r="BM69" s="3"/>
      <c r="BN69" s="3" t="s">
        <v>199</v>
      </c>
      <c r="BO69" s="3">
        <f>IF(BO64&lt;$BC$49, $AY$50*BO64^6 + $AZ$50*BO64^5 + $BA$50*BO64^4 + $AY$51*BO64^3 + $AZ$51*BO64^2 + $BA$51*BO64 + $AY$52, IF(BO64&gt;$BD$49, $BE$50*BO64^6 + $BF$50*BO64^5 + $BG$50*BO64^4 + $BE$51*BO64^3 + $BF$51*BO64^2 + $BG$51*BO64 + $BE$52, $BB$50*BO64^6 + $BC$50*BO64^5 + $BD$50*BO64^4 + $BB$51*BO64^3 + $BC$51*BO64^2 + $BD$51*BO64 + $BB$52) )</f>
        <v>0.39986452794779898</v>
      </c>
      <c r="BP69" s="3"/>
    </row>
    <row r="70" spans="2:90" x14ac:dyDescent="0.2">
      <c r="B70" s="68" t="s">
        <v>291</v>
      </c>
      <c r="C70" s="68"/>
      <c r="D70" s="68"/>
      <c r="AI70" s="3">
        <v>21</v>
      </c>
      <c r="AJ70" s="3">
        <f t="shared" si="54"/>
        <v>1042.7652359008789</v>
      </c>
      <c r="AK70" s="3">
        <v>8.0098432008526288E-3</v>
      </c>
      <c r="AL70" s="3">
        <f t="shared" si="55"/>
        <v>1042.7666187286377</v>
      </c>
      <c r="AM70" s="3">
        <v>-4.6911828103475273E-3</v>
      </c>
      <c r="AN70" s="3">
        <f t="shared" si="50"/>
        <v>1042.7659273147583</v>
      </c>
      <c r="AO70" s="3">
        <v>1.6593323007327854E-3</v>
      </c>
      <c r="AP70" s="3">
        <f t="shared" si="51"/>
        <v>1.3290991546979651E-5</v>
      </c>
      <c r="AQ70" s="3">
        <f t="shared" si="52"/>
        <v>-7.7842311658520569E-6</v>
      </c>
      <c r="AR70" s="3">
        <f t="shared" si="53"/>
        <v>1.3828277587890625E-3</v>
      </c>
      <c r="BJ70" s="3" t="s">
        <v>200</v>
      </c>
      <c r="BK70" s="3">
        <f>IF(BK64&lt;$BC$49, $AY$53*BK64^6 + $AZ$53*BK64^5 + $BA$53*BK64^4 + $AY$54*BK64^3 + $AZ$54*BK64^2 + $BA$54*BK64 + $AY$55, IF(BK64&gt;$BD$49, $BE$53*BK64^6 + $BF$53*BK64^5 + $BG$53*BK64^4 + $BE$54*BK64^3 + $BF$54*BK64^2 + $BG$54*BK64 + $BE$55, $BB$53*BK64^6 + $BC$53*BK64^5 + $BD$53*BK64^4 + $BB$54*BK64^3 + $BC$54*BK64^2 + $BD$54*BK64 + $BB$55) )</f>
        <v>7.4815352912238356E-2</v>
      </c>
      <c r="BL70" s="3"/>
      <c r="BM70" s="3"/>
      <c r="BN70" s="3" t="s">
        <v>200</v>
      </c>
      <c r="BO70" s="3">
        <f>IF(BO64&lt;$BC$49, $AY$53*BO64^6 + $AZ$53*BO64^5 + $BA$53*BO64^4 + $AY$54*BO64^3 + $AZ$54*BO64^2 + $BA$54*BO64 + $AY$55, IF(BO64&gt;$BD$49, $BE$53*BO64^6 + $BF$53*BO64^5 + $BG$53*BO64^4 + $BE$54*BO64^3 + $BF$54*BO64^2 + $BG$54*BO64 + $BE$55, $BB$53*BO64^6 + $BC$53*BO64^5 + $BD$53*BO64^4 + $BB$54*BO64^3 + $BC$54*BO64^2 + $BD$54*BO64 + $BB$55) )</f>
        <v>8.7055538594041318E-2</v>
      </c>
      <c r="BP70" s="3"/>
      <c r="BR70" s="74" t="s">
        <v>223</v>
      </c>
      <c r="BS70" s="74"/>
      <c r="BT70" s="74"/>
      <c r="BU70" s="74"/>
      <c r="BV70" s="74"/>
      <c r="BW70" s="74"/>
      <c r="BX70" s="74"/>
      <c r="BY70" s="74"/>
      <c r="BZ70" s="74"/>
      <c r="CA70" s="74"/>
      <c r="CC70" s="74" t="s">
        <v>224</v>
      </c>
      <c r="CD70" s="74"/>
      <c r="CE70" s="74"/>
      <c r="CF70" s="74"/>
      <c r="CG70" s="74"/>
      <c r="CH70" s="74"/>
      <c r="CI70" s="74"/>
      <c r="CJ70" s="74"/>
      <c r="CK70" s="74"/>
      <c r="CL70" s="74"/>
    </row>
    <row r="71" spans="2:90" x14ac:dyDescent="0.2">
      <c r="B71" s="7" t="s">
        <v>15</v>
      </c>
      <c r="C71" s="18">
        <v>0.96234512739503997</v>
      </c>
      <c r="D71" s="7" t="s">
        <v>16</v>
      </c>
      <c r="AI71" s="3">
        <v>22</v>
      </c>
      <c r="AJ71" s="3">
        <f t="shared" si="54"/>
        <v>1042.7659273147583</v>
      </c>
      <c r="AK71" s="3">
        <v>1.6593323007327854E-3</v>
      </c>
      <c r="AL71" s="3">
        <f t="shared" si="55"/>
        <v>1042.7666187286377</v>
      </c>
      <c r="AM71" s="3">
        <v>-4.6911828103475273E-3</v>
      </c>
      <c r="AN71" s="3">
        <f t="shared" si="50"/>
        <v>1042.766273021698</v>
      </c>
      <c r="AO71" s="3">
        <v>-1.5159247295741807E-3</v>
      </c>
      <c r="AP71" s="3">
        <f t="shared" si="51"/>
        <v>-2.5154228692620508E-6</v>
      </c>
      <c r="AQ71" s="3">
        <f t="shared" si="52"/>
        <v>7.1114800331591205E-6</v>
      </c>
      <c r="AR71" s="3">
        <f t="shared" si="53"/>
        <v>6.9141387939453125E-4</v>
      </c>
      <c r="BJ71" s="3" t="s">
        <v>202</v>
      </c>
      <c r="BK71" s="3">
        <f xml:space="preserve"> BK69*COS(BK61) - BK70*SIN(BK61)</f>
        <v>0.53898137722081596</v>
      </c>
      <c r="BL71" s="3"/>
      <c r="BM71" s="3"/>
      <c r="BN71" s="3" t="s">
        <v>202</v>
      </c>
      <c r="BO71" s="3">
        <f xml:space="preserve"> BO69*COS(BO61) - BO70*SIN(BO61)</f>
        <v>0.37895882736459363</v>
      </c>
      <c r="BP71" s="3"/>
      <c r="BR71" s="8" t="s">
        <v>44</v>
      </c>
      <c r="BS71" s="8" t="s">
        <v>45</v>
      </c>
      <c r="BT71" s="8" t="s">
        <v>46</v>
      </c>
      <c r="BU71" s="8" t="s">
        <v>47</v>
      </c>
      <c r="BV71" s="8" t="s">
        <v>48</v>
      </c>
      <c r="BW71" s="8" t="s">
        <v>49</v>
      </c>
      <c r="BX71" s="8" t="s">
        <v>50</v>
      </c>
      <c r="BY71" s="8" t="s">
        <v>51</v>
      </c>
      <c r="BZ71" s="8" t="s">
        <v>52</v>
      </c>
      <c r="CA71" s="8" t="s">
        <v>53</v>
      </c>
      <c r="CC71" s="8" t="s">
        <v>44</v>
      </c>
      <c r="CD71" s="8" t="s">
        <v>45</v>
      </c>
      <c r="CE71" s="8" t="s">
        <v>46</v>
      </c>
      <c r="CF71" s="8" t="s">
        <v>47</v>
      </c>
      <c r="CG71" s="8" t="s">
        <v>48</v>
      </c>
      <c r="CH71" s="8" t="s">
        <v>49</v>
      </c>
      <c r="CI71" s="8" t="s">
        <v>50</v>
      </c>
      <c r="CJ71" s="8" t="s">
        <v>51</v>
      </c>
      <c r="CK71" s="8" t="s">
        <v>52</v>
      </c>
      <c r="CL71" s="8" t="s">
        <v>53</v>
      </c>
    </row>
    <row r="72" spans="2:90" x14ac:dyDescent="0.2">
      <c r="B72" s="7" t="s">
        <v>226</v>
      </c>
      <c r="C72" s="42">
        <v>1.7116254418577599E-5</v>
      </c>
      <c r="D72" s="7" t="s">
        <v>16</v>
      </c>
      <c r="AI72" s="3">
        <v>23</v>
      </c>
      <c r="AJ72" s="3">
        <f t="shared" si="54"/>
        <v>1042.7659273147583</v>
      </c>
      <c r="AK72" s="3">
        <v>1.6593323007327854E-3</v>
      </c>
      <c r="AL72" s="3">
        <f t="shared" si="55"/>
        <v>1042.766273021698</v>
      </c>
      <c r="AM72" s="3">
        <v>-1.5159247295741807E-3</v>
      </c>
      <c r="AN72" s="3">
        <f t="shared" si="50"/>
        <v>1042.7661001682281</v>
      </c>
      <c r="AO72" s="3">
        <v>7.1703916546539403E-5</v>
      </c>
      <c r="AP72" s="3">
        <f t="shared" si="51"/>
        <v>1.1898062481472086E-7</v>
      </c>
      <c r="AQ72" s="3">
        <f t="shared" si="52"/>
        <v>-1.0869774030022237E-7</v>
      </c>
      <c r="AR72" s="3">
        <f t="shared" si="53"/>
        <v>3.4570693969726562E-4</v>
      </c>
      <c r="BJ72" s="3" t="s">
        <v>204</v>
      </c>
      <c r="BK72" s="3">
        <f xml:space="preserve"> BK69*SIN(BK61) + BK70*COS(BK61)</f>
        <v>0.17124507325561394</v>
      </c>
      <c r="BL72" s="3"/>
      <c r="BM72" s="3"/>
      <c r="BN72" s="3" t="s">
        <v>204</v>
      </c>
      <c r="BO72" s="3">
        <f xml:space="preserve"> BO69*SIN(BO61) + BO70*COS(BO61)</f>
        <v>0.15446849087521652</v>
      </c>
      <c r="BP72" s="3"/>
      <c r="BR72" s="31">
        <v>0</v>
      </c>
      <c r="BS72" s="31"/>
      <c r="BT72" s="31">
        <f>$BK$58</f>
        <v>4.5214476000060566E-9</v>
      </c>
      <c r="BU72" s="31"/>
      <c r="BV72" s="31">
        <f>$BK$58</f>
        <v>4.5214476000060566E-9</v>
      </c>
      <c r="BW72" s="31"/>
      <c r="BX72" s="31">
        <f>$BK$58</f>
        <v>4.5214476000060566E-9</v>
      </c>
      <c r="BY72" s="31"/>
      <c r="BZ72" s="31"/>
      <c r="CA72" s="31"/>
      <c r="CC72" s="31">
        <v>0</v>
      </c>
      <c r="CD72" s="31"/>
      <c r="CE72" s="31">
        <f>$BO$58</f>
        <v>-6.8360290102209564E-9</v>
      </c>
      <c r="CF72" s="31"/>
      <c r="CG72" s="31">
        <f>$BO$58</f>
        <v>-6.8360290102209564E-9</v>
      </c>
      <c r="CH72" s="31"/>
      <c r="CI72" s="31">
        <f>$BO$58</f>
        <v>-6.8360290102209564E-9</v>
      </c>
      <c r="CJ72" s="31"/>
      <c r="CK72" s="31"/>
      <c r="CL72" s="31"/>
    </row>
    <row r="73" spans="2:90" x14ac:dyDescent="0.2">
      <c r="B73" s="7" t="s">
        <v>144</v>
      </c>
      <c r="C73" s="18">
        <v>330.89077204791801</v>
      </c>
      <c r="D73" s="7" t="s">
        <v>10</v>
      </c>
      <c r="AI73" s="3">
        <v>24</v>
      </c>
      <c r="AJ73" s="3">
        <f t="shared" si="54"/>
        <v>1042.7661001682281</v>
      </c>
      <c r="AK73" s="3">
        <v>7.1703916546539403E-5</v>
      </c>
      <c r="AL73" s="3">
        <f t="shared" si="55"/>
        <v>1042.766273021698</v>
      </c>
      <c r="AM73" s="3">
        <v>-1.5159247295741807E-3</v>
      </c>
      <c r="AN73" s="3">
        <f t="shared" si="50"/>
        <v>1042.7661865949631</v>
      </c>
      <c r="AO73" s="3">
        <v>-7.2211037240776932E-4</v>
      </c>
      <c r="AP73" s="3">
        <f t="shared" si="51"/>
        <v>-5.1778141880517183E-8</v>
      </c>
      <c r="AQ73" s="3">
        <f t="shared" si="52"/>
        <v>1.0946649710149586E-6</v>
      </c>
      <c r="AR73" s="3">
        <f t="shared" si="53"/>
        <v>1.7285346984863281E-4</v>
      </c>
      <c r="BJ73" s="3" t="s">
        <v>38</v>
      </c>
      <c r="BK73" s="3">
        <f xml:space="preserve"> 4*BK68*SIN(BK61)*SIN(BK61) / (BK65*BK71)</f>
        <v>1.0218538822479939</v>
      </c>
      <c r="BL73" s="3"/>
      <c r="BM73" s="3"/>
      <c r="BN73" s="3" t="s">
        <v>38</v>
      </c>
      <c r="BO73" s="3">
        <f xml:space="preserve"> 4*BO68*SIN(BO61)*SIN(BO61) / (BO65*BO71)</f>
        <v>1.020088719767708</v>
      </c>
      <c r="BP73" s="3"/>
      <c r="BR73" s="3">
        <v>1</v>
      </c>
      <c r="BS73" s="4">
        <f>0.01*PI()</f>
        <v>3.1415926535897934E-2</v>
      </c>
      <c r="BT73" s="3">
        <f t="dataTable" ref="BT73:BT102" dt2D="0" dtr="0" r1="BK42" ca="1"/>
        <v>-2.831248434634857</v>
      </c>
      <c r="BU73" s="4">
        <f>0.9*PI()</f>
        <v>2.8274333882308138</v>
      </c>
      <c r="BV73" s="3">
        <f t="dataTable" ref="BV73:BV102" dt2D="0" dtr="0" r1="BK42" ca="1"/>
        <v>0.46546557957036716</v>
      </c>
      <c r="BW73" s="3">
        <f t="shared" ref="BW73:BW102" si="56">(BS73+BU73)/2</f>
        <v>1.4294246573833558</v>
      </c>
      <c r="BX73" s="3">
        <f t="dataTable" ref="BX73:BX102" dt2D="0" dtr="0" r1="BK42"/>
        <v>1.1368327522198096</v>
      </c>
      <c r="BY73" s="3">
        <f t="shared" ref="BY73:BY102" si="57">BT73*BX73</f>
        <v>-3.218655950163972</v>
      </c>
      <c r="BZ73" s="3">
        <f t="shared" ref="BZ73:BZ102" si="58">BV73*BX73</f>
        <v>0.52915651588656931</v>
      </c>
      <c r="CA73" s="3">
        <f t="shared" ref="CA73:CA102" si="59">BU73-BS73</f>
        <v>2.7960174616949161</v>
      </c>
      <c r="CC73" s="3">
        <v>1</v>
      </c>
      <c r="CD73" s="4">
        <f>0.01*PI()</f>
        <v>3.1415926535897934E-2</v>
      </c>
      <c r="CE73" s="3">
        <f t="dataTable" ref="CE73:CE102" dt2D="0" dtr="0" r1="BO42" ca="1"/>
        <v>-2.2754828273791627</v>
      </c>
      <c r="CF73" s="4">
        <f>0.9*PI()</f>
        <v>2.8274333882308138</v>
      </c>
      <c r="CG73" s="3">
        <f t="dataTable" ref="CG73:CG102" dt2D="0" dtr="0" r1="BO42"/>
        <v>0.45758305413039274</v>
      </c>
      <c r="CH73" s="3">
        <f t="shared" ref="CH73:CH102" si="60">(CD73+CF73)/2</f>
        <v>1.4294246573833558</v>
      </c>
      <c r="CI73" s="3">
        <f t="dataTable" ref="CI73:CI102" dt2D="0" dtr="0" r1="BO42" ca="1"/>
        <v>1.1401206536282953</v>
      </c>
      <c r="CJ73" s="3">
        <f t="shared" ref="CJ73:CJ102" si="61">CE73*CI73</f>
        <v>-2.5943249684714926</v>
      </c>
      <c r="CK73" s="3">
        <f t="shared" ref="CK73:CK102" si="62">CG73*CI73</f>
        <v>0.52169989076437495</v>
      </c>
      <c r="CL73" s="3">
        <f t="shared" ref="CL73:CL102" si="63">CF73-CD73</f>
        <v>2.7960174616949161</v>
      </c>
    </row>
    <row r="74" spans="2:90" x14ac:dyDescent="0.2">
      <c r="B74" s="7" t="s">
        <v>17</v>
      </c>
      <c r="C74" s="1">
        <v>9.7991241940211005</v>
      </c>
      <c r="D74" s="7" t="s">
        <v>18</v>
      </c>
      <c r="AI74" s="3">
        <v>25</v>
      </c>
      <c r="AJ74" s="3">
        <f t="shared" si="54"/>
        <v>1042.7661001682281</v>
      </c>
      <c r="AK74" s="3">
        <v>7.1703916546539403E-5</v>
      </c>
      <c r="AL74" s="3">
        <f t="shared" si="55"/>
        <v>1042.7661865949631</v>
      </c>
      <c r="AM74" s="3">
        <v>-7.2211037240776932E-4</v>
      </c>
      <c r="AN74" s="3">
        <f t="shared" si="50"/>
        <v>1042.7661433815956</v>
      </c>
      <c r="AO74" s="3">
        <v>-3.2520321929041529E-4</v>
      </c>
      <c r="AP74" s="3">
        <f t="shared" si="51"/>
        <v>-2.3318344496665889E-8</v>
      </c>
      <c r="AQ74" s="3">
        <f t="shared" si="52"/>
        <v>2.3483261779000726E-7</v>
      </c>
      <c r="AR74" s="3">
        <f t="shared" si="53"/>
        <v>8.6426734924316406E-5</v>
      </c>
      <c r="BJ74" s="3" t="s">
        <v>206</v>
      </c>
      <c r="BK74" s="3">
        <f xml:space="preserve"> 4*BK68*SIN(BK61)*COS(BK61) / (BK65*BK72)</f>
        <v>18.195428798193234</v>
      </c>
      <c r="BL74" s="3"/>
      <c r="BM74" s="3"/>
      <c r="BN74" s="3" t="s">
        <v>206</v>
      </c>
      <c r="BO74" s="3">
        <f xml:space="preserve"> 4*BO68*SIN(BO61)*COS(BO61) / (BO65*BO72)</f>
        <v>14.347942461186314</v>
      </c>
      <c r="BP74" s="3"/>
      <c r="BR74" s="3">
        <v>2</v>
      </c>
      <c r="BS74" s="3">
        <f t="shared" ref="BS74:BS102" si="64">IF(BY73&gt;0,BW73,BS73)</f>
        <v>3.1415926535897934E-2</v>
      </c>
      <c r="BT74" s="3">
        <v>-2.831248434634857</v>
      </c>
      <c r="BU74" s="3">
        <f t="shared" ref="BU74:BU102" si="65">IF(BZ73&gt;0,BW73,BU73)</f>
        <v>1.4294246573833558</v>
      </c>
      <c r="BV74" s="3">
        <v>1.1368327522198096</v>
      </c>
      <c r="BW74" s="3">
        <f t="shared" si="56"/>
        <v>0.73042029195962688</v>
      </c>
      <c r="BX74" s="3">
        <v>0.78469017862306401</v>
      </c>
      <c r="BY74" s="3">
        <f t="shared" si="57"/>
        <v>-2.2216528398998965</v>
      </c>
      <c r="BZ74" s="3">
        <f t="shared" si="58"/>
        <v>0.89206149540391189</v>
      </c>
      <c r="CA74" s="3">
        <f t="shared" si="59"/>
        <v>1.3980087308474578</v>
      </c>
      <c r="CC74" s="3">
        <v>2</v>
      </c>
      <c r="CD74" s="3">
        <f t="shared" ref="CD74:CD102" si="66">IF(CJ73&gt;0,CH73,CD73)</f>
        <v>3.1415926535897934E-2</v>
      </c>
      <c r="CE74" s="3">
        <v>-2.2754828273791627</v>
      </c>
      <c r="CF74" s="3">
        <f t="shared" ref="CF74:CF102" si="67">IF(CK73&gt;0,CH73,CF73)</f>
        <v>1.4294246573833558</v>
      </c>
      <c r="CG74" s="3">
        <v>1.1401206536282953</v>
      </c>
      <c r="CH74" s="3">
        <f t="shared" si="60"/>
        <v>0.73042029195962688</v>
      </c>
      <c r="CI74" s="3">
        <v>0.78492032028695846</v>
      </c>
      <c r="CJ74" s="3">
        <f t="shared" si="61"/>
        <v>-1.7860727096739262</v>
      </c>
      <c r="CK74" s="3">
        <f t="shared" si="62"/>
        <v>0.89490386861169802</v>
      </c>
      <c r="CL74" s="3">
        <f t="shared" si="63"/>
        <v>1.3980087308474578</v>
      </c>
    </row>
    <row r="75" spans="2:90" x14ac:dyDescent="0.2">
      <c r="AI75" s="3">
        <v>26</v>
      </c>
      <c r="AJ75" s="3">
        <f t="shared" si="54"/>
        <v>1042.7661001682281</v>
      </c>
      <c r="AK75" s="3">
        <v>7.1703916546539403E-5</v>
      </c>
      <c r="AL75" s="3">
        <f t="shared" si="55"/>
        <v>1042.7661433815956</v>
      </c>
      <c r="AM75" s="3">
        <v>-3.2520321929041529E-4</v>
      </c>
      <c r="AN75" s="3">
        <f t="shared" si="50"/>
        <v>1042.7661217749119</v>
      </c>
      <c r="AO75" s="3">
        <v>-1.2674964909820119E-4</v>
      </c>
      <c r="AP75" s="3">
        <f t="shared" si="51"/>
        <v>-9.0884462612405714E-9</v>
      </c>
      <c r="AQ75" s="3">
        <f t="shared" si="52"/>
        <v>4.1219393930665509E-8</v>
      </c>
      <c r="AR75" s="3">
        <f t="shared" si="53"/>
        <v>4.3213367462158203E-5</v>
      </c>
      <c r="BJ75" s="3" t="s">
        <v>45</v>
      </c>
      <c r="BK75" s="3">
        <f>1/(BK73-1)</f>
        <v>45.758460151481614</v>
      </c>
      <c r="BL75" s="3"/>
      <c r="BM75" s="3"/>
      <c r="BN75" s="3" t="s">
        <v>45</v>
      </c>
      <c r="BO75" s="3">
        <f>1/(BO73-1)</f>
        <v>49.779180135086058</v>
      </c>
      <c r="BP75" s="3"/>
      <c r="BR75" s="3">
        <v>3</v>
      </c>
      <c r="BS75" s="3">
        <f t="shared" si="64"/>
        <v>3.1415926535897934E-2</v>
      </c>
      <c r="BT75" s="3">
        <v>-2.831248434634857</v>
      </c>
      <c r="BU75" s="3">
        <f t="shared" si="65"/>
        <v>0.73042029195962688</v>
      </c>
      <c r="BV75" s="3">
        <v>0.78469017862306401</v>
      </c>
      <c r="BW75" s="3">
        <f t="shared" si="56"/>
        <v>0.38091810924776243</v>
      </c>
      <c r="BX75" s="3">
        <v>0.47335197504119186</v>
      </c>
      <c r="BY75" s="3">
        <f t="shared" si="57"/>
        <v>-1.3401770383666924</v>
      </c>
      <c r="BZ75" s="3">
        <f t="shared" si="58"/>
        <v>0.37143464584665298</v>
      </c>
      <c r="CA75" s="3">
        <f t="shared" si="59"/>
        <v>0.6990043654237289</v>
      </c>
      <c r="CC75" s="3">
        <v>3</v>
      </c>
      <c r="CD75" s="3">
        <f t="shared" si="66"/>
        <v>3.1415926535897934E-2</v>
      </c>
      <c r="CE75" s="3">
        <v>-2.2754828273791627</v>
      </c>
      <c r="CF75" s="3">
        <f t="shared" si="67"/>
        <v>0.73042029195962688</v>
      </c>
      <c r="CG75" s="3">
        <v>0.78492032028695846</v>
      </c>
      <c r="CH75" s="3">
        <f t="shared" si="60"/>
        <v>0.38091810924776243</v>
      </c>
      <c r="CI75" s="3">
        <v>0.50106950133025197</v>
      </c>
      <c r="CJ75" s="3">
        <f t="shared" si="61"/>
        <v>-1.1401750456004289</v>
      </c>
      <c r="CK75" s="3">
        <f t="shared" si="62"/>
        <v>0.39329963347016794</v>
      </c>
      <c r="CL75" s="3">
        <f t="shared" si="63"/>
        <v>0.6990043654237289</v>
      </c>
    </row>
    <row r="76" spans="2:90" x14ac:dyDescent="0.2">
      <c r="B76" s="68" t="s">
        <v>290</v>
      </c>
      <c r="C76" s="68"/>
      <c r="D76" s="68"/>
      <c r="AI76" s="3">
        <v>27</v>
      </c>
      <c r="AJ76" s="3">
        <f t="shared" si="54"/>
        <v>1042.7661001682281</v>
      </c>
      <c r="AK76" s="3">
        <v>7.1703916546539403E-5</v>
      </c>
      <c r="AL76" s="3">
        <f t="shared" si="55"/>
        <v>1042.7661217749119</v>
      </c>
      <c r="AM76" s="3">
        <v>-1.2674964909820119E-4</v>
      </c>
      <c r="AN76" s="3">
        <f t="shared" si="50"/>
        <v>1042.76611097157</v>
      </c>
      <c r="AO76" s="3">
        <v>-2.752286491158884E-5</v>
      </c>
      <c r="AP76" s="3">
        <f t="shared" si="51"/>
        <v>-1.9734972087422438E-9</v>
      </c>
      <c r="AQ76" s="3">
        <f t="shared" si="52"/>
        <v>3.4885134697210796E-9</v>
      </c>
      <c r="AR76" s="3">
        <f t="shared" si="53"/>
        <v>2.1606683731079102E-5</v>
      </c>
      <c r="BJ76" s="3" t="s">
        <v>209</v>
      </c>
      <c r="BK76" s="3">
        <f>1/(BK74+1)</f>
        <v>5.2095736464825668E-2</v>
      </c>
      <c r="BL76" s="3"/>
      <c r="BN76" s="3" t="s">
        <v>209</v>
      </c>
      <c r="BO76" s="3">
        <f>1/(BO74+1)</f>
        <v>6.5155313328084066E-2</v>
      </c>
      <c r="BP76" s="3"/>
      <c r="BR76" s="3">
        <v>4</v>
      </c>
      <c r="BS76" s="3">
        <f t="shared" si="64"/>
        <v>3.1415926535897934E-2</v>
      </c>
      <c r="BT76" s="3">
        <v>-2.831248434634857</v>
      </c>
      <c r="BU76" s="3">
        <f t="shared" si="65"/>
        <v>0.38091810924776243</v>
      </c>
      <c r="BV76" s="3">
        <v>0.47335197504119186</v>
      </c>
      <c r="BW76" s="3">
        <f t="shared" si="56"/>
        <v>0.20616701789183017</v>
      </c>
      <c r="BX76" s="3">
        <v>-5.0050772382481687E-3</v>
      </c>
      <c r="BY76" s="3">
        <f t="shared" si="57"/>
        <v>1.4170617096016681E-2</v>
      </c>
      <c r="BZ76" s="3">
        <f t="shared" si="58"/>
        <v>-2.3691631959584848E-3</v>
      </c>
      <c r="CA76" s="3">
        <f t="shared" si="59"/>
        <v>0.34950218271186451</v>
      </c>
      <c r="CC76" s="3">
        <v>4</v>
      </c>
      <c r="CD76" s="3">
        <f t="shared" si="66"/>
        <v>3.1415926535897934E-2</v>
      </c>
      <c r="CE76" s="3">
        <v>-2.2754828273791627</v>
      </c>
      <c r="CF76" s="3">
        <f t="shared" si="67"/>
        <v>0.38091810924776243</v>
      </c>
      <c r="CG76" s="3">
        <v>0.50106950133025197</v>
      </c>
      <c r="CH76" s="3">
        <f t="shared" si="60"/>
        <v>0.20616701789183017</v>
      </c>
      <c r="CI76" s="3">
        <v>6.2004362304770091E-2</v>
      </c>
      <c r="CJ76" s="3">
        <f t="shared" si="61"/>
        <v>-0.14108986164710022</v>
      </c>
      <c r="CK76" s="3">
        <f t="shared" si="62"/>
        <v>3.106849490035142E-2</v>
      </c>
      <c r="CL76" s="3">
        <f t="shared" si="63"/>
        <v>0.34950218271186451</v>
      </c>
    </row>
    <row r="77" spans="2:90" x14ac:dyDescent="0.2">
      <c r="B77" s="7" t="s">
        <v>15</v>
      </c>
      <c r="C77" s="18">
        <v>0.90496079707312405</v>
      </c>
      <c r="D77" s="7" t="s">
        <v>16</v>
      </c>
      <c r="AI77" s="3">
        <v>28</v>
      </c>
      <c r="AJ77" s="3">
        <f t="shared" si="54"/>
        <v>1042.7661001682281</v>
      </c>
      <c r="AK77" s="3">
        <v>7.1703916546539403E-5</v>
      </c>
      <c r="AL77" s="3">
        <f t="shared" si="55"/>
        <v>1042.76611097157</v>
      </c>
      <c r="AM77" s="3">
        <v>-2.752286491158884E-5</v>
      </c>
      <c r="AN77" s="3">
        <f t="shared" si="50"/>
        <v>1042.7661055698991</v>
      </c>
      <c r="AO77" s="3">
        <v>2.2090525817475282E-5</v>
      </c>
      <c r="AP77" s="3">
        <f t="shared" si="51"/>
        <v>1.5839772196854217E-9</v>
      </c>
      <c r="AQ77" s="3">
        <f t="shared" si="52"/>
        <v>-6.0799455790033781E-10</v>
      </c>
      <c r="AR77" s="3">
        <f t="shared" si="53"/>
        <v>1.0803341865539551E-5</v>
      </c>
      <c r="BJ77" s="8" t="s">
        <v>211</v>
      </c>
      <c r="BK77" s="41">
        <f>SIN(BK61)/(1+BK75) - $AU$3*COS(BK61)/($AY$5*$AU$25*(1-BK76))</f>
        <v>-6.2775295144382182E-9</v>
      </c>
      <c r="BL77" s="41"/>
      <c r="BN77" s="8" t="s">
        <v>211</v>
      </c>
      <c r="BO77" s="41">
        <f>SIN(BO61)/(1+BO75) - $AU$3*COS(BO61)/($AY$5*$AU$26*(1-BO76))</f>
        <v>3.0656242249599286E-9</v>
      </c>
      <c r="BP77" s="41"/>
      <c r="BR77" s="3">
        <v>5</v>
      </c>
      <c r="BS77" s="3">
        <f t="shared" si="64"/>
        <v>0.20616701789183017</v>
      </c>
      <c r="BT77" s="3">
        <v>-5.0050772382481687E-3</v>
      </c>
      <c r="BU77" s="3">
        <f t="shared" si="65"/>
        <v>0.38091810924776243</v>
      </c>
      <c r="BV77" s="3">
        <v>0.47335197504119186</v>
      </c>
      <c r="BW77" s="3">
        <f t="shared" si="56"/>
        <v>0.2935425635697963</v>
      </c>
      <c r="BX77" s="3">
        <v>0.26903122531034457</v>
      </c>
      <c r="BY77" s="3">
        <f t="shared" si="57"/>
        <v>-1.3465220621788202E-3</v>
      </c>
      <c r="BZ77" s="3">
        <f t="shared" si="58"/>
        <v>0.12734646184840348</v>
      </c>
      <c r="CA77" s="3">
        <f t="shared" si="59"/>
        <v>0.17475109135593225</v>
      </c>
      <c r="CC77" s="3">
        <v>5</v>
      </c>
      <c r="CD77" s="3">
        <f t="shared" si="66"/>
        <v>3.1415926535897934E-2</v>
      </c>
      <c r="CE77" s="3">
        <v>-2.2754828273791627</v>
      </c>
      <c r="CF77" s="3">
        <f t="shared" si="67"/>
        <v>0.20616701789183017</v>
      </c>
      <c r="CG77" s="3">
        <v>6.2004362304770091E-2</v>
      </c>
      <c r="CH77" s="3">
        <f t="shared" si="60"/>
        <v>0.11879147221386405</v>
      </c>
      <c r="CI77" s="3">
        <v>-0.3459475888611212</v>
      </c>
      <c r="CJ77" s="3">
        <f t="shared" si="61"/>
        <v>0.78719779762670827</v>
      </c>
      <c r="CK77" s="3">
        <f t="shared" si="62"/>
        <v>-2.1450259638206605E-2</v>
      </c>
      <c r="CL77" s="3">
        <f t="shared" si="63"/>
        <v>0.17475109135593225</v>
      </c>
    </row>
    <row r="78" spans="2:90" x14ac:dyDescent="0.2">
      <c r="B78" s="7" t="s">
        <v>226</v>
      </c>
      <c r="C78" s="42">
        <v>1.69216189172327E-5</v>
      </c>
      <c r="D78" s="7" t="s">
        <v>16</v>
      </c>
      <c r="AI78" s="3">
        <v>29</v>
      </c>
      <c r="AJ78" s="3">
        <f t="shared" si="54"/>
        <v>1042.7661055698991</v>
      </c>
      <c r="AK78" s="3">
        <v>2.2090525817475282E-5</v>
      </c>
      <c r="AL78" s="3">
        <f t="shared" si="55"/>
        <v>1042.76611097157</v>
      </c>
      <c r="AM78" s="3">
        <v>-2.752286491158884E-5</v>
      </c>
      <c r="AN78" s="3">
        <f t="shared" si="50"/>
        <v>1042.7661082707345</v>
      </c>
      <c r="AO78" s="3">
        <v>-2.7161686375620775E-6</v>
      </c>
      <c r="AP78" s="3">
        <f t="shared" si="51"/>
        <v>-6.0001593412681734E-11</v>
      </c>
      <c r="AQ78" s="3">
        <f t="shared" si="52"/>
        <v>7.4756742488715368E-11</v>
      </c>
      <c r="AR78" s="3">
        <f t="shared" si="53"/>
        <v>5.4016709327697754E-6</v>
      </c>
      <c r="BR78" s="3">
        <v>6</v>
      </c>
      <c r="BS78" s="3">
        <f t="shared" si="64"/>
        <v>0.20616701789183017</v>
      </c>
      <c r="BT78" s="3">
        <v>-5.0050772382481687E-3</v>
      </c>
      <c r="BU78" s="3">
        <f t="shared" si="65"/>
        <v>0.2935425635697963</v>
      </c>
      <c r="BV78" s="3">
        <v>0.26903122531034457</v>
      </c>
      <c r="BW78" s="3">
        <f t="shared" si="56"/>
        <v>0.24985479073081324</v>
      </c>
      <c r="BX78" s="3">
        <v>0.14469870133554658</v>
      </c>
      <c r="BY78" s="3">
        <f t="shared" si="57"/>
        <v>-7.2422817645861404E-4</v>
      </c>
      <c r="BZ78" s="3">
        <f t="shared" si="58"/>
        <v>3.892846892111769E-2</v>
      </c>
      <c r="CA78" s="3">
        <f t="shared" si="59"/>
        <v>8.7375545677966127E-2</v>
      </c>
      <c r="CC78" s="3">
        <v>6</v>
      </c>
      <c r="CD78" s="3">
        <f t="shared" si="66"/>
        <v>0.11879147221386405</v>
      </c>
      <c r="CE78" s="3">
        <v>-0.3459475888611212</v>
      </c>
      <c r="CF78" s="3">
        <f t="shared" si="67"/>
        <v>0.20616701789183017</v>
      </c>
      <c r="CG78" s="3">
        <v>6.2004362304770091E-2</v>
      </c>
      <c r="CH78" s="3">
        <f t="shared" si="60"/>
        <v>0.16247924505284711</v>
      </c>
      <c r="CI78" s="3">
        <v>-0.10595261163518084</v>
      </c>
      <c r="CJ78" s="3">
        <f t="shared" si="61"/>
        <v>3.6654050528729588E-2</v>
      </c>
      <c r="CK78" s="3">
        <f t="shared" si="62"/>
        <v>-6.5695241189643516E-3</v>
      </c>
      <c r="CL78" s="3">
        <f t="shared" si="63"/>
        <v>8.7375545677966127E-2</v>
      </c>
    </row>
    <row r="79" spans="2:90" x14ac:dyDescent="0.2">
      <c r="B79" s="7" t="s">
        <v>144</v>
      </c>
      <c r="C79" s="18">
        <v>328.50433637026498</v>
      </c>
      <c r="D79" s="7" t="s">
        <v>10</v>
      </c>
      <c r="AI79" s="3">
        <v>30</v>
      </c>
      <c r="AJ79" s="3">
        <f t="shared" si="54"/>
        <v>1042.7661055698991</v>
      </c>
      <c r="AK79" s="3">
        <v>2.2090525817475282E-5</v>
      </c>
      <c r="AL79" s="3">
        <f t="shared" si="55"/>
        <v>1042.7661082707345</v>
      </c>
      <c r="AM79" s="3">
        <v>-2.7161686375620775E-6</v>
      </c>
      <c r="AN79" s="6">
        <f t="shared" si="50"/>
        <v>1042.7661069203168</v>
      </c>
      <c r="AO79" s="3">
        <v>9.6871781352092512E-6</v>
      </c>
      <c r="AP79" s="3">
        <f t="shared" si="51"/>
        <v>2.1399485869432202E-10</v>
      </c>
      <c r="AQ79" s="3">
        <f t="shared" si="52"/>
        <v>-2.6312009437332458E-11</v>
      </c>
      <c r="AR79" s="3">
        <f t="shared" si="53"/>
        <v>2.7008354663848877E-6</v>
      </c>
      <c r="BR79" s="3">
        <v>7</v>
      </c>
      <c r="BS79" s="3">
        <f t="shared" si="64"/>
        <v>0.20616701789183017</v>
      </c>
      <c r="BT79" s="3">
        <v>-5.0050772382481687E-3</v>
      </c>
      <c r="BU79" s="3">
        <f t="shared" si="65"/>
        <v>0.24985479073081324</v>
      </c>
      <c r="BV79" s="3">
        <v>0.14469870133554658</v>
      </c>
      <c r="BW79" s="3">
        <f t="shared" si="56"/>
        <v>0.2280109043113217</v>
      </c>
      <c r="BX79" s="3">
        <v>7.3883556462252475E-2</v>
      </c>
      <c r="BY79" s="3">
        <f t="shared" si="57"/>
        <v>-3.6979290673004323E-4</v>
      </c>
      <c r="BZ79" s="3">
        <f t="shared" si="58"/>
        <v>1.0690854670139463E-2</v>
      </c>
      <c r="CA79" s="3">
        <f t="shared" si="59"/>
        <v>4.3687772838983063E-2</v>
      </c>
      <c r="CC79" s="3">
        <v>7</v>
      </c>
      <c r="CD79" s="3">
        <f t="shared" si="66"/>
        <v>0.16247924505284711</v>
      </c>
      <c r="CE79" s="3">
        <v>-0.10595261163518084</v>
      </c>
      <c r="CF79" s="3">
        <f t="shared" si="67"/>
        <v>0.20616701789183017</v>
      </c>
      <c r="CG79" s="3">
        <v>6.2004362304770091E-2</v>
      </c>
      <c r="CH79" s="3">
        <f t="shared" si="60"/>
        <v>0.18432313147233864</v>
      </c>
      <c r="CI79" s="3">
        <v>-1.6196380981624691E-2</v>
      </c>
      <c r="CJ79" s="3">
        <f t="shared" si="61"/>
        <v>1.71604886404151E-3</v>
      </c>
      <c r="CK79" s="3">
        <f t="shared" si="62"/>
        <v>-1.0042462744107453E-3</v>
      </c>
      <c r="CL79" s="3">
        <f t="shared" si="63"/>
        <v>4.3687772838983063E-2</v>
      </c>
    </row>
    <row r="80" spans="2:90" x14ac:dyDescent="0.2">
      <c r="B80" s="7" t="s">
        <v>17</v>
      </c>
      <c r="C80" s="1">
        <v>9.7972733770111002</v>
      </c>
      <c r="D80" s="7" t="s">
        <v>18</v>
      </c>
      <c r="BR80" s="3">
        <v>8</v>
      </c>
      <c r="BS80" s="3">
        <f t="shared" si="64"/>
        <v>0.20616701789183017</v>
      </c>
      <c r="BT80" s="3">
        <v>-5.0050772382481687E-3</v>
      </c>
      <c r="BU80" s="3">
        <f t="shared" si="65"/>
        <v>0.2280109043113217</v>
      </c>
      <c r="BV80" s="3">
        <v>7.3883556462252475E-2</v>
      </c>
      <c r="BW80" s="3">
        <f t="shared" si="56"/>
        <v>0.21708896110157594</v>
      </c>
      <c r="BX80" s="3">
        <v>3.5596792084801439E-2</v>
      </c>
      <c r="BY80" s="3">
        <f t="shared" si="57"/>
        <v>-1.7816469381829226E-4</v>
      </c>
      <c r="BZ80" s="3">
        <f t="shared" si="58"/>
        <v>2.630017597872489E-3</v>
      </c>
      <c r="CA80" s="3">
        <f t="shared" si="59"/>
        <v>2.1843886419491532E-2</v>
      </c>
      <c r="CC80" s="3">
        <v>8</v>
      </c>
      <c r="CD80" s="3">
        <f t="shared" si="66"/>
        <v>0.18432313147233864</v>
      </c>
      <c r="CE80" s="3">
        <v>-1.6196380981624691E-2</v>
      </c>
      <c r="CF80" s="3">
        <f t="shared" si="67"/>
        <v>0.20616701789183017</v>
      </c>
      <c r="CG80" s="3">
        <v>6.2004362304770091E-2</v>
      </c>
      <c r="CH80" s="3">
        <f t="shared" si="60"/>
        <v>0.19524507468208441</v>
      </c>
      <c r="CI80" s="3">
        <v>2.410774030002984E-2</v>
      </c>
      <c r="CJ80" s="3">
        <f t="shared" si="61"/>
        <v>-3.9045814650535043E-4</v>
      </c>
      <c r="CK80" s="3">
        <f t="shared" si="62"/>
        <v>1.494785063912357E-3</v>
      </c>
      <c r="CL80" s="3">
        <f t="shared" si="63"/>
        <v>2.1843886419491532E-2</v>
      </c>
    </row>
    <row r="81" spans="2:90" x14ac:dyDescent="0.2">
      <c r="BR81" s="3">
        <v>9</v>
      </c>
      <c r="BS81" s="3">
        <f t="shared" si="64"/>
        <v>0.20616701789183017</v>
      </c>
      <c r="BT81" s="3">
        <v>-5.0050772382481687E-3</v>
      </c>
      <c r="BU81" s="3">
        <f t="shared" si="65"/>
        <v>0.21708896110157594</v>
      </c>
      <c r="BV81" s="3">
        <v>3.5596792084801439E-2</v>
      </c>
      <c r="BW81" s="3">
        <f t="shared" si="56"/>
        <v>0.21162798949670306</v>
      </c>
      <c r="BX81" s="3">
        <v>1.5607274138072252E-2</v>
      </c>
      <c r="BY81" s="3">
        <f t="shared" si="57"/>
        <v>-7.8115612539564732E-5</v>
      </c>
      <c r="BZ81" s="3">
        <f t="shared" si="58"/>
        <v>5.5556889250345655E-4</v>
      </c>
      <c r="CA81" s="3">
        <f t="shared" si="59"/>
        <v>1.0921943209745766E-2</v>
      </c>
      <c r="CC81" s="3">
        <v>9</v>
      </c>
      <c r="CD81" s="3">
        <f t="shared" si="66"/>
        <v>0.18432313147233864</v>
      </c>
      <c r="CE81" s="3">
        <v>-1.6196380981624691E-2</v>
      </c>
      <c r="CF81" s="3">
        <f t="shared" si="67"/>
        <v>0.19524507468208441</v>
      </c>
      <c r="CG81" s="3">
        <v>2.410774030002984E-2</v>
      </c>
      <c r="CH81" s="3">
        <f t="shared" si="60"/>
        <v>0.18978410307721152</v>
      </c>
      <c r="CI81" s="3">
        <v>4.2821942784428118E-3</v>
      </c>
      <c r="CJ81" s="3">
        <f t="shared" si="61"/>
        <v>-6.9356049970993223E-5</v>
      </c>
      <c r="CK81" s="3">
        <f t="shared" si="62"/>
        <v>1.0323402757897298E-4</v>
      </c>
      <c r="CL81" s="3">
        <f t="shared" si="63"/>
        <v>1.0921943209745766E-2</v>
      </c>
    </row>
    <row r="82" spans="2:90" x14ac:dyDescent="0.2">
      <c r="B82" s="68" t="s">
        <v>74</v>
      </c>
      <c r="C82" s="68"/>
      <c r="D82" s="68"/>
      <c r="BR82" s="3">
        <v>10</v>
      </c>
      <c r="BS82" s="3">
        <f t="shared" si="64"/>
        <v>0.20616701789183017</v>
      </c>
      <c r="BT82" s="3">
        <v>-5.0050772382481687E-3</v>
      </c>
      <c r="BU82" s="3">
        <f t="shared" si="65"/>
        <v>0.21162798949670306</v>
      </c>
      <c r="BV82" s="3">
        <v>1.5607274138072252E-2</v>
      </c>
      <c r="BW82" s="3">
        <f t="shared" si="56"/>
        <v>0.20889750369426663</v>
      </c>
      <c r="BX82" s="3">
        <v>5.3819662481363485E-3</v>
      </c>
      <c r="BY82" s="3">
        <f t="shared" si="57"/>
        <v>-2.6937156765567134E-5</v>
      </c>
      <c r="BZ82" s="3">
        <f t="shared" si="58"/>
        <v>8.3997822636516187E-5</v>
      </c>
      <c r="CA82" s="3">
        <f t="shared" si="59"/>
        <v>5.4609716048728829E-3</v>
      </c>
      <c r="CC82" s="3">
        <v>10</v>
      </c>
      <c r="CD82" s="3">
        <f t="shared" si="66"/>
        <v>0.18432313147233864</v>
      </c>
      <c r="CE82" s="3">
        <v>-1.6196380981624691E-2</v>
      </c>
      <c r="CF82" s="3">
        <f t="shared" si="67"/>
        <v>0.18978410307721152</v>
      </c>
      <c r="CG82" s="3">
        <v>4.2821942784428118E-3</v>
      </c>
      <c r="CH82" s="3">
        <f t="shared" si="60"/>
        <v>0.1870536172747751</v>
      </c>
      <c r="CI82" s="3">
        <v>-5.8719258645503012E-3</v>
      </c>
      <c r="CJ82" s="3">
        <f t="shared" si="61"/>
        <v>9.5103948398112621E-5</v>
      </c>
      <c r="CK82" s="3">
        <f t="shared" si="62"/>
        <v>-2.5144727340617661E-5</v>
      </c>
      <c r="CL82" s="3">
        <f t="shared" si="63"/>
        <v>5.4609716048728829E-3</v>
      </c>
    </row>
    <row r="83" spans="2:90" x14ac:dyDescent="0.2">
      <c r="B83" s="7" t="s">
        <v>289</v>
      </c>
      <c r="C83" s="18">
        <v>30</v>
      </c>
      <c r="BR83" s="3">
        <v>11</v>
      </c>
      <c r="BS83" s="3">
        <f t="shared" si="64"/>
        <v>0.20616701789183017</v>
      </c>
      <c r="BT83" s="3">
        <v>-5.0050772382481687E-3</v>
      </c>
      <c r="BU83" s="3">
        <f t="shared" si="65"/>
        <v>0.20889750369426663</v>
      </c>
      <c r="BV83" s="3">
        <v>5.3819662481363485E-3</v>
      </c>
      <c r="BW83" s="3">
        <f t="shared" si="56"/>
        <v>0.2075322607930484</v>
      </c>
      <c r="BX83" s="3">
        <v>2.0905599538811621E-4</v>
      </c>
      <c r="BY83" s="3">
        <f t="shared" si="57"/>
        <v>-1.0463414040363747E-6</v>
      </c>
      <c r="BZ83" s="3">
        <f t="shared" si="58"/>
        <v>1.1251323111493895E-6</v>
      </c>
      <c r="CA83" s="3">
        <f t="shared" si="59"/>
        <v>2.7304858024364553E-3</v>
      </c>
      <c r="CC83" s="3">
        <v>11</v>
      </c>
      <c r="CD83" s="3">
        <f t="shared" si="66"/>
        <v>0.1870536172747751</v>
      </c>
      <c r="CE83" s="3">
        <v>-5.8719258645503012E-3</v>
      </c>
      <c r="CF83" s="3">
        <f t="shared" si="67"/>
        <v>0.18978410307721152</v>
      </c>
      <c r="CG83" s="3">
        <v>4.2821942784428118E-3</v>
      </c>
      <c r="CH83" s="3">
        <f t="shared" si="60"/>
        <v>0.1884188601759933</v>
      </c>
      <c r="CI83" s="3">
        <v>-7.7403299526723713E-4</v>
      </c>
      <c r="CJ83" s="3">
        <f t="shared" si="61"/>
        <v>4.5450643649250309E-6</v>
      </c>
      <c r="CK83" s="3">
        <f t="shared" si="62"/>
        <v>-3.3145596636593147E-6</v>
      </c>
      <c r="CL83" s="3">
        <f t="shared" si="63"/>
        <v>2.7304858024364276E-3</v>
      </c>
    </row>
    <row r="84" spans="2:90" x14ac:dyDescent="0.2">
      <c r="B84" s="7" t="s">
        <v>302</v>
      </c>
      <c r="C84" s="18">
        <v>1</v>
      </c>
      <c r="BR84" s="3">
        <v>12</v>
      </c>
      <c r="BS84" s="3">
        <f t="shared" si="64"/>
        <v>0.20616701789183017</v>
      </c>
      <c r="BT84" s="3">
        <v>-5.0050772382481687E-3</v>
      </c>
      <c r="BU84" s="3">
        <f t="shared" si="65"/>
        <v>0.2075322607930484</v>
      </c>
      <c r="BV84" s="3">
        <v>2.0905599538811621E-4</v>
      </c>
      <c r="BW84" s="3">
        <f t="shared" si="56"/>
        <v>0.20684963934243927</v>
      </c>
      <c r="BX84" s="3">
        <v>-2.3928072618658505E-3</v>
      </c>
      <c r="BY84" s="3">
        <f t="shared" si="57"/>
        <v>1.1976185161879693E-5</v>
      </c>
      <c r="BZ84" s="3">
        <f t="shared" si="58"/>
        <v>-5.0023070390127819E-7</v>
      </c>
      <c r="CA84" s="3">
        <f t="shared" si="59"/>
        <v>1.3652429012182277E-3</v>
      </c>
      <c r="CC84" s="3">
        <v>12</v>
      </c>
      <c r="CD84" s="3">
        <f t="shared" si="66"/>
        <v>0.1884188601759933</v>
      </c>
      <c r="CE84" s="3">
        <v>-7.7403299526723713E-4</v>
      </c>
      <c r="CF84" s="3">
        <f t="shared" si="67"/>
        <v>0.18978410307721152</v>
      </c>
      <c r="CG84" s="3">
        <v>4.2821942784428118E-3</v>
      </c>
      <c r="CH84" s="3">
        <f t="shared" si="60"/>
        <v>0.1891014816266024</v>
      </c>
      <c r="CI84" s="3">
        <v>1.7592329682484063E-3</v>
      </c>
      <c r="CJ84" s="3">
        <f t="shared" si="61"/>
        <v>-1.3617043637861862E-6</v>
      </c>
      <c r="CK84" s="3">
        <f t="shared" si="62"/>
        <v>7.53337735108129E-6</v>
      </c>
      <c r="CL84" s="3">
        <f t="shared" si="63"/>
        <v>1.3652429012182277E-3</v>
      </c>
    </row>
    <row r="85" spans="2:90" x14ac:dyDescent="0.2">
      <c r="B85" s="7" t="s">
        <v>303</v>
      </c>
      <c r="C85" s="18">
        <v>0.89100000000000001</v>
      </c>
      <c r="BR85" s="3">
        <v>13</v>
      </c>
      <c r="BS85" s="3">
        <f t="shared" si="64"/>
        <v>0.20684963934243927</v>
      </c>
      <c r="BT85" s="3">
        <v>-2.3928072618658505E-3</v>
      </c>
      <c r="BU85" s="3">
        <f t="shared" si="65"/>
        <v>0.2075322607930484</v>
      </c>
      <c r="BV85" s="3">
        <v>2.0905599538811621E-4</v>
      </c>
      <c r="BW85" s="3">
        <f t="shared" si="56"/>
        <v>0.20719095006774385</v>
      </c>
      <c r="BX85" s="3">
        <v>-1.0905811575213469E-3</v>
      </c>
      <c r="BY85" s="3">
        <f t="shared" si="57"/>
        <v>2.6095505133711435E-6</v>
      </c>
      <c r="BZ85" s="3">
        <f t="shared" si="58"/>
        <v>-2.2799252943714913E-7</v>
      </c>
      <c r="CA85" s="3">
        <f t="shared" si="59"/>
        <v>6.8262145060912771E-4</v>
      </c>
      <c r="CC85" s="3">
        <v>13</v>
      </c>
      <c r="CD85" s="3">
        <f t="shared" si="66"/>
        <v>0.1884188601759933</v>
      </c>
      <c r="CE85" s="3">
        <v>-7.7403299526723713E-4</v>
      </c>
      <c r="CF85" s="3">
        <f t="shared" si="67"/>
        <v>0.1891014816266024</v>
      </c>
      <c r="CG85" s="3">
        <v>1.7592329682484063E-3</v>
      </c>
      <c r="CH85" s="3">
        <f t="shared" si="60"/>
        <v>0.18876017090129785</v>
      </c>
      <c r="CI85" s="3">
        <v>4.9389498639500901E-4</v>
      </c>
      <c r="CJ85" s="3">
        <f t="shared" si="61"/>
        <v>-3.8229101566680016E-7</v>
      </c>
      <c r="CK85" s="3">
        <f t="shared" si="62"/>
        <v>8.6887634291869797E-7</v>
      </c>
      <c r="CL85" s="3">
        <f t="shared" si="63"/>
        <v>6.8262145060909996E-4</v>
      </c>
    </row>
    <row r="86" spans="2:90" x14ac:dyDescent="0.2">
      <c r="B86" s="7" t="s">
        <v>304</v>
      </c>
      <c r="C86" s="18">
        <v>0.89100000000000001</v>
      </c>
      <c r="BR86" s="3">
        <v>14</v>
      </c>
      <c r="BS86" s="3">
        <f t="shared" si="64"/>
        <v>0.20719095006774385</v>
      </c>
      <c r="BT86" s="3">
        <v>-1.0905811575213469E-3</v>
      </c>
      <c r="BU86" s="3">
        <f t="shared" si="65"/>
        <v>0.2075322607930484</v>
      </c>
      <c r="BV86" s="3">
        <v>2.0905599538811621E-4</v>
      </c>
      <c r="BW86" s="3">
        <f t="shared" si="56"/>
        <v>0.20736160543039611</v>
      </c>
      <c r="BX86" s="3">
        <v>-4.4043975296076746E-4</v>
      </c>
      <c r="BY86" s="3">
        <f t="shared" si="57"/>
        <v>4.8033529560236981E-7</v>
      </c>
      <c r="BZ86" s="3">
        <f t="shared" si="58"/>
        <v>-9.2076570963709247E-8</v>
      </c>
      <c r="CA86" s="3">
        <f t="shared" si="59"/>
        <v>3.4131072530454998E-4</v>
      </c>
      <c r="CC86" s="3">
        <v>14</v>
      </c>
      <c r="CD86" s="3">
        <f t="shared" si="66"/>
        <v>0.1884188601759933</v>
      </c>
      <c r="CE86" s="3">
        <v>-7.7403299526723713E-4</v>
      </c>
      <c r="CF86" s="3">
        <f t="shared" si="67"/>
        <v>0.18876017090129785</v>
      </c>
      <c r="CG86" s="3">
        <v>4.9389498639500901E-4</v>
      </c>
      <c r="CH86" s="3">
        <f t="shared" si="60"/>
        <v>0.18858951553864556</v>
      </c>
      <c r="CI86" s="3">
        <v>-1.397443839653411E-4</v>
      </c>
      <c r="CJ86" s="3">
        <f t="shared" si="61"/>
        <v>1.0816676409246783E-7</v>
      </c>
      <c r="CK86" s="3">
        <f t="shared" si="62"/>
        <v>-6.9019050617341051E-8</v>
      </c>
      <c r="CL86" s="3">
        <f t="shared" si="63"/>
        <v>3.4131072530454998E-4</v>
      </c>
    </row>
    <row r="87" spans="2:90" x14ac:dyDescent="0.2">
      <c r="B87" s="7" t="s">
        <v>272</v>
      </c>
      <c r="C87" s="18">
        <v>5</v>
      </c>
      <c r="D87" s="7" t="s">
        <v>43</v>
      </c>
      <c r="BR87" s="3">
        <v>15</v>
      </c>
      <c r="BS87" s="3">
        <f t="shared" si="64"/>
        <v>0.20736160543039611</v>
      </c>
      <c r="BT87" s="3">
        <v>-4.4043975296076746E-4</v>
      </c>
      <c r="BU87" s="3">
        <f t="shared" si="65"/>
        <v>0.2075322607930484</v>
      </c>
      <c r="BV87" s="3">
        <v>2.0905599538811621E-4</v>
      </c>
      <c r="BW87" s="3">
        <f t="shared" si="56"/>
        <v>0.20744693311172224</v>
      </c>
      <c r="BX87" s="3">
        <v>-1.1561127032096684E-4</v>
      </c>
      <c r="BY87" s="3">
        <f t="shared" si="57"/>
        <v>5.0919799339647143E-8</v>
      </c>
      <c r="BZ87" s="3">
        <f t="shared" si="58"/>
        <v>-2.4169229195034299E-8</v>
      </c>
      <c r="CA87" s="3">
        <f t="shared" si="59"/>
        <v>1.7065536265228887E-4</v>
      </c>
      <c r="CC87" s="3">
        <v>15</v>
      </c>
      <c r="CD87" s="3">
        <f t="shared" si="66"/>
        <v>0.18858951553864556</v>
      </c>
      <c r="CE87" s="3">
        <v>-1.397443839653411E-4</v>
      </c>
      <c r="CF87" s="3">
        <f t="shared" si="67"/>
        <v>0.18876017090129785</v>
      </c>
      <c r="CG87" s="3">
        <v>4.9389498639500901E-4</v>
      </c>
      <c r="CH87" s="3">
        <f t="shared" si="60"/>
        <v>0.18867484321997169</v>
      </c>
      <c r="CI87" s="3">
        <v>1.7715634726396881E-4</v>
      </c>
      <c r="CJ87" s="3">
        <f t="shared" si="61"/>
        <v>-2.4756604613953363E-8</v>
      </c>
      <c r="CK87" s="3">
        <f t="shared" si="62"/>
        <v>8.749663172172737E-8</v>
      </c>
      <c r="CL87" s="3">
        <f t="shared" si="63"/>
        <v>1.7065536265228887E-4</v>
      </c>
    </row>
    <row r="88" spans="2:90" x14ac:dyDescent="0.2">
      <c r="BR88" s="3">
        <v>16</v>
      </c>
      <c r="BS88" s="3">
        <f t="shared" si="64"/>
        <v>0.20744693311172224</v>
      </c>
      <c r="BT88" s="3">
        <v>-1.1561127032096684E-4</v>
      </c>
      <c r="BU88" s="3">
        <f t="shared" si="65"/>
        <v>0.2075322607930484</v>
      </c>
      <c r="BV88" s="3">
        <v>2.0905599538811621E-4</v>
      </c>
      <c r="BW88" s="3">
        <f t="shared" si="56"/>
        <v>0.20748959695238534</v>
      </c>
      <c r="BX88" s="3">
        <v>4.6742502348095204E-5</v>
      </c>
      <c r="BY88" s="3">
        <f t="shared" si="57"/>
        <v>-5.4039600744440619E-9</v>
      </c>
      <c r="BZ88" s="3">
        <f t="shared" si="58"/>
        <v>9.7718003553124019E-9</v>
      </c>
      <c r="CA88" s="3">
        <f t="shared" si="59"/>
        <v>8.5327681326158311E-5</v>
      </c>
      <c r="CC88" s="3">
        <v>16</v>
      </c>
      <c r="CD88" s="3">
        <f t="shared" si="66"/>
        <v>0.18858951553864556</v>
      </c>
      <c r="CE88" s="3">
        <v>-1.397443839653411E-4</v>
      </c>
      <c r="CF88" s="3">
        <f t="shared" si="67"/>
        <v>0.18867484321997169</v>
      </c>
      <c r="CG88" s="3">
        <v>1.7715634726396881E-4</v>
      </c>
      <c r="CH88" s="3">
        <f t="shared" si="60"/>
        <v>0.18863217937930862</v>
      </c>
      <c r="CI88" s="3">
        <v>1.872625677903049E-5</v>
      </c>
      <c r="CJ88" s="3">
        <f t="shared" si="61"/>
        <v>-2.6168892175624082E-9</v>
      </c>
      <c r="CK88" s="3">
        <f t="shared" si="62"/>
        <v>3.3174752489001754E-9</v>
      </c>
      <c r="CL88" s="3">
        <f t="shared" si="63"/>
        <v>8.5327681326130556E-5</v>
      </c>
    </row>
    <row r="89" spans="2:90" x14ac:dyDescent="0.2">
      <c r="BR89" s="3">
        <v>17</v>
      </c>
      <c r="BS89" s="3">
        <f t="shared" si="64"/>
        <v>0.20744693311172224</v>
      </c>
      <c r="BT89" s="3">
        <v>-1.1561127032096684E-4</v>
      </c>
      <c r="BU89" s="3">
        <f t="shared" si="65"/>
        <v>0.20748959695238534</v>
      </c>
      <c r="BV89" s="3">
        <v>4.6742502348095204E-5</v>
      </c>
      <c r="BW89" s="3">
        <f t="shared" si="56"/>
        <v>0.20746826503205379</v>
      </c>
      <c r="BX89" s="3">
        <v>-3.442934749598673E-5</v>
      </c>
      <c r="BY89" s="3">
        <f t="shared" si="57"/>
        <v>3.9804206003330245E-9</v>
      </c>
      <c r="BZ89" s="3">
        <f t="shared" si="58"/>
        <v>-1.6093138561745454E-9</v>
      </c>
      <c r="CA89" s="3">
        <f t="shared" si="59"/>
        <v>4.2663840663093033E-5</v>
      </c>
      <c r="CC89" s="3">
        <v>17</v>
      </c>
      <c r="CD89" s="3">
        <f t="shared" si="66"/>
        <v>0.18858951553864556</v>
      </c>
      <c r="CE89" s="3">
        <v>-1.397443839653411E-4</v>
      </c>
      <c r="CF89" s="3">
        <f t="shared" si="67"/>
        <v>0.18863217937930862</v>
      </c>
      <c r="CG89" s="3">
        <v>1.872625677903049E-5</v>
      </c>
      <c r="CH89" s="3">
        <f t="shared" si="60"/>
        <v>0.1886108474589771</v>
      </c>
      <c r="CI89" s="3">
        <v>-6.050399310707829E-5</v>
      </c>
      <c r="CJ89" s="3">
        <f t="shared" si="61"/>
        <v>8.4550932441918994E-9</v>
      </c>
      <c r="CK89" s="3">
        <f t="shared" si="62"/>
        <v>-1.1330133110798389E-9</v>
      </c>
      <c r="CL89" s="3">
        <f t="shared" si="63"/>
        <v>4.2663840663065278E-5</v>
      </c>
    </row>
    <row r="90" spans="2:90" x14ac:dyDescent="0.2">
      <c r="BR90" s="3">
        <v>18</v>
      </c>
      <c r="BS90" s="3">
        <f t="shared" si="64"/>
        <v>0.20746826503205379</v>
      </c>
      <c r="BT90" s="3">
        <v>-3.442934749598673E-5</v>
      </c>
      <c r="BU90" s="3">
        <f t="shared" si="65"/>
        <v>0.20748959695238534</v>
      </c>
      <c r="BV90" s="3">
        <v>4.6742502348095204E-5</v>
      </c>
      <c r="BW90" s="3">
        <f t="shared" si="56"/>
        <v>0.20747893099221956</v>
      </c>
      <c r="BX90" s="3">
        <v>6.1578363564950347E-6</v>
      </c>
      <c r="BY90" s="3">
        <f t="shared" si="57"/>
        <v>-2.1201028774118838E-10</v>
      </c>
      <c r="BZ90" s="3">
        <f t="shared" si="58"/>
        <v>2.8783268035265519E-10</v>
      </c>
      <c r="CA90" s="3">
        <f t="shared" si="59"/>
        <v>2.1331920331546517E-5</v>
      </c>
      <c r="CC90" s="3">
        <v>18</v>
      </c>
      <c r="CD90" s="3">
        <f t="shared" si="66"/>
        <v>0.1886108474589771</v>
      </c>
      <c r="CE90" s="3">
        <v>-6.050399310707829E-5</v>
      </c>
      <c r="CF90" s="3">
        <f t="shared" si="67"/>
        <v>0.18863217937930862</v>
      </c>
      <c r="CG90" s="3">
        <v>1.872625677903049E-5</v>
      </c>
      <c r="CH90" s="3">
        <f t="shared" si="60"/>
        <v>0.18862151341914285</v>
      </c>
      <c r="CI90" s="3">
        <v>-2.0887600755550156E-5</v>
      </c>
      <c r="CJ90" s="3">
        <f t="shared" si="61"/>
        <v>1.2637832521372099E-9</v>
      </c>
      <c r="CK90" s="3">
        <f t="shared" si="62"/>
        <v>-3.911465752463035E-10</v>
      </c>
      <c r="CL90" s="3">
        <f t="shared" si="63"/>
        <v>2.1331920331518761E-5</v>
      </c>
    </row>
    <row r="91" spans="2:90" x14ac:dyDescent="0.2">
      <c r="BR91" s="3">
        <v>19</v>
      </c>
      <c r="BS91" s="3">
        <f t="shared" si="64"/>
        <v>0.20746826503205379</v>
      </c>
      <c r="BT91" s="3">
        <v>-3.442934749598673E-5</v>
      </c>
      <c r="BU91" s="3">
        <f t="shared" si="65"/>
        <v>0.20747893099221956</v>
      </c>
      <c r="BV91" s="3">
        <v>6.1578363564950347E-6</v>
      </c>
      <c r="BW91" s="3">
        <f t="shared" si="56"/>
        <v>0.20747359801213666</v>
      </c>
      <c r="BX91" s="3">
        <v>-1.4135440813098886E-5</v>
      </c>
      <c r="BY91" s="3">
        <f t="shared" si="57"/>
        <v>4.8667400376313471E-10</v>
      </c>
      <c r="BZ91" s="3">
        <f t="shared" si="58"/>
        <v>-8.7043731353984052E-11</v>
      </c>
      <c r="CA91" s="3">
        <f t="shared" si="59"/>
        <v>1.0665960165773258E-5</v>
      </c>
      <c r="CC91" s="3">
        <v>19</v>
      </c>
      <c r="CD91" s="3">
        <f t="shared" si="66"/>
        <v>0.18862151341914285</v>
      </c>
      <c r="CE91" s="3">
        <v>-2.0887600755550156E-5</v>
      </c>
      <c r="CF91" s="3">
        <f t="shared" si="67"/>
        <v>0.18863217937930862</v>
      </c>
      <c r="CG91" s="3">
        <v>1.872625677903049E-5</v>
      </c>
      <c r="CH91" s="3">
        <f t="shared" si="60"/>
        <v>0.18862684639922572</v>
      </c>
      <c r="CI91" s="3">
        <v>-1.08035516279293E-6</v>
      </c>
      <c r="CJ91" s="3">
        <f t="shared" si="61"/>
        <v>2.2566027314616117E-11</v>
      </c>
      <c r="CK91" s="3">
        <f t="shared" si="62"/>
        <v>-2.0231008191011695E-11</v>
      </c>
      <c r="CL91" s="3">
        <f t="shared" si="63"/>
        <v>1.0665960165773258E-5</v>
      </c>
    </row>
    <row r="92" spans="2:90" x14ac:dyDescent="0.2">
      <c r="BR92" s="3">
        <v>20</v>
      </c>
      <c r="BS92" s="3">
        <f t="shared" si="64"/>
        <v>0.20747359801213666</v>
      </c>
      <c r="BT92" s="3">
        <v>-1.4135440813098886E-5</v>
      </c>
      <c r="BU92" s="3">
        <f t="shared" si="65"/>
        <v>0.20747893099221956</v>
      </c>
      <c r="BV92" s="3">
        <v>6.1578363564950347E-6</v>
      </c>
      <c r="BW92" s="3">
        <f t="shared" si="56"/>
        <v>0.2074762645021781</v>
      </c>
      <c r="BX92" s="3">
        <v>-3.9887235422416539E-6</v>
      </c>
      <c r="BY92" s="3">
        <f t="shared" si="57"/>
        <v>5.6382365551171036E-11</v>
      </c>
      <c r="BZ92" s="3">
        <f t="shared" si="58"/>
        <v>-2.4561906844423314E-11</v>
      </c>
      <c r="CA92" s="3">
        <f t="shared" si="59"/>
        <v>5.332980082900507E-6</v>
      </c>
      <c r="CC92" s="3">
        <v>20</v>
      </c>
      <c r="CD92" s="3">
        <f t="shared" si="66"/>
        <v>0.18862684639922572</v>
      </c>
      <c r="CE92" s="3">
        <v>-1.08035516279293E-6</v>
      </c>
      <c r="CF92" s="3">
        <f t="shared" si="67"/>
        <v>0.18863217937930862</v>
      </c>
      <c r="CG92" s="3">
        <v>1.872625677903049E-5</v>
      </c>
      <c r="CH92" s="3">
        <f t="shared" si="60"/>
        <v>0.18862951288926716</v>
      </c>
      <c r="CI92" s="3">
        <v>8.8230300110386101E-6</v>
      </c>
      <c r="CJ92" s="3">
        <f t="shared" si="61"/>
        <v>-9.5320060239025256E-12</v>
      </c>
      <c r="CK92" s="3">
        <f t="shared" si="62"/>
        <v>1.6522232555580123E-10</v>
      </c>
      <c r="CL92" s="3">
        <f t="shared" si="63"/>
        <v>5.332980082900507E-6</v>
      </c>
    </row>
    <row r="93" spans="2:90" x14ac:dyDescent="0.2">
      <c r="BR93" s="3">
        <v>21</v>
      </c>
      <c r="BS93" s="3">
        <f t="shared" si="64"/>
        <v>0.2074762645021781</v>
      </c>
      <c r="BT93" s="3">
        <v>-3.9887235422416539E-6</v>
      </c>
      <c r="BU93" s="3">
        <f t="shared" si="65"/>
        <v>0.20747893099221956</v>
      </c>
      <c r="BV93" s="3">
        <v>6.1578363564950347E-6</v>
      </c>
      <c r="BW93" s="3">
        <f t="shared" si="56"/>
        <v>0.20747759774719882</v>
      </c>
      <c r="BX93" s="3">
        <v>1.084576078208728E-6</v>
      </c>
      <c r="BY93" s="3">
        <f t="shared" si="57"/>
        <v>-4.3260741365032784E-12</v>
      </c>
      <c r="BZ93" s="3">
        <f t="shared" si="58"/>
        <v>6.6786420057785071E-12</v>
      </c>
      <c r="CA93" s="3">
        <f t="shared" si="59"/>
        <v>2.6664900414641313E-6</v>
      </c>
      <c r="CC93" s="3">
        <v>21</v>
      </c>
      <c r="CD93" s="3">
        <f t="shared" si="66"/>
        <v>0.18862684639922572</v>
      </c>
      <c r="CE93" s="3">
        <v>-1.08035516279293E-6</v>
      </c>
      <c r="CF93" s="3">
        <f t="shared" si="67"/>
        <v>0.18862951288926716</v>
      </c>
      <c r="CG93" s="3">
        <v>8.8230300110386101E-6</v>
      </c>
      <c r="CH93" s="3">
        <f t="shared" si="60"/>
        <v>0.18862817964424644</v>
      </c>
      <c r="CI93" s="3">
        <v>3.871357225320414E-6</v>
      </c>
      <c r="CJ93" s="3">
        <f t="shared" si="61"/>
        <v>-4.1824407653906216E-12</v>
      </c>
      <c r="CK93" s="3">
        <f t="shared" si="62"/>
        <v>3.4157100982453174E-11</v>
      </c>
      <c r="CL93" s="3">
        <f t="shared" si="63"/>
        <v>2.6664900414363757E-6</v>
      </c>
    </row>
    <row r="94" spans="2:90" x14ac:dyDescent="0.2">
      <c r="BR94" s="3">
        <v>22</v>
      </c>
      <c r="BS94" s="3">
        <f t="shared" si="64"/>
        <v>0.2074762645021781</v>
      </c>
      <c r="BT94" s="3">
        <v>-3.9887235422416539E-6</v>
      </c>
      <c r="BU94" s="3">
        <f t="shared" si="65"/>
        <v>0.20747759774719882</v>
      </c>
      <c r="BV94" s="3">
        <v>1.084576078208728E-6</v>
      </c>
      <c r="BW94" s="3">
        <f t="shared" si="56"/>
        <v>0.20747693112468846</v>
      </c>
      <c r="BX94" s="3">
        <v>-1.4520688141946708E-6</v>
      </c>
      <c r="BY94" s="3">
        <f t="shared" si="57"/>
        <v>5.7919010641332053E-12</v>
      </c>
      <c r="BZ94" s="3">
        <f t="shared" si="58"/>
        <v>-1.5748790997884541E-12</v>
      </c>
      <c r="CA94" s="3">
        <f t="shared" si="59"/>
        <v>1.3332450207181878E-6</v>
      </c>
      <c r="CC94" s="3">
        <v>22</v>
      </c>
      <c r="CD94" s="3">
        <f t="shared" si="66"/>
        <v>0.18862684639922572</v>
      </c>
      <c r="CE94" s="3">
        <v>-1.08035516279293E-6</v>
      </c>
      <c r="CF94" s="3">
        <f t="shared" si="67"/>
        <v>0.18862817964424644</v>
      </c>
      <c r="CG94" s="3">
        <v>3.871357225320414E-6</v>
      </c>
      <c r="CH94" s="3">
        <f t="shared" si="60"/>
        <v>0.18862751302173608</v>
      </c>
      <c r="CI94" s="3">
        <v>1.3955059816632073E-6</v>
      </c>
      <c r="CJ94" s="3">
        <f t="shared" si="61"/>
        <v>-1.5076420919982619E-12</v>
      </c>
      <c r="CK94" s="3">
        <f t="shared" si="62"/>
        <v>5.4025021650897152E-12</v>
      </c>
      <c r="CL94" s="3">
        <f t="shared" si="63"/>
        <v>1.3332450207181878E-6</v>
      </c>
    </row>
    <row r="95" spans="2:90" x14ac:dyDescent="0.2">
      <c r="BR95" s="3">
        <v>23</v>
      </c>
      <c r="BS95" s="3">
        <f t="shared" si="64"/>
        <v>0.20747693112468846</v>
      </c>
      <c r="BT95" s="3">
        <v>-1.4520688141946708E-6</v>
      </c>
      <c r="BU95" s="3">
        <f t="shared" si="65"/>
        <v>0.20747759774719882</v>
      </c>
      <c r="BV95" s="3">
        <v>1.084576078208728E-6</v>
      </c>
      <c r="BW95" s="3">
        <f t="shared" si="56"/>
        <v>0.20747726443594364</v>
      </c>
      <c r="BX95" s="3">
        <v>-1.837451384786512E-7</v>
      </c>
      <c r="BY95" s="3">
        <f t="shared" si="57"/>
        <v>2.6681058534473062E-13</v>
      </c>
      <c r="BZ95" s="3">
        <f t="shared" si="58"/>
        <v>-1.9928558168109517E-13</v>
      </c>
      <c r="CA95" s="3">
        <f t="shared" si="59"/>
        <v>6.6662251035909392E-7</v>
      </c>
      <c r="CC95" s="3">
        <v>23</v>
      </c>
      <c r="CD95" s="3">
        <f t="shared" si="66"/>
        <v>0.18862684639922572</v>
      </c>
      <c r="CE95" s="3">
        <v>-1.08035516279293E-6</v>
      </c>
      <c r="CF95" s="3">
        <f t="shared" si="67"/>
        <v>0.18862751302173608</v>
      </c>
      <c r="CG95" s="3">
        <v>1.3955059816632073E-6</v>
      </c>
      <c r="CH95" s="3">
        <f t="shared" si="60"/>
        <v>0.1886271797104809</v>
      </c>
      <c r="CI95" s="3">
        <v>1.5757664696171292E-7</v>
      </c>
      <c r="CJ95" s="3">
        <f t="shared" si="61"/>
        <v>-1.7023874408068541E-13</v>
      </c>
      <c r="CK95" s="3">
        <f t="shared" si="62"/>
        <v>2.1989915340550184E-13</v>
      </c>
      <c r="CL95" s="3">
        <f t="shared" si="63"/>
        <v>6.6662251035909392E-7</v>
      </c>
    </row>
    <row r="96" spans="2:90" x14ac:dyDescent="0.2">
      <c r="BR96" s="3">
        <v>24</v>
      </c>
      <c r="BS96" s="3">
        <f t="shared" si="64"/>
        <v>0.20747726443594364</v>
      </c>
      <c r="BT96" s="3">
        <v>-1.837451384786512E-7</v>
      </c>
      <c r="BU96" s="3">
        <f t="shared" si="65"/>
        <v>0.20747759774719882</v>
      </c>
      <c r="BV96" s="3">
        <v>1.084576078208728E-6</v>
      </c>
      <c r="BW96" s="3">
        <f t="shared" si="56"/>
        <v>0.20747743109157124</v>
      </c>
      <c r="BX96" s="3">
        <v>4.5041577722768067E-7</v>
      </c>
      <c r="BY96" s="3">
        <f t="shared" si="57"/>
        <v>-8.2761709359669499E-14</v>
      </c>
      <c r="BZ96" s="3">
        <f t="shared" si="58"/>
        <v>4.8851017722893399E-13</v>
      </c>
      <c r="CA96" s="3">
        <f t="shared" si="59"/>
        <v>3.3331125517954696E-7</v>
      </c>
      <c r="CC96" s="3">
        <v>24</v>
      </c>
      <c r="CD96" s="3">
        <f t="shared" si="66"/>
        <v>0.18862684639922572</v>
      </c>
      <c r="CE96" s="3">
        <v>-1.08035516279293E-6</v>
      </c>
      <c r="CF96" s="3">
        <f t="shared" si="67"/>
        <v>0.1886271797104809</v>
      </c>
      <c r="CG96" s="3">
        <v>1.5757664696171292E-7</v>
      </c>
      <c r="CH96" s="3">
        <f t="shared" si="60"/>
        <v>0.1886270130548533</v>
      </c>
      <c r="CI96" s="3">
        <v>-4.6138894854979434E-7</v>
      </c>
      <c r="CJ96" s="3">
        <f t="shared" si="61"/>
        <v>4.9846393262137188E-13</v>
      </c>
      <c r="CK96" s="3">
        <f t="shared" si="62"/>
        <v>-7.2704123457666872E-14</v>
      </c>
      <c r="CL96" s="3">
        <f t="shared" si="63"/>
        <v>3.3331125517954696E-7</v>
      </c>
    </row>
    <row r="97" spans="70:90" x14ac:dyDescent="0.2">
      <c r="BR97" s="3">
        <v>25</v>
      </c>
      <c r="BS97" s="3">
        <f t="shared" si="64"/>
        <v>0.20747726443594364</v>
      </c>
      <c r="BT97" s="3">
        <v>-1.837451384786512E-7</v>
      </c>
      <c r="BU97" s="3">
        <f t="shared" si="65"/>
        <v>0.20747743109157124</v>
      </c>
      <c r="BV97" s="3">
        <v>4.5041577722768067E-7</v>
      </c>
      <c r="BW97" s="3">
        <f t="shared" si="56"/>
        <v>0.20747734776375742</v>
      </c>
      <c r="BX97" s="3">
        <v>1.3333539618156504E-7</v>
      </c>
      <c r="BY97" s="3">
        <f t="shared" si="57"/>
        <v>-2.4499730835487489E-14</v>
      </c>
      <c r="BZ97" s="3">
        <f t="shared" si="58"/>
        <v>6.0056366103080337E-14</v>
      </c>
      <c r="CA97" s="3">
        <f t="shared" si="59"/>
        <v>1.6665562760365127E-7</v>
      </c>
      <c r="CC97" s="3">
        <v>25</v>
      </c>
      <c r="CD97" s="3">
        <f t="shared" si="66"/>
        <v>0.1886270130548533</v>
      </c>
      <c r="CE97" s="3">
        <v>-4.6138894854979434E-7</v>
      </c>
      <c r="CF97" s="3">
        <f t="shared" si="67"/>
        <v>0.1886271797104809</v>
      </c>
      <c r="CG97" s="3">
        <v>1.5757664696171292E-7</v>
      </c>
      <c r="CH97" s="3">
        <f t="shared" si="60"/>
        <v>0.18862709638266711</v>
      </c>
      <c r="CI97" s="3">
        <v>-1.5190607340585804E-7</v>
      </c>
      <c r="CJ97" s="3">
        <f t="shared" si="61"/>
        <v>7.0087783487056717E-14</v>
      </c>
      <c r="CK97" s="3">
        <f t="shared" si="62"/>
        <v>-2.393684970041494E-14</v>
      </c>
      <c r="CL97" s="3">
        <f t="shared" si="63"/>
        <v>1.6665562760365127E-7</v>
      </c>
    </row>
    <row r="98" spans="70:90" x14ac:dyDescent="0.2">
      <c r="BR98" s="3">
        <v>26</v>
      </c>
      <c r="BS98" s="3">
        <f t="shared" si="64"/>
        <v>0.20747726443594364</v>
      </c>
      <c r="BT98" s="3">
        <v>-1.837451384786512E-7</v>
      </c>
      <c r="BU98" s="3">
        <f t="shared" si="65"/>
        <v>0.20747734776375742</v>
      </c>
      <c r="BV98" s="3">
        <v>1.3333539618156504E-7</v>
      </c>
      <c r="BW98" s="3">
        <f t="shared" si="56"/>
        <v>0.20747730609985054</v>
      </c>
      <c r="BX98" s="3">
        <v>-2.5204851846274967E-8</v>
      </c>
      <c r="BY98" s="3">
        <f t="shared" si="57"/>
        <v>4.6312689928276816E-15</v>
      </c>
      <c r="BZ98" s="3">
        <f t="shared" si="58"/>
        <v>-3.3606989066207236E-15</v>
      </c>
      <c r="CA98" s="3">
        <f t="shared" si="59"/>
        <v>8.3327813787947846E-8</v>
      </c>
      <c r="CC98" s="3">
        <v>26</v>
      </c>
      <c r="CD98" s="3">
        <f t="shared" si="66"/>
        <v>0.18862709638266711</v>
      </c>
      <c r="CE98" s="3">
        <v>-1.5190607340585804E-7</v>
      </c>
      <c r="CF98" s="3">
        <f t="shared" si="67"/>
        <v>0.1886271797104809</v>
      </c>
      <c r="CG98" s="3">
        <v>1.5757664696171292E-7</v>
      </c>
      <c r="CH98" s="3">
        <f t="shared" si="60"/>
        <v>0.18862713804657399</v>
      </c>
      <c r="CI98" s="3">
        <v>2.8353061400435142E-9</v>
      </c>
      <c r="CJ98" s="3">
        <f t="shared" si="61"/>
        <v>-4.307002226375301E-16</v>
      </c>
      <c r="CK98" s="3">
        <f t="shared" si="62"/>
        <v>4.467780346580138E-16</v>
      </c>
      <c r="CL98" s="3">
        <f t="shared" si="63"/>
        <v>8.3327813787947846E-8</v>
      </c>
    </row>
    <row r="99" spans="70:90" x14ac:dyDescent="0.2">
      <c r="BR99" s="3">
        <v>27</v>
      </c>
      <c r="BS99" s="3">
        <f t="shared" si="64"/>
        <v>0.20747730609985054</v>
      </c>
      <c r="BT99" s="3">
        <v>-2.5204851846274967E-8</v>
      </c>
      <c r="BU99" s="3">
        <f t="shared" si="65"/>
        <v>0.20747734776375742</v>
      </c>
      <c r="BV99" s="3">
        <v>1.3333539618156504E-7</v>
      </c>
      <c r="BW99" s="3">
        <f t="shared" si="56"/>
        <v>0.20747732693180398</v>
      </c>
      <c r="BX99" s="3">
        <v>5.406527692642521E-8</v>
      </c>
      <c r="BY99" s="3">
        <f t="shared" si="57"/>
        <v>-1.3627072949583759E-15</v>
      </c>
      <c r="BZ99" s="3">
        <f t="shared" si="58"/>
        <v>7.2088151186509314E-15</v>
      </c>
      <c r="CA99" s="3">
        <f t="shared" si="59"/>
        <v>4.1663906880096135E-8</v>
      </c>
      <c r="CC99" s="3">
        <v>27</v>
      </c>
      <c r="CD99" s="3">
        <f t="shared" si="66"/>
        <v>0.18862709638266711</v>
      </c>
      <c r="CE99" s="3">
        <v>-1.5190607340585804E-7</v>
      </c>
      <c r="CF99" s="3">
        <f t="shared" si="67"/>
        <v>0.18862713804657399</v>
      </c>
      <c r="CG99" s="3">
        <v>2.8353061400435142E-9</v>
      </c>
      <c r="CH99" s="3">
        <f t="shared" si="60"/>
        <v>0.18862711721462055</v>
      </c>
      <c r="CI99" s="3">
        <v>-7.4535378822952747E-8</v>
      </c>
      <c r="CJ99" s="3">
        <f t="shared" si="61"/>
        <v>1.1322376726812897E-14</v>
      </c>
      <c r="CK99" s="3">
        <f t="shared" si="62"/>
        <v>-2.1133061722718723E-16</v>
      </c>
      <c r="CL99" s="3">
        <f t="shared" si="63"/>
        <v>4.1663906880096135E-8</v>
      </c>
    </row>
    <row r="100" spans="70:90" x14ac:dyDescent="0.2">
      <c r="BR100" s="3">
        <v>28</v>
      </c>
      <c r="BS100" s="3">
        <f t="shared" si="64"/>
        <v>0.20747730609985054</v>
      </c>
      <c r="BT100" s="3">
        <v>-2.5204851846274967E-8</v>
      </c>
      <c r="BU100" s="3">
        <f t="shared" si="65"/>
        <v>0.20747732693180398</v>
      </c>
      <c r="BV100" s="3">
        <v>5.406527692642521E-8</v>
      </c>
      <c r="BW100" s="3">
        <f t="shared" si="56"/>
        <v>0.20747731651582726</v>
      </c>
      <c r="BX100" s="3">
        <v>1.4430213760886768E-8</v>
      </c>
      <c r="BY100" s="3">
        <f t="shared" si="57"/>
        <v>-3.6371139995322927E-16</v>
      </c>
      <c r="BZ100" s="3">
        <f t="shared" si="58"/>
        <v>7.8017350308985494E-16</v>
      </c>
      <c r="CA100" s="3">
        <f t="shared" si="59"/>
        <v>2.0831953440048068E-8</v>
      </c>
      <c r="CC100" s="3">
        <v>28</v>
      </c>
      <c r="CD100" s="3">
        <f t="shared" si="66"/>
        <v>0.18862711721462055</v>
      </c>
      <c r="CE100" s="3">
        <v>-7.4535378822952747E-8</v>
      </c>
      <c r="CF100" s="3">
        <f t="shared" si="67"/>
        <v>0.18862713804657399</v>
      </c>
      <c r="CG100" s="3">
        <v>2.8353061400435142E-9</v>
      </c>
      <c r="CH100" s="3">
        <f t="shared" si="60"/>
        <v>0.18862712763059727</v>
      </c>
      <c r="CI100" s="3">
        <v>-3.5850035154036397E-8</v>
      </c>
      <c r="CJ100" s="3">
        <f t="shared" si="61"/>
        <v>2.6720959510222759E-15</v>
      </c>
      <c r="CK100" s="3">
        <f t="shared" si="62"/>
        <v>-1.0164582479301523E-16</v>
      </c>
      <c r="CL100" s="3">
        <f t="shared" si="63"/>
        <v>2.0831953440048068E-8</v>
      </c>
    </row>
    <row r="101" spans="70:90" x14ac:dyDescent="0.2">
      <c r="BR101" s="3">
        <v>29</v>
      </c>
      <c r="BS101" s="3">
        <f t="shared" si="64"/>
        <v>0.20747730609985054</v>
      </c>
      <c r="BT101" s="3">
        <v>-2.5204851846274967E-8</v>
      </c>
      <c r="BU101" s="3">
        <f t="shared" si="65"/>
        <v>0.20747731651582726</v>
      </c>
      <c r="BV101" s="3">
        <v>1.4430213760886768E-8</v>
      </c>
      <c r="BW101" s="3">
        <f t="shared" si="56"/>
        <v>0.20747731130783892</v>
      </c>
      <c r="BX101" s="3">
        <v>-5.3873187152650437E-9</v>
      </c>
      <c r="BY101" s="3">
        <f t="shared" si="57"/>
        <v>1.3578657006691982E-16</v>
      </c>
      <c r="BZ101" s="3">
        <f t="shared" si="58"/>
        <v>-7.7740160659300451E-17</v>
      </c>
      <c r="CA101" s="3">
        <f t="shared" si="59"/>
        <v>1.0415976720024034E-8</v>
      </c>
      <c r="CC101" s="3">
        <v>29</v>
      </c>
      <c r="CD101" s="3">
        <f t="shared" si="66"/>
        <v>0.18862712763059727</v>
      </c>
      <c r="CE101" s="3">
        <v>-3.5850035154036397E-8</v>
      </c>
      <c r="CF101" s="3">
        <f t="shared" si="67"/>
        <v>0.18862713804657399</v>
      </c>
      <c r="CG101" s="3">
        <v>2.8353061400435142E-9</v>
      </c>
      <c r="CH101" s="3">
        <f t="shared" si="60"/>
        <v>0.18862713283858562</v>
      </c>
      <c r="CI101" s="3">
        <v>-1.6507364270640368E-8</v>
      </c>
      <c r="CJ101" s="3">
        <f t="shared" si="61"/>
        <v>5.9178958940294162E-16</v>
      </c>
      <c r="CK101" s="3">
        <f t="shared" si="62"/>
        <v>-4.6803431272481564E-17</v>
      </c>
      <c r="CL101" s="3">
        <f t="shared" si="63"/>
        <v>1.0415976720024034E-8</v>
      </c>
    </row>
    <row r="102" spans="70:90" x14ac:dyDescent="0.2">
      <c r="BR102" s="3">
        <v>30</v>
      </c>
      <c r="BS102" s="3">
        <f t="shared" si="64"/>
        <v>0.20747731130783892</v>
      </c>
      <c r="BT102" s="3">
        <v>-5.3873187152650437E-9</v>
      </c>
      <c r="BU102" s="3">
        <f t="shared" si="65"/>
        <v>0.20747731651582726</v>
      </c>
      <c r="BV102" s="3">
        <v>1.4430213760886768E-8</v>
      </c>
      <c r="BW102" s="6">
        <f t="shared" si="56"/>
        <v>0.20747731391183311</v>
      </c>
      <c r="BX102" s="3">
        <v>4.5214476000060566E-9</v>
      </c>
      <c r="BY102" s="3">
        <f t="shared" si="57"/>
        <v>-2.4358479275602844E-17</v>
      </c>
      <c r="BZ102" s="3">
        <f t="shared" si="58"/>
        <v>6.5245455376735851E-17</v>
      </c>
      <c r="CA102" s="3">
        <f t="shared" si="59"/>
        <v>5.2079883461342291E-9</v>
      </c>
      <c r="CC102" s="3">
        <v>30</v>
      </c>
      <c r="CD102" s="3">
        <f t="shared" si="66"/>
        <v>0.18862713283858562</v>
      </c>
      <c r="CE102" s="3">
        <v>-1.6507364270640368E-8</v>
      </c>
      <c r="CF102" s="3">
        <f t="shared" si="67"/>
        <v>0.18862713804657399</v>
      </c>
      <c r="CG102" s="3">
        <v>2.8353061400435142E-9</v>
      </c>
      <c r="CH102" s="6">
        <f t="shared" si="60"/>
        <v>0.18862713544257981</v>
      </c>
      <c r="CI102" s="3">
        <v>-6.8360290102209564E-9</v>
      </c>
      <c r="CJ102" s="3">
        <f t="shared" si="61"/>
        <v>1.1284482103638245E-16</v>
      </c>
      <c r="CK102" s="3">
        <f t="shared" si="62"/>
        <v>-1.9382235026195065E-17</v>
      </c>
      <c r="CL102" s="3">
        <f t="shared" si="63"/>
        <v>5.2079883738898047E-9</v>
      </c>
    </row>
    <row r="104" spans="70:90" x14ac:dyDescent="0.2">
      <c r="BR104" s="74" t="s">
        <v>225</v>
      </c>
      <c r="BS104" s="74"/>
      <c r="BT104" s="74"/>
      <c r="BU104" s="74"/>
      <c r="BV104" s="74"/>
      <c r="BW104" s="74"/>
      <c r="BX104" s="74"/>
      <c r="BY104" s="74"/>
      <c r="BZ104" s="74"/>
      <c r="CA104" s="74"/>
      <c r="CC104" s="74" t="s">
        <v>233</v>
      </c>
      <c r="CD104" s="74"/>
      <c r="CE104" s="74"/>
      <c r="CF104" s="74"/>
      <c r="CG104" s="74"/>
      <c r="CH104" s="74"/>
      <c r="CI104" s="74"/>
      <c r="CJ104" s="74"/>
      <c r="CK104" s="74"/>
      <c r="CL104" s="74"/>
    </row>
    <row r="105" spans="70:90" x14ac:dyDescent="0.2">
      <c r="BR105" s="8" t="s">
        <v>44</v>
      </c>
      <c r="BS105" s="8" t="s">
        <v>45</v>
      </c>
      <c r="BT105" s="8" t="s">
        <v>46</v>
      </c>
      <c r="BU105" s="8" t="s">
        <v>47</v>
      </c>
      <c r="BV105" s="8" t="s">
        <v>48</v>
      </c>
      <c r="BW105" s="8" t="s">
        <v>49</v>
      </c>
      <c r="BX105" s="8" t="s">
        <v>50</v>
      </c>
      <c r="BY105" s="8" t="s">
        <v>51</v>
      </c>
      <c r="BZ105" s="8" t="s">
        <v>52</v>
      </c>
      <c r="CA105" s="8" t="s">
        <v>53</v>
      </c>
      <c r="CC105" s="8" t="s">
        <v>44</v>
      </c>
      <c r="CD105" s="8" t="s">
        <v>45</v>
      </c>
      <c r="CE105" s="8" t="s">
        <v>46</v>
      </c>
      <c r="CF105" s="8" t="s">
        <v>47</v>
      </c>
      <c r="CG105" s="8" t="s">
        <v>48</v>
      </c>
      <c r="CH105" s="8" t="s">
        <v>49</v>
      </c>
      <c r="CI105" s="8" t="s">
        <v>50</v>
      </c>
      <c r="CJ105" s="8" t="s">
        <v>51</v>
      </c>
      <c r="CK105" s="8" t="s">
        <v>52</v>
      </c>
      <c r="CL105" s="8" t="s">
        <v>53</v>
      </c>
    </row>
    <row r="106" spans="70:90" x14ac:dyDescent="0.2">
      <c r="BR106" s="31">
        <v>0</v>
      </c>
      <c r="BS106" s="31"/>
      <c r="BT106" s="31">
        <f>$BK$77</f>
        <v>-6.2775295144382182E-9</v>
      </c>
      <c r="BU106" s="31"/>
      <c r="BV106" s="31">
        <f>$BK$77</f>
        <v>-6.2775295144382182E-9</v>
      </c>
      <c r="BW106" s="31"/>
      <c r="BX106" s="31">
        <f>$BK$77</f>
        <v>-6.2775295144382182E-9</v>
      </c>
      <c r="BY106" s="31"/>
      <c r="BZ106" s="31"/>
      <c r="CA106" s="31"/>
      <c r="CC106" s="31">
        <v>0</v>
      </c>
      <c r="CD106" s="31"/>
      <c r="CE106" s="31">
        <f>$BO$77</f>
        <v>3.0656242249599286E-9</v>
      </c>
      <c r="CF106" s="31"/>
      <c r="CG106" s="31">
        <f>$BO$77</f>
        <v>3.0656242249599286E-9</v>
      </c>
      <c r="CH106" s="31"/>
      <c r="CI106" s="31">
        <f>$BO$77</f>
        <v>3.0656242249599286E-9</v>
      </c>
      <c r="CJ106" s="31"/>
      <c r="CK106" s="31"/>
      <c r="CL106" s="31"/>
    </row>
    <row r="107" spans="70:90" x14ac:dyDescent="0.2">
      <c r="BR107" s="3">
        <v>1</v>
      </c>
      <c r="BS107" s="4">
        <f>0.01*PI()</f>
        <v>3.1415926535897934E-2</v>
      </c>
      <c r="BT107" s="3">
        <f t="dataTable" ref="BT107:BT136" dt2D="0" dtr="0" r1="BK61" ca="1"/>
        <v>-1.8163971348018479</v>
      </c>
      <c r="BU107" s="4">
        <f>0.9*PI()</f>
        <v>2.8274333882308138</v>
      </c>
      <c r="BV107" s="3">
        <f t="dataTable" ref="BV107:BV136" dt2D="0" dtr="0" r1="BK61" ca="1"/>
        <v>0.46769384892045518</v>
      </c>
      <c r="BW107" s="3">
        <f t="shared" ref="BW107:BW136" si="68">(BS107+BU107)/2</f>
        <v>1.4294246573833558</v>
      </c>
      <c r="BX107" s="3">
        <f t="dataTable" ref="BX107:BX136" dt2D="0" dtr="0" r1="BK61"/>
        <v>1.1609463979600692</v>
      </c>
      <c r="BY107" s="3">
        <f t="shared" ref="BY107:BY136" si="69">BT107*BX107</f>
        <v>-2.1087397109131953</v>
      </c>
      <c r="BZ107" s="3">
        <f t="shared" ref="BZ107:BZ136" si="70">BV107*BX107</f>
        <v>0.54296748925228322</v>
      </c>
      <c r="CA107" s="3">
        <f t="shared" ref="CA107:CA136" si="71">BU107-BS107</f>
        <v>2.7960174616949161</v>
      </c>
      <c r="CC107" s="3">
        <v>1</v>
      </c>
      <c r="CD107" s="4">
        <f>0.01*PI()</f>
        <v>3.1415926535897934E-2</v>
      </c>
      <c r="CE107" s="3">
        <f t="dataTable" ref="CE107:CE136" dt2D="0" dtr="0" r1="BO61"/>
        <v>-1.6259995172024453</v>
      </c>
      <c r="CF107" s="4">
        <f>0.9*PI()</f>
        <v>2.8274333882308138</v>
      </c>
      <c r="CG107" s="3">
        <f t="dataTable" ref="CG107:CG136" dt2D="0" dtr="0" r1="BO61" ca="1"/>
        <v>0.54104997226255214</v>
      </c>
      <c r="CH107" s="3">
        <f t="shared" ref="CH107:CH136" si="72">(CD107+CF107)/2</f>
        <v>1.4294246573833558</v>
      </c>
      <c r="CI107" s="3">
        <f t="dataTable" ref="CI107:CI136" dt2D="0" dtr="0" r1="BO61" ca="1"/>
        <v>1.2548099312460155</v>
      </c>
      <c r="CJ107" s="3">
        <f t="shared" ref="CJ107:CJ136" si="73">CE107*CI107</f>
        <v>-2.0403203423868548</v>
      </c>
      <c r="CK107" s="3">
        <f t="shared" ref="CK107:CK136" si="74">CG107*CI107</f>
        <v>0.67891487849543164</v>
      </c>
      <c r="CL107" s="3">
        <f t="shared" ref="CL107:CL136" si="75">CF107-CD107</f>
        <v>2.7960174616949161</v>
      </c>
    </row>
    <row r="108" spans="70:90" x14ac:dyDescent="0.2">
      <c r="BR108" s="3">
        <v>2</v>
      </c>
      <c r="BS108" s="3">
        <f t="shared" ref="BS108:BS136" si="76">IF(BY107&gt;0,BW107,BS107)</f>
        <v>3.1415926535897934E-2</v>
      </c>
      <c r="BT108" s="3">
        <v>-1.8163971348018479</v>
      </c>
      <c r="BU108" s="3">
        <f t="shared" ref="BU108:BU136" si="77">IF(BZ107&gt;0,BW107,BU107)</f>
        <v>1.4294246573833558</v>
      </c>
      <c r="BV108" s="3">
        <v>1.1609463979600692</v>
      </c>
      <c r="BW108" s="3">
        <f t="shared" si="68"/>
        <v>0.73042029195962688</v>
      </c>
      <c r="BX108" s="3">
        <v>0.79981556771491347</v>
      </c>
      <c r="BY108" s="3">
        <f t="shared" si="69"/>
        <v>-1.4527827055672822</v>
      </c>
      <c r="BZ108" s="3">
        <f t="shared" si="70"/>
        <v>0.92854300237101661</v>
      </c>
      <c r="CA108" s="3">
        <f t="shared" si="71"/>
        <v>1.3980087308474578</v>
      </c>
      <c r="CC108" s="3">
        <v>2</v>
      </c>
      <c r="CD108" s="3">
        <f t="shared" ref="CD108:CD136" si="78">IF(CJ107&gt;0,CH107,CD107)</f>
        <v>3.1415926535897934E-2</v>
      </c>
      <c r="CE108" s="3">
        <v>-1.6259995172024453</v>
      </c>
      <c r="CF108" s="3">
        <f t="shared" ref="CF108:CF136" si="79">IF(CK107&gt;0,CH107,CF107)</f>
        <v>1.4294246573833558</v>
      </c>
      <c r="CG108" s="3">
        <v>1.2548099312460155</v>
      </c>
      <c r="CH108" s="3">
        <f t="shared" si="72"/>
        <v>0.73042029195962688</v>
      </c>
      <c r="CI108" s="3">
        <v>0.87226644390770824</v>
      </c>
      <c r="CJ108" s="3">
        <f t="shared" si="73"/>
        <v>-1.4183048166658274</v>
      </c>
      <c r="CK108" s="3">
        <f t="shared" si="74"/>
        <v>1.0945285965080378</v>
      </c>
      <c r="CL108" s="3">
        <f t="shared" si="75"/>
        <v>1.3980087308474578</v>
      </c>
    </row>
    <row r="109" spans="70:90" x14ac:dyDescent="0.2">
      <c r="BR109" s="3">
        <v>3</v>
      </c>
      <c r="BS109" s="3">
        <f t="shared" si="76"/>
        <v>3.1415926535897934E-2</v>
      </c>
      <c r="BT109" s="3">
        <v>-1.8163971348018479</v>
      </c>
      <c r="BU109" s="3">
        <f t="shared" si="77"/>
        <v>0.73042029195962688</v>
      </c>
      <c r="BV109" s="3">
        <v>0.79981556771491347</v>
      </c>
      <c r="BW109" s="3">
        <f t="shared" si="68"/>
        <v>0.38091810924776243</v>
      </c>
      <c r="BX109" s="3">
        <v>0.54445119367060402</v>
      </c>
      <c r="BY109" s="3">
        <f t="shared" si="69"/>
        <v>-0.98893958822273109</v>
      </c>
      <c r="BZ109" s="3">
        <f t="shared" si="70"/>
        <v>0.43546054055871647</v>
      </c>
      <c r="CA109" s="3">
        <f t="shared" si="71"/>
        <v>0.6990043654237289</v>
      </c>
      <c r="CC109" s="3">
        <v>3</v>
      </c>
      <c r="CD109" s="3">
        <f t="shared" si="78"/>
        <v>3.1415926535897934E-2</v>
      </c>
      <c r="CE109" s="3">
        <v>-1.6259995172024453</v>
      </c>
      <c r="CF109" s="3">
        <f t="shared" si="79"/>
        <v>0.73042029195962688</v>
      </c>
      <c r="CG109" s="3">
        <v>0.87226644390770824</v>
      </c>
      <c r="CH109" s="3">
        <f t="shared" si="72"/>
        <v>0.38091810924776243</v>
      </c>
      <c r="CI109" s="3">
        <v>0.67411302503354753</v>
      </c>
      <c r="CJ109" s="3">
        <f t="shared" si="73"/>
        <v>-1.0961074532444282</v>
      </c>
      <c r="CK109" s="3">
        <f t="shared" si="74"/>
        <v>0.58800617113788045</v>
      </c>
      <c r="CL109" s="3">
        <f t="shared" si="75"/>
        <v>0.6990043654237289</v>
      </c>
    </row>
    <row r="110" spans="70:90" x14ac:dyDescent="0.2">
      <c r="BR110" s="3">
        <v>4</v>
      </c>
      <c r="BS110" s="3">
        <f t="shared" si="76"/>
        <v>3.1415926535897934E-2</v>
      </c>
      <c r="BT110" s="3">
        <v>-1.8163971348018479</v>
      </c>
      <c r="BU110" s="3">
        <f t="shared" si="77"/>
        <v>0.38091810924776243</v>
      </c>
      <c r="BV110" s="3">
        <v>0.54445119367060402</v>
      </c>
      <c r="BW110" s="3">
        <f t="shared" si="68"/>
        <v>0.20616701789183017</v>
      </c>
      <c r="BX110" s="3">
        <v>0.10896625336130868</v>
      </c>
      <c r="BY110" s="3">
        <f t="shared" si="69"/>
        <v>-0.19792599039557332</v>
      </c>
      <c r="BZ110" s="3">
        <f t="shared" si="70"/>
        <v>5.9326806712377979E-2</v>
      </c>
      <c r="CA110" s="3">
        <f t="shared" si="71"/>
        <v>0.34950218271186451</v>
      </c>
      <c r="CC110" s="3">
        <v>4</v>
      </c>
      <c r="CD110" s="3">
        <f t="shared" si="78"/>
        <v>3.1415926535897934E-2</v>
      </c>
      <c r="CE110" s="3">
        <v>-1.6259995172024453</v>
      </c>
      <c r="CF110" s="3">
        <f t="shared" si="79"/>
        <v>0.38091810924776243</v>
      </c>
      <c r="CG110" s="3">
        <v>0.67411302503354753</v>
      </c>
      <c r="CH110" s="3">
        <f t="shared" si="72"/>
        <v>0.20616701789183017</v>
      </c>
      <c r="CI110" s="3">
        <v>0.14246693760560517</v>
      </c>
      <c r="CJ110" s="3">
        <f t="shared" si="73"/>
        <v>-0.23165117176402489</v>
      </c>
      <c r="CK110" s="3">
        <f t="shared" si="74"/>
        <v>9.6038818276580173E-2</v>
      </c>
      <c r="CL110" s="3">
        <f t="shared" si="75"/>
        <v>0.34950218271186451</v>
      </c>
    </row>
    <row r="111" spans="70:90" x14ac:dyDescent="0.2">
      <c r="BR111" s="3">
        <v>5</v>
      </c>
      <c r="BS111" s="3">
        <f t="shared" si="76"/>
        <v>3.1415926535897934E-2</v>
      </c>
      <c r="BT111" s="3">
        <v>-1.8163971348018479</v>
      </c>
      <c r="BU111" s="3">
        <f t="shared" si="77"/>
        <v>0.20616701789183017</v>
      </c>
      <c r="BV111" s="3">
        <v>0.10896625336130868</v>
      </c>
      <c r="BW111" s="3">
        <f t="shared" si="68"/>
        <v>0.11879147221386405</v>
      </c>
      <c r="BX111" s="3">
        <v>-0.26196614382301031</v>
      </c>
      <c r="BY111" s="3">
        <f t="shared" si="69"/>
        <v>0.47583455305520472</v>
      </c>
      <c r="BZ111" s="3">
        <f t="shared" si="70"/>
        <v>-2.8545469199903171E-2</v>
      </c>
      <c r="CA111" s="3">
        <f t="shared" si="71"/>
        <v>0.17475109135593225</v>
      </c>
      <c r="CC111" s="3">
        <v>5</v>
      </c>
      <c r="CD111" s="3">
        <f t="shared" si="78"/>
        <v>3.1415926535897934E-2</v>
      </c>
      <c r="CE111" s="3">
        <v>-1.6259995172024453</v>
      </c>
      <c r="CF111" s="3">
        <f t="shared" si="79"/>
        <v>0.20616701789183017</v>
      </c>
      <c r="CG111" s="3">
        <v>0.14246693760560517</v>
      </c>
      <c r="CH111" s="3">
        <f t="shared" si="72"/>
        <v>0.11879147221386405</v>
      </c>
      <c r="CI111" s="3">
        <v>-0.29347731988894699</v>
      </c>
      <c r="CJ111" s="3">
        <f t="shared" si="73"/>
        <v>0.4771939804492954</v>
      </c>
      <c r="CK111" s="3">
        <f t="shared" si="74"/>
        <v>-4.1810815021278841E-2</v>
      </c>
      <c r="CL111" s="3">
        <f t="shared" si="75"/>
        <v>0.17475109135593225</v>
      </c>
    </row>
    <row r="112" spans="70:90" x14ac:dyDescent="0.2">
      <c r="BR112" s="3">
        <v>6</v>
      </c>
      <c r="BS112" s="3">
        <f t="shared" si="76"/>
        <v>0.11879147221386405</v>
      </c>
      <c r="BT112" s="3">
        <v>-0.26196614382301031</v>
      </c>
      <c r="BU112" s="3">
        <f t="shared" si="77"/>
        <v>0.20616701789183017</v>
      </c>
      <c r="BV112" s="3">
        <v>0.10896625336130868</v>
      </c>
      <c r="BW112" s="3">
        <f t="shared" si="68"/>
        <v>0.16247924505284711</v>
      </c>
      <c r="BX112" s="3">
        <v>-4.9001991547060322E-2</v>
      </c>
      <c r="BY112" s="3">
        <f t="shared" si="69"/>
        <v>1.283686276523114E-2</v>
      </c>
      <c r="BZ112" s="3">
        <f t="shared" si="70"/>
        <v>-5.339563426125681E-3</v>
      </c>
      <c r="CA112" s="3">
        <f t="shared" si="71"/>
        <v>8.7375545677966127E-2</v>
      </c>
      <c r="CC112" s="3">
        <v>6</v>
      </c>
      <c r="CD112" s="3">
        <f t="shared" si="78"/>
        <v>0.11879147221386405</v>
      </c>
      <c r="CE112" s="3">
        <v>-0.29347731988894699</v>
      </c>
      <c r="CF112" s="3">
        <f t="shared" si="79"/>
        <v>0.20616701789183017</v>
      </c>
      <c r="CG112" s="3">
        <v>0.14246693760560517</v>
      </c>
      <c r="CH112" s="3">
        <f t="shared" si="72"/>
        <v>0.16247924505284711</v>
      </c>
      <c r="CI112" s="3">
        <v>-4.8193039034400802E-2</v>
      </c>
      <c r="CJ112" s="3">
        <f t="shared" si="73"/>
        <v>1.4143563933119352E-2</v>
      </c>
      <c r="CK112" s="3">
        <f t="shared" si="74"/>
        <v>-6.8659146851384736E-3</v>
      </c>
      <c r="CL112" s="3">
        <f t="shared" si="75"/>
        <v>8.7375545677966127E-2</v>
      </c>
    </row>
    <row r="113" spans="70:90" x14ac:dyDescent="0.2">
      <c r="BR113" s="3">
        <v>7</v>
      </c>
      <c r="BS113" s="3">
        <f t="shared" si="76"/>
        <v>0.16247924505284711</v>
      </c>
      <c r="BT113" s="3">
        <v>-4.9001991547060322E-2</v>
      </c>
      <c r="BU113" s="3">
        <f t="shared" si="77"/>
        <v>0.20616701789183017</v>
      </c>
      <c r="BV113" s="3">
        <v>0.10896625336130868</v>
      </c>
      <c r="BW113" s="3">
        <f t="shared" si="68"/>
        <v>0.18432313147233864</v>
      </c>
      <c r="BX113" s="3">
        <v>3.4540964313493148E-2</v>
      </c>
      <c r="BY113" s="3">
        <f t="shared" si="69"/>
        <v>-1.6925760413171035E-3</v>
      </c>
      <c r="BZ113" s="3">
        <f t="shared" si="70"/>
        <v>3.763799468728016E-3</v>
      </c>
      <c r="CA113" s="3">
        <f t="shared" si="71"/>
        <v>4.3687772838983063E-2</v>
      </c>
      <c r="CC113" s="3">
        <v>7</v>
      </c>
      <c r="CD113" s="3">
        <f t="shared" si="78"/>
        <v>0.16247924505284711</v>
      </c>
      <c r="CE113" s="3">
        <v>-4.8193039034400802E-2</v>
      </c>
      <c r="CF113" s="3">
        <f t="shared" si="79"/>
        <v>0.20616701789183017</v>
      </c>
      <c r="CG113" s="3">
        <v>0.14246693760560517</v>
      </c>
      <c r="CH113" s="3">
        <f t="shared" si="72"/>
        <v>0.18432313147233864</v>
      </c>
      <c r="CI113" s="3">
        <v>5.1990186389993052E-2</v>
      </c>
      <c r="CJ113" s="3">
        <f t="shared" si="73"/>
        <v>-2.5055650820987084E-3</v>
      </c>
      <c r="CK113" s="3">
        <f t="shared" si="74"/>
        <v>7.4068826405269232E-3</v>
      </c>
      <c r="CL113" s="3">
        <f t="shared" si="75"/>
        <v>4.3687772838983063E-2</v>
      </c>
    </row>
    <row r="114" spans="70:90" x14ac:dyDescent="0.2">
      <c r="BR114" s="3">
        <v>8</v>
      </c>
      <c r="BS114" s="3">
        <f t="shared" si="76"/>
        <v>0.16247924505284711</v>
      </c>
      <c r="BT114" s="3">
        <v>-4.9001991547060322E-2</v>
      </c>
      <c r="BU114" s="3">
        <f t="shared" si="77"/>
        <v>0.18432313147233864</v>
      </c>
      <c r="BV114" s="3">
        <v>3.4540964313493148E-2</v>
      </c>
      <c r="BW114" s="3">
        <f t="shared" si="68"/>
        <v>0.17340118826259288</v>
      </c>
      <c r="BX114" s="3">
        <v>-5.8939673148563406E-3</v>
      </c>
      <c r="BY114" s="3">
        <f t="shared" si="69"/>
        <v>2.8881613654124024E-4</v>
      </c>
      <c r="BZ114" s="3">
        <f t="shared" si="70"/>
        <v>-2.0358331468734789E-4</v>
      </c>
      <c r="CA114" s="3">
        <f t="shared" si="71"/>
        <v>2.1843886419491532E-2</v>
      </c>
      <c r="CC114" s="3">
        <v>8</v>
      </c>
      <c r="CD114" s="3">
        <f t="shared" si="78"/>
        <v>0.16247924505284711</v>
      </c>
      <c r="CE114" s="3">
        <v>-4.8193039034400802E-2</v>
      </c>
      <c r="CF114" s="3">
        <f t="shared" si="79"/>
        <v>0.18432313147233864</v>
      </c>
      <c r="CG114" s="3">
        <v>5.1990186389993052E-2</v>
      </c>
      <c r="CH114" s="3">
        <f t="shared" si="72"/>
        <v>0.17340118826259288</v>
      </c>
      <c r="CI114" s="3">
        <v>3.2885922905761884E-3</v>
      </c>
      <c r="CJ114" s="3">
        <f t="shared" si="73"/>
        <v>-1.5848725662796781E-4</v>
      </c>
      <c r="CK114" s="3">
        <f t="shared" si="74"/>
        <v>1.7097452614775024E-4</v>
      </c>
      <c r="CL114" s="3">
        <f t="shared" si="75"/>
        <v>2.1843886419491532E-2</v>
      </c>
    </row>
    <row r="115" spans="70:90" x14ac:dyDescent="0.2">
      <c r="BR115" s="3">
        <v>9</v>
      </c>
      <c r="BS115" s="3">
        <f t="shared" si="76"/>
        <v>0.17340118826259288</v>
      </c>
      <c r="BT115" s="3">
        <v>-5.8939673148563406E-3</v>
      </c>
      <c r="BU115" s="3">
        <f t="shared" si="77"/>
        <v>0.18432313147233864</v>
      </c>
      <c r="BV115" s="3">
        <v>3.4540964313493148E-2</v>
      </c>
      <c r="BW115" s="3">
        <f t="shared" si="68"/>
        <v>0.17886215986746576</v>
      </c>
      <c r="BX115" s="3">
        <v>1.4629236415275358E-2</v>
      </c>
      <c r="BY115" s="3">
        <f t="shared" si="69"/>
        <v>-8.6224241272939094E-5</v>
      </c>
      <c r="BZ115" s="3">
        <f t="shared" si="70"/>
        <v>5.0530793295368054E-4</v>
      </c>
      <c r="CA115" s="3">
        <f t="shared" si="71"/>
        <v>1.0921943209745766E-2</v>
      </c>
      <c r="CC115" s="3">
        <v>9</v>
      </c>
      <c r="CD115" s="3">
        <f t="shared" si="78"/>
        <v>0.16247924505284711</v>
      </c>
      <c r="CE115" s="3">
        <v>-4.8193039034400802E-2</v>
      </c>
      <c r="CF115" s="3">
        <f t="shared" si="79"/>
        <v>0.17340118826259288</v>
      </c>
      <c r="CG115" s="3">
        <v>3.2885922905761884E-3</v>
      </c>
      <c r="CH115" s="3">
        <f t="shared" si="72"/>
        <v>0.16794021665771999</v>
      </c>
      <c r="CI115" s="3">
        <v>-2.2078166497267494E-2</v>
      </c>
      <c r="CJ115" s="3">
        <f t="shared" si="73"/>
        <v>1.0640139398108124E-3</v>
      </c>
      <c r="CK115" s="3">
        <f t="shared" si="74"/>
        <v>-7.2606088132971369E-5</v>
      </c>
      <c r="CL115" s="3">
        <f t="shared" si="75"/>
        <v>1.0921943209745766E-2</v>
      </c>
    </row>
    <row r="116" spans="70:90" x14ac:dyDescent="0.2">
      <c r="BR116" s="3">
        <v>10</v>
      </c>
      <c r="BS116" s="3">
        <f t="shared" si="76"/>
        <v>0.17340118826259288</v>
      </c>
      <c r="BT116" s="3">
        <v>-5.8939673148563406E-3</v>
      </c>
      <c r="BU116" s="3">
        <f t="shared" si="77"/>
        <v>0.17886215986746576</v>
      </c>
      <c r="BV116" s="3">
        <v>1.4629236415275358E-2</v>
      </c>
      <c r="BW116" s="3">
        <f t="shared" si="68"/>
        <v>0.17613167406502933</v>
      </c>
      <c r="BX116" s="3">
        <v>4.4473405967500358E-3</v>
      </c>
      <c r="BY116" s="3">
        <f t="shared" si="69"/>
        <v>-2.6212480115278405E-5</v>
      </c>
      <c r="BZ116" s="3">
        <f t="shared" si="70"/>
        <v>6.5061197009108062E-5</v>
      </c>
      <c r="CA116" s="3">
        <f t="shared" si="71"/>
        <v>5.4609716048728829E-3</v>
      </c>
      <c r="CC116" s="3">
        <v>10</v>
      </c>
      <c r="CD116" s="3">
        <f t="shared" si="78"/>
        <v>0.16794021665771999</v>
      </c>
      <c r="CE116" s="3">
        <v>-2.2078166497267494E-2</v>
      </c>
      <c r="CF116" s="3">
        <f t="shared" si="79"/>
        <v>0.17340118826259288</v>
      </c>
      <c r="CG116" s="3">
        <v>3.2885922905761884E-3</v>
      </c>
      <c r="CH116" s="3">
        <f t="shared" si="72"/>
        <v>0.17067070246015642</v>
      </c>
      <c r="CI116" s="3">
        <v>-9.3048287415954598E-3</v>
      </c>
      <c r="CJ116" s="3">
        <f t="shared" si="73"/>
        <v>2.0543355818550453E-4</v>
      </c>
      <c r="CK116" s="3">
        <f t="shared" si="74"/>
        <v>-3.0599788064742569E-5</v>
      </c>
      <c r="CL116" s="3">
        <f t="shared" si="75"/>
        <v>5.4609716048728829E-3</v>
      </c>
    </row>
    <row r="117" spans="70:90" x14ac:dyDescent="0.2">
      <c r="BR117" s="3">
        <v>11</v>
      </c>
      <c r="BS117" s="3">
        <f t="shared" si="76"/>
        <v>0.17340118826259288</v>
      </c>
      <c r="BT117" s="3">
        <v>-5.8939673148563406E-3</v>
      </c>
      <c r="BU117" s="3">
        <f t="shared" si="77"/>
        <v>0.17613167406502933</v>
      </c>
      <c r="BV117" s="3">
        <v>4.4473405967500358E-3</v>
      </c>
      <c r="BW117" s="3">
        <f t="shared" si="68"/>
        <v>0.1747664311638111</v>
      </c>
      <c r="BX117" s="3">
        <v>-7.0295530220680375E-4</v>
      </c>
      <c r="BY117" s="3">
        <f t="shared" si="69"/>
        <v>4.1431955750118628E-6</v>
      </c>
      <c r="BZ117" s="3">
        <f t="shared" si="70"/>
        <v>-3.1262816532050085E-6</v>
      </c>
      <c r="CA117" s="3">
        <f t="shared" si="71"/>
        <v>2.7304858024364553E-3</v>
      </c>
      <c r="CC117" s="3">
        <v>11</v>
      </c>
      <c r="CD117" s="3">
        <f t="shared" si="78"/>
        <v>0.17067070246015642</v>
      </c>
      <c r="CE117" s="3">
        <v>-9.3048287415954598E-3</v>
      </c>
      <c r="CF117" s="3">
        <f t="shared" si="79"/>
        <v>0.17340118826259288</v>
      </c>
      <c r="CG117" s="3">
        <v>3.2885922905761884E-3</v>
      </c>
      <c r="CH117" s="3">
        <f t="shared" si="72"/>
        <v>0.17203594536137465</v>
      </c>
      <c r="CI117" s="3">
        <v>-2.9860510334653407E-3</v>
      </c>
      <c r="CJ117" s="3">
        <f t="shared" si="73"/>
        <v>2.7784693480059127E-5</v>
      </c>
      <c r="CK117" s="3">
        <f t="shared" si="74"/>
        <v>-9.819904407921179E-6</v>
      </c>
      <c r="CL117" s="3">
        <f t="shared" si="75"/>
        <v>2.7304858024364553E-3</v>
      </c>
    </row>
    <row r="118" spans="70:90" x14ac:dyDescent="0.2">
      <c r="BR118" s="3">
        <v>12</v>
      </c>
      <c r="BS118" s="3">
        <f t="shared" si="76"/>
        <v>0.1747664311638111</v>
      </c>
      <c r="BT118" s="3">
        <v>-7.0295530220680375E-4</v>
      </c>
      <c r="BU118" s="3">
        <f t="shared" si="77"/>
        <v>0.17613167406502933</v>
      </c>
      <c r="BV118" s="3">
        <v>4.4473405967500358E-3</v>
      </c>
      <c r="BW118" s="3">
        <f t="shared" si="68"/>
        <v>0.17544905261442023</v>
      </c>
      <c r="BX118" s="3">
        <v>1.877227157398886E-3</v>
      </c>
      <c r="BY118" s="3">
        <f t="shared" si="69"/>
        <v>-1.319606783740153E-6</v>
      </c>
      <c r="BZ118" s="3">
        <f t="shared" si="70"/>
        <v>8.3486685464217346E-6</v>
      </c>
      <c r="CA118" s="3">
        <f t="shared" si="71"/>
        <v>1.3652429012182277E-3</v>
      </c>
      <c r="CC118" s="3">
        <v>12</v>
      </c>
      <c r="CD118" s="3">
        <f t="shared" si="78"/>
        <v>0.17203594536137465</v>
      </c>
      <c r="CE118" s="3">
        <v>-2.9860510334653407E-3</v>
      </c>
      <c r="CF118" s="3">
        <f t="shared" si="79"/>
        <v>0.17340118826259288</v>
      </c>
      <c r="CG118" s="3">
        <v>3.2885922905761884E-3</v>
      </c>
      <c r="CH118" s="3">
        <f t="shared" si="72"/>
        <v>0.17271856681198378</v>
      </c>
      <c r="CI118" s="3">
        <v>1.5673593137058121E-4</v>
      </c>
      <c r="CJ118" s="3">
        <f t="shared" si="73"/>
        <v>-4.6802148985027675E-7</v>
      </c>
      <c r="CK118" s="3">
        <f t="shared" si="74"/>
        <v>5.1544057556157192E-7</v>
      </c>
      <c r="CL118" s="3">
        <f t="shared" si="75"/>
        <v>1.3652429012182277E-3</v>
      </c>
    </row>
    <row r="119" spans="70:90" x14ac:dyDescent="0.2">
      <c r="BR119" s="3">
        <v>13</v>
      </c>
      <c r="BS119" s="3">
        <f t="shared" si="76"/>
        <v>0.1747664311638111</v>
      </c>
      <c r="BT119" s="3">
        <v>-7.0295530220680375E-4</v>
      </c>
      <c r="BU119" s="3">
        <f t="shared" si="77"/>
        <v>0.17544905261442023</v>
      </c>
      <c r="BV119" s="3">
        <v>1.877227157398886E-3</v>
      </c>
      <c r="BW119" s="3">
        <f t="shared" si="68"/>
        <v>0.17510774188911565</v>
      </c>
      <c r="BX119" s="3">
        <v>5.8840136287848432E-4</v>
      </c>
      <c r="BY119" s="3">
        <f t="shared" si="69"/>
        <v>-4.1361985786114015E-7</v>
      </c>
      <c r="BZ119" s="3">
        <f t="shared" si="70"/>
        <v>1.1045630178460076E-6</v>
      </c>
      <c r="CA119" s="3">
        <f t="shared" si="71"/>
        <v>6.8262145060912771E-4</v>
      </c>
      <c r="CC119" s="3">
        <v>13</v>
      </c>
      <c r="CD119" s="3">
        <f t="shared" si="78"/>
        <v>0.17203594536137465</v>
      </c>
      <c r="CE119" s="3">
        <v>-2.9860510334653407E-3</v>
      </c>
      <c r="CF119" s="3">
        <f t="shared" si="79"/>
        <v>0.17271856681198378</v>
      </c>
      <c r="CG119" s="3">
        <v>1.5673593137058121E-4</v>
      </c>
      <c r="CH119" s="3">
        <f t="shared" si="72"/>
        <v>0.1723772560866792</v>
      </c>
      <c r="CI119" s="3">
        <v>-1.4132848453060503E-3</v>
      </c>
      <c r="CJ119" s="3">
        <f t="shared" si="73"/>
        <v>4.2201406729070357E-6</v>
      </c>
      <c r="CK119" s="3">
        <f t="shared" si="74"/>
        <v>-2.2151251652097158E-7</v>
      </c>
      <c r="CL119" s="3">
        <f t="shared" si="75"/>
        <v>6.8262145060912771E-4</v>
      </c>
    </row>
    <row r="120" spans="70:90" x14ac:dyDescent="0.2">
      <c r="BR120" s="3">
        <v>14</v>
      </c>
      <c r="BS120" s="3">
        <f t="shared" si="76"/>
        <v>0.1747664311638111</v>
      </c>
      <c r="BT120" s="3">
        <v>-7.0295530220680375E-4</v>
      </c>
      <c r="BU120" s="3">
        <f t="shared" si="77"/>
        <v>0.17510774188911565</v>
      </c>
      <c r="BV120" s="3">
        <v>5.8840136287848432E-4</v>
      </c>
      <c r="BW120" s="3">
        <f t="shared" si="68"/>
        <v>0.17493708652646339</v>
      </c>
      <c r="BX120" s="3">
        <v>-5.6959753998867338E-5</v>
      </c>
      <c r="BY120" s="3">
        <f t="shared" si="69"/>
        <v>4.0040161085898989E-8</v>
      </c>
      <c r="BZ120" s="3">
        <f t="shared" si="70"/>
        <v>-3.3515196882156739E-8</v>
      </c>
      <c r="CA120" s="3">
        <f t="shared" si="71"/>
        <v>3.4131072530454998E-4</v>
      </c>
      <c r="CC120" s="3">
        <v>14</v>
      </c>
      <c r="CD120" s="3">
        <f t="shared" si="78"/>
        <v>0.1723772560866792</v>
      </c>
      <c r="CE120" s="3">
        <v>-1.4132848453060503E-3</v>
      </c>
      <c r="CF120" s="3">
        <f t="shared" si="79"/>
        <v>0.17271856681198378</v>
      </c>
      <c r="CG120" s="3">
        <v>1.5673593137058121E-4</v>
      </c>
      <c r="CH120" s="3">
        <f t="shared" si="72"/>
        <v>0.17254791144933149</v>
      </c>
      <c r="CI120" s="3">
        <v>-6.2793208155547927E-4</v>
      </c>
      <c r="CJ120" s="3">
        <f t="shared" si="73"/>
        <v>8.8744689474384171E-7</v>
      </c>
      <c r="CK120" s="3">
        <f t="shared" si="74"/>
        <v>-9.8419519640065799E-8</v>
      </c>
      <c r="CL120" s="3">
        <f t="shared" si="75"/>
        <v>3.4131072530457773E-4</v>
      </c>
    </row>
    <row r="121" spans="70:90" x14ac:dyDescent="0.2">
      <c r="BR121" s="3">
        <v>15</v>
      </c>
      <c r="BS121" s="3">
        <f t="shared" si="76"/>
        <v>0.17493708652646339</v>
      </c>
      <c r="BT121" s="3">
        <v>-5.6959753998867338E-5</v>
      </c>
      <c r="BU121" s="3">
        <f t="shared" si="77"/>
        <v>0.17510774188911565</v>
      </c>
      <c r="BV121" s="3">
        <v>5.8840136287848432E-4</v>
      </c>
      <c r="BW121" s="3">
        <f t="shared" si="68"/>
        <v>0.17502241420778952</v>
      </c>
      <c r="BX121" s="3">
        <v>2.6580000098656853E-4</v>
      </c>
      <c r="BY121" s="3">
        <f t="shared" si="69"/>
        <v>-1.5139902669093639E-8</v>
      </c>
      <c r="BZ121" s="3">
        <f t="shared" si="70"/>
        <v>1.563970828335994E-7</v>
      </c>
      <c r="CA121" s="3">
        <f t="shared" si="71"/>
        <v>1.7065536265226111E-4</v>
      </c>
      <c r="CC121" s="3">
        <v>15</v>
      </c>
      <c r="CD121" s="3">
        <f t="shared" si="78"/>
        <v>0.17254791144933149</v>
      </c>
      <c r="CE121" s="3">
        <v>-6.2793208155547927E-4</v>
      </c>
      <c r="CF121" s="3">
        <f t="shared" si="79"/>
        <v>0.17271856681198378</v>
      </c>
      <c r="CG121" s="3">
        <v>1.5673593137058121E-4</v>
      </c>
      <c r="CH121" s="3">
        <f t="shared" si="72"/>
        <v>0.17263323913065765</v>
      </c>
      <c r="CI121" s="3">
        <v>-2.3551258105814713E-4</v>
      </c>
      <c r="CJ121" s="3">
        <f t="shared" si="73"/>
        <v>1.4788590525634587E-7</v>
      </c>
      <c r="CK121" s="3">
        <f t="shared" si="74"/>
        <v>-3.6913283741638195E-8</v>
      </c>
      <c r="CL121" s="3">
        <f t="shared" si="75"/>
        <v>1.7065536265228887E-4</v>
      </c>
    </row>
    <row r="122" spans="70:90" x14ac:dyDescent="0.2">
      <c r="BR122" s="3">
        <v>16</v>
      </c>
      <c r="BS122" s="3">
        <f t="shared" si="76"/>
        <v>0.17493708652646339</v>
      </c>
      <c r="BT122" s="3">
        <v>-5.6959753998867338E-5</v>
      </c>
      <c r="BU122" s="3">
        <f t="shared" si="77"/>
        <v>0.17502241420778952</v>
      </c>
      <c r="BV122" s="3">
        <v>2.6580000098656853E-4</v>
      </c>
      <c r="BW122" s="3">
        <f t="shared" si="68"/>
        <v>0.17497975036712646</v>
      </c>
      <c r="BX122" s="3">
        <v>1.0443993603510013E-4</v>
      </c>
      <c r="BY122" s="3">
        <f t="shared" si="69"/>
        <v>-5.9488730642167434E-9</v>
      </c>
      <c r="BZ122" s="3">
        <f t="shared" si="70"/>
        <v>2.7760135101166768E-8</v>
      </c>
      <c r="CA122" s="3">
        <f t="shared" si="71"/>
        <v>8.5327681326130556E-5</v>
      </c>
      <c r="CC122" s="3">
        <v>16</v>
      </c>
      <c r="CD122" s="3">
        <f t="shared" si="78"/>
        <v>0.17263323913065765</v>
      </c>
      <c r="CE122" s="3">
        <v>-2.3551258105814713E-4</v>
      </c>
      <c r="CF122" s="3">
        <f t="shared" si="79"/>
        <v>0.17271856681198378</v>
      </c>
      <c r="CG122" s="3">
        <v>1.5673593137058121E-4</v>
      </c>
      <c r="CH122" s="3">
        <f t="shared" si="72"/>
        <v>0.17267590297132071</v>
      </c>
      <c r="CI122" s="3">
        <v>-3.9366963793316737E-5</v>
      </c>
      <c r="CJ122" s="3">
        <f t="shared" si="73"/>
        <v>9.2714152513866508E-9</v>
      </c>
      <c r="CK122" s="3">
        <f t="shared" si="74"/>
        <v>-6.1702177353774476E-9</v>
      </c>
      <c r="CL122" s="3">
        <f t="shared" si="75"/>
        <v>8.5327681326130556E-5</v>
      </c>
    </row>
    <row r="123" spans="70:90" x14ac:dyDescent="0.2">
      <c r="BR123" s="3">
        <v>17</v>
      </c>
      <c r="BS123" s="3">
        <f t="shared" si="76"/>
        <v>0.17493708652646339</v>
      </c>
      <c r="BT123" s="3">
        <v>-5.6959753998867338E-5</v>
      </c>
      <c r="BU123" s="3">
        <f t="shared" si="77"/>
        <v>0.17497975036712646</v>
      </c>
      <c r="BV123" s="3">
        <v>1.0443993603510013E-4</v>
      </c>
      <c r="BW123" s="3">
        <f t="shared" si="68"/>
        <v>0.17495841844679494</v>
      </c>
      <c r="BX123" s="3">
        <v>2.374504583051943E-5</v>
      </c>
      <c r="BY123" s="3">
        <f t="shared" si="69"/>
        <v>-1.3525119691982174E-9</v>
      </c>
      <c r="BZ123" s="3">
        <f t="shared" si="70"/>
        <v>2.4799310676899705E-9</v>
      </c>
      <c r="CA123" s="3">
        <f t="shared" si="71"/>
        <v>4.2663840663065278E-5</v>
      </c>
      <c r="CC123" s="3">
        <v>17</v>
      </c>
      <c r="CD123" s="3">
        <f t="shared" si="78"/>
        <v>0.17267590297132071</v>
      </c>
      <c r="CE123" s="3">
        <v>-3.9366963793316737E-5</v>
      </c>
      <c r="CF123" s="3">
        <f t="shared" si="79"/>
        <v>0.17271856681198378</v>
      </c>
      <c r="CG123" s="3">
        <v>1.5673593137058121E-4</v>
      </c>
      <c r="CH123" s="3">
        <f t="shared" si="72"/>
        <v>0.17269723489165223</v>
      </c>
      <c r="CI123" s="3">
        <v>5.8689822495101764E-5</v>
      </c>
      <c r="CJ123" s="3">
        <f t="shared" si="73"/>
        <v>-2.3104401172008575E-9</v>
      </c>
      <c r="CK123" s="3">
        <f t="shared" si="74"/>
        <v>9.1988039907438644E-9</v>
      </c>
      <c r="CL123" s="3">
        <f t="shared" si="75"/>
        <v>4.2663840663065278E-5</v>
      </c>
    </row>
    <row r="124" spans="70:90" x14ac:dyDescent="0.2">
      <c r="BR124" s="3">
        <v>18</v>
      </c>
      <c r="BS124" s="3">
        <f t="shared" si="76"/>
        <v>0.17493708652646339</v>
      </c>
      <c r="BT124" s="3">
        <v>-5.6959753998867338E-5</v>
      </c>
      <c r="BU124" s="3">
        <f t="shared" si="77"/>
        <v>0.17495841844679494</v>
      </c>
      <c r="BV124" s="3">
        <v>2.374504583051943E-5</v>
      </c>
      <c r="BW124" s="3">
        <f t="shared" si="68"/>
        <v>0.17494775248662917</v>
      </c>
      <c r="BX124" s="3">
        <v>-1.660611517139603E-5</v>
      </c>
      <c r="BY124" s="3">
        <f t="shared" si="69"/>
        <v>9.4588023503957662E-10</v>
      </c>
      <c r="BZ124" s="3">
        <f t="shared" si="70"/>
        <v>-3.9431296581168274E-10</v>
      </c>
      <c r="CA124" s="3">
        <f t="shared" si="71"/>
        <v>2.1331920331546517E-5</v>
      </c>
      <c r="CC124" s="3">
        <v>18</v>
      </c>
      <c r="CD124" s="3">
        <f t="shared" si="78"/>
        <v>0.17267590297132071</v>
      </c>
      <c r="CE124" s="3">
        <v>-3.9366963793316737E-5</v>
      </c>
      <c r="CF124" s="3">
        <f t="shared" si="79"/>
        <v>0.17269723489165223</v>
      </c>
      <c r="CG124" s="3">
        <v>5.8689822495101764E-5</v>
      </c>
      <c r="CH124" s="3">
        <f t="shared" si="72"/>
        <v>0.17268656893148648</v>
      </c>
      <c r="CI124" s="3">
        <v>9.6627642220121872E-6</v>
      </c>
      <c r="CJ124" s="3">
        <f t="shared" si="73"/>
        <v>-3.8039368927131014E-10</v>
      </c>
      <c r="CK124" s="3">
        <f t="shared" si="74"/>
        <v>5.6710591700191535E-10</v>
      </c>
      <c r="CL124" s="3">
        <f t="shared" si="75"/>
        <v>2.1331920331518761E-5</v>
      </c>
    </row>
    <row r="125" spans="70:90" x14ac:dyDescent="0.2">
      <c r="BR125" s="3">
        <v>19</v>
      </c>
      <c r="BS125" s="3">
        <f t="shared" si="76"/>
        <v>0.17494775248662917</v>
      </c>
      <c r="BT125" s="3">
        <v>-1.660611517139603E-5</v>
      </c>
      <c r="BU125" s="3">
        <f t="shared" si="77"/>
        <v>0.17495841844679494</v>
      </c>
      <c r="BV125" s="3">
        <v>2.374504583051943E-5</v>
      </c>
      <c r="BW125" s="3">
        <f t="shared" si="68"/>
        <v>0.17495308546671207</v>
      </c>
      <c r="BX125" s="3">
        <v>3.5697750316596513E-6</v>
      </c>
      <c r="BY125" s="3">
        <f t="shared" si="69"/>
        <v>-5.9280095311714081E-11</v>
      </c>
      <c r="BZ125" s="3">
        <f t="shared" si="70"/>
        <v>8.4764471731402367E-11</v>
      </c>
      <c r="CA125" s="3">
        <f t="shared" si="71"/>
        <v>1.0665960165773258E-5</v>
      </c>
      <c r="CC125" s="3">
        <v>19</v>
      </c>
      <c r="CD125" s="3">
        <f t="shared" si="78"/>
        <v>0.17267590297132071</v>
      </c>
      <c r="CE125" s="3">
        <v>-3.9366963793316737E-5</v>
      </c>
      <c r="CF125" s="3">
        <f t="shared" si="79"/>
        <v>0.17268656893148648</v>
      </c>
      <c r="CG125" s="3">
        <v>9.6627642220121872E-6</v>
      </c>
      <c r="CH125" s="3">
        <f t="shared" si="72"/>
        <v>0.17268123595140361</v>
      </c>
      <c r="CI125" s="3">
        <v>-1.4851766043432867E-5</v>
      </c>
      <c r="CJ125" s="3">
        <f t="shared" si="73"/>
        <v>5.8466893609863267E-10</v>
      </c>
      <c r="CK125" s="3">
        <f t="shared" si="74"/>
        <v>-1.4350911355817861E-10</v>
      </c>
      <c r="CL125" s="3">
        <f t="shared" si="75"/>
        <v>1.0665960165773258E-5</v>
      </c>
    </row>
    <row r="126" spans="70:90" x14ac:dyDescent="0.2">
      <c r="BR126" s="3">
        <v>20</v>
      </c>
      <c r="BS126" s="3">
        <f t="shared" si="76"/>
        <v>0.17494775248662917</v>
      </c>
      <c r="BT126" s="3">
        <v>-1.660611517139603E-5</v>
      </c>
      <c r="BU126" s="3">
        <f t="shared" si="77"/>
        <v>0.17495308546671207</v>
      </c>
      <c r="BV126" s="3">
        <v>3.5697750316596513E-6</v>
      </c>
      <c r="BW126" s="3">
        <f t="shared" si="68"/>
        <v>0.17495041897667063</v>
      </c>
      <c r="BX126" s="3">
        <v>-6.5180926410710917E-6</v>
      </c>
      <c r="BY126" s="3">
        <f t="shared" si="69"/>
        <v>1.0824019709545548E-10</v>
      </c>
      <c r="BZ126" s="3">
        <f t="shared" si="70"/>
        <v>-2.3268124364140096E-11</v>
      </c>
      <c r="CA126" s="3">
        <f t="shared" si="71"/>
        <v>5.332980082900507E-6</v>
      </c>
      <c r="CC126" s="3">
        <v>20</v>
      </c>
      <c r="CD126" s="3">
        <f t="shared" si="78"/>
        <v>0.17268123595140361</v>
      </c>
      <c r="CE126" s="3">
        <v>-1.4851766043432867E-5</v>
      </c>
      <c r="CF126" s="3">
        <f t="shared" si="79"/>
        <v>0.17268656893148648</v>
      </c>
      <c r="CG126" s="3">
        <v>9.6627642220121872E-6</v>
      </c>
      <c r="CH126" s="3">
        <f t="shared" si="72"/>
        <v>0.17268390244144505</v>
      </c>
      <c r="CI126" s="3">
        <v>-2.5944174782844415E-6</v>
      </c>
      <c r="CJ126" s="3">
        <f t="shared" si="73"/>
        <v>3.8531681406473596E-11</v>
      </c>
      <c r="CK126" s="3">
        <f t="shared" si="74"/>
        <v>-2.5069244386129981E-11</v>
      </c>
      <c r="CL126" s="3">
        <f t="shared" si="75"/>
        <v>5.3329800828727514E-6</v>
      </c>
    </row>
    <row r="127" spans="70:90" x14ac:dyDescent="0.2">
      <c r="BR127" s="3">
        <v>21</v>
      </c>
      <c r="BS127" s="3">
        <f t="shared" si="76"/>
        <v>0.17495041897667063</v>
      </c>
      <c r="BT127" s="3">
        <v>-6.5180926410710917E-6</v>
      </c>
      <c r="BU127" s="3">
        <f t="shared" si="77"/>
        <v>0.17495308546671207</v>
      </c>
      <c r="BV127" s="3">
        <v>3.5697750316596513E-6</v>
      </c>
      <c r="BW127" s="3">
        <f t="shared" si="68"/>
        <v>0.17495175222169135</v>
      </c>
      <c r="BX127" s="3">
        <v>-1.4741394479063537E-6</v>
      </c>
      <c r="BY127" s="3">
        <f t="shared" si="69"/>
        <v>9.6085774873110066E-12</v>
      </c>
      <c r="BZ127" s="3">
        <f t="shared" si="70"/>
        <v>-5.2623461943206445E-12</v>
      </c>
      <c r="CA127" s="3">
        <f t="shared" si="71"/>
        <v>2.6664900414363757E-6</v>
      </c>
      <c r="CC127" s="3">
        <v>21</v>
      </c>
      <c r="CD127" s="3">
        <f t="shared" si="78"/>
        <v>0.17268390244144505</v>
      </c>
      <c r="CE127" s="3">
        <v>-2.5944174782844415E-6</v>
      </c>
      <c r="CF127" s="3">
        <f t="shared" si="79"/>
        <v>0.17268656893148648</v>
      </c>
      <c r="CG127" s="3">
        <v>9.6627642220121872E-6</v>
      </c>
      <c r="CH127" s="3">
        <f t="shared" si="72"/>
        <v>0.17268523568646577</v>
      </c>
      <c r="CI127" s="3">
        <v>3.5341942296778298E-6</v>
      </c>
      <c r="CJ127" s="3">
        <f t="shared" si="73"/>
        <v>-9.1691752811281793E-12</v>
      </c>
      <c r="CK127" s="3">
        <f t="shared" si="74"/>
        <v>3.4150085556172854E-11</v>
      </c>
      <c r="CL127" s="3">
        <f t="shared" si="75"/>
        <v>2.6664900414363757E-6</v>
      </c>
    </row>
    <row r="128" spans="70:90" x14ac:dyDescent="0.2">
      <c r="BR128" s="3">
        <v>22</v>
      </c>
      <c r="BS128" s="3">
        <f t="shared" si="76"/>
        <v>0.17495175222169135</v>
      </c>
      <c r="BT128" s="3">
        <v>-1.4741394479063537E-6</v>
      </c>
      <c r="BU128" s="3">
        <f t="shared" si="77"/>
        <v>0.17495308546671207</v>
      </c>
      <c r="BV128" s="3">
        <v>3.5697750316596513E-6</v>
      </c>
      <c r="BW128" s="3">
        <f t="shared" si="68"/>
        <v>0.17495241884420171</v>
      </c>
      <c r="BX128" s="3">
        <v>1.047822631075352E-6</v>
      </c>
      <c r="BY128" s="3">
        <f t="shared" si="69"/>
        <v>-1.5446366748772023E-12</v>
      </c>
      <c r="BZ128" s="3">
        <f t="shared" si="70"/>
        <v>3.7404910660207143E-12</v>
      </c>
      <c r="CA128" s="3">
        <f t="shared" si="71"/>
        <v>1.3332450207181878E-6</v>
      </c>
      <c r="CC128" s="3">
        <v>22</v>
      </c>
      <c r="CD128" s="3">
        <f t="shared" si="78"/>
        <v>0.17268390244144505</v>
      </c>
      <c r="CE128" s="3">
        <v>-2.5944174782844415E-6</v>
      </c>
      <c r="CF128" s="3">
        <f t="shared" si="79"/>
        <v>0.17268523568646577</v>
      </c>
      <c r="CG128" s="3">
        <v>3.5341942296778298E-6</v>
      </c>
      <c r="CH128" s="3">
        <f t="shared" si="72"/>
        <v>0.17268456906395541</v>
      </c>
      <c r="CI128" s="3">
        <v>4.6989359022602331E-7</v>
      </c>
      <c r="CJ128" s="3">
        <f t="shared" si="73"/>
        <v>-1.2191001434162221E-12</v>
      </c>
      <c r="CK128" s="3">
        <f t="shared" si="74"/>
        <v>1.6606952151394102E-12</v>
      </c>
      <c r="CL128" s="3">
        <f t="shared" si="75"/>
        <v>1.3332450207181878E-6</v>
      </c>
    </row>
    <row r="129" spans="70:90" x14ac:dyDescent="0.2">
      <c r="BR129" s="3">
        <v>23</v>
      </c>
      <c r="BS129" s="3">
        <f t="shared" si="76"/>
        <v>0.17495175222169135</v>
      </c>
      <c r="BT129" s="3">
        <v>-1.4741394479063537E-6</v>
      </c>
      <c r="BU129" s="3">
        <f t="shared" si="77"/>
        <v>0.17495241884420171</v>
      </c>
      <c r="BV129" s="3">
        <v>1.047822631075352E-6</v>
      </c>
      <c r="BW129" s="3">
        <f t="shared" si="68"/>
        <v>0.17495208553294653</v>
      </c>
      <c r="BX129" s="3">
        <v>-2.1315719870088068E-7</v>
      </c>
      <c r="BY129" s="3">
        <f t="shared" si="69"/>
        <v>3.1422343521018116E-13</v>
      </c>
      <c r="BZ129" s="3">
        <f t="shared" si="70"/>
        <v>-2.233509367754084E-13</v>
      </c>
      <c r="CA129" s="3">
        <f t="shared" si="71"/>
        <v>6.6662251035909392E-7</v>
      </c>
      <c r="CC129" s="3">
        <v>23</v>
      </c>
      <c r="CD129" s="3">
        <f t="shared" si="78"/>
        <v>0.17268390244144505</v>
      </c>
      <c r="CE129" s="3">
        <v>-2.5944174782844415E-6</v>
      </c>
      <c r="CF129" s="3">
        <f t="shared" si="79"/>
        <v>0.17268456906395541</v>
      </c>
      <c r="CG129" s="3">
        <v>4.6989359022602331E-7</v>
      </c>
      <c r="CH129" s="3">
        <f t="shared" si="72"/>
        <v>0.17268423575270023</v>
      </c>
      <c r="CI129" s="3">
        <v>-1.0622606403934073E-6</v>
      </c>
      <c r="CJ129" s="3">
        <f t="shared" si="73"/>
        <v>2.7559475719302798E-12</v>
      </c>
      <c r="CK129" s="3">
        <f t="shared" si="74"/>
        <v>-4.9914946607025283E-13</v>
      </c>
      <c r="CL129" s="3">
        <f t="shared" si="75"/>
        <v>6.6662251035909392E-7</v>
      </c>
    </row>
    <row r="130" spans="70:90" x14ac:dyDescent="0.2">
      <c r="BR130" s="3">
        <v>24</v>
      </c>
      <c r="BS130" s="3">
        <f t="shared" si="76"/>
        <v>0.17495208553294653</v>
      </c>
      <c r="BT130" s="3">
        <v>-2.1315719870088068E-7</v>
      </c>
      <c r="BU130" s="3">
        <f t="shared" si="77"/>
        <v>0.17495241884420171</v>
      </c>
      <c r="BV130" s="3">
        <v>1.047822631075352E-6</v>
      </c>
      <c r="BW130" s="3">
        <f t="shared" si="68"/>
        <v>0.17495225218857413</v>
      </c>
      <c r="BX130" s="3">
        <v>4.1733301866598085E-7</v>
      </c>
      <c r="BY130" s="3">
        <f t="shared" si="69"/>
        <v>-8.8957537184222828E-14</v>
      </c>
      <c r="BZ130" s="3">
        <f t="shared" si="70"/>
        <v>4.3729098165320704E-13</v>
      </c>
      <c r="CA130" s="3">
        <f t="shared" si="71"/>
        <v>3.3331125517954696E-7</v>
      </c>
      <c r="CC130" s="3">
        <v>24</v>
      </c>
      <c r="CD130" s="3">
        <f t="shared" si="78"/>
        <v>0.17268423575270023</v>
      </c>
      <c r="CE130" s="3">
        <v>-1.0622606403934073E-6</v>
      </c>
      <c r="CF130" s="3">
        <f t="shared" si="79"/>
        <v>0.17268456906395541</v>
      </c>
      <c r="CG130" s="3">
        <v>4.6989359022602331E-7</v>
      </c>
      <c r="CH130" s="3">
        <f t="shared" si="72"/>
        <v>0.17268440240832783</v>
      </c>
      <c r="CI130" s="3">
        <v>-2.9618319911202048E-7</v>
      </c>
      <c r="CJ130" s="3">
        <f t="shared" si="73"/>
        <v>3.1462375476250295E-13</v>
      </c>
      <c r="CK130" s="3">
        <f t="shared" si="74"/>
        <v>-1.3917458679537641E-13</v>
      </c>
      <c r="CL130" s="3">
        <f t="shared" si="75"/>
        <v>3.3331125517954696E-7</v>
      </c>
    </row>
    <row r="131" spans="70:90" x14ac:dyDescent="0.2">
      <c r="BR131" s="3">
        <v>25</v>
      </c>
      <c r="BS131" s="3">
        <f t="shared" si="76"/>
        <v>0.17495208553294653</v>
      </c>
      <c r="BT131" s="3">
        <v>-2.1315719870088068E-7</v>
      </c>
      <c r="BU131" s="3">
        <f t="shared" si="77"/>
        <v>0.17495225218857413</v>
      </c>
      <c r="BV131" s="3">
        <v>4.1733301866598085E-7</v>
      </c>
      <c r="BW131" s="3">
        <f t="shared" si="68"/>
        <v>0.17495216886076032</v>
      </c>
      <c r="BX131" s="3">
        <v>1.0208798561974625E-7</v>
      </c>
      <c r="BY131" s="3">
        <f t="shared" si="69"/>
        <v>-2.17607890357209E-14</v>
      </c>
      <c r="BZ131" s="3">
        <f t="shared" si="70"/>
        <v>4.2604687208217947E-14</v>
      </c>
      <c r="CA131" s="3">
        <f t="shared" si="71"/>
        <v>1.6665562760365127E-7</v>
      </c>
      <c r="CC131" s="3">
        <v>25</v>
      </c>
      <c r="CD131" s="3">
        <f t="shared" si="78"/>
        <v>0.17268440240832783</v>
      </c>
      <c r="CE131" s="3">
        <v>-2.9618319911202048E-7</v>
      </c>
      <c r="CF131" s="3">
        <f t="shared" si="79"/>
        <v>0.17268456906395541</v>
      </c>
      <c r="CG131" s="3">
        <v>4.6989359022602331E-7</v>
      </c>
      <c r="CH131" s="3">
        <f t="shared" si="72"/>
        <v>0.17268448573614162</v>
      </c>
      <c r="CI131" s="3">
        <v>8.6855276969742545E-8</v>
      </c>
      <c r="CJ131" s="3">
        <f t="shared" si="73"/>
        <v>-2.5725073792658944E-14</v>
      </c>
      <c r="CK131" s="3">
        <f t="shared" si="74"/>
        <v>4.0812737925387962E-14</v>
      </c>
      <c r="CL131" s="3">
        <f t="shared" si="75"/>
        <v>1.6665562757589569E-7</v>
      </c>
    </row>
    <row r="132" spans="70:90" x14ac:dyDescent="0.2">
      <c r="BR132" s="3">
        <v>26</v>
      </c>
      <c r="BS132" s="3">
        <f t="shared" si="76"/>
        <v>0.17495208553294653</v>
      </c>
      <c r="BT132" s="3">
        <v>-2.1315719870088068E-7</v>
      </c>
      <c r="BU132" s="3">
        <f t="shared" si="77"/>
        <v>0.17495216886076032</v>
      </c>
      <c r="BV132" s="3">
        <v>1.0208798561974625E-7</v>
      </c>
      <c r="BW132" s="3">
        <f t="shared" si="68"/>
        <v>0.17495212719685344</v>
      </c>
      <c r="BX132" s="3">
        <v>-5.5534587575269134E-8</v>
      </c>
      <c r="BY132" s="3">
        <f t="shared" si="69"/>
        <v>1.1837597118553102E-14</v>
      </c>
      <c r="BZ132" s="3">
        <f t="shared" si="70"/>
        <v>-5.6694141777826138E-15</v>
      </c>
      <c r="CA132" s="3">
        <f t="shared" si="71"/>
        <v>8.3327813787947846E-8</v>
      </c>
      <c r="CC132" s="3">
        <v>26</v>
      </c>
      <c r="CD132" s="3">
        <f t="shared" si="78"/>
        <v>0.17268440240832783</v>
      </c>
      <c r="CE132" s="3">
        <v>-2.9618319911202048E-7</v>
      </c>
      <c r="CF132" s="3">
        <f t="shared" si="79"/>
        <v>0.17268448573614162</v>
      </c>
      <c r="CG132" s="3">
        <v>8.6855276969742545E-8</v>
      </c>
      <c r="CH132" s="3">
        <f t="shared" si="72"/>
        <v>0.17268444407223471</v>
      </c>
      <c r="CI132" s="3">
        <v>-1.0466394072695256E-7</v>
      </c>
      <c r="CJ132" s="3">
        <f t="shared" si="73"/>
        <v>3.0999700796179702E-14</v>
      </c>
      <c r="CK132" s="3">
        <f t="shared" si="74"/>
        <v>-9.0906155605841817E-15</v>
      </c>
      <c r="CL132" s="3">
        <f t="shared" si="75"/>
        <v>8.3327813787947846E-8</v>
      </c>
    </row>
    <row r="133" spans="70:90" x14ac:dyDescent="0.2">
      <c r="BR133" s="3">
        <v>27</v>
      </c>
      <c r="BS133" s="3">
        <f t="shared" si="76"/>
        <v>0.17495212719685344</v>
      </c>
      <c r="BT133" s="3">
        <v>-5.5534587575269134E-8</v>
      </c>
      <c r="BU133" s="3">
        <f t="shared" si="77"/>
        <v>0.17495216886076032</v>
      </c>
      <c r="BV133" s="3">
        <v>1.0208798561974625E-7</v>
      </c>
      <c r="BW133" s="3">
        <f t="shared" si="68"/>
        <v>0.17495214802880688</v>
      </c>
      <c r="BX133" s="3">
        <v>2.3276703758467326E-8</v>
      </c>
      <c r="BY133" s="3">
        <f t="shared" si="69"/>
        <v>-1.2926621433382E-15</v>
      </c>
      <c r="BZ133" s="3">
        <f t="shared" si="70"/>
        <v>2.376271798569506E-15</v>
      </c>
      <c r="CA133" s="3">
        <f t="shared" si="71"/>
        <v>4.1663906880096135E-8</v>
      </c>
      <c r="CC133" s="3">
        <v>27</v>
      </c>
      <c r="CD133" s="3">
        <f t="shared" si="78"/>
        <v>0.17268444407223471</v>
      </c>
      <c r="CE133" s="3">
        <v>-1.0466394072695256E-7</v>
      </c>
      <c r="CF133" s="3">
        <f t="shared" si="79"/>
        <v>0.17268448573614162</v>
      </c>
      <c r="CG133" s="3">
        <v>8.6855276969742545E-8</v>
      </c>
      <c r="CH133" s="3">
        <f t="shared" si="72"/>
        <v>0.17268446490418815</v>
      </c>
      <c r="CI133" s="3">
        <v>-8.9043268669888875E-9</v>
      </c>
      <c r="CJ133" s="3">
        <f t="shared" si="73"/>
        <v>9.3196193941993609E-16</v>
      </c>
      <c r="CK133" s="3">
        <f t="shared" si="74"/>
        <v>-7.733877762614397E-16</v>
      </c>
      <c r="CL133" s="3">
        <f t="shared" si="75"/>
        <v>4.1663906907851711E-8</v>
      </c>
    </row>
    <row r="134" spans="70:90" x14ac:dyDescent="0.2">
      <c r="BR134" s="3">
        <v>28</v>
      </c>
      <c r="BS134" s="3">
        <f t="shared" si="76"/>
        <v>0.17495212719685344</v>
      </c>
      <c r="BT134" s="3">
        <v>-5.5534587575269134E-8</v>
      </c>
      <c r="BU134" s="3">
        <f t="shared" si="77"/>
        <v>0.17495214802880688</v>
      </c>
      <c r="BV134" s="3">
        <v>2.3276703758467326E-8</v>
      </c>
      <c r="BW134" s="3">
        <f t="shared" si="68"/>
        <v>0.17495213761283016</v>
      </c>
      <c r="BX134" s="3">
        <v>-1.6128940761965527E-8</v>
      </c>
      <c r="BY134" s="3">
        <f t="shared" si="69"/>
        <v>8.9571407324170257E-16</v>
      </c>
      <c r="BZ134" s="3">
        <f t="shared" si="70"/>
        <v>-3.7542857605413982E-16</v>
      </c>
      <c r="CA134" s="3">
        <f t="shared" si="71"/>
        <v>2.0831953440048068E-8</v>
      </c>
      <c r="CC134" s="3">
        <v>28</v>
      </c>
      <c r="CD134" s="3">
        <f t="shared" si="78"/>
        <v>0.17268446490418815</v>
      </c>
      <c r="CE134" s="3">
        <v>-8.9043268669888875E-9</v>
      </c>
      <c r="CF134" s="3">
        <f t="shared" si="79"/>
        <v>0.17268448573614162</v>
      </c>
      <c r="CG134" s="3">
        <v>8.6855276969742545E-8</v>
      </c>
      <c r="CH134" s="3">
        <f t="shared" si="72"/>
        <v>0.1726844753201649</v>
      </c>
      <c r="CI134" s="3">
        <v>3.8975476378440288E-8</v>
      </c>
      <c r="CJ134" s="3">
        <f t="shared" si="73"/>
        <v>-3.4705038147023662E-16</v>
      </c>
      <c r="CK134" s="3">
        <f t="shared" si="74"/>
        <v>3.3852257958770894E-15</v>
      </c>
      <c r="CL134" s="3">
        <f t="shared" si="75"/>
        <v>2.0831953467803643E-8</v>
      </c>
    </row>
    <row r="135" spans="70:90" x14ac:dyDescent="0.2">
      <c r="BR135" s="3">
        <v>29</v>
      </c>
      <c r="BS135" s="3">
        <f t="shared" si="76"/>
        <v>0.17495213761283016</v>
      </c>
      <c r="BT135" s="3">
        <v>-1.6128940761965527E-8</v>
      </c>
      <c r="BU135" s="3">
        <f t="shared" si="77"/>
        <v>0.17495214802880688</v>
      </c>
      <c r="BV135" s="3">
        <v>2.3276703758467326E-8</v>
      </c>
      <c r="BW135" s="3">
        <f t="shared" si="68"/>
        <v>0.1749521428208185</v>
      </c>
      <c r="BX135" s="3">
        <v>3.5738816741084922E-9</v>
      </c>
      <c r="BY135" s="3">
        <f t="shared" si="69"/>
        <v>-5.7642925811970057E-17</v>
      </c>
      <c r="BZ135" s="3">
        <f t="shared" si="70"/>
        <v>8.3188184996038645E-17</v>
      </c>
      <c r="CA135" s="3">
        <f t="shared" si="71"/>
        <v>1.0415976720024034E-8</v>
      </c>
      <c r="CC135" s="3">
        <v>29</v>
      </c>
      <c r="CD135" s="3">
        <f t="shared" si="78"/>
        <v>0.17268446490418815</v>
      </c>
      <c r="CE135" s="3">
        <v>-8.9043268669888875E-9</v>
      </c>
      <c r="CF135" s="3">
        <f t="shared" si="79"/>
        <v>0.1726844753201649</v>
      </c>
      <c r="CG135" s="3">
        <v>3.8975476378440288E-8</v>
      </c>
      <c r="CH135" s="3">
        <f t="shared" si="72"/>
        <v>0.17268447011217652</v>
      </c>
      <c r="CI135" s="3">
        <v>1.5035575087925246E-8</v>
      </c>
      <c r="CJ135" s="3">
        <f t="shared" si="73"/>
        <v>-1.3388167521604158E-16</v>
      </c>
      <c r="CK135" s="3">
        <f t="shared" si="74"/>
        <v>5.8601870167569571E-16</v>
      </c>
      <c r="CL135" s="3">
        <f t="shared" si="75"/>
        <v>1.0415976747779609E-8</v>
      </c>
    </row>
    <row r="136" spans="70:90" x14ac:dyDescent="0.2">
      <c r="BR136" s="3">
        <v>30</v>
      </c>
      <c r="BS136" s="3">
        <f t="shared" si="76"/>
        <v>0.17495213761283016</v>
      </c>
      <c r="BT136" s="3">
        <v>-1.6128940761965527E-8</v>
      </c>
      <c r="BU136" s="3">
        <f t="shared" si="77"/>
        <v>0.1749521428208185</v>
      </c>
      <c r="BV136" s="3">
        <v>3.5738816741084922E-9</v>
      </c>
      <c r="BW136" s="6">
        <f t="shared" si="68"/>
        <v>0.17495214021682431</v>
      </c>
      <c r="BX136" s="3">
        <v>-6.2775295144382182E-9</v>
      </c>
      <c r="BY136" s="3">
        <f t="shared" si="69"/>
        <v>1.0124990166986424E-16</v>
      </c>
      <c r="BZ136" s="3">
        <f t="shared" si="70"/>
        <v>-2.2435147690325931E-17</v>
      </c>
      <c r="CA136" s="3">
        <f t="shared" si="71"/>
        <v>5.2079883461342291E-9</v>
      </c>
      <c r="CC136" s="3">
        <v>30</v>
      </c>
      <c r="CD136" s="3">
        <f t="shared" si="78"/>
        <v>0.17268446490418815</v>
      </c>
      <c r="CE136" s="3">
        <v>-8.9043268669888875E-9</v>
      </c>
      <c r="CF136" s="3">
        <f t="shared" si="79"/>
        <v>0.17268447011217652</v>
      </c>
      <c r="CG136" s="3">
        <v>1.5035575087925246E-8</v>
      </c>
      <c r="CH136" s="6">
        <f t="shared" si="72"/>
        <v>0.17268446750818234</v>
      </c>
      <c r="CI136" s="3">
        <v>3.0656242249599286E-9</v>
      </c>
      <c r="CJ136" s="3">
        <f t="shared" si="73"/>
        <v>-2.7297320150402676E-17</v>
      </c>
      <c r="CK136" s="3">
        <f t="shared" si="74"/>
        <v>4.6093423225747639E-17</v>
      </c>
      <c r="CL136" s="3">
        <f t="shared" si="75"/>
        <v>5.2079883738898047E-9</v>
      </c>
    </row>
  </sheetData>
  <mergeCells count="110">
    <mergeCell ref="B1:D1"/>
    <mergeCell ref="B3:D3"/>
    <mergeCell ref="F8:H8"/>
    <mergeCell ref="J3:L3"/>
    <mergeCell ref="N3:P3"/>
    <mergeCell ref="F3:H3"/>
    <mergeCell ref="F20:H20"/>
    <mergeCell ref="R3:T3"/>
    <mergeCell ref="F38:H38"/>
    <mergeCell ref="B28:D28"/>
    <mergeCell ref="B34:D34"/>
    <mergeCell ref="R18:T18"/>
    <mergeCell ref="J10:L10"/>
    <mergeCell ref="B17:D17"/>
    <mergeCell ref="N18:P18"/>
    <mergeCell ref="O33:P33"/>
    <mergeCell ref="Q33:R33"/>
    <mergeCell ref="AT7:AV7"/>
    <mergeCell ref="AT2:AV2"/>
    <mergeCell ref="AX2:AZ2"/>
    <mergeCell ref="BB2:BH2"/>
    <mergeCell ref="AX9:AZ9"/>
    <mergeCell ref="B48:D48"/>
    <mergeCell ref="B53:D53"/>
    <mergeCell ref="B59:D59"/>
    <mergeCell ref="B22:D22"/>
    <mergeCell ref="BF30:BH30"/>
    <mergeCell ref="AT35:AT42"/>
    <mergeCell ref="F45:H45"/>
    <mergeCell ref="F57:H57"/>
    <mergeCell ref="F25:H25"/>
    <mergeCell ref="B39:D39"/>
    <mergeCell ref="AY42:BA42"/>
    <mergeCell ref="BB42:BE42"/>
    <mergeCell ref="BF42:BH42"/>
    <mergeCell ref="AT27:AT34"/>
    <mergeCell ref="AY30:AZ30"/>
    <mergeCell ref="BB30:BD30"/>
    <mergeCell ref="AT19:AT26"/>
    <mergeCell ref="BB21:BD21"/>
    <mergeCell ref="BF21:BH21"/>
    <mergeCell ref="AT11:AT18"/>
    <mergeCell ref="BB12:BD12"/>
    <mergeCell ref="BF12:BH12"/>
    <mergeCell ref="BN22:BP22"/>
    <mergeCell ref="AX23:AX29"/>
    <mergeCell ref="AY23:AZ23"/>
    <mergeCell ref="AY24:AZ24"/>
    <mergeCell ref="AY25:AZ25"/>
    <mergeCell ref="AY26:AZ26"/>
    <mergeCell ref="BJ22:BL22"/>
    <mergeCell ref="AY27:AZ27"/>
    <mergeCell ref="AY28:AZ28"/>
    <mergeCell ref="AY29:AZ29"/>
    <mergeCell ref="BR36:CA36"/>
    <mergeCell ref="CC36:CL36"/>
    <mergeCell ref="AY41:AZ41"/>
    <mergeCell ref="BJ41:BL41"/>
    <mergeCell ref="BN41:BP41"/>
    <mergeCell ref="CC2:CL2"/>
    <mergeCell ref="BB3:BD3"/>
    <mergeCell ref="BF3:BH3"/>
    <mergeCell ref="BJ3:BL3"/>
    <mergeCell ref="BN3:BP3"/>
    <mergeCell ref="BJ2:BP2"/>
    <mergeCell ref="BR2:CA2"/>
    <mergeCell ref="AX14:AZ14"/>
    <mergeCell ref="AX22:AZ22"/>
    <mergeCell ref="BR104:CA104"/>
    <mergeCell ref="CC104:CL104"/>
    <mergeCell ref="B64:D64"/>
    <mergeCell ref="AI47:AL47"/>
    <mergeCell ref="BB43:BC43"/>
    <mergeCell ref="AT44:AV44"/>
    <mergeCell ref="BJ60:BL60"/>
    <mergeCell ref="BN60:BP60"/>
    <mergeCell ref="BR70:CA70"/>
    <mergeCell ref="CC70:CL70"/>
    <mergeCell ref="B82:D82"/>
    <mergeCell ref="B70:D70"/>
    <mergeCell ref="B76:D76"/>
    <mergeCell ref="J43:L43"/>
    <mergeCell ref="B45:D45"/>
    <mergeCell ref="F50:H50"/>
    <mergeCell ref="AX53:AX55"/>
    <mergeCell ref="AY55:BA55"/>
    <mergeCell ref="BB55:BD55"/>
    <mergeCell ref="BE55:BG55"/>
    <mergeCell ref="AY47:AZ47"/>
    <mergeCell ref="AY48:BA48"/>
    <mergeCell ref="BB48:BD48"/>
    <mergeCell ref="BE48:BG48"/>
    <mergeCell ref="AX50:AX52"/>
    <mergeCell ref="AY52:BA52"/>
    <mergeCell ref="BB52:BD52"/>
    <mergeCell ref="BE52:BG52"/>
    <mergeCell ref="O39:P39"/>
    <mergeCell ref="Q39:R39"/>
    <mergeCell ref="O40:P40"/>
    <mergeCell ref="Q40:R40"/>
    <mergeCell ref="O34:P34"/>
    <mergeCell ref="Q34:R34"/>
    <mergeCell ref="O35:P35"/>
    <mergeCell ref="Q35:R35"/>
    <mergeCell ref="O36:P36"/>
    <mergeCell ref="Q36:R36"/>
    <mergeCell ref="O37:P37"/>
    <mergeCell ref="Q37:R37"/>
    <mergeCell ref="O38:P38"/>
    <mergeCell ref="Q38:R38"/>
  </mergeCells>
  <conditionalFormatting sqref="G17">
    <cfRule type="containsText" dxfId="11" priority="1" operator="containsText" text="FALSE">
      <formula>NOT(ISERROR(SEARCH("FALSE",G17)))</formula>
    </cfRule>
    <cfRule type="containsText" dxfId="10" priority="2" operator="containsText" text="TRUE">
      <formula>NOT(ISERROR(SEARCH("TRUE",G17)))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NOT(ISERROR(SEARCH("YES",G17)))</formula>
    </cfRule>
    <cfRule type="cellIs" dxfId="6" priority="6" operator="equal">
      <formula>"""YES"""</formula>
    </cfRule>
  </conditionalFormatting>
  <conditionalFormatting sqref="K33">
    <cfRule type="containsText" dxfId="5" priority="7" operator="containsText" text="FALSE">
      <formula>NOT(ISERROR(SEARCH("FALSE",K33)))</formula>
    </cfRule>
    <cfRule type="containsText" dxfId="4" priority="8" operator="containsText" text="TRUE">
      <formula>NOT(ISERROR(SEARCH("TRUE",K33)))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NOT(ISERROR(SEARCH("YES",K33)))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2025-02-18T08:20:36Z</dcterms:modified>
</cp:coreProperties>
</file>