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1_optimizations_of_ref_vehicle/liftcruise/"/>
    </mc:Choice>
  </mc:AlternateContent>
  <xr:revisionPtr revIDLastSave="0" documentId="13_ncr:1_{EDCF4274-B4AC-A04D-9CFD-094D238FC5A1}" xr6:coauthVersionLast="47" xr6:coauthVersionMax="47" xr10:uidLastSave="{00000000-0000-0000-0000-000000000000}"/>
  <bookViews>
    <workbookView xWindow="15320" yWindow="740" windowWidth="14920" windowHeight="18900" activeTab="3" xr2:uid="{843CD013-835A-1741-B375-CD508AE79BD2}"/>
  </bookViews>
  <sheets>
    <sheet name="liftcruise_ref" sheetId="12" r:id="rId1"/>
    <sheet name="liftcruise_opt_weight" sheetId="16" r:id="rId2"/>
    <sheet name="liftcruise_opt_energy" sheetId="17" r:id="rId3"/>
    <sheet name="liftcruise_opt_time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7" l="1"/>
  <c r="C7" i="16"/>
  <c r="C7" i="18"/>
  <c r="C56" i="18"/>
  <c r="C55" i="18"/>
  <c r="C51" i="18"/>
  <c r="C50" i="18"/>
  <c r="AN44" i="18"/>
  <c r="AM44" i="18"/>
  <c r="AN43" i="18"/>
  <c r="AM43" i="18"/>
  <c r="AN42" i="18"/>
  <c r="AM42" i="18"/>
  <c r="AN41" i="18"/>
  <c r="AM41" i="18"/>
  <c r="C41" i="18"/>
  <c r="K21" i="18" s="1"/>
  <c r="AN40" i="18"/>
  <c r="AM40" i="18"/>
  <c r="AN39" i="18"/>
  <c r="AM39" i="18"/>
  <c r="AN38" i="18"/>
  <c r="AM38" i="18"/>
  <c r="AN37" i="18"/>
  <c r="AM37" i="18"/>
  <c r="AN36" i="18"/>
  <c r="AM36" i="18"/>
  <c r="AN35" i="18"/>
  <c r="AM35" i="18"/>
  <c r="AN34" i="18"/>
  <c r="AM34" i="18"/>
  <c r="AN33" i="18"/>
  <c r="AM33" i="18"/>
  <c r="AN32" i="18"/>
  <c r="AM32" i="18"/>
  <c r="G32" i="18"/>
  <c r="AN31" i="18"/>
  <c r="AM31" i="18"/>
  <c r="AN30" i="18"/>
  <c r="AM30" i="18"/>
  <c r="AN29" i="18"/>
  <c r="AM29" i="18"/>
  <c r="K29" i="18"/>
  <c r="G29" i="18"/>
  <c r="G27" i="18" s="1"/>
  <c r="AN28" i="18"/>
  <c r="AM28" i="18"/>
  <c r="K28" i="18"/>
  <c r="AN27" i="18"/>
  <c r="AM27" i="18"/>
  <c r="K27" i="18"/>
  <c r="AN26" i="18"/>
  <c r="AM26" i="18"/>
  <c r="K26" i="18"/>
  <c r="G26" i="18"/>
  <c r="AN25" i="18"/>
  <c r="AM25" i="18"/>
  <c r="AN24" i="18"/>
  <c r="AM24" i="18"/>
  <c r="K24" i="18"/>
  <c r="G24" i="18"/>
  <c r="G25" i="18" s="1"/>
  <c r="AN23" i="18"/>
  <c r="AM23" i="18"/>
  <c r="K23" i="18"/>
  <c r="G23" i="18"/>
  <c r="C23" i="18"/>
  <c r="AN22" i="18"/>
  <c r="AM22" i="18"/>
  <c r="K22" i="18"/>
  <c r="AN21" i="18"/>
  <c r="AM21" i="18"/>
  <c r="O21" i="18"/>
  <c r="G14" i="18" s="1"/>
  <c r="G15" i="18" s="1"/>
  <c r="AN20" i="18"/>
  <c r="AM20" i="18"/>
  <c r="K20" i="18"/>
  <c r="AN19" i="18"/>
  <c r="AM19" i="18"/>
  <c r="O19" i="18"/>
  <c r="AN18" i="18"/>
  <c r="AM18" i="18"/>
  <c r="AN17" i="18"/>
  <c r="AM17" i="18"/>
  <c r="C17" i="18"/>
  <c r="AN16" i="18"/>
  <c r="AM16" i="18"/>
  <c r="C16" i="18"/>
  <c r="AN15" i="18"/>
  <c r="AM15" i="18"/>
  <c r="AN14" i="18"/>
  <c r="AM14" i="18"/>
  <c r="K14" i="18"/>
  <c r="AN13" i="18"/>
  <c r="AM13" i="18"/>
  <c r="AN12" i="18"/>
  <c r="AM12" i="18"/>
  <c r="AN11" i="18"/>
  <c r="AM11" i="18"/>
  <c r="O11" i="18"/>
  <c r="C11" i="18"/>
  <c r="C30" i="18" s="1"/>
  <c r="AN10" i="18"/>
  <c r="AM10" i="18"/>
  <c r="AN9" i="18"/>
  <c r="AM9" i="18"/>
  <c r="O9" i="18"/>
  <c r="C9" i="18"/>
  <c r="AN8" i="18"/>
  <c r="AM8" i="18"/>
  <c r="AN7" i="18"/>
  <c r="AM7" i="18"/>
  <c r="G7" i="18"/>
  <c r="G13" i="18"/>
  <c r="AN6" i="18"/>
  <c r="AM6" i="18"/>
  <c r="O6" i="18"/>
  <c r="AO5" i="18"/>
  <c r="AN5" i="18"/>
  <c r="AM5" i="18"/>
  <c r="AK5" i="18"/>
  <c r="O5" i="18"/>
  <c r="G5" i="18"/>
  <c r="G6" i="18" s="1"/>
  <c r="K11" i="18" s="1"/>
  <c r="AD4" i="18"/>
  <c r="Z4" i="18"/>
  <c r="O4" i="18"/>
  <c r="G4" i="18"/>
  <c r="G10" i="18" s="1"/>
  <c r="C56" i="17"/>
  <c r="C55" i="17"/>
  <c r="C51" i="17"/>
  <c r="C50" i="17"/>
  <c r="AN44" i="17"/>
  <c r="AM44" i="17"/>
  <c r="AN43" i="17"/>
  <c r="AM43" i="17"/>
  <c r="AN42" i="17"/>
  <c r="AM42" i="17"/>
  <c r="AN41" i="17"/>
  <c r="AM41" i="17"/>
  <c r="C41" i="17"/>
  <c r="K21" i="17" s="1"/>
  <c r="AN40" i="17"/>
  <c r="AM40" i="17"/>
  <c r="AN39" i="17"/>
  <c r="AM39" i="17"/>
  <c r="AN38" i="17"/>
  <c r="AM38" i="17"/>
  <c r="AN37" i="17"/>
  <c r="AM37" i="17"/>
  <c r="AN36" i="17"/>
  <c r="AM36" i="17"/>
  <c r="AN35" i="17"/>
  <c r="AM35" i="17"/>
  <c r="AN34" i="17"/>
  <c r="AM34" i="17"/>
  <c r="AN33" i="17"/>
  <c r="AM33" i="17"/>
  <c r="AN32" i="17"/>
  <c r="AM32" i="17"/>
  <c r="G32" i="17"/>
  <c r="AN31" i="17"/>
  <c r="AM31" i="17"/>
  <c r="AN30" i="17"/>
  <c r="AM30" i="17"/>
  <c r="AN29" i="17"/>
  <c r="AM29" i="17"/>
  <c r="K29" i="17"/>
  <c r="G29" i="17"/>
  <c r="G27" i="17" s="1"/>
  <c r="AN28" i="17"/>
  <c r="AM28" i="17"/>
  <c r="K28" i="17"/>
  <c r="AN27" i="17"/>
  <c r="AM27" i="17"/>
  <c r="K27" i="17"/>
  <c r="AN26" i="17"/>
  <c r="AM26" i="17"/>
  <c r="K26" i="17"/>
  <c r="G26" i="17"/>
  <c r="AN25" i="17"/>
  <c r="AM25" i="17"/>
  <c r="G25" i="17"/>
  <c r="AN24" i="17"/>
  <c r="AM24" i="17"/>
  <c r="K24" i="17"/>
  <c r="G24" i="17"/>
  <c r="AN23" i="17"/>
  <c r="AM23" i="17"/>
  <c r="K23" i="17"/>
  <c r="G23" i="17"/>
  <c r="C23" i="17"/>
  <c r="AN22" i="17"/>
  <c r="AM22" i="17"/>
  <c r="K22" i="17"/>
  <c r="AN21" i="17"/>
  <c r="AM21" i="17"/>
  <c r="O21" i="17"/>
  <c r="G14" i="17" s="1"/>
  <c r="G15" i="17" s="1"/>
  <c r="AN20" i="17"/>
  <c r="AM20" i="17"/>
  <c r="K20" i="17"/>
  <c r="AN19" i="17"/>
  <c r="AM19" i="17"/>
  <c r="O19" i="17"/>
  <c r="AN18" i="17"/>
  <c r="AM18" i="17"/>
  <c r="AN17" i="17"/>
  <c r="AM17" i="17"/>
  <c r="C17" i="17"/>
  <c r="AN16" i="17"/>
  <c r="AM16" i="17"/>
  <c r="C16" i="17"/>
  <c r="AN15" i="17"/>
  <c r="AM15" i="17"/>
  <c r="AN14" i="17"/>
  <c r="AM14" i="17"/>
  <c r="K14" i="17"/>
  <c r="AN13" i="17"/>
  <c r="AM13" i="17"/>
  <c r="AN12" i="17"/>
  <c r="AM12" i="17"/>
  <c r="AN11" i="17"/>
  <c r="AM11" i="17"/>
  <c r="O11" i="17"/>
  <c r="C11" i="17"/>
  <c r="C30" i="17" s="1"/>
  <c r="AN10" i="17"/>
  <c r="AM10" i="17"/>
  <c r="AN9" i="17"/>
  <c r="AM9" i="17"/>
  <c r="O9" i="17"/>
  <c r="C9" i="17"/>
  <c r="AN8" i="17"/>
  <c r="AM8" i="17"/>
  <c r="AN7" i="17"/>
  <c r="AM7" i="17"/>
  <c r="G7" i="17"/>
  <c r="AN6" i="17"/>
  <c r="AM6" i="17"/>
  <c r="O6" i="17"/>
  <c r="AO5" i="17"/>
  <c r="AN5" i="17"/>
  <c r="AI6" i="17" s="1"/>
  <c r="AM5" i="17"/>
  <c r="AK5" i="17"/>
  <c r="G5" i="17"/>
  <c r="G6" i="17" s="1"/>
  <c r="AD4" i="17"/>
  <c r="Z4" i="17"/>
  <c r="O4" i="17"/>
  <c r="G4" i="17"/>
  <c r="G10" i="17" s="1"/>
  <c r="C56" i="16"/>
  <c r="C55" i="16"/>
  <c r="C51" i="16"/>
  <c r="C50" i="16"/>
  <c r="AN44" i="16"/>
  <c r="AM44" i="16"/>
  <c r="AN43" i="16"/>
  <c r="AM43" i="16"/>
  <c r="AN42" i="16"/>
  <c r="AM42" i="16"/>
  <c r="AN41" i="16"/>
  <c r="AM41" i="16"/>
  <c r="C41" i="16"/>
  <c r="K21" i="16" s="1"/>
  <c r="AN40" i="16"/>
  <c r="AM40" i="16"/>
  <c r="AN39" i="16"/>
  <c r="AM39" i="16"/>
  <c r="AN38" i="16"/>
  <c r="AM38" i="16"/>
  <c r="AN37" i="16"/>
  <c r="AM37" i="16"/>
  <c r="AN36" i="16"/>
  <c r="AM36" i="16"/>
  <c r="AN35" i="16"/>
  <c r="AM35" i="16"/>
  <c r="AN34" i="16"/>
  <c r="AM34" i="16"/>
  <c r="AN33" i="16"/>
  <c r="AM33" i="16"/>
  <c r="AN32" i="16"/>
  <c r="AM32" i="16"/>
  <c r="G32" i="16"/>
  <c r="AN31" i="16"/>
  <c r="AM31" i="16"/>
  <c r="AN30" i="16"/>
  <c r="AM30" i="16"/>
  <c r="AN29" i="16"/>
  <c r="AM29" i="16"/>
  <c r="K29" i="16"/>
  <c r="G29" i="16"/>
  <c r="G27" i="16" s="1"/>
  <c r="AN28" i="16"/>
  <c r="AM28" i="16"/>
  <c r="K28" i="16"/>
  <c r="AN27" i="16"/>
  <c r="AM27" i="16"/>
  <c r="K27" i="16"/>
  <c r="AN26" i="16"/>
  <c r="AM26" i="16"/>
  <c r="K26" i="16"/>
  <c r="G26" i="16"/>
  <c r="AN25" i="16"/>
  <c r="AM25" i="16"/>
  <c r="AN24" i="16"/>
  <c r="AM24" i="16"/>
  <c r="K24" i="16"/>
  <c r="G24" i="16"/>
  <c r="G25" i="16" s="1"/>
  <c r="AN23" i="16"/>
  <c r="AM23" i="16"/>
  <c r="K23" i="16"/>
  <c r="G23" i="16"/>
  <c r="C23" i="16"/>
  <c r="AN22" i="16"/>
  <c r="AM22" i="16"/>
  <c r="K22" i="16"/>
  <c r="AN21" i="16"/>
  <c r="AM21" i="16"/>
  <c r="O21" i="16"/>
  <c r="G14" i="16" s="1"/>
  <c r="G15" i="16" s="1"/>
  <c r="AN20" i="16"/>
  <c r="AM20" i="16"/>
  <c r="K20" i="16"/>
  <c r="AN19" i="16"/>
  <c r="AM19" i="16"/>
  <c r="O19" i="16"/>
  <c r="AN18" i="16"/>
  <c r="AM18" i="16"/>
  <c r="AN17" i="16"/>
  <c r="AM17" i="16"/>
  <c r="C17" i="16"/>
  <c r="AN16" i="16"/>
  <c r="AM16" i="16"/>
  <c r="C16" i="16"/>
  <c r="AN15" i="16"/>
  <c r="AM15" i="16"/>
  <c r="AN14" i="16"/>
  <c r="AM14" i="16"/>
  <c r="K14" i="16"/>
  <c r="AN13" i="16"/>
  <c r="AM13" i="16"/>
  <c r="AN12" i="16"/>
  <c r="AM12" i="16"/>
  <c r="AN11" i="16"/>
  <c r="AM11" i="16"/>
  <c r="O11" i="16"/>
  <c r="C11" i="16"/>
  <c r="C30" i="16" s="1"/>
  <c r="AN10" i="16"/>
  <c r="AM10" i="16"/>
  <c r="AN9" i="16"/>
  <c r="AM9" i="16"/>
  <c r="O9" i="16"/>
  <c r="C9" i="16"/>
  <c r="AN8" i="16"/>
  <c r="AM8" i="16"/>
  <c r="AN7" i="16"/>
  <c r="AM7" i="16"/>
  <c r="G7" i="16"/>
  <c r="AN6" i="16"/>
  <c r="AM6" i="16"/>
  <c r="O6" i="16"/>
  <c r="AO5" i="16"/>
  <c r="AN5" i="16"/>
  <c r="AI6" i="16" s="1"/>
  <c r="AM5" i="16"/>
  <c r="AG6" i="16" s="1"/>
  <c r="AK5" i="16"/>
  <c r="G5" i="16"/>
  <c r="AD4" i="16"/>
  <c r="Z4" i="16"/>
  <c r="O4" i="16"/>
  <c r="G4" i="16"/>
  <c r="G10" i="16" s="1"/>
  <c r="O10" i="12"/>
  <c r="O9" i="12"/>
  <c r="C7" i="12"/>
  <c r="C17" i="12"/>
  <c r="G32" i="12"/>
  <c r="AI6" i="18" l="1"/>
  <c r="O10" i="18"/>
  <c r="O22" i="17"/>
  <c r="O25" i="17" s="1"/>
  <c r="O22" i="16"/>
  <c r="O25" i="16" s="1"/>
  <c r="G28" i="18"/>
  <c r="K38" i="18"/>
  <c r="K4" i="17"/>
  <c r="K5" i="17" s="1"/>
  <c r="K25" i="18"/>
  <c r="K37" i="18" s="1"/>
  <c r="G8" i="18"/>
  <c r="G9" i="18" s="1"/>
  <c r="K4" i="18"/>
  <c r="AG6" i="18"/>
  <c r="AK6" i="18" s="1"/>
  <c r="AG7" i="18" s="1"/>
  <c r="K34" i="18"/>
  <c r="K42" i="18"/>
  <c r="O22" i="18"/>
  <c r="O25" i="18" s="1"/>
  <c r="O12" i="18"/>
  <c r="O13" i="18" s="1"/>
  <c r="K46" i="18"/>
  <c r="K38" i="17"/>
  <c r="G28" i="17"/>
  <c r="K46" i="17"/>
  <c r="K38" i="16"/>
  <c r="AG6" i="17"/>
  <c r="AK6" i="17" s="1"/>
  <c r="AG7" i="17" s="1"/>
  <c r="K34" i="17"/>
  <c r="K42" i="17"/>
  <c r="G13" i="17"/>
  <c r="K11" i="17" s="1"/>
  <c r="O5" i="17"/>
  <c r="K25" i="17"/>
  <c r="K37" i="17" s="1"/>
  <c r="G8" i="17"/>
  <c r="G9" i="17" s="1"/>
  <c r="G28" i="16"/>
  <c r="K46" i="16"/>
  <c r="AO6" i="16"/>
  <c r="G6" i="16"/>
  <c r="K42" i="16"/>
  <c r="K34" i="16"/>
  <c r="K25" i="16"/>
  <c r="K37" i="16" s="1"/>
  <c r="G8" i="16"/>
  <c r="G9" i="16" s="1"/>
  <c r="K4" i="16"/>
  <c r="G13" i="16"/>
  <c r="O5" i="16"/>
  <c r="O12" i="16" s="1"/>
  <c r="O13" i="16" s="1"/>
  <c r="O16" i="16" s="1"/>
  <c r="AK6" i="16"/>
  <c r="AG7" i="16" s="1"/>
  <c r="C9" i="12"/>
  <c r="O11" i="12"/>
  <c r="O5" i="12"/>
  <c r="O19" i="12"/>
  <c r="AI7" i="18" l="1"/>
  <c r="AK7" i="18" s="1"/>
  <c r="AI8" i="18" s="1"/>
  <c r="K45" i="17"/>
  <c r="AI7" i="17"/>
  <c r="AK7" i="17" s="1"/>
  <c r="AI8" i="17" s="1"/>
  <c r="AI7" i="16"/>
  <c r="AO7" i="16" s="1"/>
  <c r="K45" i="18"/>
  <c r="O16" i="18"/>
  <c r="O14" i="18"/>
  <c r="K5" i="18"/>
  <c r="AO6" i="18"/>
  <c r="AG8" i="18"/>
  <c r="AO6" i="17"/>
  <c r="AG8" i="17"/>
  <c r="O10" i="17"/>
  <c r="O12" i="17"/>
  <c r="O13" i="17" s="1"/>
  <c r="O16" i="17" s="1"/>
  <c r="K45" i="16"/>
  <c r="K5" i="16"/>
  <c r="O10" i="16"/>
  <c r="O14" i="16"/>
  <c r="K11" i="16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K7" i="16" l="1"/>
  <c r="AI8" i="16" s="1"/>
  <c r="AO7" i="17"/>
  <c r="AO7" i="18"/>
  <c r="AO8" i="18"/>
  <c r="AK8" i="17"/>
  <c r="AI9" i="17" s="1"/>
  <c r="O20" i="18"/>
  <c r="O15" i="18"/>
  <c r="AK8" i="18"/>
  <c r="AI9" i="18" s="1"/>
  <c r="AO8" i="17"/>
  <c r="O14" i="17"/>
  <c r="O20" i="16"/>
  <c r="O15" i="16"/>
  <c r="AG6" i="12"/>
  <c r="G14" i="12"/>
  <c r="G15" i="12" s="1"/>
  <c r="O25" i="12"/>
  <c r="G6" i="12"/>
  <c r="AI6" i="12"/>
  <c r="G25" i="12"/>
  <c r="K42" i="12"/>
  <c r="AG9" i="18" l="1"/>
  <c r="AG8" i="16"/>
  <c r="AO8" i="16" s="1"/>
  <c r="AK8" i="16"/>
  <c r="AI9" i="16" s="1"/>
  <c r="AG9" i="17"/>
  <c r="AK9" i="17" s="1"/>
  <c r="AG10" i="17" s="1"/>
  <c r="AK9" i="18"/>
  <c r="AG10" i="18" s="1"/>
  <c r="AO9" i="18"/>
  <c r="AI10" i="18"/>
  <c r="O23" i="18"/>
  <c r="G16" i="18"/>
  <c r="K16" i="18"/>
  <c r="O28" i="18"/>
  <c r="O30" i="18" s="1"/>
  <c r="O20" i="17"/>
  <c r="O15" i="17"/>
  <c r="G16" i="16"/>
  <c r="O23" i="16"/>
  <c r="K16" i="16"/>
  <c r="O28" i="16"/>
  <c r="O30" i="16" s="1"/>
  <c r="AO6" i="12"/>
  <c r="AK6" i="12"/>
  <c r="AG7" i="12" s="1"/>
  <c r="AO10" i="18" l="1"/>
  <c r="AG9" i="16"/>
  <c r="AO9" i="16" s="1"/>
  <c r="AI10" i="17"/>
  <c r="AO10" i="17" s="1"/>
  <c r="AO9" i="17"/>
  <c r="G19" i="18"/>
  <c r="W4" i="18"/>
  <c r="Y4" i="18"/>
  <c r="AA4" i="18"/>
  <c r="AK10" i="18"/>
  <c r="AI11" i="18" s="1"/>
  <c r="O23" i="17"/>
  <c r="G16" i="17"/>
  <c r="K16" i="17"/>
  <c r="O28" i="17"/>
  <c r="O30" i="17" s="1"/>
  <c r="G19" i="16"/>
  <c r="Y4" i="16"/>
  <c r="AA4" i="16"/>
  <c r="W4" i="16"/>
  <c r="AI7" i="12"/>
  <c r="AO7" i="12" s="1"/>
  <c r="AK10" i="17" l="1"/>
  <c r="AK9" i="16"/>
  <c r="AG10" i="16" s="1"/>
  <c r="AI10" i="16"/>
  <c r="AG11" i="18"/>
  <c r="AO11" i="18" s="1"/>
  <c r="AC4" i="18"/>
  <c r="X5" i="18" s="1"/>
  <c r="Y5" i="18" s="1"/>
  <c r="AB4" i="18"/>
  <c r="V5" i="18" s="1"/>
  <c r="G19" i="17"/>
  <c r="AA4" i="17"/>
  <c r="W4" i="17"/>
  <c r="Y4" i="17"/>
  <c r="AB4" i="16"/>
  <c r="V5" i="16" s="1"/>
  <c r="W5" i="16" s="1"/>
  <c r="AC4" i="16"/>
  <c r="X5" i="16" s="1"/>
  <c r="Y5" i="16" s="1"/>
  <c r="AK7" i="12"/>
  <c r="AI8" i="12" s="1"/>
  <c r="AI11" i="17" l="1"/>
  <c r="AG11" i="17"/>
  <c r="AO11" i="17" s="1"/>
  <c r="Z5" i="18"/>
  <c r="AA5" i="18" s="1"/>
  <c r="AC5" i="18" s="1"/>
  <c r="X6" i="18" s="1"/>
  <c r="AK10" i="16"/>
  <c r="AI11" i="16" s="1"/>
  <c r="AO10" i="16"/>
  <c r="AG11" i="16"/>
  <c r="AK11" i="18"/>
  <c r="AG12" i="18" s="1"/>
  <c r="AI12" i="18"/>
  <c r="W5" i="18"/>
  <c r="AD5" i="18"/>
  <c r="AB4" i="17"/>
  <c r="V5" i="17" s="1"/>
  <c r="W5" i="17" s="1"/>
  <c r="AC4" i="17"/>
  <c r="X5" i="17" s="1"/>
  <c r="AD5" i="16"/>
  <c r="Z5" i="16"/>
  <c r="AA5" i="16" s="1"/>
  <c r="AC5" i="16" s="1"/>
  <c r="X6" i="16" s="1"/>
  <c r="Y6" i="16" s="1"/>
  <c r="AG8" i="12"/>
  <c r="AO8" i="12" s="1"/>
  <c r="AK11" i="17" l="1"/>
  <c r="AB5" i="18"/>
  <c r="V6" i="18" s="1"/>
  <c r="W6" i="18" s="1"/>
  <c r="AO11" i="16"/>
  <c r="AK11" i="16"/>
  <c r="AI12" i="16" s="1"/>
  <c r="AO12" i="18"/>
  <c r="AK12" i="18"/>
  <c r="Y6" i="18"/>
  <c r="Z5" i="17"/>
  <c r="AA5" i="17" s="1"/>
  <c r="AB5" i="17" s="1"/>
  <c r="V6" i="17" s="1"/>
  <c r="W6" i="17" s="1"/>
  <c r="AD5" i="17"/>
  <c r="Y5" i="17"/>
  <c r="AB5" i="16"/>
  <c r="V6" i="16" s="1"/>
  <c r="AK8" i="12"/>
  <c r="AI9" i="12" s="1"/>
  <c r="AI12" i="17" l="1"/>
  <c r="AG12" i="17"/>
  <c r="AK12" i="17" s="1"/>
  <c r="AG13" i="17" s="1"/>
  <c r="AD6" i="18"/>
  <c r="Z6" i="18"/>
  <c r="AA6" i="18" s="1"/>
  <c r="AB6" i="18" s="1"/>
  <c r="V7" i="18" s="1"/>
  <c r="W7" i="18" s="1"/>
  <c r="AG12" i="16"/>
  <c r="AK12" i="16" s="1"/>
  <c r="AG13" i="16" s="1"/>
  <c r="AG13" i="18"/>
  <c r="AI13" i="18"/>
  <c r="AC5" i="17"/>
  <c r="X6" i="17" s="1"/>
  <c r="Z6" i="17" s="1"/>
  <c r="AA6" i="17" s="1"/>
  <c r="AB6" i="17" s="1"/>
  <c r="V7" i="17" s="1"/>
  <c r="W7" i="17" s="1"/>
  <c r="Z6" i="16"/>
  <c r="AA6" i="16" s="1"/>
  <c r="AC6" i="16" s="1"/>
  <c r="X7" i="16" s="1"/>
  <c r="AD6" i="16"/>
  <c r="W6" i="16"/>
  <c r="AG9" i="12"/>
  <c r="AO9" i="12" s="1"/>
  <c r="AO12" i="17" l="1"/>
  <c r="AI13" i="17"/>
  <c r="AO13" i="17" s="1"/>
  <c r="AO12" i="16"/>
  <c r="AC6" i="18"/>
  <c r="X7" i="18" s="1"/>
  <c r="Z7" i="18" s="1"/>
  <c r="AA7" i="18" s="1"/>
  <c r="AB7" i="18" s="1"/>
  <c r="V8" i="18" s="1"/>
  <c r="W8" i="18" s="1"/>
  <c r="AI13" i="16"/>
  <c r="AK13" i="16" s="1"/>
  <c r="AK13" i="18"/>
  <c r="AO13" i="18"/>
  <c r="AI14" i="18"/>
  <c r="AG14" i="18"/>
  <c r="Y6" i="17"/>
  <c r="AC6" i="17" s="1"/>
  <c r="X7" i="17" s="1"/>
  <c r="AD7" i="17" s="1"/>
  <c r="AD6" i="17"/>
  <c r="AB6" i="16"/>
  <c r="V7" i="16" s="1"/>
  <c r="Z7" i="16" s="1"/>
  <c r="AA7" i="16" s="1"/>
  <c r="Y7" i="16"/>
  <c r="AK9" i="12"/>
  <c r="AI10" i="12" s="1"/>
  <c r="AK13" i="17" l="1"/>
  <c r="AO13" i="16"/>
  <c r="AD7" i="18"/>
  <c r="Y7" i="18"/>
  <c r="AC7" i="18" s="1"/>
  <c r="X8" i="18" s="1"/>
  <c r="Y8" i="18" s="1"/>
  <c r="AI14" i="16"/>
  <c r="AG14" i="16"/>
  <c r="AK14" i="18"/>
  <c r="AG15" i="18" s="1"/>
  <c r="AO14" i="18"/>
  <c r="W7" i="16"/>
  <c r="AB7" i="16" s="1"/>
  <c r="V8" i="16" s="1"/>
  <c r="W8" i="16" s="1"/>
  <c r="AD7" i="16"/>
  <c r="Z7" i="17"/>
  <c r="AA7" i="17" s="1"/>
  <c r="AB7" i="17" s="1"/>
  <c r="V8" i="17" s="1"/>
  <c r="W8" i="17" s="1"/>
  <c r="Y7" i="17"/>
  <c r="AC7" i="16"/>
  <c r="X8" i="16" s="1"/>
  <c r="AG10" i="12"/>
  <c r="AO10" i="12" s="1"/>
  <c r="AI14" i="17" l="1"/>
  <c r="AG14" i="17"/>
  <c r="AK14" i="17" s="1"/>
  <c r="AG15" i="17" s="1"/>
  <c r="Z8" i="18"/>
  <c r="AA8" i="18" s="1"/>
  <c r="AB8" i="18" s="1"/>
  <c r="V9" i="18" s="1"/>
  <c r="W9" i="18" s="1"/>
  <c r="AD8" i="18"/>
  <c r="AI15" i="18"/>
  <c r="AO15" i="18" s="1"/>
  <c r="AO14" i="16"/>
  <c r="AK14" i="16"/>
  <c r="AK15" i="18"/>
  <c r="AC7" i="17"/>
  <c r="X8" i="17" s="1"/>
  <c r="Y8" i="17" s="1"/>
  <c r="AD8" i="16"/>
  <c r="Z8" i="16"/>
  <c r="AA8" i="16" s="1"/>
  <c r="AB8" i="16" s="1"/>
  <c r="V9" i="16" s="1"/>
  <c r="W9" i="16" s="1"/>
  <c r="Y8" i="16"/>
  <c r="AK10" i="12"/>
  <c r="AI15" i="17" l="1"/>
  <c r="AO14" i="17"/>
  <c r="AC8" i="18"/>
  <c r="X9" i="18" s="1"/>
  <c r="Z9" i="18" s="1"/>
  <c r="AA9" i="18" s="1"/>
  <c r="AB9" i="18" s="1"/>
  <c r="V10" i="18" s="1"/>
  <c r="W10" i="18" s="1"/>
  <c r="Z8" i="17"/>
  <c r="AA8" i="17" s="1"/>
  <c r="AC8" i="17" s="1"/>
  <c r="X9" i="17" s="1"/>
  <c r="Y9" i="17" s="1"/>
  <c r="Y9" i="18"/>
  <c r="AD9" i="18"/>
  <c r="AD8" i="17"/>
  <c r="AG15" i="16"/>
  <c r="AI15" i="16"/>
  <c r="AI16" i="18"/>
  <c r="AG16" i="18"/>
  <c r="AC8" i="16"/>
  <c r="X9" i="16" s="1"/>
  <c r="AD9" i="16" s="1"/>
  <c r="AG11" i="12"/>
  <c r="AI11" i="12"/>
  <c r="AC9" i="18" l="1"/>
  <c r="X10" i="18" s="1"/>
  <c r="AK15" i="17"/>
  <c r="AO15" i="17"/>
  <c r="AB8" i="17"/>
  <c r="V9" i="17" s="1"/>
  <c r="Z9" i="17" s="1"/>
  <c r="AA9" i="17" s="1"/>
  <c r="AC9" i="17" s="1"/>
  <c r="X10" i="17" s="1"/>
  <c r="Y10" i="17" s="1"/>
  <c r="AK15" i="16"/>
  <c r="AO15" i="16"/>
  <c r="AK16" i="18"/>
  <c r="AG17" i="18" s="1"/>
  <c r="AI17" i="18"/>
  <c r="AO16" i="18"/>
  <c r="Y9" i="16"/>
  <c r="Z9" i="16"/>
  <c r="AA9" i="16" s="1"/>
  <c r="AB9" i="16" s="1"/>
  <c r="V10" i="16" s="1"/>
  <c r="W10" i="16" s="1"/>
  <c r="AD10" i="18"/>
  <c r="Y10" i="18"/>
  <c r="Z10" i="18"/>
  <c r="AA10" i="18" s="1"/>
  <c r="AB10" i="18" s="1"/>
  <c r="V11" i="18" s="1"/>
  <c r="AO11" i="12"/>
  <c r="AK11" i="12"/>
  <c r="AD9" i="17" l="1"/>
  <c r="W9" i="17"/>
  <c r="AI16" i="17"/>
  <c r="AG16" i="17"/>
  <c r="AK17" i="18"/>
  <c r="AG18" i="18" s="1"/>
  <c r="AI16" i="16"/>
  <c r="AG16" i="16"/>
  <c r="AO17" i="18"/>
  <c r="AI18" i="18"/>
  <c r="AO18" i="18" s="1"/>
  <c r="AB9" i="17"/>
  <c r="V10" i="17" s="1"/>
  <c r="AD10" i="17" s="1"/>
  <c r="AC9" i="16"/>
  <c r="X10" i="16" s="1"/>
  <c r="W11" i="18"/>
  <c r="AC10" i="18"/>
  <c r="X11" i="18" s="1"/>
  <c r="AI12" i="12"/>
  <c r="AG12" i="12"/>
  <c r="AO16" i="17" l="1"/>
  <c r="AK16" i="17"/>
  <c r="AO16" i="16"/>
  <c r="AK16" i="16"/>
  <c r="AK18" i="18"/>
  <c r="W10" i="17"/>
  <c r="Z10" i="17"/>
  <c r="AA10" i="17" s="1"/>
  <c r="AC10" i="17" s="1"/>
  <c r="X11" i="17" s="1"/>
  <c r="Y11" i="17" s="1"/>
  <c r="Z10" i="16"/>
  <c r="AA10" i="16" s="1"/>
  <c r="AB10" i="16" s="1"/>
  <c r="V11" i="16" s="1"/>
  <c r="W11" i="16" s="1"/>
  <c r="AD10" i="16"/>
  <c r="Y10" i="16"/>
  <c r="AD11" i="18"/>
  <c r="Y11" i="18"/>
  <c r="Z11" i="18"/>
  <c r="AA11" i="18" s="1"/>
  <c r="AB11" i="18" s="1"/>
  <c r="V12" i="18" s="1"/>
  <c r="AO12" i="12"/>
  <c r="AK12" i="12"/>
  <c r="AI17" i="17" l="1"/>
  <c r="AG17" i="17"/>
  <c r="AI17" i="16"/>
  <c r="AG17" i="16"/>
  <c r="AI19" i="18"/>
  <c r="AG19" i="18"/>
  <c r="AK19" i="18" s="1"/>
  <c r="AG20" i="18" s="1"/>
  <c r="AB10" i="17"/>
  <c r="V11" i="17" s="1"/>
  <c r="Z11" i="17" s="1"/>
  <c r="AA11" i="17" s="1"/>
  <c r="AC10" i="16"/>
  <c r="X11" i="16" s="1"/>
  <c r="W12" i="18"/>
  <c r="AC11" i="18"/>
  <c r="X12" i="18" s="1"/>
  <c r="AG13" i="12"/>
  <c r="AI13" i="12"/>
  <c r="AO17" i="17" l="1"/>
  <c r="AK17" i="17"/>
  <c r="AG18" i="17" s="1"/>
  <c r="AK17" i="16"/>
  <c r="AG18" i="16" s="1"/>
  <c r="W11" i="17"/>
  <c r="AB11" i="17" s="1"/>
  <c r="V12" i="17" s="1"/>
  <c r="AD11" i="17"/>
  <c r="AO17" i="16"/>
  <c r="AO19" i="18"/>
  <c r="AI20" i="18"/>
  <c r="AO20" i="18" s="1"/>
  <c r="Y11" i="16"/>
  <c r="AD11" i="16"/>
  <c r="Z11" i="16"/>
  <c r="AA11" i="16" s="1"/>
  <c r="AB11" i="16" s="1"/>
  <c r="V12" i="16" s="1"/>
  <c r="W12" i="16" s="1"/>
  <c r="AC11" i="17"/>
  <c r="X12" i="17" s="1"/>
  <c r="AD12" i="18"/>
  <c r="Y12" i="18"/>
  <c r="Z12" i="18"/>
  <c r="AA12" i="18" s="1"/>
  <c r="AB12" i="18" s="1"/>
  <c r="V13" i="18" s="1"/>
  <c r="AK13" i="12"/>
  <c r="AO13" i="12"/>
  <c r="AI18" i="17" l="1"/>
  <c r="AO18" i="17" s="1"/>
  <c r="AI18" i="16"/>
  <c r="AK18" i="16" s="1"/>
  <c r="AI19" i="16" s="1"/>
  <c r="AK20" i="18"/>
  <c r="AC11" i="16"/>
  <c r="X12" i="16" s="1"/>
  <c r="W12" i="17"/>
  <c r="Z12" i="17"/>
  <c r="AA12" i="17" s="1"/>
  <c r="AD12" i="17"/>
  <c r="Y12" i="17"/>
  <c r="W13" i="18"/>
  <c r="AC12" i="18"/>
  <c r="X13" i="18" s="1"/>
  <c r="AI14" i="12"/>
  <c r="AG14" i="12"/>
  <c r="AK18" i="17" l="1"/>
  <c r="AO18" i="16"/>
  <c r="AG19" i="16"/>
  <c r="AK19" i="16" s="1"/>
  <c r="AI21" i="18"/>
  <c r="AG21" i="18"/>
  <c r="AB12" i="17"/>
  <c r="V13" i="17" s="1"/>
  <c r="W13" i="17" s="1"/>
  <c r="AD12" i="16"/>
  <c r="Z12" i="16"/>
  <c r="AA12" i="16" s="1"/>
  <c r="AB12" i="16" s="1"/>
  <c r="V13" i="16" s="1"/>
  <c r="W13" i="16" s="1"/>
  <c r="Y12" i="16"/>
  <c r="AC12" i="17"/>
  <c r="X13" i="17" s="1"/>
  <c r="AD13" i="18"/>
  <c r="Y13" i="18"/>
  <c r="Z13" i="18"/>
  <c r="AA13" i="18" s="1"/>
  <c r="AB13" i="18" s="1"/>
  <c r="V14" i="18" s="1"/>
  <c r="AK14" i="12"/>
  <c r="AG15" i="12" s="1"/>
  <c r="AI15" i="12"/>
  <c r="AO14" i="12"/>
  <c r="AG19" i="17" l="1"/>
  <c r="AI19" i="17"/>
  <c r="AO19" i="17" s="1"/>
  <c r="AG20" i="16"/>
  <c r="AI20" i="16"/>
  <c r="AO19" i="16"/>
  <c r="AK21" i="18"/>
  <c r="AG22" i="18" s="1"/>
  <c r="AO21" i="18"/>
  <c r="Z13" i="17"/>
  <c r="AA13" i="17" s="1"/>
  <c r="AB13" i="17" s="1"/>
  <c r="V14" i="17" s="1"/>
  <c r="W14" i="17" s="1"/>
  <c r="AC12" i="16"/>
  <c r="X13" i="16" s="1"/>
  <c r="AD13" i="17"/>
  <c r="Y13" i="17"/>
  <c r="W14" i="18"/>
  <c r="AC13" i="18"/>
  <c r="X14" i="18" s="1"/>
  <c r="AO15" i="12"/>
  <c r="AK15" i="12"/>
  <c r="AK19" i="17" l="1"/>
  <c r="AO20" i="16"/>
  <c r="AI22" i="18"/>
  <c r="AO22" i="18" s="1"/>
  <c r="AC13" i="17"/>
  <c r="X14" i="17" s="1"/>
  <c r="AD14" i="17" s="1"/>
  <c r="AK20" i="16"/>
  <c r="AI21" i="16" s="1"/>
  <c r="Y13" i="16"/>
  <c r="Z13" i="16"/>
  <c r="AA13" i="16" s="1"/>
  <c r="AB13" i="16" s="1"/>
  <c r="V14" i="16" s="1"/>
  <c r="W14" i="16" s="1"/>
  <c r="AD13" i="16"/>
  <c r="AD14" i="18"/>
  <c r="Y14" i="18"/>
  <c r="Z14" i="18"/>
  <c r="AA14" i="18" s="1"/>
  <c r="AB14" i="18" s="1"/>
  <c r="V15" i="18" s="1"/>
  <c r="AG16" i="12"/>
  <c r="AI16" i="12"/>
  <c r="AG20" i="17" l="1"/>
  <c r="AI20" i="17"/>
  <c r="AO20" i="17" s="1"/>
  <c r="Y14" i="17"/>
  <c r="AK22" i="18"/>
  <c r="Z14" i="17"/>
  <c r="AA14" i="17" s="1"/>
  <c r="AB14" i="17" s="1"/>
  <c r="V15" i="17" s="1"/>
  <c r="W15" i="17" s="1"/>
  <c r="AG21" i="16"/>
  <c r="AK21" i="16" s="1"/>
  <c r="AG22" i="16" s="1"/>
  <c r="AI23" i="18"/>
  <c r="AG23" i="18"/>
  <c r="AC13" i="16"/>
  <c r="X14" i="16" s="1"/>
  <c r="Z14" i="16" s="1"/>
  <c r="AA14" i="16" s="1"/>
  <c r="AB14" i="16" s="1"/>
  <c r="V15" i="16" s="1"/>
  <c r="W15" i="16" s="1"/>
  <c r="W15" i="18"/>
  <c r="AC14" i="18"/>
  <c r="X15" i="18" s="1"/>
  <c r="AO16" i="12"/>
  <c r="AK16" i="12"/>
  <c r="AK20" i="17" l="1"/>
  <c r="AC14" i="17"/>
  <c r="X15" i="17" s="1"/>
  <c r="AD15" i="17" s="1"/>
  <c r="AK23" i="18"/>
  <c r="AG24" i="18" s="1"/>
  <c r="AO21" i="16"/>
  <c r="AI22" i="16"/>
  <c r="AO22" i="16" s="1"/>
  <c r="AO23" i="18"/>
  <c r="AI24" i="18"/>
  <c r="Y15" i="17"/>
  <c r="Y14" i="16"/>
  <c r="AC14" i="16" s="1"/>
  <c r="X15" i="16" s="1"/>
  <c r="AD15" i="16" s="1"/>
  <c r="AD14" i="16"/>
  <c r="AD15" i="18"/>
  <c r="Y15" i="18"/>
  <c r="Z15" i="18"/>
  <c r="AA15" i="18" s="1"/>
  <c r="AB15" i="18" s="1"/>
  <c r="V16" i="18" s="1"/>
  <c r="AG17" i="12"/>
  <c r="AI17" i="12"/>
  <c r="AI21" i="17" l="1"/>
  <c r="AG21" i="17"/>
  <c r="AK21" i="17" s="1"/>
  <c r="Z15" i="17"/>
  <c r="AA15" i="17" s="1"/>
  <c r="AB15" i="17" s="1"/>
  <c r="V16" i="17" s="1"/>
  <c r="W16" i="17" s="1"/>
  <c r="AK22" i="16"/>
  <c r="AI23" i="16" s="1"/>
  <c r="AO24" i="18"/>
  <c r="AK24" i="18"/>
  <c r="AG25" i="18" s="1"/>
  <c r="Z15" i="16"/>
  <c r="AA15" i="16" s="1"/>
  <c r="AB15" i="16" s="1"/>
  <c r="V16" i="16" s="1"/>
  <c r="W16" i="16" s="1"/>
  <c r="Y15" i="16"/>
  <c r="W16" i="18"/>
  <c r="AC15" i="18"/>
  <c r="X16" i="18" s="1"/>
  <c r="AK17" i="12"/>
  <c r="AO17" i="12"/>
  <c r="AC15" i="17" l="1"/>
  <c r="X16" i="17" s="1"/>
  <c r="AD16" i="17" s="1"/>
  <c r="AG22" i="17"/>
  <c r="AI22" i="17"/>
  <c r="AO21" i="17"/>
  <c r="AG23" i="16"/>
  <c r="AK23" i="16" s="1"/>
  <c r="AG24" i="16" s="1"/>
  <c r="AC15" i="16"/>
  <c r="X16" i="16" s="1"/>
  <c r="AD16" i="16" s="1"/>
  <c r="Z16" i="17"/>
  <c r="AA16" i="17" s="1"/>
  <c r="AB16" i="17" s="1"/>
  <c r="V17" i="17" s="1"/>
  <c r="W17" i="17" s="1"/>
  <c r="Y16" i="17"/>
  <c r="AI25" i="18"/>
  <c r="AK25" i="18" s="1"/>
  <c r="AD16" i="18"/>
  <c r="Y16" i="18"/>
  <c r="Z16" i="18"/>
  <c r="AA16" i="18" s="1"/>
  <c r="AB16" i="18" s="1"/>
  <c r="V17" i="18" s="1"/>
  <c r="AI18" i="12"/>
  <c r="AG18" i="12"/>
  <c r="AO22" i="17" l="1"/>
  <c r="AK22" i="17"/>
  <c r="AC16" i="17"/>
  <c r="X17" i="17" s="1"/>
  <c r="Y17" i="17" s="1"/>
  <c r="AO23" i="16"/>
  <c r="AI24" i="16"/>
  <c r="AO24" i="16" s="1"/>
  <c r="Z16" i="16"/>
  <c r="AA16" i="16" s="1"/>
  <c r="AB16" i="16" s="1"/>
  <c r="V17" i="16" s="1"/>
  <c r="W17" i="16" s="1"/>
  <c r="Y16" i="16"/>
  <c r="AO25" i="18"/>
  <c r="AG26" i="18"/>
  <c r="AI26" i="18"/>
  <c r="W17" i="18"/>
  <c r="AC16" i="18"/>
  <c r="X17" i="18" s="1"/>
  <c r="AK18" i="12"/>
  <c r="AI19" i="12" s="1"/>
  <c r="AG19" i="12"/>
  <c r="AO18" i="12"/>
  <c r="AD17" i="17" l="1"/>
  <c r="AI23" i="17"/>
  <c r="AG23" i="17"/>
  <c r="AK23" i="17" s="1"/>
  <c r="Z17" i="17"/>
  <c r="AA17" i="17" s="1"/>
  <c r="AB17" i="17" s="1"/>
  <c r="V18" i="17" s="1"/>
  <c r="W18" i="17" s="1"/>
  <c r="AC16" i="16"/>
  <c r="X17" i="16" s="1"/>
  <c r="AD17" i="16" s="1"/>
  <c r="AK24" i="16"/>
  <c r="AI25" i="16" s="1"/>
  <c r="AG25" i="16"/>
  <c r="AO26" i="18"/>
  <c r="AK26" i="18"/>
  <c r="AG27" i="18" s="1"/>
  <c r="AD17" i="18"/>
  <c r="Y17" i="18"/>
  <c r="Z17" i="18"/>
  <c r="AA17" i="18" s="1"/>
  <c r="AB17" i="18" s="1"/>
  <c r="V18" i="18" s="1"/>
  <c r="AK19" i="12"/>
  <c r="AO19" i="12"/>
  <c r="AI27" i="18" l="1"/>
  <c r="AI24" i="17"/>
  <c r="AG24" i="17"/>
  <c r="AK24" i="17" s="1"/>
  <c r="AO23" i="17"/>
  <c r="Z17" i="16"/>
  <c r="AA17" i="16" s="1"/>
  <c r="AB17" i="16" s="1"/>
  <c r="V18" i="16" s="1"/>
  <c r="W18" i="16" s="1"/>
  <c r="Y17" i="16"/>
  <c r="AC17" i="16" s="1"/>
  <c r="X18" i="16" s="1"/>
  <c r="AC17" i="17"/>
  <c r="X18" i="17" s="1"/>
  <c r="Z18" i="17" s="1"/>
  <c r="AA18" i="17" s="1"/>
  <c r="AB18" i="17" s="1"/>
  <c r="V19" i="17" s="1"/>
  <c r="AO25" i="16"/>
  <c r="AK25" i="16"/>
  <c r="AK27" i="18"/>
  <c r="AG28" i="18" s="1"/>
  <c r="AO27" i="18"/>
  <c r="W18" i="18"/>
  <c r="AC17" i="18"/>
  <c r="X18" i="18" s="1"/>
  <c r="AI20" i="12"/>
  <c r="AG20" i="12"/>
  <c r="AD18" i="17" l="1"/>
  <c r="AG25" i="17"/>
  <c r="AI25" i="17"/>
  <c r="AO24" i="17"/>
  <c r="Y18" i="17"/>
  <c r="AC18" i="17" s="1"/>
  <c r="X19" i="17" s="1"/>
  <c r="AG26" i="16"/>
  <c r="AI26" i="16"/>
  <c r="AI28" i="18"/>
  <c r="AO28" i="18" s="1"/>
  <c r="AD18" i="18"/>
  <c r="Y18" i="18"/>
  <c r="Z18" i="18"/>
  <c r="AA18" i="18" s="1"/>
  <c r="AB18" i="18" s="1"/>
  <c r="V19" i="18" s="1"/>
  <c r="W19" i="17"/>
  <c r="AD18" i="16"/>
  <c r="Y18" i="16"/>
  <c r="Z18" i="16"/>
  <c r="AA18" i="16" s="1"/>
  <c r="AB18" i="16" s="1"/>
  <c r="V19" i="16" s="1"/>
  <c r="AK20" i="12"/>
  <c r="AI21" i="12" s="1"/>
  <c r="AG21" i="12"/>
  <c r="AO20" i="12"/>
  <c r="AO25" i="17" l="1"/>
  <c r="AK25" i="17"/>
  <c r="AO26" i="16"/>
  <c r="AK28" i="18"/>
  <c r="AK26" i="16"/>
  <c r="AI29" i="18"/>
  <c r="AG29" i="18"/>
  <c r="AK29" i="18" s="1"/>
  <c r="W19" i="18"/>
  <c r="AC18" i="18"/>
  <c r="X19" i="18" s="1"/>
  <c r="AD19" i="17"/>
  <c r="Y19" i="17"/>
  <c r="Z19" i="17"/>
  <c r="AA19" i="17" s="1"/>
  <c r="AB19" i="17" s="1"/>
  <c r="V20" i="17" s="1"/>
  <c r="W19" i="16"/>
  <c r="AC18" i="16"/>
  <c r="X19" i="16" s="1"/>
  <c r="AK21" i="12"/>
  <c r="AG22" i="12" s="1"/>
  <c r="AI22" i="12"/>
  <c r="AO21" i="12"/>
  <c r="AG26" i="17" l="1"/>
  <c r="AI26" i="17"/>
  <c r="AO26" i="17" s="1"/>
  <c r="AI27" i="16"/>
  <c r="AG27" i="16"/>
  <c r="AK27" i="16" s="1"/>
  <c r="AI30" i="18"/>
  <c r="AG30" i="18"/>
  <c r="AK30" i="18" s="1"/>
  <c r="AG31" i="18" s="1"/>
  <c r="AO29" i="18"/>
  <c r="AD19" i="18"/>
  <c r="Y19" i="18"/>
  <c r="Z19" i="18"/>
  <c r="AA19" i="18" s="1"/>
  <c r="AB19" i="18" s="1"/>
  <c r="V20" i="18" s="1"/>
  <c r="W20" i="17"/>
  <c r="AC19" i="17"/>
  <c r="X20" i="17" s="1"/>
  <c r="AD19" i="16"/>
  <c r="Y19" i="16"/>
  <c r="Z19" i="16"/>
  <c r="AA19" i="16" s="1"/>
  <c r="AB19" i="16" s="1"/>
  <c r="V20" i="16" s="1"/>
  <c r="AO22" i="12"/>
  <c r="AK22" i="12"/>
  <c r="AK26" i="17" l="1"/>
  <c r="AG28" i="16"/>
  <c r="AI28" i="16"/>
  <c r="AO27" i="16"/>
  <c r="AO30" i="18"/>
  <c r="AI31" i="18"/>
  <c r="W20" i="18"/>
  <c r="AC19" i="18"/>
  <c r="X20" i="18" s="1"/>
  <c r="AD20" i="17"/>
  <c r="Y20" i="17"/>
  <c r="Z20" i="17"/>
  <c r="AA20" i="17" s="1"/>
  <c r="AB20" i="17" s="1"/>
  <c r="V21" i="17" s="1"/>
  <c r="W20" i="16"/>
  <c r="AC19" i="16"/>
  <c r="X20" i="16" s="1"/>
  <c r="AG23" i="12"/>
  <c r="AI23" i="12"/>
  <c r="AI27" i="17" l="1"/>
  <c r="AG27" i="17"/>
  <c r="AK27" i="17" s="1"/>
  <c r="AO28" i="16"/>
  <c r="AK28" i="16"/>
  <c r="AO31" i="18"/>
  <c r="AK31" i="18"/>
  <c r="AG32" i="18" s="1"/>
  <c r="AD20" i="18"/>
  <c r="Y20" i="18"/>
  <c r="Z20" i="18"/>
  <c r="AA20" i="18" s="1"/>
  <c r="AB20" i="18" s="1"/>
  <c r="V21" i="18" s="1"/>
  <c r="W21" i="17"/>
  <c r="AC20" i="17"/>
  <c r="X21" i="17" s="1"/>
  <c r="AD20" i="16"/>
  <c r="Y20" i="16"/>
  <c r="Z20" i="16"/>
  <c r="AA20" i="16" s="1"/>
  <c r="AB20" i="16" s="1"/>
  <c r="V21" i="16" s="1"/>
  <c r="AK23" i="12"/>
  <c r="AO23" i="12"/>
  <c r="AG28" i="17" l="1"/>
  <c r="AI28" i="17"/>
  <c r="AO28" i="17" s="1"/>
  <c r="AO27" i="17"/>
  <c r="AI29" i="16"/>
  <c r="AG29" i="16"/>
  <c r="AI32" i="18"/>
  <c r="AK32" i="18" s="1"/>
  <c r="AI33" i="18" s="1"/>
  <c r="AG33" i="18"/>
  <c r="W21" i="18"/>
  <c r="AC20" i="18"/>
  <c r="X21" i="18" s="1"/>
  <c r="AD21" i="17"/>
  <c r="Y21" i="17"/>
  <c r="Z21" i="17"/>
  <c r="AA21" i="17" s="1"/>
  <c r="AB21" i="17" s="1"/>
  <c r="V22" i="17" s="1"/>
  <c r="W21" i="16"/>
  <c r="AC20" i="16"/>
  <c r="X21" i="16" s="1"/>
  <c r="AI24" i="12"/>
  <c r="AG24" i="12"/>
  <c r="AK28" i="17" l="1"/>
  <c r="AO32" i="18"/>
  <c r="AO29" i="16"/>
  <c r="AK29" i="16"/>
  <c r="AK33" i="18"/>
  <c r="AI34" i="18"/>
  <c r="AG34" i="18"/>
  <c r="AO33" i="18"/>
  <c r="AD21" i="18"/>
  <c r="Y21" i="18"/>
  <c r="Z21" i="18"/>
  <c r="AA21" i="18" s="1"/>
  <c r="AB21" i="18" s="1"/>
  <c r="V22" i="18" s="1"/>
  <c r="W22" i="17"/>
  <c r="AC21" i="17"/>
  <c r="X22" i="17" s="1"/>
  <c r="AD21" i="16"/>
  <c r="Y21" i="16"/>
  <c r="Z21" i="16"/>
  <c r="AA21" i="16" s="1"/>
  <c r="AB21" i="16" s="1"/>
  <c r="V22" i="16" s="1"/>
  <c r="AO24" i="12"/>
  <c r="AK24" i="12"/>
  <c r="AG29" i="17" l="1"/>
  <c r="AI29" i="17"/>
  <c r="AO29" i="17" s="1"/>
  <c r="AK34" i="18"/>
  <c r="AG35" i="18" s="1"/>
  <c r="AI30" i="16"/>
  <c r="AG30" i="16"/>
  <c r="AI35" i="18"/>
  <c r="AO34" i="18"/>
  <c r="W22" i="18"/>
  <c r="AC21" i="18"/>
  <c r="X22" i="18" s="1"/>
  <c r="AD22" i="17"/>
  <c r="Y22" i="17"/>
  <c r="Z22" i="17"/>
  <c r="AA22" i="17" s="1"/>
  <c r="AB22" i="17" s="1"/>
  <c r="V23" i="17" s="1"/>
  <c r="W22" i="16"/>
  <c r="AC21" i="16"/>
  <c r="X22" i="16" s="1"/>
  <c r="AG25" i="12"/>
  <c r="AI25" i="12"/>
  <c r="AK29" i="17" l="1"/>
  <c r="AK30" i="16"/>
  <c r="AI31" i="16" s="1"/>
  <c r="AG31" i="16"/>
  <c r="AO30" i="16"/>
  <c r="AO35" i="18"/>
  <c r="AK35" i="18"/>
  <c r="AG36" i="18" s="1"/>
  <c r="AD22" i="18"/>
  <c r="Y22" i="18"/>
  <c r="Z22" i="18"/>
  <c r="AA22" i="18" s="1"/>
  <c r="AB22" i="18" s="1"/>
  <c r="V23" i="18" s="1"/>
  <c r="W23" i="17"/>
  <c r="AC22" i="17"/>
  <c r="X23" i="17" s="1"/>
  <c r="AD22" i="16"/>
  <c r="Y22" i="16"/>
  <c r="Z22" i="16"/>
  <c r="AA22" i="16" s="1"/>
  <c r="AB22" i="16" s="1"/>
  <c r="V23" i="16" s="1"/>
  <c r="AK25" i="12"/>
  <c r="AO25" i="12"/>
  <c r="AI30" i="17" l="1"/>
  <c r="AG30" i="17"/>
  <c r="AK30" i="17" s="1"/>
  <c r="AK31" i="16"/>
  <c r="AO31" i="16"/>
  <c r="AI36" i="18"/>
  <c r="AK36" i="18" s="1"/>
  <c r="AI37" i="18" s="1"/>
  <c r="W23" i="18"/>
  <c r="AC22" i="18"/>
  <c r="X23" i="18" s="1"/>
  <c r="AD23" i="17"/>
  <c r="Y23" i="17"/>
  <c r="Z23" i="17"/>
  <c r="AA23" i="17" s="1"/>
  <c r="AB23" i="17" s="1"/>
  <c r="V24" i="17" s="1"/>
  <c r="W23" i="16"/>
  <c r="AC22" i="16"/>
  <c r="X23" i="16" s="1"/>
  <c r="AG26" i="12"/>
  <c r="AI26" i="12"/>
  <c r="AI31" i="17" l="1"/>
  <c r="AG31" i="17"/>
  <c r="AK31" i="17" s="1"/>
  <c r="AO30" i="17"/>
  <c r="AO36" i="18"/>
  <c r="AG37" i="18"/>
  <c r="AK37" i="18" s="1"/>
  <c r="AG38" i="18" s="1"/>
  <c r="AG32" i="16"/>
  <c r="AI32" i="16"/>
  <c r="AO32" i="16" s="1"/>
  <c r="AI38" i="18"/>
  <c r="AO37" i="18"/>
  <c r="AD23" i="18"/>
  <c r="Y23" i="18"/>
  <c r="Z23" i="18"/>
  <c r="AA23" i="18" s="1"/>
  <c r="AB23" i="18" s="1"/>
  <c r="V24" i="18" s="1"/>
  <c r="W24" i="17"/>
  <c r="AC23" i="17"/>
  <c r="X24" i="17" s="1"/>
  <c r="AD23" i="16"/>
  <c r="Y23" i="16"/>
  <c r="Z23" i="16"/>
  <c r="AA23" i="16" s="1"/>
  <c r="AB23" i="16" s="1"/>
  <c r="V24" i="16" s="1"/>
  <c r="AO26" i="12"/>
  <c r="AK26" i="12"/>
  <c r="AG32" i="17" l="1"/>
  <c r="AI32" i="17"/>
  <c r="AO32" i="17" s="1"/>
  <c r="AO31" i="17"/>
  <c r="AK32" i="16"/>
  <c r="AK38" i="18"/>
  <c r="AG39" i="18" s="1"/>
  <c r="AI39" i="18"/>
  <c r="AO38" i="18"/>
  <c r="W24" i="18"/>
  <c r="AC23" i="18"/>
  <c r="X24" i="18" s="1"/>
  <c r="AD24" i="17"/>
  <c r="Y24" i="17"/>
  <c r="Z24" i="17"/>
  <c r="AA24" i="17" s="1"/>
  <c r="AB24" i="17" s="1"/>
  <c r="V25" i="17" s="1"/>
  <c r="W24" i="16"/>
  <c r="AC23" i="16"/>
  <c r="X24" i="16" s="1"/>
  <c r="AG27" i="12"/>
  <c r="AI27" i="12"/>
  <c r="AK32" i="17" l="1"/>
  <c r="AO39" i="18"/>
  <c r="AG33" i="16"/>
  <c r="AI33" i="16"/>
  <c r="AK39" i="18"/>
  <c r="AD24" i="18"/>
  <c r="Y24" i="18"/>
  <c r="Z24" i="18"/>
  <c r="AA24" i="18" s="1"/>
  <c r="AB24" i="18" s="1"/>
  <c r="V25" i="18" s="1"/>
  <c r="W25" i="17"/>
  <c r="AC24" i="17"/>
  <c r="X25" i="17" s="1"/>
  <c r="AD24" i="16"/>
  <c r="Y24" i="16"/>
  <c r="Z24" i="16"/>
  <c r="AA24" i="16" s="1"/>
  <c r="AB24" i="16" s="1"/>
  <c r="V25" i="16" s="1"/>
  <c r="AO27" i="12"/>
  <c r="AK27" i="12"/>
  <c r="AG33" i="17" l="1"/>
  <c r="AI33" i="17"/>
  <c r="AO33" i="17" s="1"/>
  <c r="AK33" i="16"/>
  <c r="AO33" i="16"/>
  <c r="AI40" i="18"/>
  <c r="AG40" i="18"/>
  <c r="W25" i="18"/>
  <c r="AC24" i="18"/>
  <c r="X25" i="18" s="1"/>
  <c r="AD25" i="17"/>
  <c r="Y25" i="17"/>
  <c r="Z25" i="17"/>
  <c r="AA25" i="17" s="1"/>
  <c r="AB25" i="17" s="1"/>
  <c r="V26" i="17" s="1"/>
  <c r="W25" i="16"/>
  <c r="AC24" i="16"/>
  <c r="X25" i="16" s="1"/>
  <c r="AI28" i="12"/>
  <c r="AG28" i="12"/>
  <c r="AK33" i="17" l="1"/>
  <c r="AI34" i="16"/>
  <c r="AG34" i="16"/>
  <c r="AK40" i="18"/>
  <c r="AI41" i="18"/>
  <c r="AG41" i="18"/>
  <c r="AO40" i="18"/>
  <c r="AD25" i="18"/>
  <c r="Y25" i="18"/>
  <c r="Z25" i="18"/>
  <c r="AA25" i="18" s="1"/>
  <c r="AB25" i="18" s="1"/>
  <c r="V26" i="18" s="1"/>
  <c r="W26" i="17"/>
  <c r="AC25" i="17"/>
  <c r="X26" i="17" s="1"/>
  <c r="AD25" i="16"/>
  <c r="Y25" i="16"/>
  <c r="Z25" i="16"/>
  <c r="AA25" i="16" s="1"/>
  <c r="AB25" i="16" s="1"/>
  <c r="V26" i="16" s="1"/>
  <c r="AO28" i="12"/>
  <c r="AK28" i="12"/>
  <c r="AI34" i="17" l="1"/>
  <c r="AG34" i="17"/>
  <c r="AK34" i="17" s="1"/>
  <c r="AK41" i="18"/>
  <c r="AG42" i="18" s="1"/>
  <c r="AO34" i="16"/>
  <c r="AK34" i="16"/>
  <c r="AO41" i="18"/>
  <c r="AI42" i="18"/>
  <c r="W26" i="18"/>
  <c r="AC25" i="18"/>
  <c r="X26" i="18" s="1"/>
  <c r="AD26" i="17"/>
  <c r="Y26" i="17"/>
  <c r="Z26" i="17"/>
  <c r="AA26" i="17" s="1"/>
  <c r="AB26" i="17" s="1"/>
  <c r="V27" i="17" s="1"/>
  <c r="W26" i="16"/>
  <c r="AC25" i="16"/>
  <c r="X26" i="16" s="1"/>
  <c r="AI29" i="12"/>
  <c r="AG29" i="12"/>
  <c r="AG35" i="17" l="1"/>
  <c r="AI35" i="17"/>
  <c r="AO34" i="17"/>
  <c r="AG35" i="16"/>
  <c r="AI35" i="16"/>
  <c r="AO35" i="16" s="1"/>
  <c r="AO42" i="18"/>
  <c r="AK42" i="18"/>
  <c r="AG43" i="18" s="1"/>
  <c r="AD26" i="18"/>
  <c r="Y26" i="18"/>
  <c r="Z26" i="18"/>
  <c r="AA26" i="18" s="1"/>
  <c r="AB26" i="18" s="1"/>
  <c r="V27" i="18" s="1"/>
  <c r="W27" i="17"/>
  <c r="AC26" i="17"/>
  <c r="X27" i="17" s="1"/>
  <c r="AD26" i="16"/>
  <c r="Y26" i="16"/>
  <c r="Z26" i="16"/>
  <c r="AA26" i="16" s="1"/>
  <c r="AB26" i="16" s="1"/>
  <c r="V27" i="16" s="1"/>
  <c r="AK29" i="12"/>
  <c r="AI30" i="12" s="1"/>
  <c r="AG30" i="12"/>
  <c r="AO29" i="12"/>
  <c r="AK35" i="17" l="1"/>
  <c r="AO35" i="17"/>
  <c r="AK35" i="16"/>
  <c r="AI43" i="18"/>
  <c r="AO43" i="18" s="1"/>
  <c r="W27" i="18"/>
  <c r="AC26" i="18"/>
  <c r="X27" i="18" s="1"/>
  <c r="AD27" i="17"/>
  <c r="Y27" i="17"/>
  <c r="Z27" i="17"/>
  <c r="AA27" i="17" s="1"/>
  <c r="AB27" i="17" s="1"/>
  <c r="V28" i="17" s="1"/>
  <c r="W27" i="16"/>
  <c r="AC26" i="16"/>
  <c r="X27" i="16" s="1"/>
  <c r="AO30" i="12"/>
  <c r="AK30" i="12"/>
  <c r="AG36" i="17" l="1"/>
  <c r="AI36" i="17"/>
  <c r="AO36" i="17" s="1"/>
  <c r="AK43" i="18"/>
  <c r="AG44" i="18" s="1"/>
  <c r="AG36" i="16"/>
  <c r="AI36" i="16"/>
  <c r="AI44" i="18"/>
  <c r="AD27" i="18"/>
  <c r="Y27" i="18"/>
  <c r="Z27" i="18"/>
  <c r="AA27" i="18" s="1"/>
  <c r="AB27" i="18" s="1"/>
  <c r="V28" i="18" s="1"/>
  <c r="W28" i="17"/>
  <c r="AC27" i="17"/>
  <c r="X28" i="17" s="1"/>
  <c r="AD27" i="16"/>
  <c r="Y27" i="16"/>
  <c r="Z27" i="16"/>
  <c r="AA27" i="16" s="1"/>
  <c r="AB27" i="16" s="1"/>
  <c r="V28" i="16" s="1"/>
  <c r="AG31" i="12"/>
  <c r="AI31" i="12"/>
  <c r="AK36" i="17" l="1"/>
  <c r="AO36" i="16"/>
  <c r="AO44" i="18"/>
  <c r="AK44" i="18"/>
  <c r="AK36" i="16"/>
  <c r="W28" i="18"/>
  <c r="AC27" i="18"/>
  <c r="X28" i="18" s="1"/>
  <c r="AD28" i="17"/>
  <c r="Y28" i="17"/>
  <c r="Z28" i="17"/>
  <c r="AA28" i="17" s="1"/>
  <c r="AB28" i="17" s="1"/>
  <c r="V29" i="17" s="1"/>
  <c r="W28" i="16"/>
  <c r="AC27" i="16"/>
  <c r="X28" i="16" s="1"/>
  <c r="AO31" i="12"/>
  <c r="AK31" i="12"/>
  <c r="AI37" i="17" l="1"/>
  <c r="AG37" i="17"/>
  <c r="AI37" i="16"/>
  <c r="AG37" i="16"/>
  <c r="AK37" i="16" s="1"/>
  <c r="AD28" i="18"/>
  <c r="Y28" i="18"/>
  <c r="Z28" i="18"/>
  <c r="AA28" i="18" s="1"/>
  <c r="AB28" i="18" s="1"/>
  <c r="V29" i="18" s="1"/>
  <c r="W29" i="17"/>
  <c r="AC28" i="17"/>
  <c r="X29" i="17" s="1"/>
  <c r="AD28" i="16"/>
  <c r="Y28" i="16"/>
  <c r="Z28" i="16"/>
  <c r="AA28" i="16" s="1"/>
  <c r="AB28" i="16" s="1"/>
  <c r="V29" i="16" s="1"/>
  <c r="AG32" i="12"/>
  <c r="AI32" i="12"/>
  <c r="AK37" i="17" l="1"/>
  <c r="AI38" i="17"/>
  <c r="AG38" i="17"/>
  <c r="AK38" i="17" s="1"/>
  <c r="AO37" i="17"/>
  <c r="AI38" i="16"/>
  <c r="AG38" i="16"/>
  <c r="AO37" i="16"/>
  <c r="W29" i="18"/>
  <c r="AC28" i="18"/>
  <c r="X29" i="18" s="1"/>
  <c r="AD29" i="17"/>
  <c r="Y29" i="17"/>
  <c r="Z29" i="17"/>
  <c r="AA29" i="17" s="1"/>
  <c r="AB29" i="17" s="1"/>
  <c r="V30" i="17" s="1"/>
  <c r="W29" i="16"/>
  <c r="AC28" i="16"/>
  <c r="X29" i="16" s="1"/>
  <c r="AO32" i="12"/>
  <c r="AK32" i="12"/>
  <c r="AG39" i="17" l="1"/>
  <c r="AI39" i="17"/>
  <c r="AO39" i="17" s="1"/>
  <c r="AO38" i="17"/>
  <c r="AK38" i="16"/>
  <c r="AG39" i="16" s="1"/>
  <c r="AI39" i="16"/>
  <c r="AO38" i="16"/>
  <c r="AD29" i="18"/>
  <c r="Y29" i="18"/>
  <c r="Z29" i="18"/>
  <c r="AA29" i="18" s="1"/>
  <c r="AB29" i="18" s="1"/>
  <c r="V30" i="18" s="1"/>
  <c r="W30" i="17"/>
  <c r="AC29" i="17"/>
  <c r="X30" i="17" s="1"/>
  <c r="AD29" i="16"/>
  <c r="Y29" i="16"/>
  <c r="Z29" i="16"/>
  <c r="AA29" i="16" s="1"/>
  <c r="AB29" i="16" s="1"/>
  <c r="V30" i="16" s="1"/>
  <c r="AI33" i="12"/>
  <c r="AG33" i="12"/>
  <c r="AK39" i="17" l="1"/>
  <c r="AO39" i="16"/>
  <c r="AK39" i="16"/>
  <c r="W30" i="18"/>
  <c r="AC29" i="18"/>
  <c r="X30" i="18" s="1"/>
  <c r="AD30" i="17"/>
  <c r="Y30" i="17"/>
  <c r="Z30" i="17"/>
  <c r="AA30" i="17" s="1"/>
  <c r="AB30" i="17" s="1"/>
  <c r="V31" i="17" s="1"/>
  <c r="W30" i="16"/>
  <c r="AC29" i="16"/>
  <c r="X30" i="16" s="1"/>
  <c r="AK33" i="12"/>
  <c r="AI34" i="12" s="1"/>
  <c r="AG34" i="12"/>
  <c r="AO33" i="12"/>
  <c r="AI40" i="17" l="1"/>
  <c r="AG40" i="17"/>
  <c r="AK40" i="17" s="1"/>
  <c r="AI40" i="16"/>
  <c r="AG40" i="16"/>
  <c r="AD30" i="18"/>
  <c r="Y30" i="18"/>
  <c r="Z30" i="18"/>
  <c r="AA30" i="18" s="1"/>
  <c r="AB30" i="18" s="1"/>
  <c r="V31" i="18" s="1"/>
  <c r="W31" i="17"/>
  <c r="AC30" i="17"/>
  <c r="X31" i="17" s="1"/>
  <c r="AD30" i="16"/>
  <c r="Y30" i="16"/>
  <c r="Z30" i="16"/>
  <c r="AA30" i="16" s="1"/>
  <c r="AB30" i="16" s="1"/>
  <c r="V31" i="16" s="1"/>
  <c r="AK34" i="12"/>
  <c r="AG35" i="12" s="1"/>
  <c r="AI35" i="12"/>
  <c r="AO34" i="12"/>
  <c r="AG41" i="17" l="1"/>
  <c r="AI41" i="17"/>
  <c r="AO41" i="17" s="1"/>
  <c r="AO40" i="17"/>
  <c r="AK40" i="16"/>
  <c r="AI41" i="16" s="1"/>
  <c r="AG41" i="16"/>
  <c r="AO40" i="16"/>
  <c r="W31" i="18"/>
  <c r="AC30" i="18"/>
  <c r="X31" i="18" s="1"/>
  <c r="AD31" i="17"/>
  <c r="Y31" i="17"/>
  <c r="Z31" i="17"/>
  <c r="AA31" i="17" s="1"/>
  <c r="AB31" i="17" s="1"/>
  <c r="V32" i="17" s="1"/>
  <c r="W31" i="16"/>
  <c r="AC30" i="16"/>
  <c r="X31" i="16" s="1"/>
  <c r="AO35" i="12"/>
  <c r="AK35" i="12"/>
  <c r="AK41" i="17" l="1"/>
  <c r="AK41" i="16"/>
  <c r="AG42" i="16" s="1"/>
  <c r="AI42" i="16"/>
  <c r="AO41" i="16"/>
  <c r="AD31" i="18"/>
  <c r="Y31" i="18"/>
  <c r="Z31" i="18"/>
  <c r="AA31" i="18" s="1"/>
  <c r="AB31" i="18" s="1"/>
  <c r="V32" i="18" s="1"/>
  <c r="W32" i="17"/>
  <c r="AC31" i="17"/>
  <c r="X32" i="17" s="1"/>
  <c r="AD31" i="16"/>
  <c r="Y31" i="16"/>
  <c r="Z31" i="16"/>
  <c r="AA31" i="16" s="1"/>
  <c r="AB31" i="16" s="1"/>
  <c r="V32" i="16" s="1"/>
  <c r="AG36" i="12"/>
  <c r="AI36" i="12"/>
  <c r="AG42" i="17" l="1"/>
  <c r="AI42" i="17"/>
  <c r="AO42" i="17" s="1"/>
  <c r="AO42" i="16"/>
  <c r="AK42" i="16"/>
  <c r="W32" i="18"/>
  <c r="AC31" i="18"/>
  <c r="X32" i="18" s="1"/>
  <c r="AD32" i="17"/>
  <c r="Y32" i="17"/>
  <c r="Z32" i="17"/>
  <c r="AA32" i="17" s="1"/>
  <c r="AB32" i="17" s="1"/>
  <c r="V33" i="17" s="1"/>
  <c r="W32" i="16"/>
  <c r="AC31" i="16"/>
  <c r="X32" i="16" s="1"/>
  <c r="AO36" i="12"/>
  <c r="AK36" i="12"/>
  <c r="AK42" i="17" l="1"/>
  <c r="AG43" i="16"/>
  <c r="AI43" i="16"/>
  <c r="AD32" i="18"/>
  <c r="Y32" i="18"/>
  <c r="Z32" i="18"/>
  <c r="AA32" i="18" s="1"/>
  <c r="AB32" i="18" s="1"/>
  <c r="V33" i="18" s="1"/>
  <c r="W33" i="17"/>
  <c r="AC32" i="17"/>
  <c r="X33" i="17" s="1"/>
  <c r="AD32" i="16"/>
  <c r="Y32" i="16"/>
  <c r="Z32" i="16"/>
  <c r="AA32" i="16" s="1"/>
  <c r="AB32" i="16" s="1"/>
  <c r="V33" i="16" s="1"/>
  <c r="AG37" i="12"/>
  <c r="AI37" i="12"/>
  <c r="AG43" i="17" l="1"/>
  <c r="AI43" i="17"/>
  <c r="AO43" i="17" s="1"/>
  <c r="AO43" i="16"/>
  <c r="AK43" i="16"/>
  <c r="W33" i="18"/>
  <c r="AC32" i="18"/>
  <c r="X33" i="18" s="1"/>
  <c r="AD33" i="17"/>
  <c r="Y33" i="17"/>
  <c r="Z33" i="17"/>
  <c r="AA33" i="17" s="1"/>
  <c r="AB33" i="17" s="1"/>
  <c r="V34" i="17" s="1"/>
  <c r="W33" i="16"/>
  <c r="AC32" i="16"/>
  <c r="X33" i="16" s="1"/>
  <c r="AO37" i="12"/>
  <c r="AK37" i="12"/>
  <c r="AK43" i="17" l="1"/>
  <c r="AI44" i="16"/>
  <c r="AG44" i="16"/>
  <c r="AD33" i="18"/>
  <c r="Y33" i="18"/>
  <c r="Z33" i="18"/>
  <c r="AA33" i="18" s="1"/>
  <c r="AB33" i="18" s="1"/>
  <c r="V34" i="18" s="1"/>
  <c r="W34" i="17"/>
  <c r="AC33" i="17"/>
  <c r="X34" i="17" s="1"/>
  <c r="AD33" i="16"/>
  <c r="Y33" i="16"/>
  <c r="Z33" i="16"/>
  <c r="AA33" i="16" s="1"/>
  <c r="AB33" i="16" s="1"/>
  <c r="V34" i="16" s="1"/>
  <c r="AI38" i="12"/>
  <c r="AG38" i="12"/>
  <c r="AG44" i="17" l="1"/>
  <c r="AI44" i="17"/>
  <c r="AO44" i="17" s="1"/>
  <c r="AK44" i="16"/>
  <c r="AO44" i="16"/>
  <c r="W34" i="18"/>
  <c r="AC33" i="18"/>
  <c r="X34" i="18" s="1"/>
  <c r="AD34" i="17"/>
  <c r="Y34" i="17"/>
  <c r="Z34" i="17"/>
  <c r="W34" i="16"/>
  <c r="AC33" i="16"/>
  <c r="X34" i="16" s="1"/>
  <c r="AK38" i="12"/>
  <c r="AG39" i="12" s="1"/>
  <c r="AO38" i="12"/>
  <c r="AK44" i="17" l="1"/>
  <c r="AI39" i="12"/>
  <c r="AO39" i="12" s="1"/>
  <c r="AD34" i="18"/>
  <c r="Y34" i="18"/>
  <c r="Z34" i="18"/>
  <c r="O26" i="17"/>
  <c r="O27" i="17" s="1"/>
  <c r="G17" i="17" s="1"/>
  <c r="AA34" i="17"/>
  <c r="AB34" i="17" s="1"/>
  <c r="AD34" i="16"/>
  <c r="Y34" i="16"/>
  <c r="Z34" i="16"/>
  <c r="AK39" i="12" l="1"/>
  <c r="O26" i="18"/>
  <c r="O27" i="18" s="1"/>
  <c r="G17" i="18" s="1"/>
  <c r="AA34" i="18"/>
  <c r="AB34" i="18" s="1"/>
  <c r="G20" i="17"/>
  <c r="G18" i="17"/>
  <c r="AC34" i="17"/>
  <c r="O26" i="16"/>
  <c r="O27" i="16" s="1"/>
  <c r="G17" i="16" s="1"/>
  <c r="AA34" i="16"/>
  <c r="AB34" i="16" s="1"/>
  <c r="AG40" i="12"/>
  <c r="AI40" i="12"/>
  <c r="AC34" i="16" l="1"/>
  <c r="AC34" i="18"/>
  <c r="G20" i="18"/>
  <c r="G18" i="18"/>
  <c r="K6" i="17"/>
  <c r="G33" i="17"/>
  <c r="K10" i="17" s="1"/>
  <c r="K15" i="17" s="1"/>
  <c r="G20" i="16"/>
  <c r="G18" i="16"/>
  <c r="AO40" i="12"/>
  <c r="AK40" i="12"/>
  <c r="K6" i="18" l="1"/>
  <c r="G33" i="18"/>
  <c r="K10" i="18" s="1"/>
  <c r="K15" i="18" s="1"/>
  <c r="K43" i="17"/>
  <c r="K35" i="17"/>
  <c r="K7" i="17"/>
  <c r="K19" i="17"/>
  <c r="K18" i="17"/>
  <c r="K6" i="16"/>
  <c r="G33" i="16"/>
  <c r="K10" i="16" s="1"/>
  <c r="K15" i="16" s="1"/>
  <c r="AI41" i="12"/>
  <c r="AG41" i="12"/>
  <c r="K30" i="17" l="1"/>
  <c r="K31" i="17" s="1"/>
  <c r="K35" i="18"/>
  <c r="K43" i="18"/>
  <c r="K7" i="18"/>
  <c r="K19" i="18"/>
  <c r="K18" i="18"/>
  <c r="K36" i="17"/>
  <c r="K39" i="17" s="1"/>
  <c r="K44" i="17"/>
  <c r="K47" i="17" s="1"/>
  <c r="K43" i="16"/>
  <c r="K35" i="16"/>
  <c r="K7" i="16"/>
  <c r="K19" i="16"/>
  <c r="K18" i="16"/>
  <c r="AK41" i="12"/>
  <c r="AG42" i="12" s="1"/>
  <c r="AI42" i="12"/>
  <c r="AO41" i="12"/>
  <c r="AL4" i="17" l="1"/>
  <c r="AJ4" i="17"/>
  <c r="AH4" i="17"/>
  <c r="K44" i="18"/>
  <c r="K47" i="18" s="1"/>
  <c r="K36" i="18"/>
  <c r="K39" i="18" s="1"/>
  <c r="K30" i="18"/>
  <c r="K44" i="16"/>
  <c r="K47" i="16" s="1"/>
  <c r="K36" i="16"/>
  <c r="K39" i="16" s="1"/>
  <c r="K30" i="16"/>
  <c r="AO42" i="12"/>
  <c r="AK42" i="12"/>
  <c r="K31" i="18" l="1"/>
  <c r="AJ4" i="18"/>
  <c r="AH4" i="18"/>
  <c r="AL4" i="18"/>
  <c r="K31" i="16"/>
  <c r="AH4" i="16"/>
  <c r="AL4" i="16"/>
  <c r="AJ4" i="16"/>
  <c r="AG43" i="12"/>
  <c r="AI43" i="12"/>
  <c r="AO43" i="12" l="1"/>
  <c r="AK43" i="12"/>
  <c r="AG44" i="12" l="1"/>
  <c r="AI44" i="12"/>
  <c r="AO44" i="12" l="1"/>
  <c r="AK44" i="12"/>
  <c r="G29" i="12" l="1"/>
  <c r="G27" i="12" s="1"/>
  <c r="K29" i="12"/>
  <c r="K24" i="12"/>
  <c r="K27" i="12"/>
  <c r="O4" i="12"/>
  <c r="G7" i="12"/>
  <c r="G26" i="12"/>
  <c r="G10" i="12"/>
  <c r="K14" i="12"/>
  <c r="K34" i="12"/>
  <c r="K20" i="12"/>
  <c r="K23" i="12"/>
  <c r="K26" i="12"/>
  <c r="K21" i="12"/>
  <c r="O6" i="12"/>
  <c r="K22" i="12"/>
  <c r="K28" i="12"/>
  <c r="G28" i="12" l="1"/>
  <c r="K25" i="12"/>
  <c r="K45" i="12" s="1"/>
  <c r="G8" i="12"/>
  <c r="G9" i="12" s="1"/>
  <c r="K4" i="12"/>
  <c r="K5" i="12" s="1"/>
  <c r="O12" i="12"/>
  <c r="O13" i="12" s="1"/>
  <c r="K38" i="12"/>
  <c r="K46" i="12"/>
  <c r="O16" i="12" l="1"/>
  <c r="O14" i="12"/>
  <c r="K37" i="12"/>
  <c r="O20" i="12" l="1"/>
  <c r="O15" i="12"/>
  <c r="O23" i="12" l="1"/>
  <c r="O28" i="12"/>
  <c r="O30" i="12" s="1"/>
  <c r="G16" i="12"/>
  <c r="K16" i="12"/>
  <c r="G19" i="12" l="1"/>
  <c r="AA4" i="12"/>
  <c r="Y4" i="12"/>
  <c r="W4" i="12"/>
  <c r="AB4" i="12" l="1"/>
  <c r="V5" i="12" s="1"/>
  <c r="W5" i="12" s="1"/>
  <c r="AC4" i="12"/>
  <c r="X5" i="12" s="1"/>
  <c r="Y5" i="12" s="1"/>
  <c r="Z5" i="12" l="1"/>
  <c r="AA5" i="12" s="1"/>
  <c r="AC5" i="12" s="1"/>
  <c r="X6" i="12" s="1"/>
  <c r="Y6" i="12" s="1"/>
  <c r="AD5" i="12"/>
  <c r="AB5" i="12" l="1"/>
  <c r="V6" i="12" s="1"/>
  <c r="W6" i="12" s="1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AD7" i="12" l="1"/>
  <c r="W7" i="12"/>
  <c r="AB7" i="12" s="1"/>
  <c r="V8" i="12" s="1"/>
  <c r="Z8" i="12" s="1"/>
  <c r="AA8" i="12" s="1"/>
  <c r="Y8" i="12"/>
  <c r="AD8" i="12" l="1"/>
  <c r="W8" i="12"/>
  <c r="AB8" i="12" s="1"/>
  <c r="V9" i="12" s="1"/>
  <c r="W9" i="12" s="1"/>
  <c r="AC8" i="12"/>
  <c r="X9" i="12" s="1"/>
  <c r="Y9" i="12" s="1"/>
  <c r="AD9" i="12" l="1"/>
  <c r="Z9" i="12"/>
  <c r="AA9" i="12" s="1"/>
  <c r="AB9" i="12" s="1"/>
  <c r="V10" i="12" s="1"/>
  <c r="W10" i="12" s="1"/>
  <c r="AC9" i="12" l="1"/>
  <c r="X10" i="12" s="1"/>
  <c r="Z10" i="12" s="1"/>
  <c r="AA10" i="12" s="1"/>
  <c r="AB10" i="12" s="1"/>
  <c r="V11" i="12" s="1"/>
  <c r="W11" i="12" s="1"/>
  <c r="AD10" i="12" l="1"/>
  <c r="Y10" i="12"/>
  <c r="AC10" i="12" s="1"/>
  <c r="X11" i="12" s="1"/>
  <c r="Y11" i="12" s="1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W14" i="12" s="1"/>
  <c r="AD13" i="12" l="1"/>
  <c r="Y13" i="12"/>
  <c r="AC13" i="12" s="1"/>
  <c r="X14" i="12" s="1"/>
  <c r="AD14" i="12" s="1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Y15" i="12" l="1"/>
  <c r="AC15" i="12" s="1"/>
  <c r="X16" i="12" s="1"/>
  <c r="Z16" i="12" s="1"/>
  <c r="AA16" i="12" s="1"/>
  <c r="AD15" i="12"/>
  <c r="W16" i="12"/>
  <c r="AB16" i="12" l="1"/>
  <c r="V17" i="12" s="1"/>
  <c r="W17" i="12" s="1"/>
  <c r="AD16" i="12"/>
  <c r="Y16" i="12"/>
  <c r="AC16" i="12" s="1"/>
  <c r="X17" i="12" s="1"/>
  <c r="Y17" i="12" l="1"/>
  <c r="AD17" i="12"/>
  <c r="Z17" i="12"/>
  <c r="AA17" i="12" s="1"/>
  <c r="AB17" i="12" s="1"/>
  <c r="V18" i="12" s="1"/>
  <c r="W18" i="12" s="1"/>
  <c r="AC17" i="12" l="1"/>
  <c r="X18" i="12" s="1"/>
  <c r="Y18" i="12" l="1"/>
  <c r="AD18" i="12"/>
  <c r="Z18" i="12"/>
  <c r="AA18" i="12" s="1"/>
  <c r="AB18" i="12" s="1"/>
  <c r="V19" i="12" s="1"/>
  <c r="W19" i="12" s="1"/>
  <c r="AC18" i="12" l="1"/>
  <c r="X19" i="12" s="1"/>
  <c r="Z19" i="12" l="1"/>
  <c r="AA19" i="12" s="1"/>
  <c r="AB19" i="12" s="1"/>
  <c r="V20" i="12" s="1"/>
  <c r="AD19" i="12"/>
  <c r="Y19" i="12"/>
  <c r="AC19" i="12" l="1"/>
  <c r="X20" i="12" s="1"/>
  <c r="Y20" i="12" s="1"/>
  <c r="W20" i="12"/>
  <c r="Z20" i="12" l="1"/>
  <c r="AA20" i="12" s="1"/>
  <c r="AB20" i="12" s="1"/>
  <c r="V21" i="12" s="1"/>
  <c r="W21" i="12" s="1"/>
  <c r="AD20" i="12"/>
  <c r="AC20" i="12" l="1"/>
  <c r="X21" i="12" s="1"/>
  <c r="Z21" i="12" s="1"/>
  <c r="AA21" i="12" s="1"/>
  <c r="AB21" i="12" s="1"/>
  <c r="V22" i="12" s="1"/>
  <c r="Y21" i="12" l="1"/>
  <c r="AC21" i="12" s="1"/>
  <c r="X22" i="12" s="1"/>
  <c r="Z22" i="12" s="1"/>
  <c r="AA22" i="12" s="1"/>
  <c r="AD21" i="12"/>
  <c r="W22" i="12"/>
  <c r="Y22" i="12" l="1"/>
  <c r="AC22" i="12" s="1"/>
  <c r="X23" i="12" s="1"/>
  <c r="Y23" i="12" s="1"/>
  <c r="AD22" i="12"/>
  <c r="AB22" i="12"/>
  <c r="V23" i="12" s="1"/>
  <c r="W23" i="12" s="1"/>
  <c r="Z23" i="12" l="1"/>
  <c r="AA23" i="12" s="1"/>
  <c r="AB23" i="12" s="1"/>
  <c r="V24" i="12" s="1"/>
  <c r="AD23" i="12"/>
  <c r="W24" i="12" l="1"/>
  <c r="AC23" i="12"/>
  <c r="X24" i="12" s="1"/>
  <c r="Y24" i="12" l="1"/>
  <c r="AD24" i="12"/>
  <c r="Z24" i="12"/>
  <c r="AA24" i="12" s="1"/>
  <c r="AB24" i="12" s="1"/>
  <c r="V25" i="12" s="1"/>
  <c r="W25" i="12" l="1"/>
  <c r="AC24" i="12"/>
  <c r="X25" i="12" s="1"/>
  <c r="AD25" i="12" l="1"/>
  <c r="Y25" i="12"/>
  <c r="Z25" i="12"/>
  <c r="AA25" i="12" s="1"/>
  <c r="AB25" i="12" s="1"/>
  <c r="V26" i="12" s="1"/>
  <c r="W26" i="12" l="1"/>
  <c r="AC25" i="12"/>
  <c r="X26" i="12" s="1"/>
  <c r="Z26" i="12" s="1"/>
  <c r="AA26" i="12" s="1"/>
  <c r="Y26" i="12" l="1"/>
  <c r="AC26" i="12" s="1"/>
  <c r="X27" i="12" s="1"/>
  <c r="AD26" i="12"/>
  <c r="AB26" i="12"/>
  <c r="V27" i="12" s="1"/>
  <c r="W27" i="12" l="1"/>
  <c r="Z27" i="12"/>
  <c r="AA27" i="12" s="1"/>
  <c r="Y27" i="12"/>
  <c r="AD27" i="12"/>
  <c r="AB27" i="12" l="1"/>
  <c r="V28" i="12" s="1"/>
  <c r="W28" i="12" s="1"/>
  <c r="AC27" i="12"/>
  <c r="X28" i="12" s="1"/>
  <c r="Z28" i="12" l="1"/>
  <c r="AA28" i="12" s="1"/>
  <c r="AB28" i="12" s="1"/>
  <c r="V29" i="12" s="1"/>
  <c r="AD28" i="12"/>
  <c r="Y28" i="12"/>
  <c r="AC28" i="12" l="1"/>
  <c r="X29" i="12" s="1"/>
  <c r="Y29" i="12" s="1"/>
  <c r="W29" i="12"/>
  <c r="Z29" i="12" l="1"/>
  <c r="AA29" i="12" s="1"/>
  <c r="AB29" i="12" s="1"/>
  <c r="V30" i="12" s="1"/>
  <c r="W30" i="12" s="1"/>
  <c r="AD29" i="12"/>
  <c r="AC29" i="12" l="1"/>
  <c r="X30" i="12" s="1"/>
  <c r="Z30" i="12" s="1"/>
  <c r="AA30" i="12" s="1"/>
  <c r="AB30" i="12" s="1"/>
  <c r="V31" i="12" s="1"/>
  <c r="AD30" i="12" l="1"/>
  <c r="Y30" i="12"/>
  <c r="AC30" i="12" s="1"/>
  <c r="X31" i="12" s="1"/>
  <c r="Y31" i="12" s="1"/>
  <c r="W31" i="12"/>
  <c r="Z31" i="12" l="1"/>
  <c r="AA31" i="12" s="1"/>
  <c r="AB31" i="12" s="1"/>
  <c r="V32" i="12" s="1"/>
  <c r="W32" i="12" s="1"/>
  <c r="AD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AD33" i="12" s="1"/>
  <c r="Z33" i="12" l="1"/>
  <c r="AA33" i="12" s="1"/>
  <c r="AB33" i="12" s="1"/>
  <c r="V34" i="12" s="1"/>
  <c r="W34" i="12" s="1"/>
  <c r="Y33" i="12"/>
  <c r="AC33" i="12" l="1"/>
  <c r="X34" i="12" s="1"/>
  <c r="Z34" i="12" s="1"/>
  <c r="O26" i="12" s="1"/>
  <c r="O27" i="12" s="1"/>
  <c r="G17" i="12" s="1"/>
  <c r="Y34" i="12" l="1"/>
  <c r="AD34" i="12"/>
  <c r="AA34" i="12"/>
  <c r="AB34" i="12" s="1"/>
  <c r="G18" i="12"/>
  <c r="G20" i="12"/>
  <c r="AC34" i="12" l="1"/>
  <c r="G33" i="12"/>
  <c r="K10" i="12" s="1"/>
  <c r="K15" i="12" s="1"/>
  <c r="K6" i="12"/>
  <c r="K7" i="12" l="1"/>
  <c r="K18" i="12"/>
  <c r="K19" i="12"/>
  <c r="K43" i="12"/>
  <c r="K35" i="12"/>
  <c r="K30" i="12" l="1"/>
  <c r="K31" i="12" s="1"/>
  <c r="K36" i="12"/>
  <c r="K39" i="12" s="1"/>
  <c r="K44" i="12"/>
  <c r="K47" i="12" s="1"/>
  <c r="AL4" i="12" l="1"/>
  <c r="AH4" i="12"/>
  <c r="AJ4" i="12"/>
</calcChain>
</file>

<file path=xl/sharedStrings.xml><?xml version="1.0" encoding="utf-8"?>
<sst xmlns="http://schemas.openxmlformats.org/spreadsheetml/2006/main" count="1144" uniqueCount="179">
  <si>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</si>
  <si>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</si>
  <si>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</si>
  <si>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</si>
  <si>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</si>
  <si>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</si>
  <si>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</si>
  <si>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</si>
  <si>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</si>
  <si>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</si>
  <si>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</si>
  <si>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</si>
  <si>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</si>
  <si>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</si>
  <si>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</si>
  <si>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</si>
  <si>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</si>
  <si>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</si>
  <si>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</si>
  <si>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</si>
  <si>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</si>
  <si>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</si>
  <si>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</si>
  <si>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</si>
  <si>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</si>
  <si>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</si>
  <si>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</si>
  <si>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</si>
  <si>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</si>
  <si>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</si>
  <si>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</si>
  <si>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</si>
  <si>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</si>
  <si>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</si>
  <si>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</si>
  <si>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</si>
  <si>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</si>
  <si>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</si>
  <si>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</si>
  <si>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</si>
  <si>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</si>
  <si>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</si>
  <si>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</si>
  <si>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</si>
  <si>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</si>
  <si>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</si>
  <si>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</si>
  <si>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</si>
  <si>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</si>
  <si>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</si>
  <si>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</si>
  <si>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</si>
  <si>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</si>
  <si>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</si>
  <si>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</si>
  <si>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</si>
  <si>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</si>
  <si>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</si>
  <si>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</si>
  <si>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</si>
  <si>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</si>
  <si>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</si>
  <si>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</si>
  <si>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</si>
  <si>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</si>
  <si>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</si>
  <si>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</si>
  <si>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</si>
  <si>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</si>
  <si>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</si>
  <si>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</si>
  <si>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</si>
  <si>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</si>
  <si>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</si>
  <si>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</si>
  <si>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</si>
  <si>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</si>
  <si>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</si>
  <si>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</si>
  <si>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</si>
  <si>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</si>
  <si>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</si>
  <si>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</si>
  <si>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</si>
  <si>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</si>
  <si>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</si>
  <si>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</si>
  <si>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</si>
  <si>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</si>
  <si>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</si>
  <si>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</si>
  <si>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</si>
  <si>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</si>
  <si>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</si>
  <si>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</si>
  <si>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</si>
  <si>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</si>
  <si>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</si>
  <si>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</si>
  <si>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</si>
  <si>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</si>
  <si>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</si>
  <si>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</si>
  <si>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</si>
  <si>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</si>
  <si>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</si>
  <si>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</si>
  <si>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</si>
  <si>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</si>
  <si>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</si>
  <si>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</si>
  <si>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</si>
  <si>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</si>
  <si>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</si>
  <si>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CD0_total</t>
  </si>
  <si>
    <t>type</t>
  </si>
  <si>
    <t>wheeled</t>
  </si>
  <si>
    <t>f_LG</t>
  </si>
  <si>
    <t>eVTOL design parameters</t>
  </si>
  <si>
    <t>lift_rotor_solidity</t>
  </si>
  <si>
    <t>M</t>
  </si>
  <si>
    <t>sound_speed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</si>
  <si>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</si>
  <si>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</si>
  <si>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</si>
  <si>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</si>
  <si>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</si>
  <si>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</si>
  <si>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</si>
  <si>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</si>
  <si>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</si>
  <si>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</si>
  <si>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</si>
  <si>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</si>
  <si>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</si>
  <si>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</si>
  <si>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</si>
  <si>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</si>
  <si>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</si>
  <si>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</si>
  <si>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</si>
  <si>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</si>
  <si>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</si>
  <si>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</si>
  <si>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</si>
  <si>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</si>
  <si>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</si>
  <si>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</si>
  <si>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</si>
  <si>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</si>
  <si>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</si>
  <si>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</si>
  <si>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</si>
  <si>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</si>
  <si>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</si>
  <si>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</si>
  <si>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</si>
  <si>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</si>
  <si>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</si>
  <si>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</si>
  <si>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</si>
  <si>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</si>
  <si>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</si>
  <si>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mission_repetition</t>
  </si>
  <si>
    <t>rho_softmax</t>
  </si>
  <si>
    <t>tf_propulsion</t>
  </si>
  <si>
    <t>tf_structure</t>
  </si>
  <si>
    <t>tf_equipments</t>
  </si>
  <si>
    <t>Propeller|RPM_cruise</t>
  </si>
  <si>
    <t>Environment at 5500 ft</t>
  </si>
  <si>
    <t>Environment at 6500 ft</t>
  </si>
  <si>
    <t>efficiency T/P</t>
  </si>
  <si>
    <t>g/W</t>
  </si>
  <si>
    <t>CT/sigma</t>
  </si>
  <si>
    <t>motor_power_margin</t>
  </si>
  <si>
    <t>Reserve cruise segment</t>
  </si>
  <si>
    <t>reserve cruise duration</t>
  </si>
  <si>
    <t>CD0_wing</t>
  </si>
  <si>
    <t>f_e_non_hub_non_wing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</si>
</sst>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liftcruise_ref!$J$42:$J$46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liftcruise_ref!$K$42:$K$46</c:f>
              <c:numCache>
                <c:formatCode>General</c:formatCode>
                <c:ptCount val="5"/>
                <c:pt idx="0">
                  <c:v>600</c:v>
                </c:pt>
                <c:pt idx="1">
                  <c:v>819.95</c:v>
                </c:pt>
                <c:pt idx="2">
                  <c:v>502.25</c:v>
                </c:pt>
                <c:pt idx="3">
                  <c:v>796.73</c:v>
                </c:pt>
                <c:pt idx="4">
                  <c:v>139.96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liftcruise_ref!$J$34:$J$38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liftcruise_ref!$K$34:$K$38</c:f>
              <c:numCache>
                <c:formatCode>General</c:formatCode>
                <c:ptCount val="5"/>
                <c:pt idx="0">
                  <c:v>20.99</c:v>
                </c:pt>
                <c:pt idx="1">
                  <c:v>28.68</c:v>
                </c:pt>
                <c:pt idx="2">
                  <c:v>17.57</c:v>
                </c:pt>
                <c:pt idx="3">
                  <c:v>27.87</c:v>
                </c:pt>
                <c:pt idx="4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6F-0E4D-9490-EB682F2286C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6F-0E4D-9490-EB682F2286C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6F-0E4D-9490-EB682F2286C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56F-0E4D-9490-EB682F2286C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56F-0E4D-9490-EB682F2286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liftcruise_opt_weight!$J$42:$J$46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liftcruise_opt_weight!$K$42:$K$46</c:f>
              <c:numCache>
                <c:formatCode>General</c:formatCode>
                <c:ptCount val="5"/>
                <c:pt idx="0">
                  <c:v>600</c:v>
                </c:pt>
                <c:pt idx="1">
                  <c:v>399</c:v>
                </c:pt>
                <c:pt idx="2">
                  <c:v>244.01</c:v>
                </c:pt>
                <c:pt idx="3">
                  <c:v>452.33</c:v>
                </c:pt>
                <c:pt idx="4">
                  <c:v>84.66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6F-0E4D-9490-EB682F2286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20-8847-934F-4CFE343132D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20-8847-934F-4CFE343132D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20-8847-934F-4CFE343132D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620-8847-934F-4CFE343132D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620-8847-934F-4CFE343132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liftcruise_opt_weight!$J$34:$J$38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liftcruise_opt_weight!$K$34:$K$38</c:f>
              <c:numCache>
                <c:formatCode>General</c:formatCode>
                <c:ptCount val="5"/>
                <c:pt idx="0">
                  <c:v>33.71</c:v>
                </c:pt>
                <c:pt idx="1">
                  <c:v>22.42</c:v>
                </c:pt>
                <c:pt idx="2">
                  <c:v>13.71</c:v>
                </c:pt>
                <c:pt idx="3">
                  <c:v>25.41</c:v>
                </c:pt>
                <c:pt idx="4">
                  <c:v>4.76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20-8847-934F-4CFE343132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3C-8640-897E-FFA1C3144E0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3C-8640-897E-FFA1C3144E0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3C-8640-897E-FFA1C3144E0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3C-8640-897E-FFA1C3144E0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63C-8640-897E-FFA1C3144E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liftcruise_opt_energy!$J$42:$J$46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liftcruise_opt_energy!$K$42:$K$46</c:f>
              <c:numCache>
                <c:formatCode>General</c:formatCode>
                <c:ptCount val="5"/>
                <c:pt idx="0">
                  <c:v>600</c:v>
                </c:pt>
                <c:pt idx="1">
                  <c:v>367.99</c:v>
                </c:pt>
                <c:pt idx="2">
                  <c:v>239.91</c:v>
                </c:pt>
                <c:pt idx="3">
                  <c:v>564</c:v>
                </c:pt>
                <c:pt idx="4">
                  <c:v>88.69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3C-8640-897E-FFA1C3144E0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1AE-9040-9226-A91B0F01EC8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AE-9040-9226-A91B0F01EC8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AE-9040-9226-A91B0F01EC8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1AE-9040-9226-A91B0F01EC8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1AE-9040-9226-A91B0F01EC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liftcruise_opt_energy!$J$34:$J$38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liftcruise_opt_energy!$K$34:$K$38</c:f>
              <c:numCache>
                <c:formatCode>General</c:formatCode>
                <c:ptCount val="5"/>
                <c:pt idx="0">
                  <c:v>32.25</c:v>
                </c:pt>
                <c:pt idx="1">
                  <c:v>19.78</c:v>
                </c:pt>
                <c:pt idx="2">
                  <c:v>12.89</c:v>
                </c:pt>
                <c:pt idx="3">
                  <c:v>30.31</c:v>
                </c:pt>
                <c:pt idx="4">
                  <c:v>4.7699999999999996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1AE-9040-9226-A91B0F01EC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97-3D48-9CF3-B97C85D26EC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97-3D48-9CF3-B97C85D26EC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97-3D48-9CF3-B97C85D26EC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497-3D48-9CF3-B97C85D26EC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497-3D48-9CF3-B97C85D26E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liftcruise_opt_time!$J$42:$J$46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liftcruise_opt_time!$K$42:$K$46</c:f>
              <c:numCache>
                <c:formatCode>General</c:formatCode>
                <c:ptCount val="5"/>
                <c:pt idx="0">
                  <c:v>600</c:v>
                </c:pt>
                <c:pt idx="1">
                  <c:v>1399.04</c:v>
                </c:pt>
                <c:pt idx="2">
                  <c:v>800.78</c:v>
                </c:pt>
                <c:pt idx="3">
                  <c:v>908.73</c:v>
                </c:pt>
                <c:pt idx="4">
                  <c:v>196.04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97-3D48-9CF3-B97C85D26E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2F-6C47-991A-5B7C6DCFCF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2F-6C47-991A-5B7C6DCFCF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2F-6C47-991A-5B7C6DCFCF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2F-6C47-991A-5B7C6DCFCF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2F-6C47-991A-5B7C6DCFCF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liftcruise_opt_time!$J$34:$J$38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liftcruise_opt_time!$K$34:$K$38</c:f>
              <c:numCache>
                <c:formatCode>General</c:formatCode>
                <c:ptCount val="5"/>
                <c:pt idx="0">
                  <c:v>15.37</c:v>
                </c:pt>
                <c:pt idx="1">
                  <c:v>35.83</c:v>
                </c:pt>
                <c:pt idx="2">
                  <c:v>20.51</c:v>
                </c:pt>
                <c:pt idx="3">
                  <c:v>23.27</c:v>
                </c:pt>
                <c:pt idx="4">
                  <c:v>5.0199999999999996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2F-6C47-991A-5B7C6DCFCF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7A1AA-173F-1744-9A09-6EF642AC3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9F1490-4E8B-6848-8BF6-6D99A3FFD3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47B0D1-5F1D-0145-A089-7978528F22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ABDABF-592E-5F47-824C-619985814C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9F1AF-0792-5E42-915F-6011FE071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92673B-D3CE-B744-A859-94C1B195B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zoomScale="88" workbookViewId="0">
      <selection activeCell="G40" sqref="G4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925.62830835407101</v>
      </c>
      <c r="L4" s="6" t="s">
        <v>97</v>
      </c>
      <c r="N4" s="6" t="s">
        <v>131</v>
      </c>
      <c r="O4" s="6">
        <f xml:space="preserve"> $C$5 * $C$74</f>
        <v>28018.624056888904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1.2671220381743316</v>
      </c>
      <c r="X4" s="3">
        <v>1</v>
      </c>
      <c r="Y4" s="2">
        <f t="shared" ref="Y4:Y34" si="1" xml:space="preserve"> $O$22 * TAN($O$19/180*PI()) + $O$23 / (2 * SQRT($O$22^2 + X4^2)) - X4</f>
        <v>-4.2512735114531908E-2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0.48428700664170798</v>
      </c>
      <c r="AB4" s="2">
        <f>W4*AA4</f>
        <v>0.61365073891718702</v>
      </c>
      <c r="AC4" s="2">
        <f>Y4*AA4</f>
        <v>-2.0588365232768486E-2</v>
      </c>
      <c r="AD4" s="2">
        <f>X4-V4</f>
        <v>1</v>
      </c>
      <c r="AF4" s="2">
        <v>0</v>
      </c>
      <c r="AH4" s="2">
        <f>K30</f>
        <v>-2.3407786775351269E-3</v>
      </c>
      <c r="AJ4" s="2">
        <f>K30</f>
        <v>-2.3407786775351269E-3</v>
      </c>
      <c r="AL4" s="2">
        <f>K30</f>
        <v>-2.3407786775351269E-3</v>
      </c>
    </row>
    <row r="5" spans="2:41" x14ac:dyDescent="0.2">
      <c r="B5" s="9" t="s">
        <v>38</v>
      </c>
      <c r="C5" s="9">
        <v>2858.8817545776901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115.70353854425888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0.48428700664170798</v>
      </c>
      <c r="X5" s="2">
        <f>IF(AC4&gt;0, Z4, X4)</f>
        <v>1</v>
      </c>
      <c r="Y5" s="2">
        <f t="shared" si="1"/>
        <v>-4.2512735114531908E-2</v>
      </c>
      <c r="Z5" s="2">
        <f t="shared" ref="Z5:Z34" si="3" xml:space="preserve"> (V5 + X5)/2</f>
        <v>0.75</v>
      </c>
      <c r="AA5" s="2">
        <f t="shared" si="2"/>
        <v>0.21650482408022764</v>
      </c>
      <c r="AB5" s="2">
        <f t="shared" ref="AB5:AB34" si="4">W5*AA5</f>
        <v>0.10485047317730302</v>
      </c>
      <c r="AC5" s="2">
        <f t="shared" ref="AC5:AC34" si="5">Y5*AA5</f>
        <v>-9.2042122371410462E-3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-952.93050976720406</v>
      </c>
      <c r="AI5" s="3">
        <v>10000</v>
      </c>
      <c r="AJ5" s="2">
        <f t="dataTable" ref="AJ5:AJ44" dt2D="0" dtr="0" r1="C5"/>
        <v>1825.0883884849754</v>
      </c>
      <c r="AK5" s="2">
        <f>(AG5+AI5)/2</f>
        <v>5250</v>
      </c>
      <c r="AL5" s="2">
        <f t="dataTable" ref="AL5:AL44" dt2D="0" dtr="0" r1="C5" ca="1"/>
        <v>437.86837147994447</v>
      </c>
      <c r="AM5" s="2">
        <f>AH5*AL5</f>
        <v>-417258.13044531894</v>
      </c>
      <c r="AN5" s="2">
        <f>AJ5*AL5</f>
        <v>799148.48047287238</v>
      </c>
      <c r="AO5" s="2">
        <f>AI5-AG5</f>
        <v>9500</v>
      </c>
    </row>
    <row r="6" spans="2:41" x14ac:dyDescent="0.2">
      <c r="B6" s="6" t="s">
        <v>168</v>
      </c>
      <c r="C6" s="16">
        <v>500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178.53817088391961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0.26374893243931996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0.21650482408022764</v>
      </c>
      <c r="X6" s="2">
        <f t="shared" ref="X6:X34" si="8">IF(AC5&gt;0, Z5, X5)</f>
        <v>1</v>
      </c>
      <c r="Y6" s="2">
        <f t="shared" si="1"/>
        <v>-4.2512735114531908E-2</v>
      </c>
      <c r="Z6" s="2">
        <f t="shared" si="3"/>
        <v>0.875</v>
      </c>
      <c r="AA6" s="2">
        <f t="shared" si="2"/>
        <v>8.6360331887408104E-2</v>
      </c>
      <c r="AB6" s="2">
        <f t="shared" si="4"/>
        <v>1.8697428462793365E-2</v>
      </c>
      <c r="AC6" s="2">
        <f t="shared" si="5"/>
        <v>-3.6714139139324442E-3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-952.93050976720406</v>
      </c>
      <c r="AI6" s="2">
        <f>IF(AN5&gt;0,AK5,AI5)</f>
        <v>5250</v>
      </c>
      <c r="AJ6" s="2">
        <v>437.86837147994447</v>
      </c>
      <c r="AK6" s="2">
        <f t="shared" ref="AK6:AK44" si="9">(AG6+AI6)/2</f>
        <v>2875</v>
      </c>
      <c r="AL6" s="2">
        <v>4.836919679219136</v>
      </c>
      <c r="AM6" s="2">
        <f t="shared" ref="AM6:AM44" si="10">AH6*AL6</f>
        <v>-4609.2483356213124</v>
      </c>
      <c r="AN6" s="2">
        <f t="shared" ref="AN6:AN44" si="11">AJ6*AL6</f>
        <v>2117.9341429189785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3502.6630422011222</v>
      </c>
      <c r="H7" s="6" t="s">
        <v>21</v>
      </c>
      <c r="J7" s="6" t="s">
        <v>133</v>
      </c>
      <c r="K7" s="6">
        <f>K6/$C$28</f>
        <v>178.53817088391961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8.6360331887408104E-2</v>
      </c>
      <c r="X7" s="2">
        <f t="shared" si="8"/>
        <v>1</v>
      </c>
      <c r="Y7" s="2">
        <f t="shared" si="1"/>
        <v>-4.2512735114531908E-2</v>
      </c>
      <c r="Z7" s="2">
        <f t="shared" si="3"/>
        <v>0.9375</v>
      </c>
      <c r="AA7" s="2">
        <f t="shared" si="2"/>
        <v>2.1796148640552904E-2</v>
      </c>
      <c r="AB7" s="2">
        <f t="shared" si="4"/>
        <v>1.8823226304654278E-3</v>
      </c>
      <c r="AC7" s="2">
        <f t="shared" si="5"/>
        <v>-9.2661389367279035E-4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-952.93050976720406</v>
      </c>
      <c r="AI7" s="2">
        <f t="shared" ref="AI7:AI44" si="14">IF(AN6&gt;0,AK6,AI6)</f>
        <v>2875</v>
      </c>
      <c r="AJ7" s="2">
        <v>4.836919679219136</v>
      </c>
      <c r="AK7" s="2">
        <f t="shared" si="9"/>
        <v>1687.5</v>
      </c>
      <c r="AL7" s="2">
        <v>-417.67317097891328</v>
      </c>
      <c r="AM7" s="2">
        <f t="shared" si="10"/>
        <v>398013.50773702038</v>
      </c>
      <c r="AN7" s="2">
        <f t="shared" si="11"/>
        <v>-2020.2515801897646</v>
      </c>
      <c r="AO7" s="2">
        <f t="shared" si="12"/>
        <v>2375</v>
      </c>
    </row>
    <row r="8" spans="2:41" x14ac:dyDescent="0.2">
      <c r="B8" s="6" t="s">
        <v>91</v>
      </c>
      <c r="C8" s="16">
        <v>1.524</v>
      </c>
      <c r="D8" s="6" t="s">
        <v>8</v>
      </c>
      <c r="F8" t="s">
        <v>93</v>
      </c>
      <c r="G8" s="6">
        <f>G10/$C$21</f>
        <v>77.135692362839251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2.1796148640552904E-2</v>
      </c>
      <c r="X8" s="2">
        <f t="shared" si="8"/>
        <v>1</v>
      </c>
      <c r="Y8" s="2">
        <f t="shared" si="1"/>
        <v>-4.2512735114531908E-2</v>
      </c>
      <c r="Z8" s="2">
        <f t="shared" si="3"/>
        <v>0.96875</v>
      </c>
      <c r="AA8" s="2">
        <f t="shared" si="2"/>
        <v>-1.0387161917306931E-2</v>
      </c>
      <c r="AB8" s="2">
        <f t="shared" si="4"/>
        <v>-2.2640012510311236E-4</v>
      </c>
      <c r="AC8" s="2">
        <f t="shared" si="5"/>
        <v>4.4158666318222295E-4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-417.67317097891328</v>
      </c>
      <c r="AI8" s="2">
        <f t="shared" si="14"/>
        <v>2875</v>
      </c>
      <c r="AJ8" s="2">
        <v>4.836919679219136</v>
      </c>
      <c r="AK8" s="2">
        <f t="shared" si="9"/>
        <v>2281.25</v>
      </c>
      <c r="AL8" s="2">
        <v>-189.88290331126723</v>
      </c>
      <c r="AM8" s="2">
        <f t="shared" si="10"/>
        <v>79308.99434069937</v>
      </c>
      <c r="AN8" s="2">
        <f t="shared" si="11"/>
        <v>-918.44835177353286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4.6328775742521557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2.3123486142309087E-2</v>
      </c>
      <c r="U9" s="2">
        <v>5</v>
      </c>
      <c r="V9" s="2">
        <f t="shared" si="7"/>
        <v>0.9375</v>
      </c>
      <c r="W9" s="2">
        <f t="shared" si="0"/>
        <v>2.1796148640552904E-2</v>
      </c>
      <c r="X9" s="2">
        <f t="shared" si="8"/>
        <v>0.96875</v>
      </c>
      <c r="Y9" s="2">
        <f t="shared" si="1"/>
        <v>-1.0387161917306931E-2</v>
      </c>
      <c r="Z9" s="2">
        <f t="shared" si="3"/>
        <v>0.953125</v>
      </c>
      <c r="AA9" s="2">
        <f t="shared" si="2"/>
        <v>5.696926335760244E-3</v>
      </c>
      <c r="AB9" s="2">
        <f t="shared" si="4"/>
        <v>1.2417105320851066E-4</v>
      </c>
      <c r="AC9" s="2">
        <f t="shared" si="5"/>
        <v>-5.9174896280511722E-5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-189.88290331126723</v>
      </c>
      <c r="AI9" s="2">
        <f t="shared" si="14"/>
        <v>2875</v>
      </c>
      <c r="AJ9" s="2">
        <v>4.836919679219136</v>
      </c>
      <c r="AK9" s="2">
        <f t="shared" si="9"/>
        <v>2578.125</v>
      </c>
      <c r="AL9" s="2">
        <v>-88.310191812309313</v>
      </c>
      <c r="AM9" s="2">
        <f t="shared" si="10"/>
        <v>16768.595613296191</v>
      </c>
      <c r="AN9" s="2">
        <f t="shared" si="11"/>
        <v>-427.14930465257555</v>
      </c>
      <c r="AO9" s="2">
        <f t="shared" si="12"/>
        <v>593.75</v>
      </c>
    </row>
    <row r="10" spans="2:41" x14ac:dyDescent="0.2">
      <c r="B10" s="6" t="s">
        <v>134</v>
      </c>
      <c r="C10" s="16">
        <v>1.3715999999999999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617.08553890271401</v>
      </c>
      <c r="H10" s="22" t="s">
        <v>97</v>
      </c>
      <c r="J10" s="6" t="s">
        <v>92</v>
      </c>
      <c r="K10" s="6">
        <f xml:space="preserve"> $C$18 * (G10*G6 + G20*G13 + G29*G25 + G33*G32)/3600</f>
        <v>139.39131682671245</v>
      </c>
      <c r="L10" s="6" t="s">
        <v>98</v>
      </c>
      <c r="N10" s="6" t="s">
        <v>39</v>
      </c>
      <c r="O10" s="6">
        <f xml:space="preserve"> O5 * $C$12 * O9</f>
        <v>1024.2777090663999</v>
      </c>
      <c r="P10" s="6" t="s">
        <v>21</v>
      </c>
      <c r="U10" s="2">
        <v>6</v>
      </c>
      <c r="V10" s="2">
        <f t="shared" si="7"/>
        <v>0.953125</v>
      </c>
      <c r="W10" s="2">
        <f t="shared" si="0"/>
        <v>5.696926335760244E-3</v>
      </c>
      <c r="X10" s="2">
        <f t="shared" si="8"/>
        <v>0.96875</v>
      </c>
      <c r="Y10" s="2">
        <f t="shared" si="1"/>
        <v>-1.0387161917306931E-2</v>
      </c>
      <c r="Z10" s="2">
        <f t="shared" si="3"/>
        <v>0.9609375</v>
      </c>
      <c r="AA10" s="2">
        <f t="shared" si="2"/>
        <v>-2.3469640692721505E-3</v>
      </c>
      <c r="AB10" s="2">
        <f t="shared" si="4"/>
        <v>-1.3370481415319544E-5</v>
      </c>
      <c r="AC10" s="2">
        <f t="shared" si="5"/>
        <v>2.4378295801631388E-5</v>
      </c>
      <c r="AD10" s="2">
        <f t="shared" si="6"/>
        <v>1.5625E-2</v>
      </c>
      <c r="AF10" s="2">
        <v>6</v>
      </c>
      <c r="AG10" s="2">
        <f t="shared" si="13"/>
        <v>2578.125</v>
      </c>
      <c r="AH10" s="2">
        <v>-88.310191812309313</v>
      </c>
      <c r="AI10" s="2">
        <f t="shared" si="14"/>
        <v>2875</v>
      </c>
      <c r="AJ10" s="2">
        <v>4.836919679219136</v>
      </c>
      <c r="AK10" s="2">
        <f t="shared" si="9"/>
        <v>2726.5625</v>
      </c>
      <c r="AL10" s="2">
        <v>-40.676924321066053</v>
      </c>
      <c r="AM10" s="2">
        <f t="shared" si="10"/>
        <v>3592.1869891281331</v>
      </c>
      <c r="AN10" s="2">
        <f t="shared" si="11"/>
        <v>-196.7510157386719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0.7028810168808014</v>
      </c>
      <c r="U11" s="2">
        <v>7</v>
      </c>
      <c r="V11" s="2">
        <f t="shared" si="7"/>
        <v>0.953125</v>
      </c>
      <c r="W11" s="2">
        <f t="shared" si="0"/>
        <v>5.696926335760244E-3</v>
      </c>
      <c r="X11" s="2">
        <f t="shared" si="8"/>
        <v>0.9609375</v>
      </c>
      <c r="Y11" s="2">
        <f t="shared" si="1"/>
        <v>-2.3469640692721505E-3</v>
      </c>
      <c r="Z11" s="2">
        <f t="shared" si="3"/>
        <v>0.95703125</v>
      </c>
      <c r="AA11" s="2">
        <f t="shared" si="2"/>
        <v>1.6745139927916153E-3</v>
      </c>
      <c r="AB11" s="2">
        <f t="shared" si="4"/>
        <v>9.5395828651335924E-6</v>
      </c>
      <c r="AC11" s="2">
        <f t="shared" si="5"/>
        <v>-3.9300241745753661E-6</v>
      </c>
      <c r="AD11" s="2">
        <f t="shared" si="6"/>
        <v>7.8125E-3</v>
      </c>
      <c r="AF11" s="2">
        <v>7</v>
      </c>
      <c r="AG11" s="2">
        <f t="shared" si="13"/>
        <v>2726.5625</v>
      </c>
      <c r="AH11" s="2">
        <v>-40.676924321066053</v>
      </c>
      <c r="AI11" s="2">
        <f t="shared" si="14"/>
        <v>2875</v>
      </c>
      <c r="AJ11" s="2">
        <v>4.836919679219136</v>
      </c>
      <c r="AK11" s="2">
        <f t="shared" si="9"/>
        <v>2800.78125</v>
      </c>
      <c r="AL11" s="2">
        <v>-17.654380137132193</v>
      </c>
      <c r="AM11" s="2">
        <f t="shared" si="10"/>
        <v>718.12588477345798</v>
      </c>
      <c r="AN11" s="2">
        <f t="shared" si="11"/>
        <v>-85.392818709710141</v>
      </c>
      <c r="AO11" s="2">
        <f t="shared" si="12"/>
        <v>148.4375</v>
      </c>
    </row>
    <row r="12" spans="2:41" x14ac:dyDescent="0.2">
      <c r="B12" s="6" t="s">
        <v>135</v>
      </c>
      <c r="C12" s="16">
        <v>19.535478449999999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0.63253184109275451</v>
      </c>
      <c r="U12" s="2">
        <v>8</v>
      </c>
      <c r="V12" s="2">
        <f t="shared" si="7"/>
        <v>0.95703125</v>
      </c>
      <c r="W12" s="2">
        <f t="shared" si="0"/>
        <v>1.6745139927916153E-3</v>
      </c>
      <c r="X12" s="2">
        <f t="shared" si="8"/>
        <v>0.9609375</v>
      </c>
      <c r="Y12" s="2">
        <f t="shared" si="1"/>
        <v>-2.3469640692721505E-3</v>
      </c>
      <c r="Z12" s="2">
        <f t="shared" si="3"/>
        <v>0.958984375</v>
      </c>
      <c r="AA12" s="2">
        <f t="shared" si="2"/>
        <v>-3.3634112003610994E-4</v>
      </c>
      <c r="AB12" s="2">
        <f t="shared" si="4"/>
        <v>-5.6320791185167042E-7</v>
      </c>
      <c r="AC12" s="2">
        <f t="shared" si="5"/>
        <v>7.8938052374350147E-7</v>
      </c>
      <c r="AD12" s="2">
        <f t="shared" si="6"/>
        <v>3.90625E-3</v>
      </c>
      <c r="AF12" s="2">
        <v>8</v>
      </c>
      <c r="AG12" s="2">
        <f t="shared" si="13"/>
        <v>2800.78125</v>
      </c>
      <c r="AH12" s="2">
        <v>-17.654380137132193</v>
      </c>
      <c r="AI12" s="2">
        <f t="shared" si="14"/>
        <v>2875</v>
      </c>
      <c r="AJ12" s="2">
        <v>4.836919679219136</v>
      </c>
      <c r="AK12" s="2">
        <f t="shared" si="9"/>
        <v>2837.890625</v>
      </c>
      <c r="AL12" s="2">
        <v>-6.3422432542670322</v>
      </c>
      <c r="AM12" s="2">
        <f t="shared" si="10"/>
        <v>111.96837333299254</v>
      </c>
      <c r="AN12" s="2">
        <f t="shared" si="11"/>
        <v>-30.676921206959022</v>
      </c>
      <c r="AO12" s="2">
        <f t="shared" si="12"/>
        <v>74.21875</v>
      </c>
    </row>
    <row r="13" spans="2:41" x14ac:dyDescent="0.2">
      <c r="B13" s="6" t="s">
        <v>136</v>
      </c>
      <c r="C13" s="16">
        <v>12.127610000000001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3.8063736509829943E-2</v>
      </c>
      <c r="U13" s="2">
        <v>9</v>
      </c>
      <c r="V13" s="2">
        <f t="shared" si="7"/>
        <v>0.95703125</v>
      </c>
      <c r="W13" s="2">
        <f t="shared" si="0"/>
        <v>1.6745139927916153E-3</v>
      </c>
      <c r="X13" s="2">
        <f t="shared" si="8"/>
        <v>0.958984375</v>
      </c>
      <c r="Y13" s="2">
        <f t="shared" si="1"/>
        <v>-3.3634112003610994E-4</v>
      </c>
      <c r="Z13" s="2">
        <f t="shared" si="3"/>
        <v>0.9580078125</v>
      </c>
      <c r="AA13" s="2">
        <f t="shared" si="2"/>
        <v>6.6905732845412569E-4</v>
      </c>
      <c r="AB13" s="2">
        <f t="shared" si="4"/>
        <v>1.1203458584762091E-6</v>
      </c>
      <c r="AC13" s="2">
        <f t="shared" si="5"/>
        <v>-2.2503149122062813E-7</v>
      </c>
      <c r="AD13" s="2">
        <f t="shared" si="6"/>
        <v>1.953125E-3</v>
      </c>
      <c r="AF13" s="2">
        <v>9</v>
      </c>
      <c r="AG13" s="2">
        <f t="shared" si="13"/>
        <v>2837.890625</v>
      </c>
      <c r="AH13" s="2">
        <v>-6.3422432542670322</v>
      </c>
      <c r="AI13" s="2">
        <f t="shared" si="14"/>
        <v>2875</v>
      </c>
      <c r="AJ13" s="2">
        <v>4.836919679219136</v>
      </c>
      <c r="AK13" s="2">
        <f t="shared" si="9"/>
        <v>2856.4453125</v>
      </c>
      <c r="AL13" s="2">
        <v>-0.73603027151921196</v>
      </c>
      <c r="AM13" s="2">
        <f t="shared" si="10"/>
        <v>4.6680830244790545</v>
      </c>
      <c r="AN13" s="2">
        <f t="shared" si="11"/>
        <v>-3.5601193048122801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71.816808061062659</v>
      </c>
      <c r="H14" s="6" t="s">
        <v>10</v>
      </c>
      <c r="J14" s="9" t="s">
        <v>75</v>
      </c>
      <c r="K14" s="17">
        <f>C5</f>
        <v>2858.8817545776901</v>
      </c>
      <c r="L14" s="6" t="s">
        <v>7</v>
      </c>
      <c r="N14" s="6" t="s">
        <v>40</v>
      </c>
      <c r="O14" s="6">
        <f xml:space="preserve"> O5 * O13 * $C$12</f>
        <v>1686.0708887428343</v>
      </c>
      <c r="P14" s="6" t="s">
        <v>21</v>
      </c>
      <c r="U14" s="2">
        <v>10</v>
      </c>
      <c r="V14" s="2">
        <f t="shared" si="7"/>
        <v>0.9580078125</v>
      </c>
      <c r="W14" s="2">
        <f t="shared" si="0"/>
        <v>6.6905732845412569E-4</v>
      </c>
      <c r="X14" s="2">
        <f t="shared" si="8"/>
        <v>0.958984375</v>
      </c>
      <c r="Y14" s="2">
        <f t="shared" si="1"/>
        <v>-3.3634112003610994E-4</v>
      </c>
      <c r="Z14" s="2">
        <f t="shared" si="3"/>
        <v>0.95849609375</v>
      </c>
      <c r="AA14" s="2">
        <f t="shared" si="2"/>
        <v>1.6635083818983265E-4</v>
      </c>
      <c r="AB14" s="2">
        <f t="shared" si="4"/>
        <v>1.1129824738539397E-7</v>
      </c>
      <c r="AC14" s="2">
        <f t="shared" si="5"/>
        <v>-5.5950627235714002E-8</v>
      </c>
      <c r="AD14" s="2">
        <f t="shared" si="6"/>
        <v>9.765625E-4</v>
      </c>
      <c r="AF14" s="2">
        <v>10</v>
      </c>
      <c r="AG14" s="2">
        <f t="shared" si="13"/>
        <v>2856.4453125</v>
      </c>
      <c r="AH14" s="2">
        <v>-0.73603027151921196</v>
      </c>
      <c r="AI14" s="2">
        <f t="shared" si="14"/>
        <v>2875</v>
      </c>
      <c r="AJ14" s="2">
        <v>4.836919679219136</v>
      </c>
      <c r="AK14" s="2">
        <f t="shared" si="9"/>
        <v>2865.72265625</v>
      </c>
      <c r="AL14" s="2">
        <v>2.0546038272950682</v>
      </c>
      <c r="AM14" s="2">
        <f t="shared" si="10"/>
        <v>-1.5122506128684012</v>
      </c>
      <c r="AN14" s="2">
        <f t="shared" si="11"/>
        <v>9.937953685242471</v>
      </c>
      <c r="AO14" s="2">
        <f t="shared" si="12"/>
        <v>18.5546875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0.21584644706095835</v>
      </c>
      <c r="H15" s="6" t="s">
        <v>120</v>
      </c>
      <c r="J15" s="10" t="s">
        <v>53</v>
      </c>
      <c r="K15" s="6">
        <f xml:space="preserve"> 1000 * K10 / ($C$60 * $C$61 * $C$62)</f>
        <v>819.94892251007332</v>
      </c>
      <c r="L15" s="6" t="s">
        <v>7</v>
      </c>
      <c r="N15" s="6" t="s">
        <v>140</v>
      </c>
      <c r="O15" s="6">
        <f>O4/O14</f>
        <v>16.617702282838245</v>
      </c>
      <c r="U15" s="2">
        <v>11</v>
      </c>
      <c r="V15" s="2">
        <f t="shared" si="7"/>
        <v>0.95849609375</v>
      </c>
      <c r="W15" s="2">
        <f t="shared" si="0"/>
        <v>1.6635083818983265E-4</v>
      </c>
      <c r="X15" s="2">
        <f t="shared" si="8"/>
        <v>0.958984375</v>
      </c>
      <c r="Y15" s="2">
        <f t="shared" si="1"/>
        <v>-3.3634112003610994E-4</v>
      </c>
      <c r="Z15" s="2">
        <f t="shared" si="3"/>
        <v>0.958740234375</v>
      </c>
      <c r="AA15" s="2">
        <f t="shared" si="2"/>
        <v>-8.4996956060123807E-5</v>
      </c>
      <c r="AB15" s="2">
        <f t="shared" si="4"/>
        <v>-1.4139314884185971E-8</v>
      </c>
      <c r="AC15" s="2">
        <f t="shared" si="5"/>
        <v>2.8587971400922063E-8</v>
      </c>
      <c r="AD15" s="2">
        <f t="shared" si="6"/>
        <v>4.8828125E-4</v>
      </c>
      <c r="AF15" s="2">
        <v>11</v>
      </c>
      <c r="AG15" s="2">
        <f t="shared" si="13"/>
        <v>2856.4453125</v>
      </c>
      <c r="AH15" s="2">
        <v>-0.73603027151921196</v>
      </c>
      <c r="AI15" s="2">
        <f t="shared" si="14"/>
        <v>2865.72265625</v>
      </c>
      <c r="AJ15" s="2">
        <v>2.0546038272950682</v>
      </c>
      <c r="AK15" s="2">
        <f t="shared" si="9"/>
        <v>2861.083984375</v>
      </c>
      <c r="AL15" s="2">
        <v>0.66032648557575158</v>
      </c>
      <c r="AM15" s="2">
        <f t="shared" si="10"/>
        <v>-0.48602028246964746</v>
      </c>
      <c r="AN15" s="2">
        <f t="shared" si="11"/>
        <v>1.3567093245282409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1686.0708887428343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211.89805172027377</v>
      </c>
      <c r="L16" s="6" t="s">
        <v>7</v>
      </c>
      <c r="N16" s="6" t="s">
        <v>111</v>
      </c>
      <c r="O16" s="6">
        <f>(O13*$C$12)/(0.3048^2)/($C$5*2.20462/1000)^(2/3)</f>
        <v>2.3457708646303774</v>
      </c>
      <c r="U16" s="2">
        <v>12</v>
      </c>
      <c r="V16" s="2">
        <f t="shared" si="7"/>
        <v>0.95849609375</v>
      </c>
      <c r="W16" s="2">
        <f t="shared" si="0"/>
        <v>1.6635083818983265E-4</v>
      </c>
      <c r="X16" s="2">
        <f t="shared" si="8"/>
        <v>0.958740234375</v>
      </c>
      <c r="Y16" s="2">
        <f t="shared" si="1"/>
        <v>-8.4996956060123807E-5</v>
      </c>
      <c r="Z16" s="2">
        <f t="shared" si="3"/>
        <v>0.9586181640625</v>
      </c>
      <c r="AA16" s="2">
        <f t="shared" si="2"/>
        <v>4.0676487109703174E-5</v>
      </c>
      <c r="AB16" s="2">
        <f t="shared" si="4"/>
        <v>6.7665677253170462E-9</v>
      </c>
      <c r="AC16" s="2">
        <f t="shared" si="5"/>
        <v>-3.4573775875436331E-9</v>
      </c>
      <c r="AD16" s="2">
        <f t="shared" si="6"/>
        <v>2.44140625E-4</v>
      </c>
      <c r="AF16" s="2">
        <v>12</v>
      </c>
      <c r="AG16" s="2">
        <f t="shared" si="13"/>
        <v>2856.4453125</v>
      </c>
      <c r="AH16" s="2">
        <v>-0.73603027151921196</v>
      </c>
      <c r="AI16" s="2">
        <f t="shared" si="14"/>
        <v>2861.083984375</v>
      </c>
      <c r="AJ16" s="2">
        <v>0.66032648557575158</v>
      </c>
      <c r="AK16" s="2">
        <f t="shared" si="9"/>
        <v>2858.7646484375</v>
      </c>
      <c r="AL16" s="2">
        <v>-3.7591903929296677E-2</v>
      </c>
      <c r="AM16" s="2">
        <f t="shared" si="10"/>
        <v>2.7668779256004365E-2</v>
      </c>
      <c r="AN16" s="2">
        <f t="shared" si="11"/>
        <v>-2.4822929807733762E-2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119.0254472559464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0.9586181640625</v>
      </c>
      <c r="W17" s="2">
        <f t="shared" si="0"/>
        <v>4.0676487109703174E-5</v>
      </c>
      <c r="X17" s="2">
        <f t="shared" si="8"/>
        <v>0.958740234375</v>
      </c>
      <c r="Y17" s="2">
        <f t="shared" si="1"/>
        <v>-8.4996956060123807E-5</v>
      </c>
      <c r="Z17" s="2">
        <f t="shared" si="3"/>
        <v>0.95867919921875</v>
      </c>
      <c r="AA17" s="2">
        <f t="shared" si="2"/>
        <v>-2.2160347942556946E-5</v>
      </c>
      <c r="AB17" s="2">
        <f t="shared" si="4"/>
        <v>-9.0140510743195484E-10</v>
      </c>
      <c r="AC17" s="2">
        <f t="shared" si="5"/>
        <v>1.8835621203505678E-9</v>
      </c>
      <c r="AD17" s="2">
        <f t="shared" si="6"/>
        <v>1.220703125E-4</v>
      </c>
      <c r="AF17" s="2">
        <v>13</v>
      </c>
      <c r="AG17" s="2">
        <f t="shared" si="13"/>
        <v>2858.7646484375</v>
      </c>
      <c r="AH17" s="2">
        <v>-3.7591903929296677E-2</v>
      </c>
      <c r="AI17" s="2">
        <f t="shared" si="14"/>
        <v>2861.083984375</v>
      </c>
      <c r="AJ17" s="2">
        <v>0.66032648557575158</v>
      </c>
      <c r="AK17" s="2">
        <f t="shared" si="9"/>
        <v>2859.92431640625</v>
      </c>
      <c r="AL17" s="2">
        <v>0.31143171927124058</v>
      </c>
      <c r="AM17" s="2">
        <f t="shared" si="10"/>
        <v>-1.1707311271380168E-2</v>
      </c>
      <c r="AN17" s="2">
        <f t="shared" si="11"/>
        <v>0.20564661268319237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1.4453911687899215</v>
      </c>
      <c r="H18" s="6" t="s">
        <v>172</v>
      </c>
      <c r="J18" s="12" t="s">
        <v>54</v>
      </c>
      <c r="K18" s="6">
        <f xml:space="preserve"> $C$78 * (0.2138 * K4 + 0.2138 * K6)</f>
        <v>188.8566346088659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0.9586181640625</v>
      </c>
      <c r="W18" s="2">
        <f t="shared" si="0"/>
        <v>4.0676487109703174E-5</v>
      </c>
      <c r="X18" s="2">
        <f t="shared" si="8"/>
        <v>0.95867919921875</v>
      </c>
      <c r="Y18" s="2">
        <f t="shared" si="1"/>
        <v>-2.2160347942556946E-5</v>
      </c>
      <c r="Z18" s="2">
        <f t="shared" si="3"/>
        <v>0.958648681640625</v>
      </c>
      <c r="AA18" s="2">
        <f t="shared" si="2"/>
        <v>9.2580412139886548E-6</v>
      </c>
      <c r="AB18" s="2">
        <f t="shared" si="4"/>
        <v>3.7658459410191026E-10</v>
      </c>
      <c r="AC18" s="2">
        <f t="shared" si="5"/>
        <v>-2.0516141456852089E-10</v>
      </c>
      <c r="AD18" s="2">
        <f t="shared" si="6"/>
        <v>6.103515625E-5</v>
      </c>
      <c r="AF18" s="2">
        <v>14</v>
      </c>
      <c r="AG18" s="2">
        <f t="shared" si="13"/>
        <v>2858.7646484375</v>
      </c>
      <c r="AH18" s="2">
        <v>-3.7591903929296677E-2</v>
      </c>
      <c r="AI18" s="2">
        <f t="shared" si="14"/>
        <v>2859.92431640625</v>
      </c>
      <c r="AJ18" s="2">
        <v>0.31143171927124058</v>
      </c>
      <c r="AK18" s="2">
        <f t="shared" si="9"/>
        <v>2859.344482421875</v>
      </c>
      <c r="AL18" s="2">
        <v>0.13693650412551506</v>
      </c>
      <c r="AM18" s="2">
        <f t="shared" si="10"/>
        <v>-5.1477039075001002E-3</v>
      </c>
      <c r="AN18" s="2">
        <f t="shared" si="11"/>
        <v>4.2646370910802485E-2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6.4522852017384488E-2</v>
      </c>
      <c r="J19" s="12" t="s">
        <v>73</v>
      </c>
      <c r="K19" s="6">
        <f xml:space="preserve"> $C$78 * (0.1149 * K4 + 0.1149 * K6)</f>
        <v>101.49498277155611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0.958648681640625</v>
      </c>
      <c r="W19" s="2">
        <f t="shared" si="0"/>
        <v>9.2580412139886548E-6</v>
      </c>
      <c r="X19" s="2">
        <f t="shared" si="8"/>
        <v>0.95867919921875</v>
      </c>
      <c r="Y19" s="2">
        <f t="shared" si="1"/>
        <v>-2.2160347942556946E-5</v>
      </c>
      <c r="Z19" s="2">
        <f t="shared" si="3"/>
        <v>0.9586639404296875</v>
      </c>
      <c r="AA19" s="2">
        <f t="shared" si="2"/>
        <v>-6.4511604562778047E-6</v>
      </c>
      <c r="AB19" s="2">
        <f t="shared" si="4"/>
        <v>-5.9725109382273776E-11</v>
      </c>
      <c r="AC19" s="2">
        <f t="shared" si="5"/>
        <v>1.4295996034438059E-10</v>
      </c>
      <c r="AD19" s="2">
        <f t="shared" si="6"/>
        <v>3.0517578125E-5</v>
      </c>
      <c r="AF19" s="2">
        <v>15</v>
      </c>
      <c r="AG19" s="2">
        <f t="shared" si="13"/>
        <v>2858.7646484375</v>
      </c>
      <c r="AH19" s="2">
        <v>-3.7591903929296677E-2</v>
      </c>
      <c r="AI19" s="2">
        <f t="shared" si="14"/>
        <v>2859.344482421875</v>
      </c>
      <c r="AJ19" s="2">
        <v>0.13693650412551506</v>
      </c>
      <c r="AK19" s="2">
        <f t="shared" si="9"/>
        <v>2859.0545654296875</v>
      </c>
      <c r="AL19" s="2">
        <v>4.9675959620344656E-2</v>
      </c>
      <c r="AM19" s="2">
        <f t="shared" si="10"/>
        <v>-1.8674139016436175E-3</v>
      </c>
      <c r="AN19" s="2">
        <f t="shared" si="11"/>
        <v>6.8024522494902458E-3</v>
      </c>
      <c r="AO19" s="2">
        <f t="shared" si="12"/>
        <v>0.579833984375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119.0254472559464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223.17101179501529</v>
      </c>
      <c r="L20" s="6" t="s">
        <v>7</v>
      </c>
      <c r="N20" s="6" t="s">
        <v>20</v>
      </c>
      <c r="O20" s="6">
        <f xml:space="preserve"> O14 / $C$28</f>
        <v>1686.0708887428343</v>
      </c>
      <c r="P20" s="6" t="s">
        <v>21</v>
      </c>
      <c r="U20" s="2">
        <v>16</v>
      </c>
      <c r="V20" s="2">
        <f t="shared" si="7"/>
        <v>0.958648681640625</v>
      </c>
      <c r="W20" s="2">
        <f t="shared" si="0"/>
        <v>9.2580412139886548E-6</v>
      </c>
      <c r="X20" s="2">
        <f t="shared" si="8"/>
        <v>0.9586639404296875</v>
      </c>
      <c r="Y20" s="2">
        <f t="shared" si="1"/>
        <v>-6.4511604562778047E-6</v>
      </c>
      <c r="Z20" s="2">
        <f t="shared" si="3"/>
        <v>0.95865631103515625</v>
      </c>
      <c r="AA20" s="2">
        <f t="shared" si="2"/>
        <v>1.4034386057737436E-6</v>
      </c>
      <c r="AB20" s="2">
        <f t="shared" si="4"/>
        <v>1.2993092453556095E-11</v>
      </c>
      <c r="AC20" s="2">
        <f t="shared" si="5"/>
        <v>-9.0538076363812302E-12</v>
      </c>
      <c r="AD20" s="2">
        <f t="shared" si="6"/>
        <v>1.52587890625E-5</v>
      </c>
      <c r="AF20" s="2">
        <v>16</v>
      </c>
      <c r="AG20" s="2">
        <f t="shared" si="13"/>
        <v>2858.7646484375</v>
      </c>
      <c r="AH20" s="2">
        <v>-3.7591903929296677E-2</v>
      </c>
      <c r="AI20" s="2">
        <f t="shared" si="14"/>
        <v>2859.0545654296875</v>
      </c>
      <c r="AJ20" s="2">
        <v>4.9675959620344656E-2</v>
      </c>
      <c r="AK20" s="2">
        <f t="shared" si="9"/>
        <v>2858.9096069335938</v>
      </c>
      <c r="AL20" s="2">
        <v>6.0426979816838866E-3</v>
      </c>
      <c r="AM20" s="2">
        <f t="shared" si="10"/>
        <v>-2.2715652200121559E-4</v>
      </c>
      <c r="AN20" s="2">
        <f t="shared" si="11"/>
        <v>3.0017682093606688E-4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74.330925619019951</v>
      </c>
      <c r="L21" s="6" t="s">
        <v>7</v>
      </c>
      <c r="N21" s="6" t="s">
        <v>27</v>
      </c>
      <c r="O21" s="6">
        <f>$C$6*2*PI()/60</f>
        <v>52.359877559829883</v>
      </c>
      <c r="P21" s="6" t="s">
        <v>28</v>
      </c>
      <c r="U21" s="2">
        <v>17</v>
      </c>
      <c r="V21" s="2">
        <f t="shared" si="7"/>
        <v>0.95865631103515625</v>
      </c>
      <c r="W21" s="2">
        <f t="shared" si="0"/>
        <v>1.4034386057737436E-6</v>
      </c>
      <c r="X21" s="2">
        <f t="shared" si="8"/>
        <v>0.9586639404296875</v>
      </c>
      <c r="Y21" s="2">
        <f t="shared" si="1"/>
        <v>-6.4511604562778047E-6</v>
      </c>
      <c r="Z21" s="2">
        <f t="shared" si="3"/>
        <v>0.95866012573242188</v>
      </c>
      <c r="AA21" s="2">
        <f t="shared" si="2"/>
        <v>-2.5238613685640843E-6</v>
      </c>
      <c r="AB21" s="2">
        <f t="shared" si="4"/>
        <v>-3.5420844802637908E-12</v>
      </c>
      <c r="AC21" s="2">
        <f t="shared" si="5"/>
        <v>1.6281834658007802E-11</v>
      </c>
      <c r="AD21" s="2">
        <f t="shared" si="6"/>
        <v>7.62939453125E-6</v>
      </c>
      <c r="AF21" s="2">
        <v>17</v>
      </c>
      <c r="AG21" s="2">
        <f t="shared" si="13"/>
        <v>2858.7646484375</v>
      </c>
      <c r="AH21" s="2">
        <v>-3.7591903929296677E-2</v>
      </c>
      <c r="AI21" s="2">
        <f t="shared" si="14"/>
        <v>2858.9096069335938</v>
      </c>
      <c r="AJ21" s="2">
        <v>6.0426979816838866E-3</v>
      </c>
      <c r="AK21" s="2">
        <f t="shared" si="9"/>
        <v>2858.8371276855469</v>
      </c>
      <c r="AL21" s="2">
        <v>-1.5774353851156775E-2</v>
      </c>
      <c r="AM21" s="2">
        <f t="shared" si="10"/>
        <v>5.9298799451941659E-4</v>
      </c>
      <c r="AN21" s="2">
        <f t="shared" si="11"/>
        <v>-9.5319656178752488E-5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415.81837851899411</v>
      </c>
      <c r="L22" s="6" t="s">
        <v>7</v>
      </c>
      <c r="N22" s="6" t="s">
        <v>29</v>
      </c>
      <c r="O22" s="6">
        <f xml:space="preserve"> $C$7 * COS(O19/180*PI()) / (O21 * $C$10)</f>
        <v>8.1378101359194571E-2</v>
      </c>
      <c r="U22" s="2">
        <v>18</v>
      </c>
      <c r="V22" s="2">
        <f t="shared" si="7"/>
        <v>0.95865631103515625</v>
      </c>
      <c r="W22" s="2">
        <f t="shared" si="0"/>
        <v>1.4034386057737436E-6</v>
      </c>
      <c r="X22" s="2">
        <f t="shared" si="8"/>
        <v>0.95866012573242188</v>
      </c>
      <c r="Y22" s="2">
        <f t="shared" si="1"/>
        <v>-2.5238613685640843E-6</v>
      </c>
      <c r="Z22" s="2">
        <f t="shared" si="3"/>
        <v>0.95865821838378906</v>
      </c>
      <c r="AA22" s="2">
        <f t="shared" si="2"/>
        <v>-5.6021149219542821E-7</v>
      </c>
      <c r="AB22" s="2">
        <f t="shared" si="4"/>
        <v>-7.8622243554518021E-13</v>
      </c>
      <c r="AC22" s="2">
        <f t="shared" si="5"/>
        <v>1.4138961433776813E-12</v>
      </c>
      <c r="AD22" s="2">
        <f t="shared" si="6"/>
        <v>3.814697265625E-6</v>
      </c>
      <c r="AF22" s="2">
        <v>18</v>
      </c>
      <c r="AG22" s="2">
        <f t="shared" si="13"/>
        <v>2858.8371276855469</v>
      </c>
      <c r="AH22" s="2">
        <v>-1.5774353851156775E-2</v>
      </c>
      <c r="AI22" s="2">
        <f t="shared" si="14"/>
        <v>2858.9096069335938</v>
      </c>
      <c r="AJ22" s="2">
        <v>6.0426979816838866E-3</v>
      </c>
      <c r="AK22" s="2">
        <f t="shared" si="9"/>
        <v>2858.8733673095703</v>
      </c>
      <c r="AL22" s="2">
        <v>-4.8657656548130035E-3</v>
      </c>
      <c r="AM22" s="2">
        <f t="shared" si="10"/>
        <v>7.6754309195825875E-5</v>
      </c>
      <c r="AN22" s="2">
        <f t="shared" si="11"/>
        <v>-2.9402352301685313E-5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31.315502348550201</v>
      </c>
      <c r="L23" s="6" t="s">
        <v>7</v>
      </c>
      <c r="N23" s="6" t="s">
        <v>30</v>
      </c>
      <c r="O23" s="6">
        <f xml:space="preserve"> O20 / ( $C$71 * PI() * $C$10^2 * O21^2 * $C$10^2)</f>
        <v>5.4843320169196866E-2</v>
      </c>
      <c r="U23" s="2">
        <v>19</v>
      </c>
      <c r="V23" s="2">
        <f t="shared" si="7"/>
        <v>0.95865631103515625</v>
      </c>
      <c r="W23" s="2">
        <f t="shared" si="0"/>
        <v>1.4034386057737436E-6</v>
      </c>
      <c r="X23" s="2">
        <f t="shared" si="8"/>
        <v>0.95865821838378906</v>
      </c>
      <c r="Y23" s="2">
        <f t="shared" si="1"/>
        <v>-5.6021149219542821E-7</v>
      </c>
      <c r="Z23" s="2">
        <f t="shared" si="3"/>
        <v>0.95865726470947266</v>
      </c>
      <c r="AA23" s="2">
        <f t="shared" si="2"/>
        <v>4.2161352908909322E-7</v>
      </c>
      <c r="AB23" s="2">
        <f t="shared" si="4"/>
        <v>5.9170870344014467E-13</v>
      </c>
      <c r="AC23" s="2">
        <f t="shared" si="5"/>
        <v>-2.361927442607815E-13</v>
      </c>
      <c r="AD23" s="2">
        <f t="shared" si="6"/>
        <v>1.9073486328125E-6</v>
      </c>
      <c r="AF23" s="2">
        <v>19</v>
      </c>
      <c r="AG23" s="2">
        <f t="shared" si="13"/>
        <v>2858.8733673095703</v>
      </c>
      <c r="AH23" s="2">
        <v>-4.8657656548130035E-3</v>
      </c>
      <c r="AI23" s="2">
        <f t="shared" si="14"/>
        <v>2858.9096069335938</v>
      </c>
      <c r="AJ23" s="2">
        <v>6.0426979816838866E-3</v>
      </c>
      <c r="AK23" s="2">
        <f t="shared" si="9"/>
        <v>2858.891487121582</v>
      </c>
      <c r="AL23" s="2">
        <v>5.8848173375736224E-4</v>
      </c>
      <c r="AM23" s="2">
        <f t="shared" si="10"/>
        <v>-2.8634142086013831E-6</v>
      </c>
      <c r="AN23" s="2">
        <f t="shared" si="11"/>
        <v>3.5560173848334473E-6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10.05121557673719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0.95865726470947266</v>
      </c>
      <c r="W24" s="2">
        <f t="shared" si="0"/>
        <v>4.2161352908909322E-7</v>
      </c>
      <c r="X24" s="2">
        <f t="shared" si="8"/>
        <v>0.95865821838378906</v>
      </c>
      <c r="Y24" s="2">
        <f t="shared" si="1"/>
        <v>-5.6021149219542821E-7</v>
      </c>
      <c r="Z24" s="2">
        <f t="shared" si="3"/>
        <v>0.95865774154663086</v>
      </c>
      <c r="AA24" s="2">
        <f t="shared" si="2"/>
        <v>-6.9298988436550246E-8</v>
      </c>
      <c r="AB24" s="2">
        <f t="shared" si="4"/>
        <v>-2.9217391077038209E-14</v>
      </c>
      <c r="AC24" s="2">
        <f t="shared" si="5"/>
        <v>3.8822089719673539E-14</v>
      </c>
      <c r="AD24" s="2">
        <f t="shared" si="6"/>
        <v>9.5367431640625E-7</v>
      </c>
      <c r="AF24" s="2">
        <v>20</v>
      </c>
      <c r="AG24" s="2">
        <f t="shared" si="13"/>
        <v>2858.8733673095703</v>
      </c>
      <c r="AH24" s="2">
        <v>-4.8657656548130035E-3</v>
      </c>
      <c r="AI24" s="2">
        <f t="shared" si="14"/>
        <v>2858.891487121582</v>
      </c>
      <c r="AJ24" s="2">
        <v>5.8848173375736224E-4</v>
      </c>
      <c r="AK24" s="2">
        <f t="shared" si="9"/>
        <v>2858.8824272155762</v>
      </c>
      <c r="AL24" s="2">
        <v>-2.1386380676631234E-3</v>
      </c>
      <c r="AM24" s="2">
        <f t="shared" si="10"/>
        <v>1.0406111657710874E-5</v>
      </c>
      <c r="AN24" s="2">
        <f t="shared" si="11"/>
        <v>-1.2585494379378899E-6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42.040186591577729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2152.0895223310586</v>
      </c>
      <c r="P25" s="6" t="s">
        <v>19</v>
      </c>
      <c r="U25" s="2">
        <v>21</v>
      </c>
      <c r="V25" s="2">
        <f t="shared" si="7"/>
        <v>0.95865726470947266</v>
      </c>
      <c r="W25" s="2">
        <f t="shared" si="0"/>
        <v>4.2161352908909322E-7</v>
      </c>
      <c r="X25" s="2">
        <f t="shared" si="8"/>
        <v>0.95865774154663086</v>
      </c>
      <c r="Y25" s="2">
        <f t="shared" si="1"/>
        <v>-6.9298988436550246E-8</v>
      </c>
      <c r="Z25" s="2">
        <f t="shared" si="3"/>
        <v>0.95865750312805176</v>
      </c>
      <c r="AA25" s="2">
        <f t="shared" si="2"/>
        <v>1.7615726854991465E-7</v>
      </c>
      <c r="AB25" s="2">
        <f t="shared" si="4"/>
        <v>7.4270287668024644E-14</v>
      </c>
      <c r="AC25" s="2">
        <f t="shared" si="5"/>
        <v>-1.2207520516254811E-14</v>
      </c>
      <c r="AD25" s="2">
        <f t="shared" si="6"/>
        <v>4.76837158203125E-7</v>
      </c>
      <c r="AF25" s="2">
        <v>21</v>
      </c>
      <c r="AG25" s="2">
        <f t="shared" si="13"/>
        <v>2858.8824272155762</v>
      </c>
      <c r="AH25" s="2">
        <v>-2.1386380676631234E-3</v>
      </c>
      <c r="AI25" s="2">
        <f t="shared" si="14"/>
        <v>2858.891487121582</v>
      </c>
      <c r="AJ25" s="2">
        <v>5.8848173375736224E-4</v>
      </c>
      <c r="AK25" s="2">
        <f t="shared" si="9"/>
        <v>2858.8869571685791</v>
      </c>
      <c r="AL25" s="2">
        <v>-7.7507719424829702E-4</v>
      </c>
      <c r="AM25" s="2">
        <f t="shared" si="10"/>
        <v>1.6576095929969333E-6</v>
      </c>
      <c r="AN25" s="2">
        <f t="shared" si="11"/>
        <v>-4.5611877106702966E-7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3502.6630422011222</v>
      </c>
      <c r="H26" s="6" t="s">
        <v>21</v>
      </c>
      <c r="J26" s="14" t="s">
        <v>65</v>
      </c>
      <c r="K26" s="6">
        <f xml:space="preserve"> $C$80 * (0.0268 * $C$5)</f>
        <v>61.294424818145686</v>
      </c>
      <c r="L26" s="6" t="s">
        <v>7</v>
      </c>
      <c r="N26" s="6" t="s">
        <v>32</v>
      </c>
      <c r="O26" s="17">
        <f>Z34</f>
        <v>0.9586576740257442</v>
      </c>
      <c r="U26" s="2">
        <v>22</v>
      </c>
      <c r="V26" s="2">
        <f t="shared" si="7"/>
        <v>0.95865750312805176</v>
      </c>
      <c r="W26" s="2">
        <f t="shared" si="0"/>
        <v>1.7615726854991465E-7</v>
      </c>
      <c r="X26" s="2">
        <f t="shared" si="8"/>
        <v>0.95865774154663086</v>
      </c>
      <c r="Y26" s="2">
        <f t="shared" si="1"/>
        <v>-6.9298988436550246E-8</v>
      </c>
      <c r="Z26" s="2">
        <f t="shared" si="3"/>
        <v>0.95865762233734131</v>
      </c>
      <c r="AA26" s="2">
        <f t="shared" si="2"/>
        <v>5.3429139668104142E-8</v>
      </c>
      <c r="AB26" s="2">
        <f t="shared" si="4"/>
        <v>9.4119313049051186E-15</v>
      </c>
      <c r="AC26" s="2">
        <f t="shared" si="5"/>
        <v>-3.7025853320347769E-15</v>
      </c>
      <c r="AD26" s="2">
        <f t="shared" si="6"/>
        <v>2.384185791015625E-7</v>
      </c>
      <c r="AF26" s="2">
        <v>22</v>
      </c>
      <c r="AG26" s="2">
        <f t="shared" si="13"/>
        <v>2858.8869571685791</v>
      </c>
      <c r="AH26" s="2">
        <v>-7.7507719424829702E-4</v>
      </c>
      <c r="AI26" s="2">
        <f t="shared" si="14"/>
        <v>2858.891487121582</v>
      </c>
      <c r="AJ26" s="2">
        <v>5.8848173375736224E-4</v>
      </c>
      <c r="AK26" s="2">
        <f t="shared" si="9"/>
        <v>2858.8892221450806</v>
      </c>
      <c r="AL26" s="2">
        <v>-9.2971150479570497E-5</v>
      </c>
      <c r="AM26" s="2">
        <f t="shared" si="10"/>
        <v>7.2059818459741717E-8</v>
      </c>
      <c r="AN26" s="2">
        <f t="shared" si="11"/>
        <v>-5.4711823823634265E-8</v>
      </c>
      <c r="AO26" s="2">
        <f t="shared" si="12"/>
        <v>4.5299530029296875E-3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70.957059470087927</v>
      </c>
      <c r="H27" t="s">
        <v>97</v>
      </c>
      <c r="J27" s="14" t="s">
        <v>66</v>
      </c>
      <c r="K27" s="6">
        <f xml:space="preserve"> $C$80 * (11.5 * ($C$5*2.20462/1000)^0.4 * 0.453592)</f>
        <v>8.7149557840482519</v>
      </c>
      <c r="L27" s="6" t="s">
        <v>7</v>
      </c>
      <c r="N27" s="6" t="s">
        <v>33</v>
      </c>
      <c r="O27" s="6">
        <f xml:space="preserve"> O21 * $C$10 * O26 - $C$7 * SIN(O19/180*PI())</f>
        <v>2.0469024965315583</v>
      </c>
      <c r="P27" s="6" t="s">
        <v>10</v>
      </c>
      <c r="U27" s="2">
        <v>23</v>
      </c>
      <c r="V27" s="2">
        <f t="shared" si="7"/>
        <v>0.95865762233734131</v>
      </c>
      <c r="W27" s="2">
        <f t="shared" si="0"/>
        <v>5.3429139668104142E-8</v>
      </c>
      <c r="X27" s="2">
        <f t="shared" si="8"/>
        <v>0.95865774154663086</v>
      </c>
      <c r="Y27" s="2">
        <f t="shared" si="1"/>
        <v>-6.9298988436550246E-8</v>
      </c>
      <c r="Z27" s="2">
        <f t="shared" si="3"/>
        <v>0.95865768194198608</v>
      </c>
      <c r="AA27" s="2">
        <f t="shared" si="2"/>
        <v>-7.9349244952453546E-9</v>
      </c>
      <c r="AB27" s="2">
        <f t="shared" si="4"/>
        <v>-4.2395618911232479E-16</v>
      </c>
      <c r="AC27" s="2">
        <f t="shared" si="5"/>
        <v>5.4988224084090715E-16</v>
      </c>
      <c r="AD27" s="2">
        <f t="shared" si="6"/>
        <v>1.1920928955078125E-7</v>
      </c>
      <c r="AF27" s="2">
        <v>23</v>
      </c>
      <c r="AG27" s="2">
        <f t="shared" si="13"/>
        <v>2858.8892221450806</v>
      </c>
      <c r="AH27" s="2">
        <v>-9.2971150479570497E-5</v>
      </c>
      <c r="AI27" s="2">
        <f t="shared" si="14"/>
        <v>2858.891487121582</v>
      </c>
      <c r="AJ27" s="2">
        <v>5.8848173375736224E-4</v>
      </c>
      <c r="AK27" s="2">
        <f t="shared" si="9"/>
        <v>2858.8903546333313</v>
      </c>
      <c r="AL27" s="2">
        <v>2.4808168927847873E-4</v>
      </c>
      <c r="AM27" s="2">
        <f t="shared" si="10"/>
        <v>-2.3064440065135499E-8</v>
      </c>
      <c r="AN27" s="2">
        <f t="shared" si="11"/>
        <v>1.4599154262005438E-7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5.036288453763464</v>
      </c>
      <c r="H28" s="6" t="s">
        <v>172</v>
      </c>
      <c r="J28" s="14" t="s">
        <v>67</v>
      </c>
      <c r="K28" s="6">
        <f xml:space="preserve"> $C$80 * (8 * ($C$5/1000))</f>
        <v>18.29684322929722</v>
      </c>
      <c r="L28" s="6" t="s">
        <v>7</v>
      </c>
      <c r="N28" s="6" t="s">
        <v>34</v>
      </c>
      <c r="O28" s="6">
        <f xml:space="preserve"> 1/$C$31 - O25 * SQRT( (2*$C$71*PI()*$C$10^2) / O20^3 )</f>
        <v>1.2260057049769222</v>
      </c>
      <c r="U28" s="2">
        <v>24</v>
      </c>
      <c r="V28" s="2">
        <f t="shared" si="7"/>
        <v>0.95865762233734131</v>
      </c>
      <c r="W28" s="2">
        <f t="shared" si="0"/>
        <v>5.3429139668104142E-8</v>
      </c>
      <c r="X28" s="2">
        <f t="shared" si="8"/>
        <v>0.95865768194198608</v>
      </c>
      <c r="Y28" s="2">
        <f t="shared" si="1"/>
        <v>-7.9349244952453546E-9</v>
      </c>
      <c r="Z28" s="2">
        <f t="shared" si="3"/>
        <v>0.9586576521396637</v>
      </c>
      <c r="AA28" s="2">
        <f t="shared" si="2"/>
        <v>2.2747107530918242E-8</v>
      </c>
      <c r="AB28" s="2">
        <f t="shared" si="4"/>
        <v>1.2153583853148143E-15</v>
      </c>
      <c r="AC28" s="2">
        <f t="shared" si="5"/>
        <v>-1.8049658074306324E-16</v>
      </c>
      <c r="AD28" s="2">
        <f t="shared" si="6"/>
        <v>5.9604644775390625E-8</v>
      </c>
      <c r="AF28" s="2">
        <v>24</v>
      </c>
      <c r="AG28" s="2">
        <f t="shared" si="13"/>
        <v>2858.8892221450806</v>
      </c>
      <c r="AH28" s="2">
        <v>-9.2971150479570497E-5</v>
      </c>
      <c r="AI28" s="2">
        <f t="shared" si="14"/>
        <v>2858.8903546333313</v>
      </c>
      <c r="AJ28" s="2">
        <v>2.4808168927847873E-4</v>
      </c>
      <c r="AK28" s="2">
        <f t="shared" si="9"/>
        <v>2858.8897883892059</v>
      </c>
      <c r="AL28" s="2">
        <v>7.7228948157426203E-5</v>
      </c>
      <c r="AM28" s="2">
        <f t="shared" si="10"/>
        <v>-7.1800641605230197E-9</v>
      </c>
      <c r="AN28" s="2">
        <f t="shared" si="11"/>
        <v>1.9159087920094351E-8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567.65647576070342</v>
      </c>
      <c r="H29" s="22" t="s">
        <v>97</v>
      </c>
      <c r="J29" s="14" t="s">
        <v>68</v>
      </c>
      <c r="K29" s="6">
        <f xml:space="preserve"> $C$80 * (13 * ($C$5*2.20462/1000)^1.3 * 0.453592)</f>
        <v>51.652059464212243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0.9586576521396637</v>
      </c>
      <c r="W29" s="2">
        <f t="shared" si="0"/>
        <v>2.2747107530918242E-8</v>
      </c>
      <c r="X29" s="2">
        <f t="shared" si="8"/>
        <v>0.95865768194198608</v>
      </c>
      <c r="Y29" s="2">
        <f t="shared" si="1"/>
        <v>-7.9349244952453546E-9</v>
      </c>
      <c r="Z29" s="2">
        <f t="shared" si="3"/>
        <v>0.95865766704082489</v>
      </c>
      <c r="AA29" s="2">
        <f t="shared" si="2"/>
        <v>7.4060915178364439E-9</v>
      </c>
      <c r="AB29" s="2">
        <f t="shared" si="4"/>
        <v>1.6846716014004709E-16</v>
      </c>
      <c r="AC29" s="2">
        <f t="shared" si="5"/>
        <v>-5.8766776998909247E-17</v>
      </c>
      <c r="AD29" s="2">
        <f t="shared" si="6"/>
        <v>2.9802322387695312E-8</v>
      </c>
      <c r="AF29" s="2">
        <v>25</v>
      </c>
      <c r="AG29" s="2">
        <f t="shared" si="13"/>
        <v>2858.8892221450806</v>
      </c>
      <c r="AH29" s="2">
        <v>-9.2971150479570497E-5</v>
      </c>
      <c r="AI29" s="2">
        <f t="shared" si="14"/>
        <v>2858.8897883892059</v>
      </c>
      <c r="AJ29" s="2">
        <v>7.7228948157426203E-5</v>
      </c>
      <c r="AK29" s="2">
        <f t="shared" si="9"/>
        <v>2858.8895052671432</v>
      </c>
      <c r="AL29" s="2">
        <v>-7.5447615017765202E-6</v>
      </c>
      <c r="AM29" s="2">
        <f t="shared" si="10"/>
        <v>7.0144515691413514E-10</v>
      </c>
      <c r="AN29" s="2">
        <f t="shared" si="11"/>
        <v>-5.8267399488084394E-10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-2.3407786775351269E-3</v>
      </c>
      <c r="L30" s="9" t="s">
        <v>7</v>
      </c>
      <c r="N30" s="6" t="s">
        <v>36</v>
      </c>
      <c r="O30" s="6">
        <f xml:space="preserve"> 1/$C$77 * LN( EXP($C$77 * O28) + EXP($C$77 * O29) )</f>
        <v>1.2292513282467226</v>
      </c>
      <c r="U30" s="2">
        <v>26</v>
      </c>
      <c r="V30" s="2">
        <f>IF(AB29&gt;0, Z29, V29)</f>
        <v>0.95865766704082489</v>
      </c>
      <c r="W30" s="2">
        <f t="shared" si="0"/>
        <v>7.4060915178364439E-9</v>
      </c>
      <c r="X30" s="2">
        <f t="shared" si="8"/>
        <v>0.95865768194198608</v>
      </c>
      <c r="Y30" s="2">
        <f t="shared" si="1"/>
        <v>-7.9349244952453546E-9</v>
      </c>
      <c r="Z30" s="2">
        <f t="shared" si="3"/>
        <v>0.95865767449140549</v>
      </c>
      <c r="AA30" s="2">
        <f t="shared" si="2"/>
        <v>-2.6441648870445533E-10</v>
      </c>
      <c r="AB30" s="2">
        <f t="shared" si="4"/>
        <v>-1.9582927141701625E-18</v>
      </c>
      <c r="AC30" s="2">
        <f t="shared" si="5"/>
        <v>2.0981248731677492E-18</v>
      </c>
      <c r="AD30" s="2">
        <f t="shared" si="6"/>
        <v>1.4901161193847656E-8</v>
      </c>
      <c r="AF30" s="2">
        <v>26</v>
      </c>
      <c r="AG30" s="2">
        <f t="shared" si="13"/>
        <v>2858.8895052671432</v>
      </c>
      <c r="AH30" s="2">
        <v>-7.5447615017765202E-6</v>
      </c>
      <c r="AI30" s="2">
        <f t="shared" si="14"/>
        <v>2858.8897883892059</v>
      </c>
      <c r="AJ30" s="2">
        <v>7.7228948157426203E-5</v>
      </c>
      <c r="AK30" s="2">
        <f t="shared" si="9"/>
        <v>2858.8896468281746</v>
      </c>
      <c r="AL30" s="2">
        <v>3.4515757761255372E-5</v>
      </c>
      <c r="AM30" s="2">
        <f t="shared" si="10"/>
        <v>-2.6041316036176366E-10</v>
      </c>
      <c r="AN30" s="2">
        <f t="shared" si="11"/>
        <v>2.6656156667582722E-9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0.95865766704082489</v>
      </c>
      <c r="W31" s="2">
        <f t="shared" si="0"/>
        <v>7.4060915178364439E-9</v>
      </c>
      <c r="X31" s="2">
        <f t="shared" si="8"/>
        <v>0.95865767449140549</v>
      </c>
      <c r="Y31" s="2">
        <f t="shared" si="1"/>
        <v>-2.6441648870445533E-10</v>
      </c>
      <c r="Z31" s="2">
        <f t="shared" si="3"/>
        <v>0.95865767076611519</v>
      </c>
      <c r="AA31" s="2">
        <f t="shared" si="2"/>
        <v>3.5708375145659943E-9</v>
      </c>
      <c r="AB31" s="2">
        <f t="shared" si="4"/>
        <v>2.644594942819938E-17</v>
      </c>
      <c r="AC31" s="2">
        <f t="shared" si="5"/>
        <v>-9.4418831733568458E-19</v>
      </c>
      <c r="AD31" s="2">
        <f t="shared" si="6"/>
        <v>7.4505805969238281E-9</v>
      </c>
      <c r="AF31" s="2">
        <v>27</v>
      </c>
      <c r="AG31" s="2">
        <f t="shared" si="13"/>
        <v>2858.8895052671432</v>
      </c>
      <c r="AH31" s="2">
        <v>-7.5447615017765202E-6</v>
      </c>
      <c r="AI31" s="2">
        <f t="shared" si="14"/>
        <v>2858.8896468281746</v>
      </c>
      <c r="AJ31" s="2">
        <v>3.4515757761255372E-5</v>
      </c>
      <c r="AK31" s="2">
        <f t="shared" si="9"/>
        <v>2858.8895760476589</v>
      </c>
      <c r="AL31" s="2">
        <v>1.3485498584486777E-5</v>
      </c>
      <c r="AM31" s="2">
        <f t="shared" si="10"/>
        <v>-1.0174487055249759E-10</v>
      </c>
      <c r="AN31" s="2">
        <f t="shared" si="11"/>
        <v>4.6546220243189781E-10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0.95865767076611519</v>
      </c>
      <c r="W32" s="2">
        <f t="shared" si="0"/>
        <v>3.5708375145659943E-9</v>
      </c>
      <c r="X32" s="2">
        <f t="shared" si="8"/>
        <v>0.95865767449140549</v>
      </c>
      <c r="Y32" s="2">
        <f t="shared" si="1"/>
        <v>-2.6441648870445533E-10</v>
      </c>
      <c r="Z32" s="2">
        <f t="shared" si="3"/>
        <v>0.95865767262876034</v>
      </c>
      <c r="AA32" s="2">
        <f t="shared" si="2"/>
        <v>1.6532104574196183E-9</v>
      </c>
      <c r="AB32" s="2">
        <f t="shared" si="4"/>
        <v>5.9033459208267802E-18</v>
      </c>
      <c r="AC32" s="2">
        <f t="shared" si="5"/>
        <v>-4.3713610424038192E-19</v>
      </c>
      <c r="AD32" s="2">
        <f t="shared" si="6"/>
        <v>3.7252902984619141E-9</v>
      </c>
      <c r="AF32" s="2">
        <v>28</v>
      </c>
      <c r="AG32" s="2">
        <f t="shared" si="13"/>
        <v>2858.8895052671432</v>
      </c>
      <c r="AH32" s="2">
        <v>-7.5447615017765202E-6</v>
      </c>
      <c r="AI32" s="2">
        <f t="shared" si="14"/>
        <v>2858.8895760476589</v>
      </c>
      <c r="AJ32" s="2">
        <v>1.3485498584486777E-5</v>
      </c>
      <c r="AK32" s="2">
        <f t="shared" si="9"/>
        <v>2858.8895406574011</v>
      </c>
      <c r="AL32" s="2">
        <v>2.6440325200383086E-6</v>
      </c>
      <c r="AM32" s="2">
        <f t="shared" si="10"/>
        <v>-1.9948594766630186E-11</v>
      </c>
      <c r="AN32" s="2">
        <f t="shared" si="11"/>
        <v>3.5656096806313616E-11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119.0254472559464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0.95865767262876034</v>
      </c>
      <c r="W33" s="2">
        <f t="shared" si="0"/>
        <v>1.6532104574196183E-9</v>
      </c>
      <c r="X33" s="2">
        <f t="shared" si="8"/>
        <v>0.95865767449140549</v>
      </c>
      <c r="Y33" s="2">
        <f t="shared" si="1"/>
        <v>-2.6441648870445533E-10</v>
      </c>
      <c r="Z33" s="2">
        <f t="shared" si="3"/>
        <v>0.95865767356008291</v>
      </c>
      <c r="AA33" s="2">
        <f t="shared" si="2"/>
        <v>6.9439698435758146E-10</v>
      </c>
      <c r="AB33" s="2">
        <f t="shared" si="4"/>
        <v>1.1479843561406007E-18</v>
      </c>
      <c r="AC33" s="2">
        <f t="shared" si="5"/>
        <v>-1.8361001237079428E-19</v>
      </c>
      <c r="AD33" s="2">
        <f t="shared" si="6"/>
        <v>1.862645149230957E-9</v>
      </c>
      <c r="AF33" s="2">
        <v>29</v>
      </c>
      <c r="AG33" s="2">
        <f t="shared" si="13"/>
        <v>2858.8895052671432</v>
      </c>
      <c r="AH33" s="2">
        <v>-7.5447615017765202E-6</v>
      </c>
      <c r="AI33" s="2">
        <f t="shared" si="14"/>
        <v>2858.8895406574011</v>
      </c>
      <c r="AJ33" s="2">
        <v>2.6440325200383086E-6</v>
      </c>
      <c r="AK33" s="2">
        <f t="shared" si="9"/>
        <v>2858.8895229622722</v>
      </c>
      <c r="AL33" s="2">
        <v>-2.7767009669332765E-6</v>
      </c>
      <c r="AM33" s="2">
        <f t="shared" si="10"/>
        <v>2.0949546557263823E-11</v>
      </c>
      <c r="AN33" s="2">
        <f t="shared" si="11"/>
        <v>-7.3416876549933992E-12</v>
      </c>
      <c r="AO33" s="2">
        <f t="shared" si="12"/>
        <v>3.5390257835388184E-5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20.99</v>
      </c>
      <c r="L34" s="6" t="s">
        <v>59</v>
      </c>
      <c r="U34" s="2">
        <v>30</v>
      </c>
      <c r="V34" s="2">
        <f t="shared" si="7"/>
        <v>0.95865767356008291</v>
      </c>
      <c r="W34" s="2">
        <f t="shared" si="0"/>
        <v>6.9439698435758146E-10</v>
      </c>
      <c r="X34" s="2">
        <f t="shared" si="8"/>
        <v>0.95865767449140549</v>
      </c>
      <c r="Y34" s="2">
        <f t="shared" si="1"/>
        <v>-2.6441648870445533E-10</v>
      </c>
      <c r="Z34" s="2">
        <f t="shared" si="3"/>
        <v>0.9586576740257442</v>
      </c>
      <c r="AA34" s="2">
        <f t="shared" si="2"/>
        <v>2.1499024782656306E-10</v>
      </c>
      <c r="AB34" s="2">
        <f t="shared" si="4"/>
        <v>1.4928857975705447E-19</v>
      </c>
      <c r="AC34" s="2">
        <f t="shared" si="5"/>
        <v>-5.6846966436000465E-20</v>
      </c>
      <c r="AD34" s="2">
        <f t="shared" si="6"/>
        <v>9.3132257461547852E-10</v>
      </c>
      <c r="AF34" s="2">
        <v>30</v>
      </c>
      <c r="AG34" s="2">
        <f t="shared" si="13"/>
        <v>2858.8895229622722</v>
      </c>
      <c r="AH34" s="2">
        <v>-2.7767009669332765E-6</v>
      </c>
      <c r="AI34" s="2">
        <f t="shared" si="14"/>
        <v>2858.8895406574011</v>
      </c>
      <c r="AJ34" s="2">
        <v>2.6440325200383086E-6</v>
      </c>
      <c r="AK34" s="2">
        <f t="shared" si="9"/>
        <v>2858.8895318098366</v>
      </c>
      <c r="AL34" s="2">
        <v>-6.6333996073808521E-8</v>
      </c>
      <c r="AM34" s="2">
        <f t="shared" si="10"/>
        <v>1.8418967103869229E-13</v>
      </c>
      <c r="AN34" s="2">
        <f t="shared" si="11"/>
        <v>-1.7538924280324321E-13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28.68</v>
      </c>
      <c r="L35" s="6" t="s">
        <v>59</v>
      </c>
      <c r="AF35" s="2">
        <v>31</v>
      </c>
      <c r="AG35" s="2">
        <f t="shared" si="13"/>
        <v>2858.8895318098366</v>
      </c>
      <c r="AH35" s="2">
        <v>-6.6333996073808521E-8</v>
      </c>
      <c r="AI35" s="2">
        <f t="shared" si="14"/>
        <v>2858.8895406574011</v>
      </c>
      <c r="AJ35" s="2">
        <v>2.6440325200383086E-6</v>
      </c>
      <c r="AK35" s="2">
        <f t="shared" si="9"/>
        <v>2858.8895362336189</v>
      </c>
      <c r="AL35" s="2">
        <v>1.2888494893559255E-6</v>
      </c>
      <c r="AM35" s="2">
        <f t="shared" si="10"/>
        <v>-8.5494536966666077E-14</v>
      </c>
      <c r="AN35" s="2">
        <f t="shared" si="11"/>
        <v>3.4077599632918348E-12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17.57</v>
      </c>
      <c r="L36" s="6" t="s">
        <v>59</v>
      </c>
      <c r="AF36" s="2">
        <v>32</v>
      </c>
      <c r="AG36" s="2">
        <f t="shared" si="13"/>
        <v>2858.8895318098366</v>
      </c>
      <c r="AH36" s="2">
        <v>-6.6333996073808521E-8</v>
      </c>
      <c r="AI36" s="2">
        <f t="shared" si="14"/>
        <v>2858.8895362336189</v>
      </c>
      <c r="AJ36" s="2">
        <v>1.2888494893559255E-6</v>
      </c>
      <c r="AK36" s="2">
        <f t="shared" si="9"/>
        <v>2858.8895340217277</v>
      </c>
      <c r="AL36" s="2">
        <v>6.1125729189370759E-7</v>
      </c>
      <c r="AM36" s="2">
        <f t="shared" si="10"/>
        <v>-4.0547138800564028E-14</v>
      </c>
      <c r="AN36" s="2">
        <f t="shared" si="11"/>
        <v>7.8781864852229091E-13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27.87</v>
      </c>
      <c r="L37" s="6" t="s">
        <v>59</v>
      </c>
      <c r="AF37" s="2">
        <v>33</v>
      </c>
      <c r="AG37" s="2">
        <f t="shared" si="13"/>
        <v>2858.8895318098366</v>
      </c>
      <c r="AH37" s="2">
        <v>-6.6333996073808521E-8</v>
      </c>
      <c r="AI37" s="2">
        <f t="shared" si="14"/>
        <v>2858.8895340217277</v>
      </c>
      <c r="AJ37" s="2">
        <v>6.1125729189370759E-7</v>
      </c>
      <c r="AK37" s="2">
        <f t="shared" si="9"/>
        <v>2858.8895329157822</v>
      </c>
      <c r="AL37" s="2">
        <v>2.7246142053627409E-7</v>
      </c>
      <c r="AM37" s="2">
        <f t="shared" si="10"/>
        <v>-1.8073454800117498E-14</v>
      </c>
      <c r="AN37" s="2">
        <f t="shared" si="11"/>
        <v>1.6654403006251551E-13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4.9000000000000004</v>
      </c>
      <c r="L38" s="6" t="s">
        <v>59</v>
      </c>
      <c r="AF38" s="2">
        <v>34</v>
      </c>
      <c r="AG38" s="2">
        <f t="shared" si="13"/>
        <v>2858.8895318098366</v>
      </c>
      <c r="AH38" s="2">
        <v>-6.6333996073808521E-8</v>
      </c>
      <c r="AI38" s="2">
        <f t="shared" si="14"/>
        <v>2858.8895329157822</v>
      </c>
      <c r="AJ38" s="2">
        <v>2.7246142053627409E-7</v>
      </c>
      <c r="AK38" s="2">
        <f t="shared" si="9"/>
        <v>2858.8895323628094</v>
      </c>
      <c r="AL38" s="2">
        <v>1.0306348485755734E-7</v>
      </c>
      <c r="AM38" s="2">
        <f t="shared" si="10"/>
        <v>-6.8366127998942326E-15</v>
      </c>
      <c r="AN38" s="2">
        <f t="shared" si="11"/>
        <v>2.8080823489708848E-14</v>
      </c>
      <c r="AO38" s="2">
        <f t="shared" si="12"/>
        <v>1.1059455573558807E-6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100.01000000000002</v>
      </c>
      <c r="L39" s="9" t="s">
        <v>59</v>
      </c>
      <c r="AF39" s="2">
        <v>35</v>
      </c>
      <c r="AG39" s="2">
        <f t="shared" si="13"/>
        <v>2858.8895318098366</v>
      </c>
      <c r="AH39" s="2">
        <v>-6.6333996073808521E-8</v>
      </c>
      <c r="AI39" s="2">
        <f t="shared" si="14"/>
        <v>2858.8895323628094</v>
      </c>
      <c r="AJ39" s="2">
        <v>1.0306348485755734E-7</v>
      </c>
      <c r="AK39" s="2">
        <f t="shared" si="9"/>
        <v>2858.889532086323</v>
      </c>
      <c r="AL39" s="2">
        <v>1.8364971765549853E-8</v>
      </c>
      <c r="AM39" s="2">
        <f t="shared" si="10"/>
        <v>-1.2182219649915883E-15</v>
      </c>
      <c r="AN39" s="2">
        <f t="shared" si="11"/>
        <v>1.8927579894682154E-15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2858.8895318098366</v>
      </c>
      <c r="AH40" s="2">
        <v>-6.6333996073808521E-8</v>
      </c>
      <c r="AI40" s="2">
        <f t="shared" si="14"/>
        <v>2858.889532086323</v>
      </c>
      <c r="AJ40" s="2">
        <v>1.8364971765549853E-8</v>
      </c>
      <c r="AK40" s="2">
        <f t="shared" si="9"/>
        <v>2858.8895319480798</v>
      </c>
      <c r="AL40" s="2">
        <v>-2.3985194275155663E-8</v>
      </c>
      <c r="AM40" s="2">
        <f t="shared" si="10"/>
        <v>1.5910337828777104E-15</v>
      </c>
      <c r="AN40" s="2">
        <f t="shared" si="11"/>
        <v>-4.4048741565446174E-16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2858.8895319480798</v>
      </c>
      <c r="AH41" s="2">
        <v>-2.3985194275155663E-8</v>
      </c>
      <c r="AI41" s="2">
        <f t="shared" si="14"/>
        <v>2858.889532086323</v>
      </c>
      <c r="AJ41" s="2">
        <v>1.8364971765549853E-8</v>
      </c>
      <c r="AK41" s="2">
        <f t="shared" si="9"/>
        <v>2858.8895320172014</v>
      </c>
      <c r="AL41" s="2">
        <v>-2.8098838811274618E-9</v>
      </c>
      <c r="AM41" s="2">
        <f t="shared" si="10"/>
        <v>6.7395610779470573E-17</v>
      </c>
      <c r="AN41" s="2">
        <f t="shared" si="11"/>
        <v>-5.1603438141379476E-17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2858.8895320172014</v>
      </c>
      <c r="AH42" s="2">
        <v>-2.8098838811274618E-9</v>
      </c>
      <c r="AI42" s="2">
        <f t="shared" si="14"/>
        <v>2858.889532086323</v>
      </c>
      <c r="AJ42" s="2">
        <v>1.8364971765549853E-8</v>
      </c>
      <c r="AK42" s="2">
        <f t="shared" si="9"/>
        <v>2858.8895320517622</v>
      </c>
      <c r="AL42" s="2">
        <v>7.7779986895620823E-9</v>
      </c>
      <c r="AM42" s="2">
        <f t="shared" si="10"/>
        <v>-2.1855273145231016E-17</v>
      </c>
      <c r="AN42" s="2">
        <f t="shared" si="11"/>
        <v>1.428427263262914E-16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819.95</v>
      </c>
      <c r="L43" s="6" t="s">
        <v>7</v>
      </c>
      <c r="AF43" s="2">
        <v>39</v>
      </c>
      <c r="AG43" s="2">
        <f t="shared" si="13"/>
        <v>2858.8895320172014</v>
      </c>
      <c r="AH43" s="2">
        <v>-2.8098838811274618E-9</v>
      </c>
      <c r="AI43" s="2">
        <f t="shared" si="14"/>
        <v>2858.8895320517622</v>
      </c>
      <c r="AJ43" s="2">
        <v>7.7779986895620823E-9</v>
      </c>
      <c r="AK43" s="2">
        <f t="shared" si="9"/>
        <v>2858.8895320344818</v>
      </c>
      <c r="AL43" s="2">
        <v>2.483830030541867E-9</v>
      </c>
      <c r="AM43" s="2">
        <f t="shared" si="10"/>
        <v>-6.9792739662799233E-18</v>
      </c>
      <c r="AN43" s="2">
        <f t="shared" si="11"/>
        <v>1.9319226722649588E-17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502.25</v>
      </c>
      <c r="L44" s="6" t="s">
        <v>7</v>
      </c>
      <c r="AF44" s="2">
        <v>40</v>
      </c>
      <c r="AG44" s="2">
        <f t="shared" si="13"/>
        <v>2858.8895320172014</v>
      </c>
      <c r="AH44" s="2">
        <v>-2.8098838811274618E-9</v>
      </c>
      <c r="AI44" s="2">
        <f t="shared" si="14"/>
        <v>2858.8895320344818</v>
      </c>
      <c r="AJ44" s="2">
        <v>2.483830030541867E-9</v>
      </c>
      <c r="AK44" s="5">
        <f t="shared" si="9"/>
        <v>2858.8895320258416</v>
      </c>
      <c r="AL44" s="2">
        <v>-1.6325429896824062E-10</v>
      </c>
      <c r="AM44" s="2">
        <f t="shared" si="10"/>
        <v>4.5872562319562293E-19</v>
      </c>
      <c r="AN44" s="2">
        <f t="shared" si="11"/>
        <v>-4.0549593039237619E-19</v>
      </c>
      <c r="AO44" s="2">
        <f t="shared" si="12"/>
        <v>1.7280399333685637E-8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796.73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139.96</v>
      </c>
      <c r="L46" s="6" t="s">
        <v>7</v>
      </c>
    </row>
    <row r="47" spans="2:41" x14ac:dyDescent="0.2">
      <c r="J47" s="9" t="s">
        <v>60</v>
      </c>
      <c r="K47" s="9">
        <f>SUM(K42:K46)</f>
        <v>2858.8900000000003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48:D48"/>
    <mergeCell ref="B53:D53"/>
    <mergeCell ref="B76:D76"/>
    <mergeCell ref="B59:D59"/>
    <mergeCell ref="B64:D64"/>
    <mergeCell ref="B70:D70"/>
    <mergeCell ref="F22:H22"/>
    <mergeCell ref="B27:D27"/>
    <mergeCell ref="B39:D39"/>
    <mergeCell ref="J41:L41"/>
    <mergeCell ref="B45:D45"/>
    <mergeCell ref="B34:D34"/>
    <mergeCell ref="F31:H31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7B6D-1E68-C045-9E0B-786C7F81DBC6}">
  <dimension ref="B1:AO81"/>
  <sheetViews>
    <sheetView zoomScale="88" workbookViewId="0">
      <selection activeCell="C5" sqref="C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371.93903748126235</v>
      </c>
      <c r="L4" s="6" t="s">
        <v>97</v>
      </c>
      <c r="N4" s="6" t="s">
        <v>131</v>
      </c>
      <c r="O4" s="6">
        <f xml:space="preserve"> $C$5 * $C$74</f>
        <v>17444.986155703555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1.2139938224940559</v>
      </c>
      <c r="X4" s="3">
        <v>1</v>
      </c>
      <c r="Y4" s="2">
        <f t="shared" ref="Y4:Y34" si="1" xml:space="preserve"> $O$22 * TAN($O$19/180*PI()) + $O$23 / (2 * SQRT($O$22^2 + X4^2)) - X4</f>
        <v>-2.6915747487480712E-2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0.49442982548419134</v>
      </c>
      <c r="AB4" s="2">
        <f>W4*AA4</f>
        <v>0.60023475379462243</v>
      </c>
      <c r="AC4" s="2">
        <f>Y4*AA4</f>
        <v>-1.330794833301165E-2</v>
      </c>
      <c r="AD4" s="2">
        <f>X4-V4</f>
        <v>1</v>
      </c>
      <c r="AF4" s="2">
        <v>0</v>
      </c>
      <c r="AH4" s="2">
        <f>K30</f>
        <v>-6.3293485854956089E-3</v>
      </c>
      <c r="AJ4" s="2">
        <f>K30</f>
        <v>-6.3293485854956089E-3</v>
      </c>
      <c r="AL4" s="2">
        <f>K30</f>
        <v>-6.3293485854956089E-3</v>
      </c>
    </row>
    <row r="5" spans="2:41" x14ac:dyDescent="0.2">
      <c r="B5" s="9" t="s">
        <v>38</v>
      </c>
      <c r="C5" s="9">
        <v>1780.0000645334701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46.492379685157793</v>
      </c>
      <c r="L5" s="6" t="s">
        <v>97</v>
      </c>
      <c r="N5" s="6" t="s">
        <v>24</v>
      </c>
      <c r="O5" s="6">
        <f xml:space="preserve"> 0.5 * $C$71 * $C$7^2</f>
        <v>844.21541849925666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0.49442982548419134</v>
      </c>
      <c r="X5" s="2">
        <f>IF(AC4&gt;0, Z4, X4)</f>
        <v>1</v>
      </c>
      <c r="Y5" s="2">
        <f t="shared" si="1"/>
        <v>-2.6915747487480712E-2</v>
      </c>
      <c r="Z5" s="2">
        <f t="shared" ref="Z5:Z34" si="3" xml:space="preserve"> (V5 + X5)/2</f>
        <v>0.75</v>
      </c>
      <c r="AA5" s="2">
        <f t="shared" si="2"/>
        <v>0.23026964070778888</v>
      </c>
      <c r="AB5" s="2">
        <f t="shared" ref="AB5:AB34" si="4">W5*AA5</f>
        <v>0.11385217826945949</v>
      </c>
      <c r="AC5" s="2">
        <f t="shared" ref="AC5:AC34" si="5">Y5*AA5</f>
        <v>-6.197879503323755E-3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-616.40960904508165</v>
      </c>
      <c r="AI5" s="3">
        <v>10000</v>
      </c>
      <c r="AJ5" s="2">
        <f t="dataTable" ref="AJ5:AJ44" dt2D="0" dtr="0" r1="C5"/>
        <v>2063.497956397905</v>
      </c>
      <c r="AK5" s="2">
        <f>(AG5+AI5)/2</f>
        <v>5250</v>
      </c>
      <c r="AL5" s="2">
        <f t="dataTable" ref="AL5:AL44" dt2D="0" dtr="0" r1="C5" ca="1"/>
        <v>1540.5933657089531</v>
      </c>
      <c r="AM5" s="2">
        <f>AH5*AL5</f>
        <v>-949636.55425410229</v>
      </c>
      <c r="AN5" s="2">
        <f>AJ5*AL5</f>
        <v>3179011.2617805949</v>
      </c>
      <c r="AO5" s="2">
        <f>AI5-AG5</f>
        <v>9500</v>
      </c>
    </row>
    <row r="6" spans="2:41" x14ac:dyDescent="0.2">
      <c r="B6" s="6" t="s">
        <v>168</v>
      </c>
      <c r="C6" s="16">
        <v>194.83851410186401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72.116043777712548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0.19231209270857261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0.23026964070778888</v>
      </c>
      <c r="X6" s="2">
        <f t="shared" ref="X6:X34" si="8">IF(AC5&gt;0, Z5, X5)</f>
        <v>1</v>
      </c>
      <c r="Y6" s="2">
        <f t="shared" si="1"/>
        <v>-2.6915747487480712E-2</v>
      </c>
      <c r="Z6" s="2">
        <f t="shared" si="3"/>
        <v>0.875</v>
      </c>
      <c r="AA6" s="2">
        <f t="shared" si="2"/>
        <v>0.10117070175681231</v>
      </c>
      <c r="AB6" s="2">
        <f t="shared" si="4"/>
        <v>2.3296541143696035E-2</v>
      </c>
      <c r="AC6" s="2">
        <f t="shared" si="5"/>
        <v>-2.7230850616175814E-3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-616.40960904508165</v>
      </c>
      <c r="AI6" s="2">
        <f>IF(AN5&gt;0,AK5,AI5)</f>
        <v>5250</v>
      </c>
      <c r="AJ6" s="2">
        <v>1540.5933657089531</v>
      </c>
      <c r="AK6" s="2">
        <f t="shared" ref="AK6:AK44" si="9">(AG6+AI6)/2</f>
        <v>2875</v>
      </c>
      <c r="AL6" s="2">
        <v>331.43249525366514</v>
      </c>
      <c r="AM6" s="2">
        <f t="shared" ref="AM6:AM44" si="10">AH6*AL6</f>
        <v>-204298.1748241476</v>
      </c>
      <c r="AN6" s="2">
        <f t="shared" ref="AN6:AN44" si="11">AJ6*AL6</f>
        <v>510602.70336816058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147.297916661009 * 1000 / 3600</f>
        <v>40.916087961391383</v>
      </c>
      <c r="D7" s="6" t="s">
        <v>10</v>
      </c>
      <c r="F7" s="6" t="s">
        <v>20</v>
      </c>
      <c r="G7" s="6">
        <f xml:space="preserve"> $C$5 * $C$68 / $C$21</f>
        <v>2180.8318693747392</v>
      </c>
      <c r="H7" s="6" t="s">
        <v>21</v>
      </c>
      <c r="J7" s="6" t="s">
        <v>133</v>
      </c>
      <c r="K7" s="6">
        <f>K6/$C$28</f>
        <v>72.116043777712548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0.10117070175681231</v>
      </c>
      <c r="X7" s="2">
        <f t="shared" si="8"/>
        <v>1</v>
      </c>
      <c r="Y7" s="2">
        <f t="shared" si="1"/>
        <v>-2.6915747487480712E-2</v>
      </c>
      <c r="Z7" s="2">
        <f t="shared" si="3"/>
        <v>0.9375</v>
      </c>
      <c r="AA7" s="2">
        <f t="shared" si="2"/>
        <v>3.7025805774187348E-2</v>
      </c>
      <c r="AB7" s="2">
        <f t="shared" si="4"/>
        <v>3.7459267532859671E-3</v>
      </c>
      <c r="AC7" s="2">
        <f t="shared" si="5"/>
        <v>-9.9657723873853199E-4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-616.40960904508165</v>
      </c>
      <c r="AI7" s="2">
        <f t="shared" ref="AI7:AI44" si="14">IF(AN6&gt;0,AK6,AI6)</f>
        <v>2875</v>
      </c>
      <c r="AJ7" s="2">
        <v>331.43249525366514</v>
      </c>
      <c r="AK7" s="2">
        <f t="shared" si="9"/>
        <v>1687.5</v>
      </c>
      <c r="AL7" s="2">
        <v>-36.810629344317476</v>
      </c>
      <c r="AM7" s="2">
        <f t="shared" si="10"/>
        <v>22690.425642834147</v>
      </c>
      <c r="AN7" s="2">
        <f t="shared" si="11"/>
        <v>-12200.238735444929</v>
      </c>
      <c r="AO7" s="2">
        <f t="shared" si="12"/>
        <v>2375</v>
      </c>
    </row>
    <row r="8" spans="2:41" x14ac:dyDescent="0.2">
      <c r="B8" s="6" t="s">
        <v>91</v>
      </c>
      <c r="C8" s="16">
        <v>1.96395125088071</v>
      </c>
      <c r="D8" s="6" t="s">
        <v>8</v>
      </c>
      <c r="F8" t="s">
        <v>93</v>
      </c>
      <c r="G8" s="6">
        <f>G10/$C$21</f>
        <v>30.994919790105197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3.7025805774187348E-2</v>
      </c>
      <c r="X8" s="2">
        <f t="shared" si="8"/>
        <v>1</v>
      </c>
      <c r="Y8" s="2">
        <f t="shared" si="1"/>
        <v>-2.6915747487480712E-2</v>
      </c>
      <c r="Z8" s="2">
        <f t="shared" si="3"/>
        <v>0.96875</v>
      </c>
      <c r="AA8" s="2">
        <f t="shared" si="2"/>
        <v>5.0320339931623215E-3</v>
      </c>
      <c r="AB8" s="2">
        <f t="shared" si="4"/>
        <v>1.863151132799365E-4</v>
      </c>
      <c r="AC8" s="2">
        <f t="shared" si="5"/>
        <v>-1.3544095630837628E-4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-36.810629344317476</v>
      </c>
      <c r="AI8" s="2">
        <f t="shared" si="14"/>
        <v>2875</v>
      </c>
      <c r="AJ8" s="2">
        <v>331.43249525366514</v>
      </c>
      <c r="AK8" s="2">
        <f t="shared" si="9"/>
        <v>2281.25</v>
      </c>
      <c r="AL8" s="2">
        <v>176.00270426779252</v>
      </c>
      <c r="AM8" s="2">
        <f t="shared" si="10"/>
        <v>-6478.7703103992344</v>
      </c>
      <c r="AN8" s="2">
        <f t="shared" si="11"/>
        <v>58333.015446867372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7.1785960271371509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5.0320339931623215E-3</v>
      </c>
      <c r="X9" s="2">
        <f t="shared" si="8"/>
        <v>1</v>
      </c>
      <c r="Y9" s="2">
        <f t="shared" si="1"/>
        <v>-2.6915747487480712E-2</v>
      </c>
      <c r="Z9" s="2">
        <f t="shared" si="3"/>
        <v>0.984375</v>
      </c>
      <c r="AA9" s="2">
        <f t="shared" si="2"/>
        <v>-1.09473357252452E-2</v>
      </c>
      <c r="AB9" s="2">
        <f t="shared" si="4"/>
        <v>-5.5087365503994139E-5</v>
      </c>
      <c r="AC9" s="2">
        <f t="shared" si="5"/>
        <v>2.9465572404137634E-4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-36.810629344317476</v>
      </c>
      <c r="AI9" s="2">
        <f t="shared" si="14"/>
        <v>2281.25</v>
      </c>
      <c r="AJ9" s="2">
        <v>176.00270426779252</v>
      </c>
      <c r="AK9" s="2">
        <f t="shared" si="9"/>
        <v>1984.375</v>
      </c>
      <c r="AL9" s="2">
        <v>76.578606899111037</v>
      </c>
      <c r="AM9" s="2">
        <f t="shared" si="10"/>
        <v>-2818.9067142673694</v>
      </c>
      <c r="AN9" s="2">
        <f t="shared" si="11"/>
        <v>13478.041903303776</v>
      </c>
      <c r="AO9" s="2">
        <f t="shared" si="12"/>
        <v>593.75</v>
      </c>
    </row>
    <row r="10" spans="2:41" x14ac:dyDescent="0.2">
      <c r="B10" s="6" t="s">
        <v>134</v>
      </c>
      <c r="C10" s="16">
        <v>2.1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247.95935832084157</v>
      </c>
      <c r="H10" s="22" t="s">
        <v>97</v>
      </c>
      <c r="J10" s="6" t="s">
        <v>92</v>
      </c>
      <c r="K10" s="6">
        <f xml:space="preserve"> $C$18 * (G10*G6 + G20*G13 + G29*G25 + G33*G32)/3600</f>
        <v>67.830778184640096</v>
      </c>
      <c r="L10" s="6" t="s">
        <v>98</v>
      </c>
      <c r="N10" s="6" t="s">
        <v>39</v>
      </c>
      <c r="O10" s="6">
        <f xml:space="preserve"> O5 * $C$12 * O9</f>
        <v>462.22010785918724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5.0320339931623215E-3</v>
      </c>
      <c r="X10" s="2">
        <f t="shared" si="8"/>
        <v>0.984375</v>
      </c>
      <c r="Y10" s="2">
        <f t="shared" si="1"/>
        <v>-1.09473357252452E-2</v>
      </c>
      <c r="Z10" s="2">
        <f t="shared" si="3"/>
        <v>0.9765625</v>
      </c>
      <c r="AA10" s="2">
        <f t="shared" si="2"/>
        <v>-2.9590530122430847E-3</v>
      </c>
      <c r="AB10" s="2">
        <f t="shared" si="4"/>
        <v>-1.4890055345176565E-5</v>
      </c>
      <c r="AC10" s="2">
        <f t="shared" si="5"/>
        <v>3.2393746753823145E-5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-36.810629344317476</v>
      </c>
      <c r="AI10" s="2">
        <f t="shared" si="14"/>
        <v>1984.375</v>
      </c>
      <c r="AJ10" s="2">
        <v>76.578606899111037</v>
      </c>
      <c r="AK10" s="2">
        <f t="shared" si="9"/>
        <v>1835.9375</v>
      </c>
      <c r="AL10" s="2">
        <v>21.605746918892464</v>
      </c>
      <c r="AM10" s="2">
        <f t="shared" si="10"/>
        <v>-795.32114153847988</v>
      </c>
      <c r="AN10" s="2">
        <f t="shared" si="11"/>
        <v>1654.5380000635455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64.666125889615458</v>
      </c>
      <c r="L11" s="6" t="s">
        <v>99</v>
      </c>
      <c r="N11" s="6" t="s">
        <v>137</v>
      </c>
      <c r="O11" s="6">
        <f xml:space="preserve"> 1.78 * (1 - 0.045 * $C$13^0.68) - 0.64</f>
        <v>0.84261438935974298</v>
      </c>
      <c r="U11" s="2">
        <v>7</v>
      </c>
      <c r="V11" s="2">
        <f t="shared" si="7"/>
        <v>0.96875</v>
      </c>
      <c r="W11" s="2">
        <f t="shared" si="0"/>
        <v>5.0320339931623215E-3</v>
      </c>
      <c r="X11" s="2">
        <f t="shared" si="8"/>
        <v>0.9765625</v>
      </c>
      <c r="Y11" s="2">
        <f t="shared" si="1"/>
        <v>-2.9590530122430847E-3</v>
      </c>
      <c r="Z11" s="2">
        <f t="shared" si="3"/>
        <v>0.97265625</v>
      </c>
      <c r="AA11" s="2">
        <f t="shared" si="2"/>
        <v>1.036135791901871E-3</v>
      </c>
      <c r="AB11" s="2">
        <f t="shared" si="4"/>
        <v>5.2138705263823763E-6</v>
      </c>
      <c r="AC11" s="2">
        <f t="shared" si="5"/>
        <v>-3.0659807361201054E-6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-36.810629344317476</v>
      </c>
      <c r="AI11" s="2">
        <f t="shared" si="14"/>
        <v>1835.9375</v>
      </c>
      <c r="AJ11" s="2">
        <v>21.605746918892464</v>
      </c>
      <c r="AK11" s="2">
        <f t="shared" si="9"/>
        <v>1761.71875</v>
      </c>
      <c r="AL11" s="2">
        <v>-7.1751143989088177</v>
      </c>
      <c r="AM11" s="2">
        <f t="shared" si="10"/>
        <v>264.12047664130779</v>
      </c>
      <c r="AN11" s="2">
        <f t="shared" si="11"/>
        <v>-155.02370581692514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0.68880468868618006</v>
      </c>
      <c r="U12" s="2">
        <v>8</v>
      </c>
      <c r="V12" s="2">
        <f t="shared" si="7"/>
        <v>0.97265625</v>
      </c>
      <c r="W12" s="2">
        <f t="shared" si="0"/>
        <v>1.036135791901871E-3</v>
      </c>
      <c r="X12" s="2">
        <f t="shared" si="8"/>
        <v>0.9765625</v>
      </c>
      <c r="Y12" s="2">
        <f t="shared" si="1"/>
        <v>-2.9590530122430847E-3</v>
      </c>
      <c r="Z12" s="2">
        <f t="shared" si="3"/>
        <v>0.974609375</v>
      </c>
      <c r="AA12" s="2">
        <f t="shared" si="2"/>
        <v>-9.615467594410454E-4</v>
      </c>
      <c r="AB12" s="2">
        <f t="shared" si="4"/>
        <v>-9.9629301304412539E-7</v>
      </c>
      <c r="AC12" s="2">
        <f t="shared" si="5"/>
        <v>2.8452678349366021E-6</v>
      </c>
      <c r="AD12" s="2">
        <f t="shared" si="6"/>
        <v>3.90625E-3</v>
      </c>
      <c r="AF12" s="2">
        <v>8</v>
      </c>
      <c r="AG12" s="2">
        <f t="shared" si="13"/>
        <v>1761.71875</v>
      </c>
      <c r="AH12" s="2">
        <v>-7.1751143989088177</v>
      </c>
      <c r="AI12" s="2">
        <f t="shared" si="14"/>
        <v>1835.9375</v>
      </c>
      <c r="AJ12" s="2">
        <v>21.605746918892464</v>
      </c>
      <c r="AK12" s="2">
        <f t="shared" si="9"/>
        <v>1798.828125</v>
      </c>
      <c r="AL12" s="2">
        <v>7.3225489731812559</v>
      </c>
      <c r="AM12" s="2">
        <f t="shared" si="10"/>
        <v>-52.540126574187809</v>
      </c>
      <c r="AN12" s="2">
        <f t="shared" si="11"/>
        <v>158.20913991575009</v>
      </c>
      <c r="AO12" s="2">
        <f t="shared" si="12"/>
        <v>74.21875</v>
      </c>
    </row>
    <row r="13" spans="2:41" x14ac:dyDescent="0.2">
      <c r="B13" s="6" t="s">
        <v>136</v>
      </c>
      <c r="C13" s="16">
        <v>6.8829662389567998</v>
      </c>
      <c r="F13" s="8" t="s">
        <v>85</v>
      </c>
      <c r="G13" s="6">
        <f xml:space="preserve"> $C$17/$C$7</f>
        <v>2359.9675533769278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4.4290290074448929E-2</v>
      </c>
      <c r="U13" s="2">
        <v>9</v>
      </c>
      <c r="V13" s="2">
        <f t="shared" si="7"/>
        <v>0.97265625</v>
      </c>
      <c r="W13" s="2">
        <f t="shared" si="0"/>
        <v>1.036135791901871E-3</v>
      </c>
      <c r="X13" s="2">
        <f t="shared" si="8"/>
        <v>0.974609375</v>
      </c>
      <c r="Y13" s="2">
        <f t="shared" si="1"/>
        <v>-9.615467594410454E-4</v>
      </c>
      <c r="Z13" s="2">
        <f t="shared" si="3"/>
        <v>0.9736328125</v>
      </c>
      <c r="AA13" s="2">
        <f t="shared" si="2"/>
        <v>3.7272413564992668E-5</v>
      </c>
      <c r="AB13" s="2">
        <f t="shared" si="4"/>
        <v>3.8619281745257714E-8</v>
      </c>
      <c r="AC13" s="2">
        <f t="shared" si="5"/>
        <v>-3.5839168479965159E-8</v>
      </c>
      <c r="AD13" s="2">
        <f t="shared" si="6"/>
        <v>1.953125E-3</v>
      </c>
      <c r="AF13" s="2">
        <v>9</v>
      </c>
      <c r="AG13" s="2">
        <f t="shared" si="13"/>
        <v>1761.71875</v>
      </c>
      <c r="AH13" s="2">
        <v>-7.1751143989088177</v>
      </c>
      <c r="AI13" s="2">
        <f t="shared" si="14"/>
        <v>1798.828125</v>
      </c>
      <c r="AJ13" s="2">
        <v>7.3225489731812559</v>
      </c>
      <c r="AK13" s="2">
        <f t="shared" si="9"/>
        <v>1780.2734375</v>
      </c>
      <c r="AL13" s="2">
        <v>0.10047635246428399</v>
      </c>
      <c r="AM13" s="2">
        <f t="shared" si="10"/>
        <v>-0.72092932331632154</v>
      </c>
      <c r="AN13" s="2">
        <f t="shared" si="11"/>
        <v>0.7357430115663407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42.847227117713715</v>
      </c>
      <c r="H14" s="6" t="s">
        <v>10</v>
      </c>
      <c r="J14" s="9" t="s">
        <v>75</v>
      </c>
      <c r="K14" s="17">
        <f>C5</f>
        <v>1780.0000645334701</v>
      </c>
      <c r="L14" s="6" t="s">
        <v>7</v>
      </c>
      <c r="N14" s="6" t="s">
        <v>40</v>
      </c>
      <c r="O14" s="6">
        <f xml:space="preserve"> O5 * O13 * $C$12</f>
        <v>1121.7163731196276</v>
      </c>
      <c r="P14" s="6" t="s">
        <v>21</v>
      </c>
      <c r="U14" s="2">
        <v>10</v>
      </c>
      <c r="V14" s="2">
        <f t="shared" si="7"/>
        <v>0.9736328125</v>
      </c>
      <c r="W14" s="2">
        <f t="shared" si="0"/>
        <v>3.7272413564992668E-5</v>
      </c>
      <c r="X14" s="2">
        <f t="shared" si="8"/>
        <v>0.974609375</v>
      </c>
      <c r="Y14" s="2">
        <f t="shared" si="1"/>
        <v>-9.615467594410454E-4</v>
      </c>
      <c r="Z14" s="2">
        <f t="shared" si="3"/>
        <v>0.97412109375</v>
      </c>
      <c r="AA14" s="2">
        <f t="shared" si="2"/>
        <v>-4.6214269041577882E-4</v>
      </c>
      <c r="AB14" s="2">
        <f t="shared" si="4"/>
        <v>-1.7225173483215282E-8</v>
      </c>
      <c r="AC14" s="2">
        <f t="shared" si="5"/>
        <v>4.4437180636865837E-7</v>
      </c>
      <c r="AD14" s="2">
        <f t="shared" si="6"/>
        <v>9.765625E-4</v>
      </c>
      <c r="AF14" s="2">
        <v>10</v>
      </c>
      <c r="AG14" s="2">
        <f t="shared" si="13"/>
        <v>1761.71875</v>
      </c>
      <c r="AH14" s="2">
        <v>-7.1751143989088177</v>
      </c>
      <c r="AI14" s="2">
        <f t="shared" si="14"/>
        <v>1780.2734375</v>
      </c>
      <c r="AJ14" s="2">
        <v>0.10047635246428399</v>
      </c>
      <c r="AK14" s="2">
        <f t="shared" si="9"/>
        <v>1770.99609375</v>
      </c>
      <c r="AL14" s="2">
        <v>-3.5306353585813213</v>
      </c>
      <c r="AM14" s="2">
        <f t="shared" si="10"/>
        <v>25.332712598653437</v>
      </c>
      <c r="AN14" s="2">
        <f t="shared" si="11"/>
        <v>-0.35474536271168056</v>
      </c>
      <c r="AO14" s="2">
        <f t="shared" si="12"/>
        <v>18.5546875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0.12877795587780688</v>
      </c>
      <c r="H15" s="6" t="s">
        <v>120</v>
      </c>
      <c r="J15" s="10" t="s">
        <v>53</v>
      </c>
      <c r="K15" s="6">
        <f xml:space="preserve"> 1000 * K10 / ($C$60 * $C$61 * $C$62)</f>
        <v>399.00457755670641</v>
      </c>
      <c r="L15" s="6" t="s">
        <v>7</v>
      </c>
      <c r="N15" s="6" t="s">
        <v>140</v>
      </c>
      <c r="O15" s="6">
        <f>O4/O14</f>
        <v>15.552047356843833</v>
      </c>
      <c r="U15" s="2">
        <v>11</v>
      </c>
      <c r="V15" s="2">
        <f t="shared" si="7"/>
        <v>0.9736328125</v>
      </c>
      <c r="W15" s="2">
        <f t="shared" si="0"/>
        <v>3.7272413564992668E-5</v>
      </c>
      <c r="X15" s="2">
        <f t="shared" si="8"/>
        <v>0.97412109375</v>
      </c>
      <c r="Y15" s="2">
        <f t="shared" si="1"/>
        <v>-4.6214269041577882E-4</v>
      </c>
      <c r="Z15" s="2">
        <f t="shared" si="3"/>
        <v>0.973876953125</v>
      </c>
      <c r="AA15" s="2">
        <f t="shared" si="2"/>
        <v>-2.1243651881708292E-4</v>
      </c>
      <c r="AB15" s="2">
        <f t="shared" si="4"/>
        <v>-7.9180217856576614E-9</v>
      </c>
      <c r="AC15" s="2">
        <f t="shared" si="5"/>
        <v>9.8175984348688921E-8</v>
      </c>
      <c r="AD15" s="2">
        <f t="shared" si="6"/>
        <v>4.8828125E-4</v>
      </c>
      <c r="AF15" s="2">
        <v>11</v>
      </c>
      <c r="AG15" s="2">
        <f t="shared" si="13"/>
        <v>1770.99609375</v>
      </c>
      <c r="AH15" s="2">
        <v>-3.5306353585813213</v>
      </c>
      <c r="AI15" s="2">
        <f t="shared" si="14"/>
        <v>1780.2734375</v>
      </c>
      <c r="AJ15" s="2">
        <v>0.10047635246428399</v>
      </c>
      <c r="AK15" s="2">
        <f t="shared" si="9"/>
        <v>1775.634765625</v>
      </c>
      <c r="AL15" s="2">
        <v>-1.7134076703757728</v>
      </c>
      <c r="AM15" s="2">
        <f t="shared" si="10"/>
        <v>6.0494177046931528</v>
      </c>
      <c r="AN15" s="2">
        <f t="shared" si="11"/>
        <v>-0.17215695300368386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1121.7163731196276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127.24162209369331</v>
      </c>
      <c r="L16" s="6" t="s">
        <v>7</v>
      </c>
      <c r="N16" s="6" t="s">
        <v>111</v>
      </c>
      <c r="O16" s="6">
        <f>(O13*$C$12)/(0.3048^2)/($C$5*2.20462/1000)^(2/3)</f>
        <v>5.7486254517595707</v>
      </c>
      <c r="U16" s="2">
        <v>12</v>
      </c>
      <c r="V16" s="2">
        <f t="shared" si="7"/>
        <v>0.9736328125</v>
      </c>
      <c r="W16" s="2">
        <f t="shared" si="0"/>
        <v>3.7272413564992668E-5</v>
      </c>
      <c r="X16" s="2">
        <f t="shared" si="8"/>
        <v>0.973876953125</v>
      </c>
      <c r="Y16" s="2">
        <f t="shared" si="1"/>
        <v>-2.1243651881708292E-4</v>
      </c>
      <c r="Z16" s="2">
        <f t="shared" si="3"/>
        <v>0.9737548828125</v>
      </c>
      <c r="AA16" s="2">
        <f t="shared" si="2"/>
        <v>-8.7582397851893035E-5</v>
      </c>
      <c r="AB16" s="2">
        <f t="shared" si="4"/>
        <v>-3.2644073537494826E-9</v>
      </c>
      <c r="AC16" s="2">
        <f t="shared" si="5"/>
        <v>1.8605699709308918E-8</v>
      </c>
      <c r="AD16" s="2">
        <f t="shared" si="6"/>
        <v>2.44140625E-4</v>
      </c>
      <c r="AF16" s="2">
        <v>12</v>
      </c>
      <c r="AG16" s="2">
        <f t="shared" si="13"/>
        <v>1775.634765625</v>
      </c>
      <c r="AH16" s="2">
        <v>-1.7134076703757728</v>
      </c>
      <c r="AI16" s="2">
        <f t="shared" si="14"/>
        <v>1780.2734375</v>
      </c>
      <c r="AJ16" s="2">
        <v>-1.7134076703757728</v>
      </c>
      <c r="AK16" s="2">
        <f t="shared" si="9"/>
        <v>1777.9541015625</v>
      </c>
      <c r="AL16" s="2">
        <v>-1.7134076703757728</v>
      </c>
      <c r="AM16" s="2">
        <f t="shared" si="10"/>
        <v>2.9357658449025328</v>
      </c>
      <c r="AN16" s="2">
        <f t="shared" si="11"/>
        <v>2.9357658449025328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48.077362518475027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0.9736328125</v>
      </c>
      <c r="W17" s="2">
        <f t="shared" si="0"/>
        <v>3.7272413564992668E-5</v>
      </c>
      <c r="X17" s="2">
        <f t="shared" si="8"/>
        <v>0.9737548828125</v>
      </c>
      <c r="Y17" s="2">
        <f t="shared" si="1"/>
        <v>-8.7582397851893035E-5</v>
      </c>
      <c r="Z17" s="2">
        <f t="shared" si="3"/>
        <v>0.97369384765625</v>
      </c>
      <c r="AA17" s="2">
        <f t="shared" si="2"/>
        <v>-2.5155078465899372E-5</v>
      </c>
      <c r="AB17" s="2">
        <f t="shared" si="4"/>
        <v>-9.3759048784084268E-10</v>
      </c>
      <c r="AC17" s="2">
        <f t="shared" si="5"/>
        <v>2.2031420901959859E-9</v>
      </c>
      <c r="AD17" s="2">
        <f t="shared" si="6"/>
        <v>1.220703125E-4</v>
      </c>
      <c r="AF17" s="2">
        <v>13</v>
      </c>
      <c r="AG17" s="2">
        <f t="shared" si="13"/>
        <v>1777.9541015625</v>
      </c>
      <c r="AH17" s="2">
        <v>-1.7134076703757728</v>
      </c>
      <c r="AI17" s="2">
        <f t="shared" si="14"/>
        <v>1777.9541015625</v>
      </c>
      <c r="AJ17" s="2">
        <v>-1.7134076703757728</v>
      </c>
      <c r="AK17" s="2">
        <f t="shared" si="9"/>
        <v>1777.9541015625</v>
      </c>
      <c r="AL17" s="2">
        <v>-1.7134076703757728</v>
      </c>
      <c r="AM17" s="2">
        <f t="shared" si="10"/>
        <v>2.9357658449025328</v>
      </c>
      <c r="AN17" s="2">
        <f t="shared" si="11"/>
        <v>2.9357658449025328</v>
      </c>
      <c r="AO17" s="2">
        <f t="shared" si="12"/>
        <v>0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2.3806295134188153</v>
      </c>
      <c r="H18" s="6" t="s">
        <v>172</v>
      </c>
      <c r="J18" s="12" t="s">
        <v>54</v>
      </c>
      <c r="K18" s="6">
        <f xml:space="preserve"> $C$78 * (0.2138 * K4 + 0.2138 * K6)</f>
        <v>75.951181098535059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0.9736328125</v>
      </c>
      <c r="W18" s="2">
        <f t="shared" si="0"/>
        <v>3.7272413564992668E-5</v>
      </c>
      <c r="X18" s="2">
        <f t="shared" si="8"/>
        <v>0.97369384765625</v>
      </c>
      <c r="Y18" s="2">
        <f t="shared" si="1"/>
        <v>-2.5155078465899372E-5</v>
      </c>
      <c r="Z18" s="2">
        <f t="shared" si="3"/>
        <v>0.973663330078125</v>
      </c>
      <c r="AA18" s="2">
        <f t="shared" si="2"/>
        <v>6.0586459669220716E-6</v>
      </c>
      <c r="AB18" s="2">
        <f t="shared" si="4"/>
        <v>2.2582035812299433E-10</v>
      </c>
      <c r="AC18" s="2">
        <f t="shared" si="5"/>
        <v>-1.5240571469502948E-10</v>
      </c>
      <c r="AD18" s="2">
        <f t="shared" si="6"/>
        <v>6.103515625E-5</v>
      </c>
      <c r="AF18" s="2">
        <v>14</v>
      </c>
      <c r="AG18" s="2">
        <f t="shared" si="13"/>
        <v>1777.9541015625</v>
      </c>
      <c r="AH18" s="2">
        <v>-1.7134076703757728</v>
      </c>
      <c r="AI18" s="2">
        <f t="shared" si="14"/>
        <v>1777.9541015625</v>
      </c>
      <c r="AJ18" s="2">
        <v>-1.7134076703757728</v>
      </c>
      <c r="AK18" s="2">
        <f t="shared" si="9"/>
        <v>1777.9541015625</v>
      </c>
      <c r="AL18" s="2">
        <v>-1.7134076703757728</v>
      </c>
      <c r="AM18" s="2">
        <f t="shared" si="10"/>
        <v>2.9357658449025328</v>
      </c>
      <c r="AN18" s="2">
        <f t="shared" si="11"/>
        <v>2.9357658449025328</v>
      </c>
      <c r="AO18" s="2">
        <f t="shared" si="12"/>
        <v>0</v>
      </c>
    </row>
    <row r="19" spans="2:41" x14ac:dyDescent="0.2">
      <c r="F19" s="8" t="s">
        <v>173</v>
      </c>
      <c r="G19" s="6">
        <f>O23 / ($C$29*$C$11/PI())</f>
        <v>5.1445086589739071E-2</v>
      </c>
      <c r="J19" s="12" t="s">
        <v>73</v>
      </c>
      <c r="K19" s="6">
        <f xml:space="preserve"> $C$78 * (0.1149 * K4 + 0.1149 * K6)</f>
        <v>40.817543069324977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0.973663330078125</v>
      </c>
      <c r="W19" s="2">
        <f t="shared" si="0"/>
        <v>6.0586459669220716E-6</v>
      </c>
      <c r="X19" s="2">
        <f t="shared" si="8"/>
        <v>0.97369384765625</v>
      </c>
      <c r="Y19" s="2">
        <f t="shared" si="1"/>
        <v>-2.5155078465899372E-5</v>
      </c>
      <c r="Z19" s="2">
        <f t="shared" si="3"/>
        <v>0.9736785888671875</v>
      </c>
      <c r="AA19" s="2">
        <f t="shared" si="2"/>
        <v>-9.5482216448949941E-6</v>
      </c>
      <c r="AB19" s="2">
        <f t="shared" si="4"/>
        <v>-5.7849294560121085E-11</v>
      </c>
      <c r="AC19" s="2">
        <f t="shared" si="5"/>
        <v>2.4018626468713236E-10</v>
      </c>
      <c r="AD19" s="2">
        <f t="shared" si="6"/>
        <v>3.0517578125E-5</v>
      </c>
      <c r="AF19" s="2">
        <v>15</v>
      </c>
      <c r="AG19" s="2">
        <f t="shared" si="13"/>
        <v>1777.9541015625</v>
      </c>
      <c r="AH19" s="2">
        <v>-1.7134076703757728</v>
      </c>
      <c r="AI19" s="2">
        <f t="shared" si="14"/>
        <v>1777.9541015625</v>
      </c>
      <c r="AJ19" s="2">
        <v>-1.7134076703757728</v>
      </c>
      <c r="AK19" s="2">
        <f t="shared" si="9"/>
        <v>1777.9541015625</v>
      </c>
      <c r="AL19" s="2">
        <v>-1.7134076703757728</v>
      </c>
      <c r="AM19" s="2">
        <f t="shared" si="10"/>
        <v>2.9357658449025328</v>
      </c>
      <c r="AN19" s="2">
        <f t="shared" si="11"/>
        <v>2.9357658449025328</v>
      </c>
      <c r="AO19" s="2">
        <f t="shared" si="12"/>
        <v>0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48.077362518475027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208.45197450114793</v>
      </c>
      <c r="L20" s="6" t="s">
        <v>7</v>
      </c>
      <c r="N20" s="6" t="s">
        <v>20</v>
      </c>
      <c r="O20" s="6">
        <f xml:space="preserve"> O14 / $C$28</f>
        <v>1121.7163731196276</v>
      </c>
      <c r="P20" s="6" t="s">
        <v>21</v>
      </c>
      <c r="U20" s="2">
        <v>16</v>
      </c>
      <c r="V20" s="2">
        <f t="shared" si="7"/>
        <v>0.973663330078125</v>
      </c>
      <c r="W20" s="2">
        <f t="shared" si="0"/>
        <v>6.0586459669220716E-6</v>
      </c>
      <c r="X20" s="2">
        <f t="shared" si="8"/>
        <v>0.9736785888671875</v>
      </c>
      <c r="Y20" s="2">
        <f t="shared" si="1"/>
        <v>-9.5482216448949941E-6</v>
      </c>
      <c r="Z20" s="2">
        <f t="shared" si="3"/>
        <v>0.97367095947265625</v>
      </c>
      <c r="AA20" s="2">
        <f t="shared" si="2"/>
        <v>-1.7447891877964139E-6</v>
      </c>
      <c r="AB20" s="2">
        <f t="shared" si="4"/>
        <v>-1.057105997577198E-11</v>
      </c>
      <c r="AC20" s="2">
        <f t="shared" si="5"/>
        <v>1.6659633888696476E-11</v>
      </c>
      <c r="AD20" s="2">
        <f t="shared" si="6"/>
        <v>1.52587890625E-5</v>
      </c>
      <c r="AF20" s="2">
        <v>16</v>
      </c>
      <c r="AG20" s="2">
        <f t="shared" si="13"/>
        <v>1777.9541015625</v>
      </c>
      <c r="AH20" s="2">
        <v>-1.7134076703757728</v>
      </c>
      <c r="AI20" s="2">
        <f t="shared" si="14"/>
        <v>1777.9541015625</v>
      </c>
      <c r="AJ20" s="2">
        <v>-1.7134076703757728</v>
      </c>
      <c r="AK20" s="2">
        <f t="shared" si="9"/>
        <v>1777.9541015625</v>
      </c>
      <c r="AL20" s="2">
        <v>-1.7134076703757728</v>
      </c>
      <c r="AM20" s="2">
        <f t="shared" si="10"/>
        <v>2.9357658449025328</v>
      </c>
      <c r="AN20" s="2">
        <f t="shared" si="11"/>
        <v>2.9357658449025328</v>
      </c>
      <c r="AO20" s="2">
        <f t="shared" si="12"/>
        <v>0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46.280001677870224</v>
      </c>
      <c r="L21" s="6" t="s">
        <v>7</v>
      </c>
      <c r="N21" s="6" t="s">
        <v>27</v>
      </c>
      <c r="O21" s="6">
        <f>$C$6*2*PI()/60</f>
        <v>20.403441484625578</v>
      </c>
      <c r="P21" s="6" t="s">
        <v>28</v>
      </c>
      <c r="U21" s="2">
        <v>17</v>
      </c>
      <c r="V21" s="2">
        <f t="shared" si="7"/>
        <v>0.973663330078125</v>
      </c>
      <c r="W21" s="2">
        <f t="shared" si="0"/>
        <v>6.0586459669220716E-6</v>
      </c>
      <c r="X21" s="2">
        <f t="shared" si="8"/>
        <v>0.97367095947265625</v>
      </c>
      <c r="Y21" s="2">
        <f t="shared" si="1"/>
        <v>-1.7447891877964139E-6</v>
      </c>
      <c r="Z21" s="2">
        <f t="shared" si="3"/>
        <v>0.97366714477539062</v>
      </c>
      <c r="AA21" s="2">
        <f t="shared" si="2"/>
        <v>2.1569280523880963E-6</v>
      </c>
      <c r="AB21" s="2">
        <f t="shared" si="4"/>
        <v>1.3068063445542219E-11</v>
      </c>
      <c r="AC21" s="2">
        <f t="shared" si="5"/>
        <v>-3.7633847446615274E-12</v>
      </c>
      <c r="AD21" s="2">
        <f t="shared" si="6"/>
        <v>7.62939453125E-6</v>
      </c>
      <c r="AF21" s="2">
        <v>17</v>
      </c>
      <c r="AG21" s="2">
        <f t="shared" si="13"/>
        <v>1777.9541015625</v>
      </c>
      <c r="AH21" s="2">
        <v>-1.7134076703757728</v>
      </c>
      <c r="AI21" s="2">
        <f t="shared" si="14"/>
        <v>1777.9541015625</v>
      </c>
      <c r="AJ21" s="2">
        <v>-1.7134076703757728</v>
      </c>
      <c r="AK21" s="2">
        <f t="shared" si="9"/>
        <v>1777.9541015625</v>
      </c>
      <c r="AL21" s="2">
        <v>-1.7134076703757728</v>
      </c>
      <c r="AM21" s="2">
        <f t="shared" si="10"/>
        <v>2.9357658449025328</v>
      </c>
      <c r="AN21" s="2">
        <f t="shared" si="11"/>
        <v>2.9357658449025328</v>
      </c>
      <c r="AO21" s="2">
        <f t="shared" si="12"/>
        <v>0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152.44958474204711</v>
      </c>
      <c r="L22" s="6" t="s">
        <v>7</v>
      </c>
      <c r="N22" s="6" t="s">
        <v>29</v>
      </c>
      <c r="O22" s="6">
        <f xml:space="preserve"> $C$7 * COS(O19/180*PI()) / (O21 * $C$10)</f>
        <v>8.3227603662812497E-2</v>
      </c>
      <c r="U22" s="2">
        <v>18</v>
      </c>
      <c r="V22" s="2">
        <f t="shared" si="7"/>
        <v>0.97366714477539062</v>
      </c>
      <c r="W22" s="2">
        <f t="shared" si="0"/>
        <v>2.1569280523880963E-6</v>
      </c>
      <c r="X22" s="2">
        <f t="shared" si="8"/>
        <v>0.97367095947265625</v>
      </c>
      <c r="Y22" s="2">
        <f t="shared" si="1"/>
        <v>-1.7447891877964139E-6</v>
      </c>
      <c r="Z22" s="2">
        <f t="shared" si="3"/>
        <v>0.97366905212402344</v>
      </c>
      <c r="AA22" s="2">
        <f t="shared" si="2"/>
        <v>2.0606934791889131E-7</v>
      </c>
      <c r="AB22" s="2">
        <f t="shared" si="4"/>
        <v>4.4447675726357922E-13</v>
      </c>
      <c r="AC22" s="2">
        <f t="shared" si="5"/>
        <v>-3.59547570185139E-13</v>
      </c>
      <c r="AD22" s="2">
        <f t="shared" si="6"/>
        <v>3.814697265625E-6</v>
      </c>
      <c r="AF22" s="2">
        <v>18</v>
      </c>
      <c r="AG22" s="2">
        <f t="shared" si="13"/>
        <v>1777.9541015625</v>
      </c>
      <c r="AH22" s="2">
        <v>-1.7134076703757728</v>
      </c>
      <c r="AI22" s="2">
        <f t="shared" si="14"/>
        <v>1777.9541015625</v>
      </c>
      <c r="AJ22" s="2">
        <v>-1.7134076703757728</v>
      </c>
      <c r="AK22" s="2">
        <f t="shared" si="9"/>
        <v>1777.9541015625</v>
      </c>
      <c r="AL22" s="2">
        <v>-1.7134076703757728</v>
      </c>
      <c r="AM22" s="2">
        <f t="shared" si="10"/>
        <v>2.9357658449025328</v>
      </c>
      <c r="AN22" s="2">
        <f t="shared" si="11"/>
        <v>2.9357658449025328</v>
      </c>
      <c r="AO22" s="2">
        <f t="shared" si="12"/>
        <v>0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20.570076918324101</v>
      </c>
      <c r="L23" s="6" t="s">
        <v>7</v>
      </c>
      <c r="N23" s="6" t="s">
        <v>30</v>
      </c>
      <c r="O23" s="6">
        <f xml:space="preserve"> O20 / ( $C$71 * PI() * $C$10^2 * O21^2 * $C$10^2)</f>
        <v>4.3727443328341047E-2</v>
      </c>
      <c r="U23" s="2">
        <v>19</v>
      </c>
      <c r="V23" s="2">
        <f t="shared" si="7"/>
        <v>0.97366905212402344</v>
      </c>
      <c r="W23" s="2">
        <f t="shared" si="0"/>
        <v>2.0606934791889131E-7</v>
      </c>
      <c r="X23" s="2">
        <f t="shared" si="8"/>
        <v>0.97367095947265625</v>
      </c>
      <c r="Y23" s="2">
        <f t="shared" si="1"/>
        <v>-1.7447891877964139E-6</v>
      </c>
      <c r="Z23" s="2">
        <f t="shared" si="3"/>
        <v>0.97367000579833984</v>
      </c>
      <c r="AA23" s="2">
        <f t="shared" si="2"/>
        <v>-7.6935994097748761E-7</v>
      </c>
      <c r="AB23" s="2">
        <f t="shared" si="4"/>
        <v>-1.5854150135214758E-13</v>
      </c>
      <c r="AC23" s="2">
        <f t="shared" si="5"/>
        <v>1.3423709065412075E-12</v>
      </c>
      <c r="AD23" s="2">
        <f t="shared" si="6"/>
        <v>1.9073486328125E-6</v>
      </c>
      <c r="AF23" s="2">
        <v>19</v>
      </c>
      <c r="AG23" s="2">
        <f t="shared" si="13"/>
        <v>1777.9541015625</v>
      </c>
      <c r="AH23" s="2">
        <v>-1.7134076703757728</v>
      </c>
      <c r="AI23" s="2">
        <f t="shared" si="14"/>
        <v>1777.9541015625</v>
      </c>
      <c r="AJ23" s="2">
        <v>-1.7134076703757728</v>
      </c>
      <c r="AK23" s="2">
        <f t="shared" si="9"/>
        <v>1777.9541015625</v>
      </c>
      <c r="AL23" s="2">
        <v>-1.7134076703757728</v>
      </c>
      <c r="AM23" s="2">
        <f t="shared" si="10"/>
        <v>2.9357658449025328</v>
      </c>
      <c r="AN23" s="2">
        <f t="shared" si="11"/>
        <v>2.9357658449025328</v>
      </c>
      <c r="AO23" s="2">
        <f t="shared" si="12"/>
        <v>0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7.6832240281263822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0.97366905212402344</v>
      </c>
      <c r="W24" s="2">
        <f t="shared" si="0"/>
        <v>2.0606934791889131E-7</v>
      </c>
      <c r="X24" s="2">
        <f t="shared" si="8"/>
        <v>0.97367000579833984</v>
      </c>
      <c r="Y24" s="2">
        <f t="shared" si="1"/>
        <v>-7.6935994097748761E-7</v>
      </c>
      <c r="Z24" s="2">
        <f t="shared" si="3"/>
        <v>0.97366952896118164</v>
      </c>
      <c r="AA24" s="2">
        <f t="shared" si="2"/>
        <v>-2.8164530174734637E-7</v>
      </c>
      <c r="AB24" s="2">
        <f t="shared" si="4"/>
        <v>-5.8038463675495046E-14</v>
      </c>
      <c r="AC24" s="2">
        <f t="shared" si="5"/>
        <v>2.1668661272892508E-13</v>
      </c>
      <c r="AD24" s="2">
        <f t="shared" si="6"/>
        <v>9.5367431640625E-7</v>
      </c>
      <c r="AF24" s="2">
        <v>20</v>
      </c>
      <c r="AG24" s="2">
        <f t="shared" si="13"/>
        <v>1777.9541015625</v>
      </c>
      <c r="AH24" s="2">
        <v>-1.7134076703757728</v>
      </c>
      <c r="AI24" s="2">
        <f t="shared" si="14"/>
        <v>1777.9541015625</v>
      </c>
      <c r="AJ24" s="2">
        <v>-1.7134076703757728</v>
      </c>
      <c r="AK24" s="2">
        <f t="shared" si="9"/>
        <v>1777.9541015625</v>
      </c>
      <c r="AL24" s="2">
        <v>-1.7134076703757728</v>
      </c>
      <c r="AM24" s="2">
        <f t="shared" si="10"/>
        <v>2.9357658449025328</v>
      </c>
      <c r="AN24" s="2">
        <f t="shared" si="11"/>
        <v>2.9357658449025328</v>
      </c>
      <c r="AO24" s="2">
        <f t="shared" si="12"/>
        <v>0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16.892727237575869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1072.8274240611522</v>
      </c>
      <c r="P25" s="6" t="s">
        <v>19</v>
      </c>
      <c r="U25" s="2">
        <v>21</v>
      </c>
      <c r="V25" s="2">
        <f t="shared" si="7"/>
        <v>0.97366905212402344</v>
      </c>
      <c r="W25" s="2">
        <f t="shared" si="0"/>
        <v>2.0606934791889131E-7</v>
      </c>
      <c r="X25" s="2">
        <f t="shared" si="8"/>
        <v>0.97366952896118164</v>
      </c>
      <c r="Y25" s="2">
        <f t="shared" si="1"/>
        <v>-2.8164530174734637E-7</v>
      </c>
      <c r="Z25" s="2">
        <f t="shared" si="3"/>
        <v>0.97366929054260254</v>
      </c>
      <c r="AA25" s="2">
        <f t="shared" si="2"/>
        <v>-3.7787978190984006E-8</v>
      </c>
      <c r="AB25" s="2">
        <f t="shared" si="4"/>
        <v>-7.786944024989361E-15</v>
      </c>
      <c r="AC25" s="2">
        <f t="shared" si="5"/>
        <v>1.0642806520021835E-14</v>
      </c>
      <c r="AD25" s="2">
        <f t="shared" si="6"/>
        <v>4.76837158203125E-7</v>
      </c>
      <c r="AF25" s="2">
        <v>21</v>
      </c>
      <c r="AG25" s="2">
        <f t="shared" si="13"/>
        <v>1777.9541015625</v>
      </c>
      <c r="AH25" s="2">
        <v>-1.7134076703757728</v>
      </c>
      <c r="AI25" s="2">
        <f t="shared" si="14"/>
        <v>1777.9541015625</v>
      </c>
      <c r="AJ25" s="2">
        <v>-1.7134076703757728</v>
      </c>
      <c r="AK25" s="2">
        <f t="shared" si="9"/>
        <v>1777.9541015625</v>
      </c>
      <c r="AL25" s="2">
        <v>-1.7134076703757728</v>
      </c>
      <c r="AM25" s="2">
        <f t="shared" si="10"/>
        <v>2.9357658449025328</v>
      </c>
      <c r="AN25" s="2">
        <f t="shared" si="11"/>
        <v>2.9357658449025328</v>
      </c>
      <c r="AO25" s="2">
        <f t="shared" si="12"/>
        <v>0</v>
      </c>
    </row>
    <row r="26" spans="2:41" x14ac:dyDescent="0.2">
      <c r="F26" s="6" t="s">
        <v>20</v>
      </c>
      <c r="G26" s="6">
        <f xml:space="preserve"> $C$5 * $C$68 / $C$21</f>
        <v>2180.8318693747392</v>
      </c>
      <c r="H26" s="6" t="s">
        <v>21</v>
      </c>
      <c r="J26" s="14" t="s">
        <v>65</v>
      </c>
      <c r="K26" s="6">
        <f xml:space="preserve"> $C$80 * (0.0268 * $C$5)</f>
        <v>38.163201383597603</v>
      </c>
      <c r="L26" s="6" t="s">
        <v>7</v>
      </c>
      <c r="N26" s="6" t="s">
        <v>32</v>
      </c>
      <c r="O26" s="17">
        <f>Z34</f>
        <v>0.97366925375536084</v>
      </c>
      <c r="U26" s="2">
        <v>22</v>
      </c>
      <c r="V26" s="2">
        <f t="shared" si="7"/>
        <v>0.97366905212402344</v>
      </c>
      <c r="W26" s="2">
        <f t="shared" si="0"/>
        <v>2.0606934791889131E-7</v>
      </c>
      <c r="X26" s="2">
        <f t="shared" si="8"/>
        <v>0.97366929054260254</v>
      </c>
      <c r="Y26" s="2">
        <f t="shared" si="1"/>
        <v>-3.7787978190984006E-8</v>
      </c>
      <c r="Z26" s="2">
        <f t="shared" si="3"/>
        <v>0.97366917133331299</v>
      </c>
      <c r="AA26" s="2">
        <f t="shared" si="2"/>
        <v>8.4140684530886745E-8</v>
      </c>
      <c r="AB26" s="2">
        <f t="shared" si="4"/>
        <v>1.7338815994728977E-14</v>
      </c>
      <c r="AC26" s="2">
        <f t="shared" si="5"/>
        <v>-3.1795063520276137E-15</v>
      </c>
      <c r="AD26" s="2">
        <f t="shared" si="6"/>
        <v>2.384185791015625E-7</v>
      </c>
      <c r="AF26" s="2">
        <v>22</v>
      </c>
      <c r="AG26" s="2">
        <f t="shared" si="13"/>
        <v>1777.9541015625</v>
      </c>
      <c r="AH26" s="2">
        <v>-1.7134076703757728</v>
      </c>
      <c r="AI26" s="2">
        <f t="shared" si="14"/>
        <v>1777.9541015625</v>
      </c>
      <c r="AJ26" s="2">
        <v>-1.7134076703757728</v>
      </c>
      <c r="AK26" s="2">
        <f t="shared" si="9"/>
        <v>1777.9541015625</v>
      </c>
      <c r="AL26" s="2">
        <v>-1.7134076703757728</v>
      </c>
      <c r="AM26" s="2">
        <f t="shared" si="10"/>
        <v>2.9357658449025328</v>
      </c>
      <c r="AN26" s="2">
        <f t="shared" si="11"/>
        <v>2.9357658449025328</v>
      </c>
      <c r="AO26" s="2">
        <f t="shared" si="12"/>
        <v>0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27.051142405307623</v>
      </c>
      <c r="H27" t="s">
        <v>97</v>
      </c>
      <c r="J27" s="14" t="s">
        <v>66</v>
      </c>
      <c r="K27" s="6">
        <f xml:space="preserve"> $C$80 * (11.5 * ($C$5*2.20462/1000)^0.4 * 0.453592)</f>
        <v>7.2103229644155293</v>
      </c>
      <c r="L27" s="6" t="s">
        <v>7</v>
      </c>
      <c r="N27" s="6" t="s">
        <v>33</v>
      </c>
      <c r="O27" s="6">
        <f xml:space="preserve"> O21 * $C$10 * O26 - $C$7 * SIN(O19/180*PI())</f>
        <v>0.95863775939717755</v>
      </c>
      <c r="P27" s="6" t="s">
        <v>10</v>
      </c>
      <c r="U27" s="2">
        <v>23</v>
      </c>
      <c r="V27" s="2">
        <f t="shared" si="7"/>
        <v>0.97366917133331299</v>
      </c>
      <c r="W27" s="2">
        <f t="shared" si="0"/>
        <v>8.4140684530886745E-8</v>
      </c>
      <c r="X27" s="2">
        <f t="shared" si="8"/>
        <v>0.97366929054260254</v>
      </c>
      <c r="Y27" s="2">
        <f t="shared" si="1"/>
        <v>-3.7787978190984006E-8</v>
      </c>
      <c r="Z27" s="2">
        <f t="shared" si="3"/>
        <v>0.97366923093795776</v>
      </c>
      <c r="AA27" s="2">
        <f t="shared" si="2"/>
        <v>2.3176353058929067E-8</v>
      </c>
      <c r="AB27" s="2">
        <f t="shared" si="4"/>
        <v>1.9500742113078026E-15</v>
      </c>
      <c r="AC27" s="2">
        <f t="shared" si="5"/>
        <v>-8.7578752393735706E-16</v>
      </c>
      <c r="AD27" s="2">
        <f t="shared" si="6"/>
        <v>1.1920928955078125E-7</v>
      </c>
      <c r="AF27" s="2">
        <v>23</v>
      </c>
      <c r="AG27" s="2">
        <f t="shared" si="13"/>
        <v>1777.9541015625</v>
      </c>
      <c r="AH27" s="2">
        <v>-1.7134076703757728</v>
      </c>
      <c r="AI27" s="2">
        <f t="shared" si="14"/>
        <v>1777.9541015625</v>
      </c>
      <c r="AJ27" s="2">
        <v>-1.7134076703757728</v>
      </c>
      <c r="AK27" s="2">
        <f t="shared" si="9"/>
        <v>1777.9541015625</v>
      </c>
      <c r="AL27" s="2">
        <v>-1.7134076703757728</v>
      </c>
      <c r="AM27" s="2">
        <f t="shared" si="10"/>
        <v>2.9357658449025328</v>
      </c>
      <c r="AN27" s="2">
        <f t="shared" si="11"/>
        <v>2.9357658449025328</v>
      </c>
      <c r="AO27" s="2">
        <f t="shared" si="12"/>
        <v>0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8.2251612421007305</v>
      </c>
      <c r="H28" s="6" t="s">
        <v>172</v>
      </c>
      <c r="J28" s="14" t="s">
        <v>67</v>
      </c>
      <c r="K28" s="6">
        <f xml:space="preserve"> $C$80 * (8 * ($C$5/1000))</f>
        <v>11.392000413014209</v>
      </c>
      <c r="L28" s="6" t="s">
        <v>7</v>
      </c>
      <c r="N28" s="6" t="s">
        <v>34</v>
      </c>
      <c r="O28" s="6">
        <f xml:space="preserve"> 1/$C$31 - O25 * SQRT( (2*$C$71*PI()*$C$10^2) / O20^3 )</f>
        <v>1.1823732798648336</v>
      </c>
      <c r="U28" s="2">
        <v>24</v>
      </c>
      <c r="V28" s="2">
        <f t="shared" si="7"/>
        <v>0.97366923093795776</v>
      </c>
      <c r="W28" s="2">
        <f t="shared" si="0"/>
        <v>2.3176353058929067E-8</v>
      </c>
      <c r="X28" s="2">
        <f t="shared" si="8"/>
        <v>0.97366929054260254</v>
      </c>
      <c r="Y28" s="2">
        <f t="shared" si="1"/>
        <v>-3.7787978190984006E-8</v>
      </c>
      <c r="Z28" s="2">
        <f t="shared" si="3"/>
        <v>0.97366926074028015</v>
      </c>
      <c r="AA28" s="2">
        <f t="shared" si="2"/>
        <v>-7.305812621538621E-9</v>
      </c>
      <c r="AB28" s="2">
        <f t="shared" si="4"/>
        <v>-1.693220926991592E-16</v>
      </c>
      <c r="AC28" s="2">
        <f t="shared" si="5"/>
        <v>2.7607188801011712E-16</v>
      </c>
      <c r="AD28" s="2">
        <f t="shared" si="6"/>
        <v>5.9604644775390625E-8</v>
      </c>
      <c r="AF28" s="2">
        <v>24</v>
      </c>
      <c r="AG28" s="2">
        <f t="shared" si="13"/>
        <v>1777.9541015625</v>
      </c>
      <c r="AH28" s="2">
        <v>-1.7134076703757728</v>
      </c>
      <c r="AI28" s="2">
        <f t="shared" si="14"/>
        <v>1777.9541015625</v>
      </c>
      <c r="AJ28" s="2">
        <v>-1.7134076703757728</v>
      </c>
      <c r="AK28" s="2">
        <f t="shared" si="9"/>
        <v>1777.9541015625</v>
      </c>
      <c r="AL28" s="2">
        <v>-1.7134076703757728</v>
      </c>
      <c r="AM28" s="2">
        <f t="shared" si="10"/>
        <v>2.9357658449025328</v>
      </c>
      <c r="AN28" s="2">
        <f t="shared" si="11"/>
        <v>2.9357658449025328</v>
      </c>
      <c r="AO28" s="2">
        <f t="shared" si="12"/>
        <v>0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216.40913924246098</v>
      </c>
      <c r="H29" s="22" t="s">
        <v>97</v>
      </c>
      <c r="J29" s="14" t="s">
        <v>68</v>
      </c>
      <c r="K29" s="6">
        <f xml:space="preserve"> $C$80 * (13 * ($C$5*2.20462/1000)^1.3 * 0.453592)</f>
        <v>27.898356197676936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0.97366923093795776</v>
      </c>
      <c r="W29" s="2">
        <f t="shared" si="0"/>
        <v>2.3176353058929067E-8</v>
      </c>
      <c r="X29" s="2">
        <f t="shared" si="8"/>
        <v>0.97366926074028015</v>
      </c>
      <c r="Y29" s="2">
        <f t="shared" si="1"/>
        <v>-7.305812621538621E-9</v>
      </c>
      <c r="Z29" s="2">
        <f t="shared" si="3"/>
        <v>0.97366924583911896</v>
      </c>
      <c r="AA29" s="2">
        <f t="shared" si="2"/>
        <v>7.9352702186952229E-9</v>
      </c>
      <c r="AB29" s="2">
        <f t="shared" si="4"/>
        <v>1.8391062420648575E-16</v>
      </c>
      <c r="AC29" s="2">
        <f t="shared" si="5"/>
        <v>-5.7973597319063092E-17</v>
      </c>
      <c r="AD29" s="2">
        <f t="shared" si="6"/>
        <v>2.9802322387695312E-8</v>
      </c>
      <c r="AF29" s="2">
        <v>25</v>
      </c>
      <c r="AG29" s="2">
        <f t="shared" si="13"/>
        <v>1777.9541015625</v>
      </c>
      <c r="AH29" s="2">
        <v>-1.7134076703757728</v>
      </c>
      <c r="AI29" s="2">
        <f t="shared" si="14"/>
        <v>1777.9541015625</v>
      </c>
      <c r="AJ29" s="2">
        <v>-1.7134076703757728</v>
      </c>
      <c r="AK29" s="2">
        <f t="shared" si="9"/>
        <v>1777.9541015625</v>
      </c>
      <c r="AL29" s="2">
        <v>-1.7134076703757728</v>
      </c>
      <c r="AM29" s="2">
        <f t="shared" si="10"/>
        <v>2.9357658449025328</v>
      </c>
      <c r="AN29" s="2">
        <f t="shared" si="11"/>
        <v>2.9357658449025328</v>
      </c>
      <c r="AO29" s="2">
        <f t="shared" si="12"/>
        <v>0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-6.3293485854956089E-3</v>
      </c>
      <c r="L30" s="9" t="s">
        <v>7</v>
      </c>
      <c r="N30" s="6" t="s">
        <v>36</v>
      </c>
      <c r="O30" s="6">
        <f xml:space="preserve"> 1/$C$77 * LN( EXP($C$77 * O28) + EXP($C$77 * O29) )</f>
        <v>1.1930762645513255</v>
      </c>
      <c r="U30" s="2">
        <v>26</v>
      </c>
      <c r="V30" s="2">
        <f>IF(AB29&gt;0, Z29, V29)</f>
        <v>0.97366924583911896</v>
      </c>
      <c r="W30" s="2">
        <f t="shared" si="0"/>
        <v>7.9352702186952229E-9</v>
      </c>
      <c r="X30" s="2">
        <f t="shared" si="8"/>
        <v>0.97366926074028015</v>
      </c>
      <c r="Y30" s="2">
        <f t="shared" si="1"/>
        <v>-7.305812621538621E-9</v>
      </c>
      <c r="Z30" s="2">
        <f t="shared" si="3"/>
        <v>0.97366925328969955</v>
      </c>
      <c r="AA30" s="2">
        <f t="shared" si="2"/>
        <v>3.1472879857830094E-10</v>
      </c>
      <c r="AB30" s="2">
        <f t="shared" si="4"/>
        <v>2.4974580623241188E-18</v>
      </c>
      <c r="AC30" s="2">
        <f t="shared" si="5"/>
        <v>-2.2993496290150374E-18</v>
      </c>
      <c r="AD30" s="2">
        <f t="shared" si="6"/>
        <v>1.4901161193847656E-8</v>
      </c>
      <c r="AF30" s="2">
        <v>26</v>
      </c>
      <c r="AG30" s="2">
        <f t="shared" si="13"/>
        <v>1777.9541015625</v>
      </c>
      <c r="AH30" s="2">
        <v>-1.7134076703757728</v>
      </c>
      <c r="AI30" s="2">
        <f t="shared" si="14"/>
        <v>1777.9541015625</v>
      </c>
      <c r="AJ30" s="2">
        <v>-1.7134076703757728</v>
      </c>
      <c r="AK30" s="2">
        <f t="shared" si="9"/>
        <v>1777.9541015625</v>
      </c>
      <c r="AL30" s="2">
        <v>-1.7134076703757728</v>
      </c>
      <c r="AM30" s="2">
        <f t="shared" si="10"/>
        <v>2.9357658449025328</v>
      </c>
      <c r="AN30" s="2">
        <f t="shared" si="11"/>
        <v>2.9357658449025328</v>
      </c>
      <c r="AO30" s="2">
        <f t="shared" si="12"/>
        <v>0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0.97366925328969955</v>
      </c>
      <c r="W31" s="2">
        <f t="shared" si="0"/>
        <v>3.1472879857830094E-10</v>
      </c>
      <c r="X31" s="2">
        <f t="shared" si="8"/>
        <v>0.97366926074028015</v>
      </c>
      <c r="Y31" s="2">
        <f t="shared" si="1"/>
        <v>-7.305812621538621E-9</v>
      </c>
      <c r="Z31" s="2">
        <f t="shared" si="3"/>
        <v>0.97366925701498985</v>
      </c>
      <c r="AA31" s="2">
        <f t="shared" si="2"/>
        <v>-3.4955418559690088E-9</v>
      </c>
      <c r="AB31" s="2">
        <f t="shared" si="4"/>
        <v>-1.1001476887092904E-18</v>
      </c>
      <c r="AC31" s="2">
        <f t="shared" si="5"/>
        <v>2.5537773810454921E-17</v>
      </c>
      <c r="AD31" s="2">
        <f t="shared" si="6"/>
        <v>7.4505805969238281E-9</v>
      </c>
      <c r="AF31" s="2">
        <v>27</v>
      </c>
      <c r="AG31" s="2">
        <f t="shared" si="13"/>
        <v>1777.9541015625</v>
      </c>
      <c r="AH31" s="2">
        <v>-1.7134076703757728</v>
      </c>
      <c r="AI31" s="2">
        <f t="shared" si="14"/>
        <v>1777.9541015625</v>
      </c>
      <c r="AJ31" s="2">
        <v>-1.7134076703757728</v>
      </c>
      <c r="AK31" s="2">
        <f t="shared" si="9"/>
        <v>1777.9541015625</v>
      </c>
      <c r="AL31" s="2">
        <v>-1.7134076703757728</v>
      </c>
      <c r="AM31" s="2">
        <f t="shared" si="10"/>
        <v>2.9357658449025328</v>
      </c>
      <c r="AN31" s="2">
        <f t="shared" si="11"/>
        <v>2.9357658449025328</v>
      </c>
      <c r="AO31" s="2">
        <f t="shared" si="12"/>
        <v>0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0.97366925328969955</v>
      </c>
      <c r="W32" s="2">
        <f t="shared" si="0"/>
        <v>3.1472879857830094E-10</v>
      </c>
      <c r="X32" s="2">
        <f t="shared" si="8"/>
        <v>0.97366925701498985</v>
      </c>
      <c r="Y32" s="2">
        <f t="shared" si="1"/>
        <v>-3.4955418559690088E-9</v>
      </c>
      <c r="Z32" s="2">
        <f t="shared" si="3"/>
        <v>0.9736692551523447</v>
      </c>
      <c r="AA32" s="2">
        <f t="shared" si="2"/>
        <v>-1.5904065842065052E-9</v>
      </c>
      <c r="AB32" s="2">
        <f t="shared" si="4"/>
        <v>-5.0054675349833277E-19</v>
      </c>
      <c r="AC32" s="2">
        <f t="shared" si="5"/>
        <v>5.5593327831025387E-18</v>
      </c>
      <c r="AD32" s="2">
        <f t="shared" si="6"/>
        <v>3.7252902984619141E-9</v>
      </c>
      <c r="AF32" s="2">
        <v>28</v>
      </c>
      <c r="AG32" s="2">
        <f t="shared" si="13"/>
        <v>1777.9541015625</v>
      </c>
      <c r="AH32" s="2">
        <v>-1.7134076703757728</v>
      </c>
      <c r="AI32" s="2">
        <f t="shared" si="14"/>
        <v>1777.9541015625</v>
      </c>
      <c r="AJ32" s="2">
        <v>-1.7134076703757728</v>
      </c>
      <c r="AK32" s="2">
        <f t="shared" si="9"/>
        <v>1777.9541015625</v>
      </c>
      <c r="AL32" s="2">
        <v>-1.7134076703757728</v>
      </c>
      <c r="AM32" s="2">
        <f t="shared" si="10"/>
        <v>2.9357658449025328</v>
      </c>
      <c r="AN32" s="2">
        <f t="shared" si="11"/>
        <v>2.9357658449025328</v>
      </c>
      <c r="AO32" s="2">
        <f t="shared" si="12"/>
        <v>0</v>
      </c>
    </row>
    <row r="33" spans="2:41" x14ac:dyDescent="0.2">
      <c r="F33" s="23" t="s">
        <v>128</v>
      </c>
      <c r="G33" s="22">
        <f xml:space="preserve"> G20</f>
        <v>48.077362518475027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0.97366925328969955</v>
      </c>
      <c r="W33" s="2">
        <f t="shared" si="0"/>
        <v>3.1472879857830094E-10</v>
      </c>
      <c r="X33" s="2">
        <f t="shared" si="8"/>
        <v>0.9736692551523447</v>
      </c>
      <c r="Y33" s="2">
        <f t="shared" si="1"/>
        <v>-1.5904065842065052E-9</v>
      </c>
      <c r="Z33" s="2">
        <f t="shared" si="3"/>
        <v>0.97366925422102213</v>
      </c>
      <c r="AA33" s="2">
        <f t="shared" si="2"/>
        <v>-6.3783889281410211E-10</v>
      </c>
      <c r="AB33" s="2">
        <f t="shared" si="4"/>
        <v>-2.0074626842189603E-19</v>
      </c>
      <c r="AC33" s="2">
        <f t="shared" si="5"/>
        <v>1.0144231747945353E-18</v>
      </c>
      <c r="AD33" s="2">
        <f t="shared" si="6"/>
        <v>1.862645149230957E-9</v>
      </c>
      <c r="AF33" s="2">
        <v>29</v>
      </c>
      <c r="AG33" s="2">
        <f t="shared" si="13"/>
        <v>1777.9541015625</v>
      </c>
      <c r="AH33" s="2">
        <v>-1.7134076703757728</v>
      </c>
      <c r="AI33" s="2">
        <f t="shared" si="14"/>
        <v>1777.9541015625</v>
      </c>
      <c r="AJ33" s="2">
        <v>-1.7134076703757728</v>
      </c>
      <c r="AK33" s="2">
        <f t="shared" si="9"/>
        <v>1777.9541015625</v>
      </c>
      <c r="AL33" s="2">
        <v>-1.7134076703757728</v>
      </c>
      <c r="AM33" s="2">
        <f t="shared" si="10"/>
        <v>2.9357658449025328</v>
      </c>
      <c r="AN33" s="2">
        <f t="shared" si="11"/>
        <v>2.9357658449025328</v>
      </c>
      <c r="AO33" s="2">
        <f t="shared" si="12"/>
        <v>0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33.71</v>
      </c>
      <c r="L34" s="6" t="s">
        <v>59</v>
      </c>
      <c r="U34" s="2">
        <v>30</v>
      </c>
      <c r="V34" s="2">
        <f t="shared" si="7"/>
        <v>0.97366925328969955</v>
      </c>
      <c r="W34" s="2">
        <f t="shared" si="0"/>
        <v>3.1472879857830094E-10</v>
      </c>
      <c r="X34" s="2">
        <f t="shared" si="8"/>
        <v>0.97366925422102213</v>
      </c>
      <c r="Y34" s="2">
        <f t="shared" si="1"/>
        <v>-6.3783889281410211E-10</v>
      </c>
      <c r="Z34" s="2">
        <f t="shared" si="3"/>
        <v>0.97366925375536084</v>
      </c>
      <c r="AA34" s="2">
        <f t="shared" si="2"/>
        <v>-1.6155499160674935E-10</v>
      </c>
      <c r="AB34" s="2">
        <f t="shared" si="4"/>
        <v>-5.0846008412719716E-20</v>
      </c>
      <c r="AC34" s="2">
        <f t="shared" si="5"/>
        <v>1.0304605697504057E-19</v>
      </c>
      <c r="AD34" s="2">
        <f t="shared" si="6"/>
        <v>9.3132257461547852E-10</v>
      </c>
      <c r="AF34" s="2">
        <v>30</v>
      </c>
      <c r="AG34" s="2">
        <f t="shared" si="13"/>
        <v>1777.9541015625</v>
      </c>
      <c r="AH34" s="2">
        <v>-1.7134076703757728</v>
      </c>
      <c r="AI34" s="2">
        <f t="shared" si="14"/>
        <v>1777.9541015625</v>
      </c>
      <c r="AJ34" s="2">
        <v>-1.7134076703757728</v>
      </c>
      <c r="AK34" s="2">
        <f t="shared" si="9"/>
        <v>1777.9541015625</v>
      </c>
      <c r="AL34" s="2">
        <v>-1.7134076703757728</v>
      </c>
      <c r="AM34" s="2">
        <f t="shared" si="10"/>
        <v>2.9357658449025328</v>
      </c>
      <c r="AN34" s="2">
        <f t="shared" si="11"/>
        <v>2.9357658449025328</v>
      </c>
      <c r="AO34" s="2">
        <f t="shared" si="12"/>
        <v>0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22.42</v>
      </c>
      <c r="L35" s="6" t="s">
        <v>59</v>
      </c>
      <c r="AF35" s="2">
        <v>31</v>
      </c>
      <c r="AG35" s="2">
        <f t="shared" si="13"/>
        <v>1777.9541015625</v>
      </c>
      <c r="AH35" s="2">
        <v>-1.7134076703757728</v>
      </c>
      <c r="AI35" s="2">
        <f t="shared" si="14"/>
        <v>1777.9541015625</v>
      </c>
      <c r="AJ35" s="2">
        <v>-1.7134076703757728</v>
      </c>
      <c r="AK35" s="2">
        <f t="shared" si="9"/>
        <v>1777.9541015625</v>
      </c>
      <c r="AL35" s="2">
        <v>-1.7134076703757728</v>
      </c>
      <c r="AM35" s="2">
        <f t="shared" si="10"/>
        <v>2.9357658449025328</v>
      </c>
      <c r="AN35" s="2">
        <f t="shared" si="11"/>
        <v>2.9357658449025328</v>
      </c>
      <c r="AO35" s="2">
        <f t="shared" si="12"/>
        <v>0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13.71</v>
      </c>
      <c r="L36" s="6" t="s">
        <v>59</v>
      </c>
      <c r="AF36" s="2">
        <v>32</v>
      </c>
      <c r="AG36" s="2">
        <f t="shared" si="13"/>
        <v>1777.9541015625</v>
      </c>
      <c r="AH36" s="2">
        <v>-1.7134076703757728</v>
      </c>
      <c r="AI36" s="2">
        <f t="shared" si="14"/>
        <v>1777.9541015625</v>
      </c>
      <c r="AJ36" s="2">
        <v>-1.7134076703757728</v>
      </c>
      <c r="AK36" s="2">
        <f t="shared" si="9"/>
        <v>1777.9541015625</v>
      </c>
      <c r="AL36" s="2">
        <v>-1.7134076703757728</v>
      </c>
      <c r="AM36" s="2">
        <f t="shared" si="10"/>
        <v>2.9357658449025328</v>
      </c>
      <c r="AN36" s="2">
        <f t="shared" si="11"/>
        <v>2.9357658449025328</v>
      </c>
      <c r="AO36" s="2">
        <f t="shared" si="12"/>
        <v>0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25.41</v>
      </c>
      <c r="L37" s="6" t="s">
        <v>59</v>
      </c>
      <c r="AF37" s="2">
        <v>33</v>
      </c>
      <c r="AG37" s="2">
        <f t="shared" si="13"/>
        <v>1777.9541015625</v>
      </c>
      <c r="AH37" s="2">
        <v>-1.7134076703757728</v>
      </c>
      <c r="AI37" s="2">
        <f t="shared" si="14"/>
        <v>1777.9541015625</v>
      </c>
      <c r="AJ37" s="2">
        <v>-1.7134076703757728</v>
      </c>
      <c r="AK37" s="2">
        <f t="shared" si="9"/>
        <v>1777.9541015625</v>
      </c>
      <c r="AL37" s="2">
        <v>-1.7134076703757728</v>
      </c>
      <c r="AM37" s="2">
        <f t="shared" si="10"/>
        <v>2.9357658449025328</v>
      </c>
      <c r="AN37" s="2">
        <f t="shared" si="11"/>
        <v>2.9357658449025328</v>
      </c>
      <c r="AO37" s="2">
        <f t="shared" si="12"/>
        <v>0</v>
      </c>
    </row>
    <row r="38" spans="2:41" x14ac:dyDescent="0.2">
      <c r="J38" s="14" t="s">
        <v>71</v>
      </c>
      <c r="K38" s="6">
        <f>ROUND(SUM(K26:K29)/$C$5*100, 2)</f>
        <v>4.76</v>
      </c>
      <c r="L38" s="6" t="s">
        <v>59</v>
      </c>
      <c r="AF38" s="2">
        <v>34</v>
      </c>
      <c r="AG38" s="2">
        <f t="shared" si="13"/>
        <v>1777.9541015625</v>
      </c>
      <c r="AH38" s="2">
        <v>-1.7134076703757728</v>
      </c>
      <c r="AI38" s="2">
        <f t="shared" si="14"/>
        <v>1777.9541015625</v>
      </c>
      <c r="AJ38" s="2">
        <v>-1.7134076703757728</v>
      </c>
      <c r="AK38" s="2">
        <f t="shared" si="9"/>
        <v>1777.9541015625</v>
      </c>
      <c r="AL38" s="2">
        <v>-1.7134076703757728</v>
      </c>
      <c r="AM38" s="2">
        <f t="shared" si="10"/>
        <v>2.9357658449025328</v>
      </c>
      <c r="AN38" s="2">
        <f t="shared" si="11"/>
        <v>2.9357658449025328</v>
      </c>
      <c r="AO38" s="2">
        <f t="shared" si="12"/>
        <v>0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100.01</v>
      </c>
      <c r="L39" s="9" t="s">
        <v>59</v>
      </c>
      <c r="AF39" s="2">
        <v>35</v>
      </c>
      <c r="AG39" s="2">
        <f t="shared" si="13"/>
        <v>1777.9541015625</v>
      </c>
      <c r="AH39" s="2">
        <v>-1.7134076703757728</v>
      </c>
      <c r="AI39" s="2">
        <f t="shared" si="14"/>
        <v>1777.9541015625</v>
      </c>
      <c r="AJ39" s="2">
        <v>-1.7134076703757728</v>
      </c>
      <c r="AK39" s="2">
        <f t="shared" si="9"/>
        <v>1777.9541015625</v>
      </c>
      <c r="AL39" s="2">
        <v>-1.7134076703757728</v>
      </c>
      <c r="AM39" s="2">
        <f t="shared" si="10"/>
        <v>2.9357658449025328</v>
      </c>
      <c r="AN39" s="2">
        <f t="shared" si="11"/>
        <v>2.9357658449025328</v>
      </c>
      <c r="AO39" s="2">
        <f t="shared" si="12"/>
        <v>0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1777.9541015625</v>
      </c>
      <c r="AH40" s="2">
        <v>-1.7134076703757728</v>
      </c>
      <c r="AI40" s="2">
        <f t="shared" si="14"/>
        <v>1777.9541015625</v>
      </c>
      <c r="AJ40" s="2">
        <v>-1.7134076703757728</v>
      </c>
      <c r="AK40" s="2">
        <f t="shared" si="9"/>
        <v>1777.9541015625</v>
      </c>
      <c r="AL40" s="2">
        <v>-1.7134076703757728</v>
      </c>
      <c r="AM40" s="2">
        <f t="shared" si="10"/>
        <v>2.9357658449025328</v>
      </c>
      <c r="AN40" s="2">
        <f t="shared" si="11"/>
        <v>2.9357658449025328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1777.9541015625</v>
      </c>
      <c r="AH41" s="2">
        <v>-1.7134076703757728</v>
      </c>
      <c r="AI41" s="2">
        <f t="shared" si="14"/>
        <v>1777.9541015625</v>
      </c>
      <c r="AJ41" s="2">
        <v>-1.7134076703757728</v>
      </c>
      <c r="AK41" s="2">
        <f t="shared" si="9"/>
        <v>1777.9541015625</v>
      </c>
      <c r="AL41" s="2">
        <v>-1.7134076703757728</v>
      </c>
      <c r="AM41" s="2">
        <f t="shared" si="10"/>
        <v>2.9357658449025328</v>
      </c>
      <c r="AN41" s="2">
        <f t="shared" si="11"/>
        <v>2.9357658449025328</v>
      </c>
      <c r="AO41" s="2">
        <f t="shared" si="12"/>
        <v>0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1777.9541015625</v>
      </c>
      <c r="AH42" s="2">
        <v>-1.7134076703757728</v>
      </c>
      <c r="AI42" s="2">
        <f t="shared" si="14"/>
        <v>1777.9541015625</v>
      </c>
      <c r="AJ42" s="2">
        <v>-1.7134076703757728</v>
      </c>
      <c r="AK42" s="2">
        <f t="shared" si="9"/>
        <v>1777.9541015625</v>
      </c>
      <c r="AL42" s="2">
        <v>-1.7134076703757728</v>
      </c>
      <c r="AM42" s="2">
        <f t="shared" si="10"/>
        <v>2.9357658449025328</v>
      </c>
      <c r="AN42" s="2">
        <f t="shared" si="11"/>
        <v>2.9357658449025328</v>
      </c>
      <c r="AO42" s="2">
        <f t="shared" si="12"/>
        <v>0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399</v>
      </c>
      <c r="L43" s="6" t="s">
        <v>7</v>
      </c>
      <c r="AF43" s="2">
        <v>39</v>
      </c>
      <c r="AG43" s="2">
        <f t="shared" si="13"/>
        <v>1777.9541015625</v>
      </c>
      <c r="AH43" s="2">
        <v>-1.7134076703757728</v>
      </c>
      <c r="AI43" s="2">
        <f t="shared" si="14"/>
        <v>1777.9541015625</v>
      </c>
      <c r="AJ43" s="2">
        <v>-1.7134076703757728</v>
      </c>
      <c r="AK43" s="2">
        <f t="shared" si="9"/>
        <v>1777.9541015625</v>
      </c>
      <c r="AL43" s="2">
        <v>-1.7134076703757728</v>
      </c>
      <c r="AM43" s="2">
        <f t="shared" si="10"/>
        <v>2.9357658449025328</v>
      </c>
      <c r="AN43" s="2">
        <f t="shared" si="11"/>
        <v>2.9357658449025328</v>
      </c>
      <c r="AO43" s="2">
        <f t="shared" si="12"/>
        <v>0</v>
      </c>
    </row>
    <row r="44" spans="2:41" x14ac:dyDescent="0.2">
      <c r="J44" s="18" t="s">
        <v>74</v>
      </c>
      <c r="K44" s="6">
        <f>ROUND(SUM(K16:K19), 2)</f>
        <v>244.01</v>
      </c>
      <c r="L44" s="6" t="s">
        <v>7</v>
      </c>
      <c r="AF44" s="2">
        <v>40</v>
      </c>
      <c r="AG44" s="2">
        <f t="shared" si="13"/>
        <v>1777.9541015625</v>
      </c>
      <c r="AH44" s="2">
        <v>-1.7134076703757728</v>
      </c>
      <c r="AI44" s="2">
        <f t="shared" si="14"/>
        <v>1777.9541015625</v>
      </c>
      <c r="AJ44" s="2">
        <v>-1.7134076703757728</v>
      </c>
      <c r="AK44" s="5">
        <f t="shared" si="9"/>
        <v>1777.9541015625</v>
      </c>
      <c r="AL44" s="2">
        <v>-1.7134076703757728</v>
      </c>
      <c r="AM44" s="2">
        <f t="shared" si="10"/>
        <v>2.9357658449025328</v>
      </c>
      <c r="AN44" s="2">
        <f t="shared" si="11"/>
        <v>2.9357658449025328</v>
      </c>
      <c r="AO44" s="2">
        <f t="shared" si="12"/>
        <v>0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452.33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84.66</v>
      </c>
      <c r="L46" s="6" t="s">
        <v>7</v>
      </c>
    </row>
    <row r="47" spans="2:41" x14ac:dyDescent="0.2">
      <c r="J47" s="9" t="s">
        <v>60</v>
      </c>
      <c r="K47" s="9">
        <f>SUM(K42:K46)</f>
        <v>1780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53:D53"/>
    <mergeCell ref="B59:D59"/>
    <mergeCell ref="B64:D64"/>
    <mergeCell ref="B70:D70"/>
    <mergeCell ref="B76:D76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4B67-D6BE-5B48-8F16-A9BCCE1D4947}">
  <dimension ref="B1:AO81"/>
  <sheetViews>
    <sheetView zoomScale="88" workbookViewId="0">
      <selection activeCell="G39" sqref="G3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341.46298944343846</v>
      </c>
      <c r="L4" s="6" t="s">
        <v>97</v>
      </c>
      <c r="N4" s="6" t="s">
        <v>131</v>
      </c>
      <c r="O4" s="6">
        <f xml:space="preserve"> $C$5 * $C$74</f>
        <v>18234.812748280416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1.2091564122118128</v>
      </c>
      <c r="X4" s="3">
        <v>1</v>
      </c>
      <c r="Y4" s="2">
        <f t="shared" ref="Y4:Y34" si="1" xml:space="preserve"> $O$22 * TAN($O$19/180*PI()) + $O$23 / (2 * SQRT($O$22^2 + X4^2)) - X4</f>
        <v>-5.1483979103273736E-2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0.4709607782738181</v>
      </c>
      <c r="AB4" s="2">
        <f>W4*AA4</f>
        <v>0.56946524495005302</v>
      </c>
      <c r="AC4" s="2">
        <f>Y4*AA4</f>
        <v>-2.4246934867110787E-2</v>
      </c>
      <c r="AD4" s="2">
        <f>X4-V4</f>
        <v>1</v>
      </c>
      <c r="AF4" s="2">
        <v>0</v>
      </c>
      <c r="AH4" s="2">
        <f>K30</f>
        <v>-6.1740262760849873E-3</v>
      </c>
      <c r="AJ4" s="2">
        <f>K30</f>
        <v>-6.1740262760849873E-3</v>
      </c>
      <c r="AL4" s="2">
        <f>K30</f>
        <v>-6.1740262760849873E-3</v>
      </c>
    </row>
    <row r="5" spans="2:41" x14ac:dyDescent="0.2">
      <c r="B5" s="9" t="s">
        <v>38</v>
      </c>
      <c r="C5" s="9">
        <v>1860.5900617515199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42.682873680429807</v>
      </c>
      <c r="L5" s="6" t="s">
        <v>97</v>
      </c>
      <c r="N5" s="6" t="s">
        <v>24</v>
      </c>
      <c r="O5" s="6">
        <f xml:space="preserve"> 0.5 * $C$71 * $C$7^2</f>
        <v>821.86182856375387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0.4709607782738181</v>
      </c>
      <c r="X5" s="2">
        <f>IF(AC4&gt;0, Z4, X4)</f>
        <v>1</v>
      </c>
      <c r="Y5" s="2">
        <f t="shared" si="1"/>
        <v>-5.1483979103273736E-2</v>
      </c>
      <c r="Z5" s="2">
        <f t="shared" ref="Z5:Z34" si="3" xml:space="preserve"> (V5 + X5)/2</f>
        <v>0.75</v>
      </c>
      <c r="AA5" s="2">
        <f t="shared" si="2"/>
        <v>0.20606754148239481</v>
      </c>
      <c r="AB5" s="2">
        <f t="shared" ref="AB5:AB34" si="4">W5*AA5</f>
        <v>9.7049729713520952E-2</v>
      </c>
      <c r="AC5" s="2">
        <f t="shared" ref="AC5:AC34" si="5">Y5*AA5</f>
        <v>-1.0609176999542608E-2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-667.63318268150067</v>
      </c>
      <c r="AI5" s="3">
        <v>10000</v>
      </c>
      <c r="AJ5" s="2">
        <f t="dataTable" ref="AJ5:AJ44" dt2D="0" dtr="0" r1="C5" ca="1"/>
        <v>2601.4531515219278</v>
      </c>
      <c r="AK5" s="2">
        <f>(AG5+AI5)/2</f>
        <v>5250</v>
      </c>
      <c r="AL5" s="2">
        <f t="dataTable" ref="AL5:AL44" dt2D="0" dtr="0" r1="C5" ca="1"/>
        <v>1633.9703654033792</v>
      </c>
      <c r="AM5" s="2">
        <f>AH5*AL5</f>
        <v>-1090892.8354615127</v>
      </c>
      <c r="AN5" s="2">
        <f>AJ5*AL5</f>
        <v>4250697.3565720571</v>
      </c>
      <c r="AO5" s="2">
        <f>AI5-AG5</f>
        <v>9500</v>
      </c>
    </row>
    <row r="6" spans="2:41" x14ac:dyDescent="0.2">
      <c r="B6" s="6" t="s">
        <v>168</v>
      </c>
      <c r="C6" s="16">
        <v>212.78066996893801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66.412568925741908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0.19807380586321566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0.20606754148239481</v>
      </c>
      <c r="X6" s="2">
        <f t="shared" ref="X6:X34" si="8">IF(AC5&gt;0, Z5, X5)</f>
        <v>1</v>
      </c>
      <c r="Y6" s="2">
        <f t="shared" si="1"/>
        <v>-5.1483979103273736E-2</v>
      </c>
      <c r="Z6" s="2">
        <f t="shared" si="3"/>
        <v>0.875</v>
      </c>
      <c r="AA6" s="2">
        <f t="shared" si="2"/>
        <v>7.675935251807342E-2</v>
      </c>
      <c r="AB6" s="2">
        <f t="shared" si="4"/>
        <v>1.5817611059179861E-2</v>
      </c>
      <c r="AC6" s="2">
        <f t="shared" si="5"/>
        <v>-3.951876901021314E-3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-667.63318268150067</v>
      </c>
      <c r="AI6" s="2">
        <f>IF(AN5&gt;0,AK5,AI5)</f>
        <v>5250</v>
      </c>
      <c r="AJ6" s="2">
        <v>1633.9703654033792</v>
      </c>
      <c r="AK6" s="2">
        <f t="shared" ref="AK6:AK44" si="9">(AG6+AI6)/2</f>
        <v>2875</v>
      </c>
      <c r="AL6" s="2">
        <v>364.2150169786305</v>
      </c>
      <c r="AM6" s="2">
        <f t="shared" ref="AM6:AM44" si="10">AH6*AL6</f>
        <v>-243162.03096583989</v>
      </c>
      <c r="AN6" s="2">
        <f t="shared" ref="AN6:AN44" si="11">AJ6*AL6</f>
        <v>595116.54437797086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145.334717079923 * 1000 / 3600</f>
        <v>40.370754744423053</v>
      </c>
      <c r="D7" s="6" t="s">
        <v>10</v>
      </c>
      <c r="F7" s="6" t="s">
        <v>20</v>
      </c>
      <c r="G7" s="6">
        <f xml:space="preserve"> $C$5 * $C$68 / $C$21</f>
        <v>2279.5696378657804</v>
      </c>
      <c r="H7" s="6" t="s">
        <v>21</v>
      </c>
      <c r="J7" s="6" t="s">
        <v>133</v>
      </c>
      <c r="K7" s="6">
        <f>K6/$C$28</f>
        <v>66.412568925741908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7.675935251807342E-2</v>
      </c>
      <c r="X7" s="2">
        <f t="shared" si="8"/>
        <v>1</v>
      </c>
      <c r="Y7" s="2">
        <f t="shared" si="1"/>
        <v>-5.1483979103273736E-2</v>
      </c>
      <c r="Z7" s="2">
        <f t="shared" si="3"/>
        <v>0.9375</v>
      </c>
      <c r="AA7" s="2">
        <f t="shared" si="2"/>
        <v>1.2530780256801211E-2</v>
      </c>
      <c r="AB7" s="2">
        <f t="shared" si="4"/>
        <v>9.6185457905831871E-4</v>
      </c>
      <c r="AC7" s="2">
        <f t="shared" si="5"/>
        <v>-6.4513442888886865E-4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-667.63318268150067</v>
      </c>
      <c r="AI7" s="2">
        <f t="shared" ref="AI7:AI44" si="14">IF(AN6&gt;0,AK6,AI6)</f>
        <v>2875</v>
      </c>
      <c r="AJ7" s="2">
        <v>364.2150169786305</v>
      </c>
      <c r="AK7" s="2">
        <f t="shared" si="9"/>
        <v>1687.5</v>
      </c>
      <c r="AL7" s="2">
        <v>-74.946859729649532</v>
      </c>
      <c r="AM7" s="2">
        <f t="shared" si="10"/>
        <v>50037.010493289912</v>
      </c>
      <c r="AN7" s="2">
        <f t="shared" si="11"/>
        <v>-27296.771788929342</v>
      </c>
      <c r="AO7" s="2">
        <f t="shared" si="12"/>
        <v>2375</v>
      </c>
    </row>
    <row r="8" spans="2:41" x14ac:dyDescent="0.2">
      <c r="B8" s="6" t="s">
        <v>91</v>
      </c>
      <c r="C8" s="16">
        <v>2.3373728761491899</v>
      </c>
      <c r="D8" s="6" t="s">
        <v>8</v>
      </c>
      <c r="F8" t="s">
        <v>93</v>
      </c>
      <c r="G8" s="6">
        <f>G10/$C$21</f>
        <v>28.455249120286538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1.2530780256801211E-2</v>
      </c>
      <c r="X8" s="2">
        <f t="shared" si="8"/>
        <v>1</v>
      </c>
      <c r="Y8" s="2">
        <f t="shared" si="1"/>
        <v>-5.1483979103273736E-2</v>
      </c>
      <c r="Z8" s="2">
        <f t="shared" si="3"/>
        <v>0.96875</v>
      </c>
      <c r="AA8" s="2">
        <f t="shared" si="2"/>
        <v>-1.9500776534870257E-2</v>
      </c>
      <c r="AB8" s="2">
        <f t="shared" si="4"/>
        <v>-2.4435994559544454E-4</v>
      </c>
      <c r="AC8" s="2">
        <f t="shared" si="5"/>
        <v>1.003977571618871E-3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-74.946859729649532</v>
      </c>
      <c r="AI8" s="2">
        <f t="shared" si="14"/>
        <v>2875</v>
      </c>
      <c r="AJ8" s="2">
        <v>-74.946859729649532</v>
      </c>
      <c r="AK8" s="2">
        <f t="shared" si="9"/>
        <v>2281.25</v>
      </c>
      <c r="AL8" s="2">
        <v>-357.13989229785193</v>
      </c>
      <c r="AM8" s="2">
        <f t="shared" si="10"/>
        <v>26766.513411909251</v>
      </c>
      <c r="AN8" s="2">
        <f t="shared" si="11"/>
        <v>26766.513411909251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8.1733165201190126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1.8250480376239706E-2</v>
      </c>
      <c r="U9" s="2">
        <v>5</v>
      </c>
      <c r="V9" s="2">
        <f t="shared" si="7"/>
        <v>0.9375</v>
      </c>
      <c r="W9" s="2">
        <f t="shared" si="0"/>
        <v>1.2530780256801211E-2</v>
      </c>
      <c r="X9" s="2">
        <f t="shared" si="8"/>
        <v>0.96875</v>
      </c>
      <c r="Y9" s="2">
        <f t="shared" si="1"/>
        <v>-1.9500776534870257E-2</v>
      </c>
      <c r="Z9" s="2">
        <f t="shared" si="3"/>
        <v>0.953125</v>
      </c>
      <c r="AA9" s="2">
        <f t="shared" si="2"/>
        <v>-3.4913354573472555E-3</v>
      </c>
      <c r="AB9" s="2">
        <f t="shared" si="4"/>
        <v>-4.3749157418797016E-5</v>
      </c>
      <c r="AC9" s="2">
        <f t="shared" si="5"/>
        <v>6.8083752561997872E-5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167.01980933509526</v>
      </c>
      <c r="AI9" s="2">
        <f t="shared" si="14"/>
        <v>2281.25</v>
      </c>
      <c r="AJ9" s="2">
        <v>-357.13989229785193</v>
      </c>
      <c r="AK9" s="2">
        <f t="shared" si="9"/>
        <v>2281.25</v>
      </c>
      <c r="AL9" s="2">
        <v>-357.13989229785193</v>
      </c>
      <c r="AM9" s="2">
        <f t="shared" si="10"/>
        <v>-59649.436717543686</v>
      </c>
      <c r="AN9" s="2">
        <f t="shared" si="11"/>
        <v>127548.90267052127</v>
      </c>
      <c r="AO9" s="2">
        <f t="shared" si="12"/>
        <v>0</v>
      </c>
    </row>
    <row r="10" spans="2:41" x14ac:dyDescent="0.2">
      <c r="B10" s="6" t="s">
        <v>134</v>
      </c>
      <c r="C10" s="16">
        <v>1.94990161921813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227.64199296229231</v>
      </c>
      <c r="H10" s="22" t="s">
        <v>97</v>
      </c>
      <c r="J10" s="6" t="s">
        <v>92</v>
      </c>
      <c r="K10" s="6">
        <f xml:space="preserve"> $C$18 * (G10*G6 + G20*G13 + G29*G25 + G33*G32)/3600</f>
        <v>62.558558009275657</v>
      </c>
      <c r="L10" s="6" t="s">
        <v>98</v>
      </c>
      <c r="N10" s="6" t="s">
        <v>39</v>
      </c>
      <c r="O10" s="6">
        <f xml:space="preserve"> O5 * $C$12 * O9</f>
        <v>449.98119522549365</v>
      </c>
      <c r="P10" s="6" t="s">
        <v>21</v>
      </c>
      <c r="U10" s="2">
        <v>6</v>
      </c>
      <c r="V10" s="2">
        <f t="shared" si="7"/>
        <v>0.9375</v>
      </c>
      <c r="W10" s="2">
        <f t="shared" si="0"/>
        <v>1.2530780256801211E-2</v>
      </c>
      <c r="X10" s="2">
        <f t="shared" si="8"/>
        <v>0.953125</v>
      </c>
      <c r="Y10" s="2">
        <f t="shared" si="1"/>
        <v>-3.4913354573472555E-3</v>
      </c>
      <c r="Z10" s="2">
        <f t="shared" si="3"/>
        <v>0.9453125</v>
      </c>
      <c r="AA10" s="2">
        <f t="shared" si="2"/>
        <v>4.5180993591950047E-3</v>
      </c>
      <c r="AB10" s="2">
        <f t="shared" si="4"/>
        <v>5.6615310248466965E-5</v>
      </c>
      <c r="AC10" s="2">
        <f t="shared" si="5"/>
        <v>-1.5774200492575435E-5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167.01980933509526</v>
      </c>
      <c r="AI10" s="2">
        <f t="shared" si="14"/>
        <v>2281.25</v>
      </c>
      <c r="AJ10" s="2">
        <v>-510.42337324056496</v>
      </c>
      <c r="AK10" s="2">
        <f t="shared" si="9"/>
        <v>2281.25</v>
      </c>
      <c r="AL10" s="2">
        <v>-357.13989229785193</v>
      </c>
      <c r="AM10" s="2">
        <f t="shared" si="10"/>
        <v>-59649.436717543686</v>
      </c>
      <c r="AN10" s="2">
        <f t="shared" si="11"/>
        <v>182292.54854544165</v>
      </c>
      <c r="AO10" s="2">
        <f t="shared" si="12"/>
        <v>0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65.197438183201669</v>
      </c>
      <c r="L11" s="6" t="s">
        <v>99</v>
      </c>
      <c r="N11" s="6" t="s">
        <v>137</v>
      </c>
      <c r="O11" s="6">
        <f xml:space="preserve"> 1.78 * (1 - 0.045 * $C$13^0.68) - 0.64</f>
        <v>0.77433839769678847</v>
      </c>
      <c r="U11" s="2">
        <v>7</v>
      </c>
      <c r="V11" s="2">
        <f t="shared" si="7"/>
        <v>0.9453125</v>
      </c>
      <c r="W11" s="2">
        <f t="shared" si="0"/>
        <v>4.5180993591950047E-3</v>
      </c>
      <c r="X11" s="2">
        <f t="shared" si="8"/>
        <v>0.953125</v>
      </c>
      <c r="Y11" s="2">
        <f t="shared" si="1"/>
        <v>-3.4913354573472555E-3</v>
      </c>
      <c r="Z11" s="2">
        <f t="shared" si="3"/>
        <v>0.94921875</v>
      </c>
      <c r="AA11" s="2">
        <f t="shared" si="2"/>
        <v>5.1298112741948731E-4</v>
      </c>
      <c r="AB11" s="2">
        <f t="shared" si="4"/>
        <v>2.3176997030731169E-6</v>
      </c>
      <c r="AC11" s="2">
        <f t="shared" si="5"/>
        <v>-1.7909891991096266E-6</v>
      </c>
      <c r="AD11" s="2">
        <f t="shared" si="6"/>
        <v>7.8125E-3</v>
      </c>
      <c r="AF11" s="2">
        <v>7</v>
      </c>
      <c r="AG11" s="2">
        <f t="shared" si="13"/>
        <v>2281.25</v>
      </c>
      <c r="AH11" s="2">
        <v>167.01980933509526</v>
      </c>
      <c r="AI11" s="2">
        <f t="shared" si="14"/>
        <v>2281.25</v>
      </c>
      <c r="AJ11" s="2">
        <v>-588.93797222415958</v>
      </c>
      <c r="AK11" s="2">
        <f t="shared" si="9"/>
        <v>2281.25</v>
      </c>
      <c r="AL11" s="2">
        <v>-357.13989229785193</v>
      </c>
      <c r="AM11" s="2">
        <f t="shared" si="10"/>
        <v>-59649.436717543686</v>
      </c>
      <c r="AN11" s="2">
        <f t="shared" si="11"/>
        <v>210333.24397025167</v>
      </c>
      <c r="AO11" s="2">
        <f t="shared" si="12"/>
        <v>0</v>
      </c>
    </row>
    <row r="12" spans="2:41" x14ac:dyDescent="0.2">
      <c r="B12" s="6" t="s">
        <v>135</v>
      </c>
      <c r="C12" s="16">
        <v>29.999999999999702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0.73957333274811243</v>
      </c>
      <c r="U12" s="2">
        <v>8</v>
      </c>
      <c r="V12" s="2">
        <f t="shared" si="7"/>
        <v>0.94921875</v>
      </c>
      <c r="W12" s="2">
        <f t="shared" si="0"/>
        <v>5.1298112741948731E-4</v>
      </c>
      <c r="X12" s="2">
        <f t="shared" si="8"/>
        <v>0.953125</v>
      </c>
      <c r="Y12" s="2">
        <f t="shared" si="1"/>
        <v>-3.4913354573472555E-3</v>
      </c>
      <c r="Z12" s="2">
        <f t="shared" si="3"/>
        <v>0.951171875</v>
      </c>
      <c r="AA12" s="2">
        <f t="shared" si="2"/>
        <v>-1.4892767624700154E-3</v>
      </c>
      <c r="AB12" s="2">
        <f t="shared" si="4"/>
        <v>-7.6397087265151256E-7</v>
      </c>
      <c r="AC12" s="2">
        <f t="shared" si="5"/>
        <v>5.1995647666148913E-6</v>
      </c>
      <c r="AD12" s="2">
        <f t="shared" si="6"/>
        <v>3.90625E-3</v>
      </c>
      <c r="AF12" s="2">
        <v>8</v>
      </c>
      <c r="AG12" s="2">
        <f t="shared" si="13"/>
        <v>2281.25</v>
      </c>
      <c r="AH12" s="2">
        <v>167.01980933509526</v>
      </c>
      <c r="AI12" s="2">
        <f t="shared" si="14"/>
        <v>2281.25</v>
      </c>
      <c r="AJ12" s="2">
        <v>-628.34372244136421</v>
      </c>
      <c r="AK12" s="2">
        <f t="shared" si="9"/>
        <v>2281.25</v>
      </c>
      <c r="AL12" s="2">
        <v>-357.13989229785193</v>
      </c>
      <c r="AM12" s="2">
        <f t="shared" si="10"/>
        <v>-59649.436717543686</v>
      </c>
      <c r="AN12" s="2">
        <f t="shared" si="11"/>
        <v>224406.60935874018</v>
      </c>
      <c r="AO12" s="2">
        <f t="shared" si="12"/>
        <v>0</v>
      </c>
    </row>
    <row r="13" spans="2:41" x14ac:dyDescent="0.2">
      <c r="B13" s="6" t="s">
        <v>136</v>
      </c>
      <c r="C13" s="16">
        <v>9.3277042471590104</v>
      </c>
      <c r="F13" s="8" t="s">
        <v>85</v>
      </c>
      <c r="G13" s="6">
        <f xml:space="preserve"> $C$17/$C$7</f>
        <v>2391.8462909921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4.2355475647619961E-2</v>
      </c>
      <c r="U13" s="2">
        <v>9</v>
      </c>
      <c r="V13" s="2">
        <f t="shared" si="7"/>
        <v>0.94921875</v>
      </c>
      <c r="W13" s="2">
        <f t="shared" si="0"/>
        <v>5.1298112741948731E-4</v>
      </c>
      <c r="X13" s="2">
        <f t="shared" si="8"/>
        <v>0.951171875</v>
      </c>
      <c r="Y13" s="2">
        <f t="shared" si="1"/>
        <v>-1.4892767624700154E-3</v>
      </c>
      <c r="Z13" s="2">
        <f t="shared" si="3"/>
        <v>0.9501953125</v>
      </c>
      <c r="AA13" s="2">
        <f t="shared" si="2"/>
        <v>-4.8817279256430091E-4</v>
      </c>
      <c r="AB13" s="2">
        <f t="shared" si="4"/>
        <v>-2.5042342950515461E-7</v>
      </c>
      <c r="AC13" s="2">
        <f t="shared" si="5"/>
        <v>7.2702439603610845E-7</v>
      </c>
      <c r="AD13" s="2">
        <f t="shared" si="6"/>
        <v>1.953125E-3</v>
      </c>
      <c r="AF13" s="2">
        <v>9</v>
      </c>
      <c r="AG13" s="2">
        <f t="shared" si="13"/>
        <v>2281.25</v>
      </c>
      <c r="AH13" s="2">
        <v>167.01980933509526</v>
      </c>
      <c r="AI13" s="2">
        <f t="shared" si="14"/>
        <v>2281.25</v>
      </c>
      <c r="AJ13" s="2">
        <v>-628.34372244136421</v>
      </c>
      <c r="AK13" s="2">
        <f t="shared" si="9"/>
        <v>2281.25</v>
      </c>
      <c r="AL13" s="2">
        <v>-510.42337324056496</v>
      </c>
      <c r="AM13" s="2">
        <f t="shared" si="10"/>
        <v>-85250.814478815329</v>
      </c>
      <c r="AN13" s="2">
        <f t="shared" si="11"/>
        <v>320721.32236305438</v>
      </c>
      <c r="AO13" s="2">
        <f t="shared" si="12"/>
        <v>0</v>
      </c>
    </row>
    <row r="14" spans="2:41" x14ac:dyDescent="0.2">
      <c r="F14" s="6" t="s">
        <v>142</v>
      </c>
      <c r="G14" s="6">
        <f>O21*$C$10</f>
        <v>43.448370170024454</v>
      </c>
      <c r="H14" s="6" t="s">
        <v>10</v>
      </c>
      <c r="J14" s="9" t="s">
        <v>75</v>
      </c>
      <c r="K14" s="17">
        <f>C5</f>
        <v>1860.5900617515199</v>
      </c>
      <c r="L14" s="6" t="s">
        <v>7</v>
      </c>
      <c r="N14" s="6" t="s">
        <v>40</v>
      </c>
      <c r="O14" s="6">
        <f xml:space="preserve"> O5 * O13 * $C$12</f>
        <v>1044.3104599632043</v>
      </c>
      <c r="P14" s="6" t="s">
        <v>21</v>
      </c>
      <c r="U14" s="2">
        <v>10</v>
      </c>
      <c r="V14" s="2">
        <f t="shared" si="7"/>
        <v>0.94921875</v>
      </c>
      <c r="W14" s="2">
        <f t="shared" si="0"/>
        <v>5.1298112741948731E-4</v>
      </c>
      <c r="X14" s="2">
        <f t="shared" si="8"/>
        <v>0.9501953125</v>
      </c>
      <c r="Y14" s="2">
        <f t="shared" si="1"/>
        <v>-4.8817279256430091E-4</v>
      </c>
      <c r="Z14" s="2">
        <f t="shared" si="3"/>
        <v>0.94970703125</v>
      </c>
      <c r="AA14" s="2">
        <f t="shared" si="2"/>
        <v>1.2397914176620617E-5</v>
      </c>
      <c r="AB14" s="2">
        <f t="shared" si="4"/>
        <v>6.3598959919728891E-9</v>
      </c>
      <c r="AC14" s="2">
        <f t="shared" si="5"/>
        <v>-6.0523243855734219E-9</v>
      </c>
      <c r="AD14" s="2">
        <f t="shared" si="6"/>
        <v>9.765625E-4</v>
      </c>
      <c r="AF14" s="2">
        <v>10</v>
      </c>
      <c r="AG14" s="2">
        <f t="shared" si="13"/>
        <v>2281.25</v>
      </c>
      <c r="AH14" s="2">
        <v>167.01980933509526</v>
      </c>
      <c r="AI14" s="2">
        <f t="shared" si="14"/>
        <v>2281.25</v>
      </c>
      <c r="AJ14" s="2">
        <v>-628.34372244136421</v>
      </c>
      <c r="AK14" s="2">
        <f t="shared" si="9"/>
        <v>2281.25</v>
      </c>
      <c r="AL14" s="2">
        <v>-588.93797222415958</v>
      </c>
      <c r="AM14" s="2">
        <f t="shared" si="10"/>
        <v>-98364.30783107676</v>
      </c>
      <c r="AN14" s="2">
        <f t="shared" si="11"/>
        <v>370055.4777543972</v>
      </c>
      <c r="AO14" s="2">
        <f t="shared" si="12"/>
        <v>0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0.13058469994677646</v>
      </c>
      <c r="H15" s="6" t="s">
        <v>120</v>
      </c>
      <c r="J15" s="10" t="s">
        <v>53</v>
      </c>
      <c r="K15" s="6">
        <f xml:space="preserve"> 1000 * K10 / ($C$60 * $C$61 * $C$62)</f>
        <v>367.99151770162149</v>
      </c>
      <c r="L15" s="6" t="s">
        <v>7</v>
      </c>
      <c r="N15" s="6" t="s">
        <v>140</v>
      </c>
      <c r="O15" s="6">
        <f>O4/O14</f>
        <v>17.461103232579813</v>
      </c>
      <c r="U15" s="2">
        <v>11</v>
      </c>
      <c r="V15" s="2">
        <f t="shared" si="7"/>
        <v>0.94970703125</v>
      </c>
      <c r="W15" s="2">
        <f t="shared" si="0"/>
        <v>1.2397914176620617E-5</v>
      </c>
      <c r="X15" s="2">
        <f t="shared" si="8"/>
        <v>0.9501953125</v>
      </c>
      <c r="Y15" s="2">
        <f t="shared" si="1"/>
        <v>-4.8817279256430091E-4</v>
      </c>
      <c r="Z15" s="2">
        <f t="shared" si="3"/>
        <v>0.949951171875</v>
      </c>
      <c r="AA15" s="2">
        <f t="shared" si="2"/>
        <v>-2.3788900131871404E-4</v>
      </c>
      <c r="AB15" s="2">
        <f t="shared" si="4"/>
        <v>-2.9493274219114054E-9</v>
      </c>
      <c r="AC15" s="2">
        <f t="shared" si="5"/>
        <v>1.1613093809408929E-7</v>
      </c>
      <c r="AD15" s="2">
        <f t="shared" si="6"/>
        <v>4.8828125E-4</v>
      </c>
      <c r="AF15" s="2">
        <v>11</v>
      </c>
      <c r="AG15" s="2">
        <f t="shared" si="13"/>
        <v>2281.25</v>
      </c>
      <c r="AH15" s="2">
        <v>167.01980933509526</v>
      </c>
      <c r="AI15" s="2">
        <f t="shared" si="14"/>
        <v>2281.25</v>
      </c>
      <c r="AJ15" s="2">
        <v>-628.34372244136421</v>
      </c>
      <c r="AK15" s="2">
        <f t="shared" si="9"/>
        <v>2281.25</v>
      </c>
      <c r="AL15" s="2">
        <v>-628.34372244136421</v>
      </c>
      <c r="AM15" s="2">
        <f t="shared" si="10"/>
        <v>-104945.84871906067</v>
      </c>
      <c r="AN15" s="2">
        <f t="shared" si="11"/>
        <v>394815.83353147015</v>
      </c>
      <c r="AO15" s="2">
        <f t="shared" si="12"/>
        <v>0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1044.3104599632043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132.65659347795983</v>
      </c>
      <c r="L16" s="6" t="s">
        <v>7</v>
      </c>
      <c r="N16" s="6" t="s">
        <v>111</v>
      </c>
      <c r="O16" s="6">
        <f>(O13*$C$12)/(0.3048^2)/($C$5*2.20462/1000)^(2/3)</f>
        <v>5.3375824831552174</v>
      </c>
      <c r="U16" s="2">
        <v>12</v>
      </c>
      <c r="V16" s="2">
        <f t="shared" si="7"/>
        <v>0.94970703125</v>
      </c>
      <c r="W16" s="2">
        <f t="shared" si="0"/>
        <v>1.2397914176620617E-5</v>
      </c>
      <c r="X16" s="2">
        <f t="shared" si="8"/>
        <v>0.949951171875</v>
      </c>
      <c r="Y16" s="2">
        <f t="shared" si="1"/>
        <v>-2.3788900131871404E-4</v>
      </c>
      <c r="Z16" s="2">
        <f t="shared" si="3"/>
        <v>0.9498291015625</v>
      </c>
      <c r="AA16" s="2">
        <f t="shared" si="2"/>
        <v>-1.1274593425070201E-4</v>
      </c>
      <c r="AB16" s="2">
        <f t="shared" si="4"/>
        <v>-1.3978144166031144E-9</v>
      </c>
      <c r="AC16" s="2">
        <f t="shared" si="5"/>
        <v>2.6821017701644898E-8</v>
      </c>
      <c r="AD16" s="2">
        <f t="shared" si="6"/>
        <v>2.44140625E-4</v>
      </c>
      <c r="AF16" s="2">
        <v>12</v>
      </c>
      <c r="AG16" s="2">
        <f t="shared" si="13"/>
        <v>2281.25</v>
      </c>
      <c r="AH16" s="2">
        <v>167.01980933509526</v>
      </c>
      <c r="AI16" s="2">
        <f t="shared" si="14"/>
        <v>2281.25</v>
      </c>
      <c r="AJ16" s="2">
        <v>-628.34372244136421</v>
      </c>
      <c r="AK16" s="2">
        <f t="shared" si="9"/>
        <v>2281.25</v>
      </c>
      <c r="AL16" s="2">
        <v>-648.01644085465227</v>
      </c>
      <c r="AM16" s="2">
        <f t="shared" si="10"/>
        <v>-108231.58239755106</v>
      </c>
      <c r="AN16" s="2">
        <f t="shared" si="11"/>
        <v>407177.06264981633</v>
      </c>
      <c r="AO16" s="2">
        <f t="shared" si="12"/>
        <v>0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44.275045950494608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0.94970703125</v>
      </c>
      <c r="W17" s="2">
        <f t="shared" si="0"/>
        <v>1.2397914176620617E-5</v>
      </c>
      <c r="X17" s="2">
        <f t="shared" si="8"/>
        <v>0.9498291015625</v>
      </c>
      <c r="Y17" s="2">
        <f t="shared" si="1"/>
        <v>-1.1274593425070201E-4</v>
      </c>
      <c r="Z17" s="2">
        <f t="shared" si="3"/>
        <v>0.94976806640625</v>
      </c>
      <c r="AA17" s="2">
        <f t="shared" si="2"/>
        <v>-5.0174107725453609E-5</v>
      </c>
      <c r="AB17" s="2">
        <f t="shared" si="4"/>
        <v>-6.2205428146869131E-10</v>
      </c>
      <c r="AC17" s="2">
        <f t="shared" si="5"/>
        <v>5.6569266507016324E-9</v>
      </c>
      <c r="AD17" s="2">
        <f t="shared" si="6"/>
        <v>1.220703125E-4</v>
      </c>
      <c r="AF17" s="2">
        <v>13</v>
      </c>
      <c r="AG17" s="2">
        <f t="shared" si="13"/>
        <v>2281.25</v>
      </c>
      <c r="AH17" s="2">
        <v>167.01980933509526</v>
      </c>
      <c r="AI17" s="2">
        <f t="shared" si="14"/>
        <v>2281.25</v>
      </c>
      <c r="AJ17" s="2">
        <v>-628.34372244136421</v>
      </c>
      <c r="AK17" s="2">
        <f t="shared" si="9"/>
        <v>2281.25</v>
      </c>
      <c r="AL17" s="2">
        <v>-657.83378385374874</v>
      </c>
      <c r="AM17" s="2">
        <f t="shared" si="10"/>
        <v>-109871.27315343739</v>
      </c>
      <c r="AN17" s="2">
        <f t="shared" si="11"/>
        <v>413345.72849435225</v>
      </c>
      <c r="AO17" s="2">
        <f t="shared" si="12"/>
        <v>0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2.4066891292701826</v>
      </c>
      <c r="H18" s="6" t="s">
        <v>172</v>
      </c>
      <c r="J18" s="12" t="s">
        <v>54</v>
      </c>
      <c r="K18" s="6">
        <f xml:space="preserve"> $C$78 * (0.2138 * K4 + 0.2138 * K6)</f>
        <v>69.763035503464607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0.94970703125</v>
      </c>
      <c r="W18" s="2">
        <f t="shared" si="0"/>
        <v>1.2397914176620617E-5</v>
      </c>
      <c r="X18" s="2">
        <f t="shared" si="8"/>
        <v>0.94976806640625</v>
      </c>
      <c r="Y18" s="2">
        <f t="shared" si="1"/>
        <v>-5.0174107725453609E-5</v>
      </c>
      <c r="Z18" s="2">
        <f t="shared" si="3"/>
        <v>0.949737548828125</v>
      </c>
      <c r="AA18" s="2">
        <f t="shared" si="2"/>
        <v>-1.8888121198878949E-5</v>
      </c>
      <c r="AB18" s="2">
        <f t="shared" si="4"/>
        <v>-2.3417330558130972E-10</v>
      </c>
      <c r="AC18" s="2">
        <f t="shared" si="5"/>
        <v>9.4769462776397634E-10</v>
      </c>
      <c r="AD18" s="2">
        <f t="shared" si="6"/>
        <v>6.103515625E-5</v>
      </c>
      <c r="AF18" s="2">
        <v>14</v>
      </c>
      <c r="AG18" s="2">
        <f t="shared" si="13"/>
        <v>2281.25</v>
      </c>
      <c r="AH18" s="2">
        <v>167.01980933509526</v>
      </c>
      <c r="AI18" s="2">
        <f t="shared" si="14"/>
        <v>2281.25</v>
      </c>
      <c r="AJ18" s="2">
        <v>-628.34372244136421</v>
      </c>
      <c r="AK18" s="2">
        <f t="shared" si="9"/>
        <v>2281.25</v>
      </c>
      <c r="AL18" s="2">
        <v>-662.73599516573563</v>
      </c>
      <c r="AM18" s="2">
        <f t="shared" si="10"/>
        <v>-110690.03955208579</v>
      </c>
      <c r="AN18" s="2">
        <f t="shared" si="11"/>
        <v>416426.00219832029</v>
      </c>
      <c r="AO18" s="2">
        <f t="shared" si="12"/>
        <v>0</v>
      </c>
    </row>
    <row r="19" spans="2:41" x14ac:dyDescent="0.2">
      <c r="F19" s="8" t="s">
        <v>173</v>
      </c>
      <c r="G19" s="6">
        <f>O23 / ($C$29*$C$11/PI())</f>
        <v>5.4025914182047774E-2</v>
      </c>
      <c r="J19" s="12" t="s">
        <v>73</v>
      </c>
      <c r="K19" s="6">
        <f xml:space="preserve"> $C$78 * (0.1149 * K4 + 0.1149 * K6)</f>
        <v>37.49192132529506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0.94970703125</v>
      </c>
      <c r="W19" s="2">
        <f t="shared" si="0"/>
        <v>1.2397914176620617E-5</v>
      </c>
      <c r="X19" s="2">
        <f t="shared" si="8"/>
        <v>0.949737548828125</v>
      </c>
      <c r="Y19" s="2">
        <f t="shared" si="1"/>
        <v>-1.8888121198878949E-5</v>
      </c>
      <c r="Z19" s="2">
        <f t="shared" si="3"/>
        <v>0.9497222900390625</v>
      </c>
      <c r="AA19" s="2">
        <f t="shared" si="2"/>
        <v>-3.245109617577846E-6</v>
      </c>
      <c r="AB19" s="2">
        <f t="shared" si="4"/>
        <v>-4.0232590532456285E-11</v>
      </c>
      <c r="AC19" s="2">
        <f t="shared" si="5"/>
        <v>6.1294023760458071E-11</v>
      </c>
      <c r="AD19" s="2">
        <f t="shared" si="6"/>
        <v>3.0517578125E-5</v>
      </c>
      <c r="AF19" s="2">
        <v>15</v>
      </c>
      <c r="AG19" s="2">
        <f t="shared" si="13"/>
        <v>2281.25</v>
      </c>
      <c r="AH19" s="2">
        <v>167.01980933509526</v>
      </c>
      <c r="AI19" s="2">
        <f t="shared" si="14"/>
        <v>2281.25</v>
      </c>
      <c r="AJ19" s="2">
        <v>-628.34372244136421</v>
      </c>
      <c r="AK19" s="2">
        <f t="shared" si="9"/>
        <v>2281.25</v>
      </c>
      <c r="AL19" s="2">
        <v>-665.18525214732324</v>
      </c>
      <c r="AM19" s="2">
        <f t="shared" si="10"/>
        <v>-111099.1139861632</v>
      </c>
      <c r="AN19" s="2">
        <f t="shared" si="11"/>
        <v>417964.97744734655</v>
      </c>
      <c r="AO19" s="2">
        <f t="shared" si="12"/>
        <v>0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44.275045950494608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209.78538586793675</v>
      </c>
      <c r="L20" s="6" t="s">
        <v>7</v>
      </c>
      <c r="N20" s="6" t="s">
        <v>20</v>
      </c>
      <c r="O20" s="6">
        <f xml:space="preserve"> O14 / $C$28</f>
        <v>1044.3104599632043</v>
      </c>
      <c r="P20" s="6" t="s">
        <v>21</v>
      </c>
      <c r="U20" s="2">
        <v>16</v>
      </c>
      <c r="V20" s="2">
        <f t="shared" si="7"/>
        <v>0.94970703125</v>
      </c>
      <c r="W20" s="2">
        <f t="shared" si="0"/>
        <v>1.2397914176620617E-5</v>
      </c>
      <c r="X20" s="2">
        <f t="shared" si="8"/>
        <v>0.9497222900390625</v>
      </c>
      <c r="Y20" s="2">
        <f t="shared" si="1"/>
        <v>-3.245109617577846E-6</v>
      </c>
      <c r="Z20" s="2">
        <f t="shared" si="3"/>
        <v>0.94971466064453125</v>
      </c>
      <c r="AA20" s="2">
        <f t="shared" si="2"/>
        <v>4.5764007529092154E-6</v>
      </c>
      <c r="AB20" s="2">
        <f t="shared" si="4"/>
        <v>5.673782377239043E-11</v>
      </c>
      <c r="AC20" s="2">
        <f t="shared" si="5"/>
        <v>-1.485092209715619E-11</v>
      </c>
      <c r="AD20" s="2">
        <f t="shared" si="6"/>
        <v>1.52587890625E-5</v>
      </c>
      <c r="AF20" s="2">
        <v>16</v>
      </c>
      <c r="AG20" s="2">
        <f t="shared" si="13"/>
        <v>2281.25</v>
      </c>
      <c r="AH20" s="2">
        <v>167.01980933509526</v>
      </c>
      <c r="AI20" s="2">
        <f t="shared" si="14"/>
        <v>2281.25</v>
      </c>
      <c r="AJ20" s="2">
        <v>-628.34372244136421</v>
      </c>
      <c r="AK20" s="2">
        <f t="shared" si="9"/>
        <v>2281.25</v>
      </c>
      <c r="AL20" s="2">
        <v>-666.40938765914086</v>
      </c>
      <c r="AM20" s="2">
        <f t="shared" si="10"/>
        <v>-111303.56886594729</v>
      </c>
      <c r="AN20" s="2">
        <f t="shared" si="11"/>
        <v>418734.15531161468</v>
      </c>
      <c r="AO20" s="2">
        <f t="shared" si="12"/>
        <v>0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48.375341605539525</v>
      </c>
      <c r="L21" s="6" t="s">
        <v>7</v>
      </c>
      <c r="N21" s="6" t="s">
        <v>27</v>
      </c>
      <c r="O21" s="6">
        <f>$C$6*2*PI()/60</f>
        <v>22.28233965334433</v>
      </c>
      <c r="P21" s="6" t="s">
        <v>28</v>
      </c>
      <c r="U21" s="2">
        <v>17</v>
      </c>
      <c r="V21" s="2">
        <f t="shared" si="7"/>
        <v>0.94971466064453125</v>
      </c>
      <c r="W21" s="2">
        <f t="shared" si="0"/>
        <v>4.5764007529092154E-6</v>
      </c>
      <c r="X21" s="2">
        <f t="shared" si="8"/>
        <v>0.9497222900390625</v>
      </c>
      <c r="Y21" s="2">
        <f t="shared" si="1"/>
        <v>-3.245109617577846E-6</v>
      </c>
      <c r="Z21" s="2">
        <f t="shared" si="3"/>
        <v>0.94971847534179688</v>
      </c>
      <c r="AA21" s="2">
        <f t="shared" si="2"/>
        <v>6.6564518597100886E-7</v>
      </c>
      <c r="AB21" s="2">
        <f t="shared" si="4"/>
        <v>3.0462591302481196E-12</v>
      </c>
      <c r="AC21" s="2">
        <f t="shared" si="5"/>
        <v>-2.1600915948889149E-12</v>
      </c>
      <c r="AD21" s="2">
        <f t="shared" si="6"/>
        <v>7.62939453125E-6</v>
      </c>
      <c r="AF21" s="2">
        <v>17</v>
      </c>
      <c r="AG21" s="2">
        <f t="shared" si="13"/>
        <v>2281.25</v>
      </c>
      <c r="AH21" s="2">
        <v>167.01980933509526</v>
      </c>
      <c r="AI21" s="2">
        <f t="shared" si="14"/>
        <v>2281.25</v>
      </c>
      <c r="AJ21" s="2">
        <v>-628.34372244136421</v>
      </c>
      <c r="AK21" s="2">
        <f t="shared" si="9"/>
        <v>2281.25</v>
      </c>
      <c r="AL21" s="2">
        <v>-667.02132840732475</v>
      </c>
      <c r="AM21" s="2">
        <f t="shared" si="10"/>
        <v>-111405.77509303334</v>
      </c>
      <c r="AN21" s="2">
        <f t="shared" si="11"/>
        <v>419118.6644392421</v>
      </c>
      <c r="AO21" s="2">
        <f t="shared" si="12"/>
        <v>0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261.061802703365</v>
      </c>
      <c r="L22" s="6" t="s">
        <v>7</v>
      </c>
      <c r="N22" s="6" t="s">
        <v>29</v>
      </c>
      <c r="O22" s="6">
        <f xml:space="preserve"> $C$7 * COS(O19/180*PI()) / (O21 * $C$10)</f>
        <v>8.0982165758227406E-2</v>
      </c>
      <c r="U22" s="2">
        <v>18</v>
      </c>
      <c r="V22" s="2">
        <f t="shared" si="7"/>
        <v>0.94971847534179688</v>
      </c>
      <c r="W22" s="2">
        <f t="shared" si="0"/>
        <v>6.6564518597100886E-7</v>
      </c>
      <c r="X22" s="2">
        <f t="shared" si="8"/>
        <v>0.9497222900390625</v>
      </c>
      <c r="Y22" s="2">
        <f t="shared" si="1"/>
        <v>-3.245109617577846E-6</v>
      </c>
      <c r="Z22" s="2">
        <f t="shared" si="3"/>
        <v>0.94972038269042969</v>
      </c>
      <c r="AA22" s="2">
        <f t="shared" si="2"/>
        <v>-1.2897323111715764E-6</v>
      </c>
      <c r="AB22" s="2">
        <f t="shared" si="4"/>
        <v>-8.5850410412262301E-13</v>
      </c>
      <c r="AC22" s="2">
        <f t="shared" si="5"/>
        <v>4.185322727083786E-12</v>
      </c>
      <c r="AD22" s="2">
        <f t="shared" si="6"/>
        <v>3.814697265625E-6</v>
      </c>
      <c r="AF22" s="2">
        <v>18</v>
      </c>
      <c r="AG22" s="2">
        <f t="shared" si="13"/>
        <v>2281.25</v>
      </c>
      <c r="AH22" s="2">
        <v>167.01980933509526</v>
      </c>
      <c r="AI22" s="2">
        <f t="shared" si="14"/>
        <v>2281.25</v>
      </c>
      <c r="AJ22" s="2">
        <v>-628.34372244136421</v>
      </c>
      <c r="AK22" s="2">
        <f t="shared" si="9"/>
        <v>2281.25</v>
      </c>
      <c r="AL22" s="2">
        <v>-667.32726638913368</v>
      </c>
      <c r="AM22" s="2">
        <f t="shared" si="10"/>
        <v>-111456.87279642343</v>
      </c>
      <c r="AN22" s="2">
        <f t="shared" si="11"/>
        <v>419310.89864956815</v>
      </c>
      <c r="AO22" s="2">
        <f t="shared" si="12"/>
        <v>0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21.394075680860226</v>
      </c>
      <c r="L23" s="6" t="s">
        <v>7</v>
      </c>
      <c r="N23" s="6" t="s">
        <v>30</v>
      </c>
      <c r="O23" s="6">
        <f xml:space="preserve"> O20 / ( $C$71 * PI() * $C$10^2 * O21^2 * $C$10^2)</f>
        <v>4.5921102621460139E-2</v>
      </c>
      <c r="U23" s="2">
        <v>19</v>
      </c>
      <c r="V23" s="2">
        <f t="shared" si="7"/>
        <v>0.94971847534179688</v>
      </c>
      <c r="W23" s="2">
        <f t="shared" si="0"/>
        <v>6.6564518597100886E-7</v>
      </c>
      <c r="X23" s="2">
        <f t="shared" si="8"/>
        <v>0.94972038269042969</v>
      </c>
      <c r="Y23" s="2">
        <f t="shared" si="1"/>
        <v>-1.2897323111715764E-6</v>
      </c>
      <c r="Z23" s="2">
        <f t="shared" si="3"/>
        <v>0.94971942901611328</v>
      </c>
      <c r="AA23" s="2">
        <f t="shared" si="2"/>
        <v>-3.1204358641456764E-7</v>
      </c>
      <c r="AB23" s="2">
        <f t="shared" si="4"/>
        <v>-2.0771031110998544E-13</v>
      </c>
      <c r="AC23" s="2">
        <f t="shared" si="5"/>
        <v>4.0245269589272783E-13</v>
      </c>
      <c r="AD23" s="2">
        <f t="shared" si="6"/>
        <v>1.9073486328125E-6</v>
      </c>
      <c r="AF23" s="2">
        <v>19</v>
      </c>
      <c r="AG23" s="2">
        <f t="shared" si="13"/>
        <v>2281.25</v>
      </c>
      <c r="AH23" s="2">
        <v>167.01980933509526</v>
      </c>
      <c r="AI23" s="2">
        <f t="shared" si="14"/>
        <v>2281.25</v>
      </c>
      <c r="AJ23" s="2">
        <v>-628.34372244136421</v>
      </c>
      <c r="AK23" s="2">
        <f t="shared" si="9"/>
        <v>2281.25</v>
      </c>
      <c r="AL23" s="2">
        <v>-667.4802273093303</v>
      </c>
      <c r="AM23" s="2">
        <f t="shared" si="10"/>
        <v>-111482.42030015039</v>
      </c>
      <c r="AN23" s="2">
        <f t="shared" si="11"/>
        <v>419407.01068355254</v>
      </c>
      <c r="AO23" s="2">
        <f t="shared" si="12"/>
        <v>0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7.8785680669111207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0.94971847534179688</v>
      </c>
      <c r="W24" s="2">
        <f t="shared" si="0"/>
        <v>6.6564518597100886E-7</v>
      </c>
      <c r="X24" s="2">
        <f t="shared" si="8"/>
        <v>0.94971942901611328</v>
      </c>
      <c r="Y24" s="2">
        <f t="shared" si="1"/>
        <v>-3.1204358641456764E-7</v>
      </c>
      <c r="Z24" s="2">
        <f t="shared" si="3"/>
        <v>0.94971895217895508</v>
      </c>
      <c r="AA24" s="2">
        <f t="shared" si="2"/>
        <v>1.7680079378301627E-7</v>
      </c>
      <c r="AB24" s="2">
        <f t="shared" si="4"/>
        <v>1.1768659725751785E-13</v>
      </c>
      <c r="AC24" s="2">
        <f t="shared" si="5"/>
        <v>-5.516955377299479E-14</v>
      </c>
      <c r="AD24" s="2">
        <f t="shared" si="6"/>
        <v>9.5367431640625E-7</v>
      </c>
      <c r="AF24" s="2">
        <v>20</v>
      </c>
      <c r="AG24" s="2">
        <f t="shared" si="13"/>
        <v>2281.25</v>
      </c>
      <c r="AH24" s="2">
        <v>167.01980933509526</v>
      </c>
      <c r="AI24" s="2">
        <f t="shared" si="14"/>
        <v>2281.25</v>
      </c>
      <c r="AJ24" s="2">
        <v>-628.34372244136421</v>
      </c>
      <c r="AK24" s="2">
        <f t="shared" si="9"/>
        <v>2281.25</v>
      </c>
      <c r="AL24" s="2">
        <v>-667.55670576187379</v>
      </c>
      <c r="AM24" s="2">
        <f t="shared" si="10"/>
        <v>-111495.19371671244</v>
      </c>
      <c r="AN24" s="2">
        <f t="shared" si="11"/>
        <v>419455.06543911027</v>
      </c>
      <c r="AO24" s="2">
        <f t="shared" si="12"/>
        <v>0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15.508566085069377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962.82419113498077</v>
      </c>
      <c r="P25" s="6" t="s">
        <v>19</v>
      </c>
      <c r="U25" s="2">
        <v>21</v>
      </c>
      <c r="V25" s="2">
        <f t="shared" si="7"/>
        <v>0.94971895217895508</v>
      </c>
      <c r="W25" s="2">
        <f t="shared" si="0"/>
        <v>1.7680079378301627E-7</v>
      </c>
      <c r="X25" s="2">
        <f t="shared" si="8"/>
        <v>0.94971942901611328</v>
      </c>
      <c r="Y25" s="2">
        <f t="shared" si="1"/>
        <v>-3.1204358641456764E-7</v>
      </c>
      <c r="Z25" s="2">
        <f t="shared" si="3"/>
        <v>0.94971919059753418</v>
      </c>
      <c r="AA25" s="2">
        <f t="shared" si="2"/>
        <v>-6.7621397814576767E-8</v>
      </c>
      <c r="AB25" s="2">
        <f t="shared" si="4"/>
        <v>-1.1955516810334294E-14</v>
      </c>
      <c r="AC25" s="2">
        <f t="shared" si="5"/>
        <v>2.1100823492426739E-14</v>
      </c>
      <c r="AD25" s="2">
        <f t="shared" si="6"/>
        <v>4.76837158203125E-7</v>
      </c>
      <c r="AF25" s="2">
        <v>21</v>
      </c>
      <c r="AG25" s="2">
        <f t="shared" si="13"/>
        <v>2281.25</v>
      </c>
      <c r="AH25" s="2">
        <v>167.01980933509526</v>
      </c>
      <c r="AI25" s="2">
        <f t="shared" si="14"/>
        <v>2281.25</v>
      </c>
      <c r="AJ25" s="2">
        <v>-628.34372244136421</v>
      </c>
      <c r="AK25" s="2">
        <f t="shared" si="9"/>
        <v>2281.25</v>
      </c>
      <c r="AL25" s="2">
        <v>-667.59494439548178</v>
      </c>
      <c r="AM25" s="2">
        <f t="shared" si="10"/>
        <v>-111501.58032600689</v>
      </c>
      <c r="AN25" s="2">
        <f t="shared" si="11"/>
        <v>419479.09244449256</v>
      </c>
      <c r="AO25" s="2">
        <f t="shared" si="12"/>
        <v>0</v>
      </c>
    </row>
    <row r="26" spans="2:41" x14ac:dyDescent="0.2">
      <c r="F26" s="6" t="s">
        <v>20</v>
      </c>
      <c r="G26" s="6">
        <f xml:space="preserve"> $C$5 * $C$68 / $C$21</f>
        <v>2279.5696378657804</v>
      </c>
      <c r="H26" s="6" t="s">
        <v>21</v>
      </c>
      <c r="J26" s="14" t="s">
        <v>65</v>
      </c>
      <c r="K26" s="6">
        <f xml:space="preserve"> $C$80 * (0.0268 * $C$5)</f>
        <v>39.891050923952591</v>
      </c>
      <c r="L26" s="6" t="s">
        <v>7</v>
      </c>
      <c r="N26" s="6" t="s">
        <v>32</v>
      </c>
      <c r="O26" s="17">
        <f>Z34</f>
        <v>0.94971912493929267</v>
      </c>
      <c r="U26" s="2">
        <v>22</v>
      </c>
      <c r="V26" s="2">
        <f t="shared" si="7"/>
        <v>0.94971895217895508</v>
      </c>
      <c r="W26" s="2">
        <f t="shared" si="0"/>
        <v>1.7680079378301627E-7</v>
      </c>
      <c r="X26" s="2">
        <f t="shared" si="8"/>
        <v>0.94971919059753418</v>
      </c>
      <c r="Y26" s="2">
        <f t="shared" si="1"/>
        <v>-6.7621397814576767E-8</v>
      </c>
      <c r="Z26" s="2">
        <f t="shared" si="3"/>
        <v>0.94971907138824463</v>
      </c>
      <c r="AA26" s="2">
        <f t="shared" si="2"/>
        <v>5.4589697651152846E-8</v>
      </c>
      <c r="AB26" s="2">
        <f t="shared" si="4"/>
        <v>9.6515018770986828E-15</v>
      </c>
      <c r="AC26" s="2">
        <f t="shared" si="5"/>
        <v>-3.6914316614460734E-15</v>
      </c>
      <c r="AD26" s="2">
        <f t="shared" si="6"/>
        <v>2.384185791015625E-7</v>
      </c>
      <c r="AF26" s="2">
        <v>22</v>
      </c>
      <c r="AG26" s="2">
        <f t="shared" si="13"/>
        <v>2281.25</v>
      </c>
      <c r="AH26" s="2">
        <v>167.01980933509526</v>
      </c>
      <c r="AI26" s="2">
        <f t="shared" si="14"/>
        <v>2281.25</v>
      </c>
      <c r="AJ26" s="2">
        <v>-628.34372244136421</v>
      </c>
      <c r="AK26" s="2">
        <f t="shared" si="9"/>
        <v>2281.25</v>
      </c>
      <c r="AL26" s="2">
        <v>-667.61406365379139</v>
      </c>
      <c r="AM26" s="2">
        <f t="shared" si="10"/>
        <v>-111504.77362088439</v>
      </c>
      <c r="AN26" s="2">
        <f t="shared" si="11"/>
        <v>419491.10591042915</v>
      </c>
      <c r="AO26" s="2">
        <f t="shared" si="12"/>
        <v>0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24.290381310705271</v>
      </c>
      <c r="H27" t="s">
        <v>97</v>
      </c>
      <c r="J27" s="14" t="s">
        <v>66</v>
      </c>
      <c r="K27" s="6">
        <f xml:space="preserve"> $C$80 * (11.5 * ($C$5*2.20462/1000)^0.4 * 0.453592)</f>
        <v>7.3391707102731578</v>
      </c>
      <c r="L27" s="6" t="s">
        <v>7</v>
      </c>
      <c r="N27" s="6" t="s">
        <v>33</v>
      </c>
      <c r="O27" s="6">
        <f xml:space="preserve"> O21 * $C$10 * O26 - $C$7 * SIN(O19/180*PI())</f>
        <v>1.0466162635576595</v>
      </c>
      <c r="P27" s="6" t="s">
        <v>10</v>
      </c>
      <c r="U27" s="2">
        <v>23</v>
      </c>
      <c r="V27" s="2">
        <f t="shared" si="7"/>
        <v>0.94971907138824463</v>
      </c>
      <c r="W27" s="2">
        <f t="shared" si="0"/>
        <v>5.4589697651152846E-8</v>
      </c>
      <c r="X27" s="2">
        <f t="shared" si="8"/>
        <v>0.94971919059753418</v>
      </c>
      <c r="Y27" s="2">
        <f t="shared" si="1"/>
        <v>-6.7621397814576767E-8</v>
      </c>
      <c r="Z27" s="2">
        <f t="shared" si="3"/>
        <v>0.9497191309928894</v>
      </c>
      <c r="AA27" s="2">
        <f t="shared" si="2"/>
        <v>-6.5158501927342627E-9</v>
      </c>
      <c r="AB27" s="2">
        <f t="shared" si="4"/>
        <v>-3.556982919615694E-16</v>
      </c>
      <c r="AC27" s="2">
        <f t="shared" si="5"/>
        <v>4.4061089798307028E-16</v>
      </c>
      <c r="AD27" s="2">
        <f t="shared" si="6"/>
        <v>1.1920928955078125E-7</v>
      </c>
      <c r="AF27" s="2">
        <v>23</v>
      </c>
      <c r="AG27" s="2">
        <f t="shared" si="13"/>
        <v>2281.25</v>
      </c>
      <c r="AH27" s="2">
        <v>167.01980933509526</v>
      </c>
      <c r="AI27" s="2">
        <f t="shared" si="14"/>
        <v>2281.25</v>
      </c>
      <c r="AJ27" s="2">
        <v>-628.34372244136421</v>
      </c>
      <c r="AK27" s="2">
        <f t="shared" si="9"/>
        <v>2281.25</v>
      </c>
      <c r="AL27" s="2">
        <v>-667.62362325034792</v>
      </c>
      <c r="AM27" s="2">
        <f t="shared" si="10"/>
        <v>-111506.37026287858</v>
      </c>
      <c r="AN27" s="2">
        <f t="shared" si="11"/>
        <v>419497.11262291454</v>
      </c>
      <c r="AO27" s="2">
        <f t="shared" si="12"/>
        <v>0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9.5747265036321156</v>
      </c>
      <c r="H28" s="6" t="s">
        <v>172</v>
      </c>
      <c r="J28" s="14" t="s">
        <v>67</v>
      </c>
      <c r="K28" s="6">
        <f xml:space="preserve"> $C$80 * (8 * ($C$5/1000))</f>
        <v>11.907776395209728</v>
      </c>
      <c r="L28" s="6" t="s">
        <v>7</v>
      </c>
      <c r="N28" s="6" t="s">
        <v>34</v>
      </c>
      <c r="O28" s="6">
        <f xml:space="preserve"> 1/$C$31 - O25 * SQRT( (2*$C$71*PI()*$C$10^2) / O20^3 )</f>
        <v>1.1932931341819559</v>
      </c>
      <c r="U28" s="2">
        <v>24</v>
      </c>
      <c r="V28" s="2">
        <f t="shared" si="7"/>
        <v>0.94971907138824463</v>
      </c>
      <c r="W28" s="2">
        <f t="shared" si="0"/>
        <v>5.4589697651152846E-8</v>
      </c>
      <c r="X28" s="2">
        <f t="shared" si="8"/>
        <v>0.9497191309928894</v>
      </c>
      <c r="Y28" s="2">
        <f t="shared" si="1"/>
        <v>-6.5158501927342627E-9</v>
      </c>
      <c r="Z28" s="2">
        <f t="shared" si="3"/>
        <v>0.94971910119056702</v>
      </c>
      <c r="AA28" s="2">
        <f t="shared" si="2"/>
        <v>2.4036923673698141E-8</v>
      </c>
      <c r="AB28" s="2">
        <f t="shared" si="4"/>
        <v>1.3121683958110197E-15</v>
      </c>
      <c r="AC28" s="2">
        <f t="shared" si="5"/>
        <v>-1.5662099375200478E-16</v>
      </c>
      <c r="AD28" s="2">
        <f t="shared" si="6"/>
        <v>5.9604644775390625E-8</v>
      </c>
      <c r="AF28" s="2">
        <v>24</v>
      </c>
      <c r="AG28" s="2">
        <f t="shared" si="13"/>
        <v>2281.25</v>
      </c>
      <c r="AH28" s="2">
        <v>167.01980933509526</v>
      </c>
      <c r="AI28" s="2">
        <f t="shared" si="14"/>
        <v>2281.25</v>
      </c>
      <c r="AJ28" s="2">
        <v>-628.34372244136421</v>
      </c>
      <c r="AK28" s="2">
        <f t="shared" si="9"/>
        <v>2281.25</v>
      </c>
      <c r="AL28" s="2">
        <v>-667.62840296864158</v>
      </c>
      <c r="AM28" s="2">
        <f t="shared" si="10"/>
        <v>-111507.16857051666</v>
      </c>
      <c r="AN28" s="2">
        <f t="shared" si="11"/>
        <v>419500.11592889938</v>
      </c>
      <c r="AO28" s="2">
        <f t="shared" si="12"/>
        <v>0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194.32305048564217</v>
      </c>
      <c r="H29" s="22" t="s">
        <v>97</v>
      </c>
      <c r="J29" s="14" t="s">
        <v>68</v>
      </c>
      <c r="K29" s="6">
        <f xml:space="preserve"> $C$80 * (13 * ($C$5*2.20462/1000)^1.3 * 0.453592)</f>
        <v>29.551429730337333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0.94971910119056702</v>
      </c>
      <c r="W29" s="2">
        <f t="shared" si="0"/>
        <v>2.4036923673698141E-8</v>
      </c>
      <c r="X29" s="2">
        <f t="shared" si="8"/>
        <v>0.9497191309928894</v>
      </c>
      <c r="Y29" s="2">
        <f t="shared" si="1"/>
        <v>-6.5158501927342627E-9</v>
      </c>
      <c r="Z29" s="2">
        <f t="shared" si="3"/>
        <v>0.94971911609172821</v>
      </c>
      <c r="AA29" s="2">
        <f t="shared" si="2"/>
        <v>8.760536740481939E-9</v>
      </c>
      <c r="AB29" s="2">
        <f t="shared" si="4"/>
        <v>2.1057635297159266E-16</v>
      </c>
      <c r="AC29" s="2">
        <f t="shared" si="5"/>
        <v>-5.7082345008924832E-17</v>
      </c>
      <c r="AD29" s="2">
        <f t="shared" si="6"/>
        <v>2.9802322387695312E-8</v>
      </c>
      <c r="AF29" s="2">
        <v>25</v>
      </c>
      <c r="AG29" s="2">
        <f t="shared" si="13"/>
        <v>2281.25</v>
      </c>
      <c r="AH29" s="2">
        <v>167.01980933509526</v>
      </c>
      <c r="AI29" s="2">
        <f t="shared" si="14"/>
        <v>2281.25</v>
      </c>
      <c r="AJ29" s="2">
        <v>-628.34372244136421</v>
      </c>
      <c r="AK29" s="2">
        <f t="shared" si="9"/>
        <v>2281.25</v>
      </c>
      <c r="AL29" s="2">
        <v>-667.63079289758366</v>
      </c>
      <c r="AM29" s="2">
        <f t="shared" si="10"/>
        <v>-111507.5677359929</v>
      </c>
      <c r="AN29" s="2">
        <f t="shared" si="11"/>
        <v>419501.61762574723</v>
      </c>
      <c r="AO29" s="2">
        <f t="shared" si="12"/>
        <v>0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-6.1740262760849873E-3</v>
      </c>
      <c r="L30" s="9" t="s">
        <v>7</v>
      </c>
      <c r="N30" s="6" t="s">
        <v>36</v>
      </c>
      <c r="O30" s="6">
        <f xml:space="preserve"> 1/$C$77 * LN( EXP($C$77 * O28) + EXP($C$77 * O29) )</f>
        <v>1.2013353626420773</v>
      </c>
      <c r="U30" s="2">
        <v>26</v>
      </c>
      <c r="V30" s="2">
        <f>IF(AB29&gt;0, Z29, V29)</f>
        <v>0.94971911609172821</v>
      </c>
      <c r="W30" s="2">
        <f t="shared" si="0"/>
        <v>8.760536740481939E-9</v>
      </c>
      <c r="X30" s="2">
        <f t="shared" si="8"/>
        <v>0.9497191309928894</v>
      </c>
      <c r="Y30" s="2">
        <f t="shared" si="1"/>
        <v>-6.5158501927342627E-9</v>
      </c>
      <c r="Z30" s="2">
        <f t="shared" si="3"/>
        <v>0.94971912354230881</v>
      </c>
      <c r="AA30" s="2">
        <f t="shared" si="2"/>
        <v>1.1223433293849894E-9</v>
      </c>
      <c r="AB30" s="2">
        <f t="shared" si="4"/>
        <v>9.832329972512022E-18</v>
      </c>
      <c r="AC30" s="2">
        <f t="shared" si="5"/>
        <v>-7.3130209990871971E-18</v>
      </c>
      <c r="AD30" s="2">
        <f t="shared" si="6"/>
        <v>1.4901161193847656E-8</v>
      </c>
      <c r="AF30" s="2">
        <v>26</v>
      </c>
      <c r="AG30" s="2">
        <f t="shared" si="13"/>
        <v>2281.25</v>
      </c>
      <c r="AH30" s="2">
        <v>167.01980933509526</v>
      </c>
      <c r="AI30" s="2">
        <f t="shared" si="14"/>
        <v>2281.25</v>
      </c>
      <c r="AJ30" s="2">
        <v>-628.34372244136421</v>
      </c>
      <c r="AK30" s="2">
        <f t="shared" si="9"/>
        <v>2281.25</v>
      </c>
      <c r="AL30" s="2">
        <v>-667.63198778971196</v>
      </c>
      <c r="AM30" s="2">
        <f t="shared" si="10"/>
        <v>-111507.76730664834</v>
      </c>
      <c r="AN30" s="2">
        <f t="shared" si="11"/>
        <v>419502.36842871504</v>
      </c>
      <c r="AO30" s="2">
        <f t="shared" si="12"/>
        <v>0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0.94971912354230881</v>
      </c>
      <c r="W31" s="2">
        <f t="shared" si="0"/>
        <v>1.1223433293849894E-9</v>
      </c>
      <c r="X31" s="2">
        <f t="shared" si="8"/>
        <v>0.9497191309928894</v>
      </c>
      <c r="Y31" s="2">
        <f t="shared" si="1"/>
        <v>-6.5158501927342627E-9</v>
      </c>
      <c r="Z31" s="2">
        <f t="shared" si="3"/>
        <v>0.94971912726759911</v>
      </c>
      <c r="AA31" s="2">
        <f t="shared" si="2"/>
        <v>-2.6967533761634854E-9</v>
      </c>
      <c r="AB31" s="2">
        <f t="shared" si="4"/>
        <v>-3.0266831627335369E-18</v>
      </c>
      <c r="AC31" s="2">
        <f t="shared" si="5"/>
        <v>1.757164100583162E-17</v>
      </c>
      <c r="AD31" s="2">
        <f t="shared" si="6"/>
        <v>7.4505805969238281E-9</v>
      </c>
      <c r="AF31" s="2">
        <v>27</v>
      </c>
      <c r="AG31" s="2">
        <f t="shared" si="13"/>
        <v>2281.25</v>
      </c>
      <c r="AH31" s="2">
        <v>167.01980933509526</v>
      </c>
      <c r="AI31" s="2">
        <f t="shared" si="14"/>
        <v>2281.25</v>
      </c>
      <c r="AJ31" s="2">
        <v>-628.34372244136421</v>
      </c>
      <c r="AK31" s="2">
        <f t="shared" si="9"/>
        <v>2281.25</v>
      </c>
      <c r="AL31" s="2">
        <v>-667.63258523564866</v>
      </c>
      <c r="AM31" s="2">
        <f t="shared" si="10"/>
        <v>-111507.86709195477</v>
      </c>
      <c r="AN31" s="2">
        <f t="shared" si="11"/>
        <v>419502.74383011885</v>
      </c>
      <c r="AO31" s="2">
        <f t="shared" si="12"/>
        <v>0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0.94971912354230881</v>
      </c>
      <c r="W32" s="2">
        <f t="shared" si="0"/>
        <v>1.1223433293849894E-9</v>
      </c>
      <c r="X32" s="2">
        <f t="shared" si="8"/>
        <v>0.94971912726759911</v>
      </c>
      <c r="Y32" s="2">
        <f t="shared" si="1"/>
        <v>-2.6967533761634854E-9</v>
      </c>
      <c r="Z32" s="2">
        <f t="shared" si="3"/>
        <v>0.94971912540495396</v>
      </c>
      <c r="AA32" s="2">
        <f t="shared" si="2"/>
        <v>-7.8720507890039926E-10</v>
      </c>
      <c r="AB32" s="2">
        <f t="shared" si="4"/>
        <v>-8.8351436916184735E-19</v>
      </c>
      <c r="AC32" s="2">
        <f t="shared" si="5"/>
        <v>2.1228979542576946E-18</v>
      </c>
      <c r="AD32" s="2">
        <f t="shared" si="6"/>
        <v>3.7252902984619141E-9</v>
      </c>
      <c r="AF32" s="2">
        <v>28</v>
      </c>
      <c r="AG32" s="2">
        <f t="shared" si="13"/>
        <v>2281.25</v>
      </c>
      <c r="AH32" s="2">
        <v>167.01980933509526</v>
      </c>
      <c r="AI32" s="2">
        <f t="shared" si="14"/>
        <v>2281.25</v>
      </c>
      <c r="AJ32" s="2">
        <v>-628.34372244136421</v>
      </c>
      <c r="AK32" s="2">
        <f t="shared" si="9"/>
        <v>2281.25</v>
      </c>
      <c r="AL32" s="2">
        <v>-667.6328840304185</v>
      </c>
      <c r="AM32" s="2">
        <f t="shared" si="10"/>
        <v>-111507.91699660027</v>
      </c>
      <c r="AN32" s="2">
        <f t="shared" si="11"/>
        <v>419502.93157593679</v>
      </c>
      <c r="AO32" s="2">
        <f t="shared" si="12"/>
        <v>0</v>
      </c>
    </row>
    <row r="33" spans="2:41" x14ac:dyDescent="0.2">
      <c r="F33" s="23" t="s">
        <v>128</v>
      </c>
      <c r="G33" s="22">
        <f xml:space="preserve"> G20</f>
        <v>44.275045950494608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0.94971912354230881</v>
      </c>
      <c r="W33" s="2">
        <f t="shared" si="0"/>
        <v>1.1223433293849894E-9</v>
      </c>
      <c r="X33" s="2">
        <f t="shared" si="8"/>
        <v>0.94971912540495396</v>
      </c>
      <c r="Y33" s="2">
        <f t="shared" si="1"/>
        <v>-7.8720507890039926E-10</v>
      </c>
      <c r="Z33" s="2">
        <f t="shared" si="3"/>
        <v>0.94971912447363138</v>
      </c>
      <c r="AA33" s="2">
        <f t="shared" si="2"/>
        <v>1.6756906973114383E-10</v>
      </c>
      <c r="AB33" s="2">
        <f t="shared" si="4"/>
        <v>1.8807002762399741E-19</v>
      </c>
      <c r="AC33" s="2">
        <f t="shared" si="5"/>
        <v>-1.3191122275897158E-19</v>
      </c>
      <c r="AD33" s="2">
        <f t="shared" si="6"/>
        <v>1.862645149230957E-9</v>
      </c>
      <c r="AF33" s="2">
        <v>29</v>
      </c>
      <c r="AG33" s="2">
        <f t="shared" si="13"/>
        <v>2281.25</v>
      </c>
      <c r="AH33" s="2">
        <v>167.01980933509526</v>
      </c>
      <c r="AI33" s="2">
        <f t="shared" si="14"/>
        <v>2281.25</v>
      </c>
      <c r="AJ33" s="2">
        <v>-628.34372244136421</v>
      </c>
      <c r="AK33" s="2">
        <f t="shared" si="9"/>
        <v>2281.25</v>
      </c>
      <c r="AL33" s="2">
        <v>-667.63303342779545</v>
      </c>
      <c r="AM33" s="2">
        <f t="shared" si="10"/>
        <v>-111507.94194892168</v>
      </c>
      <c r="AN33" s="2">
        <f t="shared" si="11"/>
        <v>419503.02544884075</v>
      </c>
      <c r="AO33" s="2">
        <f t="shared" si="12"/>
        <v>0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32.25</v>
      </c>
      <c r="L34" s="6" t="s">
        <v>59</v>
      </c>
      <c r="U34" s="2">
        <v>30</v>
      </c>
      <c r="V34" s="2">
        <f t="shared" si="7"/>
        <v>0.94971912447363138</v>
      </c>
      <c r="W34" s="2">
        <f t="shared" si="0"/>
        <v>1.6756906973114383E-10</v>
      </c>
      <c r="X34" s="2">
        <f t="shared" si="8"/>
        <v>0.94971912540495396</v>
      </c>
      <c r="Y34" s="2">
        <f t="shared" si="1"/>
        <v>-7.8720507890039926E-10</v>
      </c>
      <c r="Z34" s="2">
        <f t="shared" si="3"/>
        <v>0.94971912493929267</v>
      </c>
      <c r="AA34" s="2">
        <f t="shared" si="2"/>
        <v>-3.0981794907347648E-10</v>
      </c>
      <c r="AB34" s="2">
        <f t="shared" si="4"/>
        <v>-5.1915905512253348E-20</v>
      </c>
      <c r="AC34" s="2">
        <f t="shared" si="5"/>
        <v>2.4389026304514593E-19</v>
      </c>
      <c r="AD34" s="2">
        <f t="shared" si="6"/>
        <v>9.3132257461547852E-10</v>
      </c>
      <c r="AF34" s="2">
        <v>30</v>
      </c>
      <c r="AG34" s="2">
        <f t="shared" si="13"/>
        <v>2281.25</v>
      </c>
      <c r="AH34" s="2">
        <v>167.01980933509526</v>
      </c>
      <c r="AI34" s="2">
        <f t="shared" si="14"/>
        <v>2281.25</v>
      </c>
      <c r="AJ34" s="2">
        <v>-628.34372244136421</v>
      </c>
      <c r="AK34" s="2">
        <f t="shared" si="9"/>
        <v>2281.25</v>
      </c>
      <c r="AL34" s="2">
        <v>-667.63310805464857</v>
      </c>
      <c r="AM34" s="2">
        <f t="shared" si="10"/>
        <v>-111507.95441308446</v>
      </c>
      <c r="AN34" s="2">
        <f t="shared" si="11"/>
        <v>419503.07234015543</v>
      </c>
      <c r="AO34" s="2">
        <f t="shared" si="12"/>
        <v>0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19.78</v>
      </c>
      <c r="L35" s="6" t="s">
        <v>59</v>
      </c>
      <c r="AF35" s="2">
        <v>31</v>
      </c>
      <c r="AG35" s="2">
        <f t="shared" si="13"/>
        <v>2281.25</v>
      </c>
      <c r="AH35" s="2">
        <v>167.01980933509526</v>
      </c>
      <c r="AI35" s="2">
        <f t="shared" si="14"/>
        <v>2281.25</v>
      </c>
      <c r="AJ35" s="2">
        <v>-628.34372244136421</v>
      </c>
      <c r="AK35" s="2">
        <f t="shared" si="9"/>
        <v>2281.25</v>
      </c>
      <c r="AL35" s="2">
        <v>-667.63314543990782</v>
      </c>
      <c r="AM35" s="2">
        <f t="shared" si="10"/>
        <v>-111507.96065716333</v>
      </c>
      <c r="AN35" s="2">
        <f t="shared" si="11"/>
        <v>419503.09583094838</v>
      </c>
      <c r="AO35" s="2">
        <f t="shared" si="12"/>
        <v>0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12.89</v>
      </c>
      <c r="L36" s="6" t="s">
        <v>59</v>
      </c>
      <c r="AF36" s="2">
        <v>32</v>
      </c>
      <c r="AG36" s="2">
        <f t="shared" si="13"/>
        <v>2281.25</v>
      </c>
      <c r="AH36" s="2">
        <v>167.01980933509526</v>
      </c>
      <c r="AI36" s="2">
        <f t="shared" si="14"/>
        <v>2281.25</v>
      </c>
      <c r="AJ36" s="2">
        <v>-628.34372244136421</v>
      </c>
      <c r="AK36" s="2">
        <f t="shared" si="9"/>
        <v>2281.25</v>
      </c>
      <c r="AL36" s="2">
        <v>-667.63316413253744</v>
      </c>
      <c r="AM36" s="2">
        <f t="shared" si="10"/>
        <v>-111507.96377920276</v>
      </c>
      <c r="AN36" s="2">
        <f t="shared" si="11"/>
        <v>419503.10757634486</v>
      </c>
      <c r="AO36" s="2">
        <f t="shared" si="12"/>
        <v>0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30.31</v>
      </c>
      <c r="L37" s="6" t="s">
        <v>59</v>
      </c>
      <c r="AF37" s="2">
        <v>33</v>
      </c>
      <c r="AG37" s="2">
        <f t="shared" si="13"/>
        <v>2281.25</v>
      </c>
      <c r="AH37" s="2">
        <v>167.01980933509526</v>
      </c>
      <c r="AI37" s="2">
        <f t="shared" si="14"/>
        <v>2281.25</v>
      </c>
      <c r="AJ37" s="2">
        <v>-628.34372244136421</v>
      </c>
      <c r="AK37" s="2">
        <f t="shared" si="9"/>
        <v>2281.25</v>
      </c>
      <c r="AL37" s="2">
        <v>-667.63317347885197</v>
      </c>
      <c r="AM37" s="2">
        <f t="shared" si="10"/>
        <v>-111507.96534022244</v>
      </c>
      <c r="AN37" s="2">
        <f t="shared" si="11"/>
        <v>419503.1134490429</v>
      </c>
      <c r="AO37" s="2">
        <f t="shared" si="12"/>
        <v>0</v>
      </c>
    </row>
    <row r="38" spans="2:41" x14ac:dyDescent="0.2">
      <c r="J38" s="14" t="s">
        <v>71</v>
      </c>
      <c r="K38" s="6">
        <f>ROUND(SUM(K26:K29)/$C$5*100, 2)</f>
        <v>4.7699999999999996</v>
      </c>
      <c r="L38" s="6" t="s">
        <v>59</v>
      </c>
      <c r="AF38" s="2">
        <v>34</v>
      </c>
      <c r="AG38" s="2">
        <f t="shared" si="13"/>
        <v>2281.25</v>
      </c>
      <c r="AH38" s="2">
        <v>167.01980933509526</v>
      </c>
      <c r="AI38" s="2">
        <f t="shared" si="14"/>
        <v>2281.25</v>
      </c>
      <c r="AJ38" s="2">
        <v>-628.34372244136421</v>
      </c>
      <c r="AK38" s="2">
        <f t="shared" si="9"/>
        <v>2281.25</v>
      </c>
      <c r="AL38" s="2">
        <v>-667.63317800834329</v>
      </c>
      <c r="AM38" s="2">
        <f t="shared" si="10"/>
        <v>-111507.9660967372</v>
      </c>
      <c r="AN38" s="2">
        <f t="shared" si="11"/>
        <v>419503.11629512039</v>
      </c>
      <c r="AO38" s="2">
        <f t="shared" si="12"/>
        <v>0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2281.25</v>
      </c>
      <c r="AH39" s="2">
        <v>167.01980933509526</v>
      </c>
      <c r="AI39" s="2">
        <f t="shared" si="14"/>
        <v>2281.25</v>
      </c>
      <c r="AJ39" s="2">
        <v>-628.34372244136421</v>
      </c>
      <c r="AK39" s="2">
        <f t="shared" si="9"/>
        <v>2281.25</v>
      </c>
      <c r="AL39" s="2">
        <v>-667.63318034492181</v>
      </c>
      <c r="AM39" s="2">
        <f t="shared" si="10"/>
        <v>-111507.96648699211</v>
      </c>
      <c r="AN39" s="2">
        <f t="shared" si="11"/>
        <v>419503.11776329478</v>
      </c>
      <c r="AO39" s="2">
        <f t="shared" si="12"/>
        <v>0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2281.25</v>
      </c>
      <c r="AH40" s="2">
        <v>167.01980933509526</v>
      </c>
      <c r="AI40" s="2">
        <f t="shared" si="14"/>
        <v>2281.25</v>
      </c>
      <c r="AJ40" s="2">
        <v>-628.34372244136421</v>
      </c>
      <c r="AK40" s="2">
        <f t="shared" si="9"/>
        <v>2281.25</v>
      </c>
      <c r="AL40" s="2">
        <v>-667.63318151321141</v>
      </c>
      <c r="AM40" s="2">
        <f t="shared" si="10"/>
        <v>-111507.96668211962</v>
      </c>
      <c r="AN40" s="2">
        <f t="shared" si="11"/>
        <v>419503.11849738227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2281.25</v>
      </c>
      <c r="AH41" s="2">
        <v>167.01980933509526</v>
      </c>
      <c r="AI41" s="2">
        <f t="shared" si="14"/>
        <v>2281.25</v>
      </c>
      <c r="AJ41" s="2">
        <v>-628.34372244136421</v>
      </c>
      <c r="AK41" s="2">
        <f t="shared" si="9"/>
        <v>2281.25</v>
      </c>
      <c r="AL41" s="2">
        <v>-667.63318209735598</v>
      </c>
      <c r="AM41" s="2">
        <f t="shared" si="10"/>
        <v>-111507.96677968332</v>
      </c>
      <c r="AN41" s="2">
        <f t="shared" si="11"/>
        <v>419503.11886442581</v>
      </c>
      <c r="AO41" s="2">
        <f t="shared" si="12"/>
        <v>0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2281.25</v>
      </c>
      <c r="AH42" s="2">
        <v>167.01980933509526</v>
      </c>
      <c r="AI42" s="2">
        <f t="shared" si="14"/>
        <v>2281.25</v>
      </c>
      <c r="AJ42" s="2">
        <v>-628.34372244136421</v>
      </c>
      <c r="AK42" s="2">
        <f t="shared" si="9"/>
        <v>2281.25</v>
      </c>
      <c r="AL42" s="2">
        <v>-667.63318238942827</v>
      </c>
      <c r="AM42" s="2">
        <f t="shared" si="10"/>
        <v>-111507.96682846519</v>
      </c>
      <c r="AN42" s="2">
        <f t="shared" si="11"/>
        <v>419503.11904794758</v>
      </c>
      <c r="AO42" s="2">
        <f t="shared" si="12"/>
        <v>0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367.99</v>
      </c>
      <c r="L43" s="6" t="s">
        <v>7</v>
      </c>
      <c r="AF43" s="2">
        <v>39</v>
      </c>
      <c r="AG43" s="2">
        <f t="shared" si="13"/>
        <v>2281.25</v>
      </c>
      <c r="AH43" s="2">
        <v>167.01980933509526</v>
      </c>
      <c r="AI43" s="2">
        <f t="shared" si="14"/>
        <v>2281.25</v>
      </c>
      <c r="AJ43" s="2">
        <v>-628.34372244136421</v>
      </c>
      <c r="AK43" s="2">
        <f t="shared" si="9"/>
        <v>2281.25</v>
      </c>
      <c r="AL43" s="2">
        <v>-667.63318253546436</v>
      </c>
      <c r="AM43" s="2">
        <f t="shared" si="10"/>
        <v>-111507.9668528561</v>
      </c>
      <c r="AN43" s="2">
        <f t="shared" si="11"/>
        <v>419503.11913970846</v>
      </c>
      <c r="AO43" s="2">
        <f t="shared" si="12"/>
        <v>0</v>
      </c>
    </row>
    <row r="44" spans="2:41" x14ac:dyDescent="0.2">
      <c r="J44" s="18" t="s">
        <v>74</v>
      </c>
      <c r="K44" s="6">
        <f>ROUND(SUM(K16:K19), 2)</f>
        <v>239.91</v>
      </c>
      <c r="L44" s="6" t="s">
        <v>7</v>
      </c>
      <c r="AF44" s="2">
        <v>40</v>
      </c>
      <c r="AG44" s="2">
        <f t="shared" si="13"/>
        <v>2281.25</v>
      </c>
      <c r="AH44" s="2">
        <v>167.01980933509526</v>
      </c>
      <c r="AI44" s="2">
        <f t="shared" si="14"/>
        <v>2281.25</v>
      </c>
      <c r="AJ44" s="2">
        <v>-628.34372244136421</v>
      </c>
      <c r="AK44" s="5">
        <f t="shared" si="9"/>
        <v>2281.25</v>
      </c>
      <c r="AL44" s="2">
        <v>-667.63318260848257</v>
      </c>
      <c r="AM44" s="2">
        <f t="shared" si="10"/>
        <v>-111507.9668650516</v>
      </c>
      <c r="AN44" s="2">
        <f t="shared" si="11"/>
        <v>419503.11918558902</v>
      </c>
      <c r="AO44" s="2">
        <f t="shared" si="12"/>
        <v>0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564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88.69</v>
      </c>
      <c r="L46" s="6" t="s">
        <v>7</v>
      </c>
    </row>
    <row r="47" spans="2:41" x14ac:dyDescent="0.2">
      <c r="J47" s="9" t="s">
        <v>60</v>
      </c>
      <c r="K47" s="9">
        <f>SUM(K42:K46)</f>
        <v>1860.5900000000001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53:D53"/>
    <mergeCell ref="B59:D59"/>
    <mergeCell ref="B64:D64"/>
    <mergeCell ref="B70:D70"/>
    <mergeCell ref="B76:D76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E576-0519-3F4C-BF49-FEE85D4E545A}">
  <dimension ref="B1:AO81"/>
  <sheetViews>
    <sheetView tabSelected="1" zoomScale="88" workbookViewId="0">
      <selection activeCell="E10" sqref="E1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1568.3006877423145</v>
      </c>
      <c r="L4" s="6" t="s">
        <v>97</v>
      </c>
      <c r="N4" s="6" t="s">
        <v>131</v>
      </c>
      <c r="O4" s="6">
        <f xml:space="preserve"> $C$5 * $C$74</f>
        <v>38266.980818430522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1.1617883154906319</v>
      </c>
      <c r="X4" s="3">
        <v>1</v>
      </c>
      <c r="Y4" s="2">
        <f t="shared" ref="Y4:Y34" si="1" xml:space="preserve"> $O$22 * TAN($O$19/180*PI()) + $O$23 / (2 * SQRT($O$22^2 + X4^2)) - X4</f>
        <v>-4.3536414720473871E-2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0.47439464010779497</v>
      </c>
      <c r="AB4" s="2">
        <f>W4*AA4</f>
        <v>0.55114614980861965</v>
      </c>
      <c r="AC4" s="2">
        <f>Y4*AA4</f>
        <v>-2.0653441792902908E-2</v>
      </c>
      <c r="AD4" s="2">
        <f>X4-V4</f>
        <v>1</v>
      </c>
      <c r="AF4" s="2">
        <v>0</v>
      </c>
      <c r="AH4" s="2">
        <f>K30</f>
        <v>-6.6112827116739936E-3</v>
      </c>
      <c r="AJ4" s="2">
        <f>K30</f>
        <v>-6.6112827116739936E-3</v>
      </c>
      <c r="AL4" s="2">
        <f>K30</f>
        <v>-6.6112827116739936E-3</v>
      </c>
    </row>
    <row r="5" spans="2:41" x14ac:dyDescent="0.2">
      <c r="B5" s="9" t="s">
        <v>38</v>
      </c>
      <c r="C5" s="9">
        <v>3904.5733667170298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196.03758596778931</v>
      </c>
      <c r="L5" s="6" t="s">
        <v>97</v>
      </c>
      <c r="N5" s="6" t="s">
        <v>24</v>
      </c>
      <c r="O5" s="6">
        <f xml:space="preserve"> 0.5 * $C$71 * $C$7^2</f>
        <v>3984.3733596601678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0.47439464010779497</v>
      </c>
      <c r="X5" s="2">
        <f>IF(AC4&gt;0, Z4, X4)</f>
        <v>1</v>
      </c>
      <c r="Y5" s="2">
        <f t="shared" si="1"/>
        <v>-4.3536414720473871E-2</v>
      </c>
      <c r="Z5" s="2">
        <f t="shared" ref="Z5:Z34" si="3" xml:space="preserve"> (V5 + X5)/2</f>
        <v>0.75</v>
      </c>
      <c r="AA5" s="2">
        <f t="shared" si="2"/>
        <v>0.21249797771182044</v>
      </c>
      <c r="AB5" s="2">
        <f t="shared" ref="AB5:AB34" si="4">W5*AA5</f>
        <v>0.10080790166023329</v>
      </c>
      <c r="AC5" s="2">
        <f t="shared" ref="AC5:AC34" si="5">Y5*AA5</f>
        <v>-9.2514000849238283E-3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-1300.3478489267131</v>
      </c>
      <c r="AI5" s="3">
        <v>10000</v>
      </c>
      <c r="AJ5" s="2">
        <f t="dataTable" ref="AJ5:AJ44" dt2D="0" dtr="0" r1="C5"/>
        <v>119.42149068388062</v>
      </c>
      <c r="AK5" s="2">
        <f>(AG5+AI5)/2</f>
        <v>5250</v>
      </c>
      <c r="AL5" s="2">
        <f t="dataTable" ref="AL5:AL44" dt2D="0" dtr="0" r1="C5" ca="1"/>
        <v>268.4755374284905</v>
      </c>
      <c r="AM5" s="2">
        <f>AH5*AL5</f>
        <v>-349111.58758458088</v>
      </c>
      <c r="AN5" s="2">
        <f>AJ5*AL5</f>
        <v>32061.748891866322</v>
      </c>
      <c r="AO5" s="2">
        <f>AI5-AG5</f>
        <v>9500</v>
      </c>
    </row>
    <row r="6" spans="2:41" x14ac:dyDescent="0.2">
      <c r="B6" s="6" t="s">
        <v>168</v>
      </c>
      <c r="C6" s="16">
        <v>578.89101990837901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351.02474600724668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0.32467010902766158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0.21249797771182044</v>
      </c>
      <c r="X6" s="2">
        <f t="shared" ref="X6:X34" si="8">IF(AC5&gt;0, Z5, X5)</f>
        <v>1</v>
      </c>
      <c r="Y6" s="2">
        <f t="shared" si="1"/>
        <v>-4.3536414720473871E-2</v>
      </c>
      <c r="Z6" s="2">
        <f t="shared" si="3"/>
        <v>0.875</v>
      </c>
      <c r="AA6" s="2">
        <f t="shared" si="2"/>
        <v>8.4055470183584724E-2</v>
      </c>
      <c r="AB6" s="2">
        <f t="shared" si="4"/>
        <v>1.7861617429627975E-2</v>
      </c>
      <c r="AC6" s="2">
        <f t="shared" si="5"/>
        <v>-3.6594738094369705E-3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-1300.3478489267131</v>
      </c>
      <c r="AI6" s="2">
        <f>IF(AN5&gt;0,AK5,AI5)</f>
        <v>5250</v>
      </c>
      <c r="AJ6" s="2">
        <v>268.4755374284905</v>
      </c>
      <c r="AK6" s="2">
        <f t="shared" ref="AK6:AK44" si="9">(AG6+AI6)/2</f>
        <v>2875</v>
      </c>
      <c r="AL6" s="2">
        <v>-301.19539903295572</v>
      </c>
      <c r="AM6" s="2">
        <f t="shared" ref="AM6:AM44" si="10">AH6*AL6</f>
        <v>391658.78923912701</v>
      </c>
      <c r="AN6" s="2">
        <f t="shared" ref="AN6:AN44" si="11">AJ6*AL6</f>
        <v>-80863.596626361439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 xml:space="preserve"> 320*1000/ 3600</f>
        <v>88.888888888888886</v>
      </c>
      <c r="D7" s="6" t="s">
        <v>10</v>
      </c>
      <c r="F7" s="6" t="s">
        <v>20</v>
      </c>
      <c r="G7" s="6">
        <f xml:space="preserve"> $C$5 * $C$68 / $C$21</f>
        <v>4783.8301829950315</v>
      </c>
      <c r="H7" s="6" t="s">
        <v>21</v>
      </c>
      <c r="J7" s="6" t="s">
        <v>133</v>
      </c>
      <c r="K7" s="6">
        <f>K6/$C$28</f>
        <v>351.02474600724668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8.4055470183584724E-2</v>
      </c>
      <c r="X7" s="2">
        <f t="shared" si="8"/>
        <v>1</v>
      </c>
      <c r="Y7" s="2">
        <f t="shared" si="1"/>
        <v>-4.3536414720473871E-2</v>
      </c>
      <c r="Z7" s="2">
        <f t="shared" si="3"/>
        <v>0.9375</v>
      </c>
      <c r="AA7" s="2">
        <f t="shared" si="2"/>
        <v>2.0174120277900331E-2</v>
      </c>
      <c r="AB7" s="2">
        <f t="shared" si="4"/>
        <v>1.6957451654991034E-3</v>
      </c>
      <c r="AC7" s="2">
        <f t="shared" si="5"/>
        <v>-8.7830886703939043E-4</v>
      </c>
      <c r="AD7" s="2">
        <f t="shared" si="6"/>
        <v>0.125</v>
      </c>
      <c r="AF7" s="2">
        <v>3</v>
      </c>
      <c r="AG7" s="2">
        <f t="shared" ref="AG7:AG44" si="13">IF(AM6&gt;0,AK6,AG6)</f>
        <v>2875</v>
      </c>
      <c r="AH7" s="2">
        <v>-301.19539903295572</v>
      </c>
      <c r="AI7" s="2">
        <f t="shared" ref="AI7:AI44" si="14">IF(AN6&gt;0,AK6,AI6)</f>
        <v>5250</v>
      </c>
      <c r="AJ7" s="2">
        <v>268.4755374284905</v>
      </c>
      <c r="AK7" s="2">
        <f t="shared" si="9"/>
        <v>4062.5</v>
      </c>
      <c r="AL7" s="2">
        <v>38.797213875579928</v>
      </c>
      <c r="AM7" s="2">
        <f t="shared" si="10"/>
        <v>-11685.542314622222</v>
      </c>
      <c r="AN7" s="2">
        <f t="shared" si="11"/>
        <v>10416.10284597441</v>
      </c>
      <c r="AO7" s="2">
        <f t="shared" si="12"/>
        <v>2375</v>
      </c>
    </row>
    <row r="8" spans="2:41" x14ac:dyDescent="0.2">
      <c r="B8" s="6" t="s">
        <v>91</v>
      </c>
      <c r="C8" s="16">
        <v>1.41103545411644</v>
      </c>
      <c r="D8" s="6" t="s">
        <v>8</v>
      </c>
      <c r="F8" t="s">
        <v>93</v>
      </c>
      <c r="G8" s="6">
        <f>G10/$C$21</f>
        <v>130.6917239785262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2.0174120277900331E-2</v>
      </c>
      <c r="X8" s="2">
        <f t="shared" si="8"/>
        <v>1</v>
      </c>
      <c r="Y8" s="2">
        <f t="shared" si="1"/>
        <v>-4.3536414720473871E-2</v>
      </c>
      <c r="Z8" s="2">
        <f t="shared" si="3"/>
        <v>0.96875</v>
      </c>
      <c r="AA8" s="2">
        <f t="shared" si="2"/>
        <v>-1.1700463091902757E-2</v>
      </c>
      <c r="AB8" s="2">
        <f t="shared" si="4"/>
        <v>-2.3604654972317983E-4</v>
      </c>
      <c r="AC8" s="2">
        <f t="shared" si="5"/>
        <v>5.0939621359067646E-4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-301.19539903295572</v>
      </c>
      <c r="AI8" s="2">
        <f t="shared" si="14"/>
        <v>4062.5</v>
      </c>
      <c r="AJ8" s="2">
        <v>38.797213875579928</v>
      </c>
      <c r="AK8" s="2">
        <f t="shared" si="9"/>
        <v>3468.75</v>
      </c>
      <c r="AL8" s="2">
        <v>-117.26290131209271</v>
      </c>
      <c r="AM8" s="2">
        <f t="shared" si="10"/>
        <v>35319.046352457874</v>
      </c>
      <c r="AN8" s="2">
        <f t="shared" si="11"/>
        <v>-4549.4738618762831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3.7345262269233146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2.3444749718843916E-2</v>
      </c>
      <c r="U9" s="2">
        <v>5</v>
      </c>
      <c r="V9" s="2">
        <f t="shared" si="7"/>
        <v>0.9375</v>
      </c>
      <c r="W9" s="2">
        <f t="shared" si="0"/>
        <v>2.0174120277900331E-2</v>
      </c>
      <c r="X9" s="2">
        <f t="shared" si="8"/>
        <v>0.96875</v>
      </c>
      <c r="Y9" s="2">
        <f t="shared" si="1"/>
        <v>-1.1700463091902757E-2</v>
      </c>
      <c r="Z9" s="2">
        <f t="shared" si="3"/>
        <v>0.953125</v>
      </c>
      <c r="AA9" s="2">
        <f t="shared" si="2"/>
        <v>4.2317655974025703E-3</v>
      </c>
      <c r="AB9" s="2">
        <f t="shared" si="4"/>
        <v>8.5372148149880203E-5</v>
      </c>
      <c r="AC9" s="2">
        <f t="shared" si="5"/>
        <v>-4.9513617185992599E-5</v>
      </c>
      <c r="AD9" s="2">
        <f t="shared" si="6"/>
        <v>3.125E-2</v>
      </c>
      <c r="AF9" s="2">
        <v>5</v>
      </c>
      <c r="AG9" s="2">
        <f t="shared" si="13"/>
        <v>3468.75</v>
      </c>
      <c r="AH9" s="2">
        <v>-117.26290131209271</v>
      </c>
      <c r="AI9" s="2">
        <f t="shared" si="14"/>
        <v>4062.5</v>
      </c>
      <c r="AJ9" s="2">
        <v>38.797213875579928</v>
      </c>
      <c r="AK9" s="2">
        <f t="shared" si="9"/>
        <v>3765.625</v>
      </c>
      <c r="AL9" s="2">
        <v>-35.76576991884167</v>
      </c>
      <c r="AM9" s="2">
        <f t="shared" si="10"/>
        <v>4193.9979483441448</v>
      </c>
      <c r="AN9" s="2">
        <f t="shared" si="11"/>
        <v>-1387.6122249660832</v>
      </c>
      <c r="AO9" s="2">
        <f t="shared" si="12"/>
        <v>593.75</v>
      </c>
    </row>
    <row r="10" spans="2:41" x14ac:dyDescent="0.2">
      <c r="B10" s="6" t="s">
        <v>134</v>
      </c>
      <c r="C10" s="16">
        <v>1.5569848824393999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1045.5337918282096</v>
      </c>
      <c r="H10" s="22" t="s">
        <v>97</v>
      </c>
      <c r="J10" s="6" t="s">
        <v>92</v>
      </c>
      <c r="K10" s="6">
        <f xml:space="preserve"> $C$18 * (G10*G6 + G20*G13 + G29*G25 + G33*G32)/3600</f>
        <v>237.83742684192094</v>
      </c>
      <c r="L10" s="6" t="s">
        <v>98</v>
      </c>
      <c r="N10" s="6" t="s">
        <v>39</v>
      </c>
      <c r="O10" s="6">
        <f xml:space="preserve"> O5 * $C$12 * O9</f>
        <v>1783.8384123056951</v>
      </c>
      <c r="P10" s="6" t="s">
        <v>21</v>
      </c>
      <c r="U10" s="2">
        <v>6</v>
      </c>
      <c r="V10" s="2">
        <f t="shared" si="7"/>
        <v>0.953125</v>
      </c>
      <c r="W10" s="2">
        <f t="shared" si="0"/>
        <v>4.2317655974025703E-3</v>
      </c>
      <c r="X10" s="2">
        <f t="shared" si="8"/>
        <v>0.96875</v>
      </c>
      <c r="Y10" s="2">
        <f t="shared" si="1"/>
        <v>-1.1700463091902757E-2</v>
      </c>
      <c r="Z10" s="2">
        <f t="shared" si="3"/>
        <v>0.9609375</v>
      </c>
      <c r="AA10" s="2">
        <f t="shared" si="2"/>
        <v>-3.7355840750806779E-3</v>
      </c>
      <c r="AB10" s="2">
        <f t="shared" si="4"/>
        <v>-1.5808116175131312E-5</v>
      </c>
      <c r="AC10" s="2">
        <f t="shared" si="5"/>
        <v>4.3708063597181174E-5</v>
      </c>
      <c r="AD10" s="2">
        <f t="shared" si="6"/>
        <v>1.5625E-2</v>
      </c>
      <c r="AF10" s="2">
        <v>6</v>
      </c>
      <c r="AG10" s="2">
        <f t="shared" si="13"/>
        <v>3765.625</v>
      </c>
      <c r="AH10" s="2">
        <v>-35.76576991884167</v>
      </c>
      <c r="AI10" s="2">
        <f t="shared" si="14"/>
        <v>4062.5</v>
      </c>
      <c r="AJ10" s="2">
        <v>38.797213875579928</v>
      </c>
      <c r="AK10" s="2">
        <f t="shared" si="9"/>
        <v>3914.0625</v>
      </c>
      <c r="AL10" s="2">
        <v>2.3801569131778706</v>
      </c>
      <c r="AM10" s="2">
        <f t="shared" si="10"/>
        <v>-85.128144527460123</v>
      </c>
      <c r="AN10" s="2">
        <f t="shared" si="11"/>
        <v>92.343456818001968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43.438453333333335</v>
      </c>
      <c r="L11" s="6" t="s">
        <v>99</v>
      </c>
      <c r="N11" s="6" t="s">
        <v>137</v>
      </c>
      <c r="O11" s="6">
        <f xml:space="preserve"> 1.78 * (1 - 0.045 * $C$13^0.68) - 0.64</f>
        <v>0.70945928561597815</v>
      </c>
      <c r="U11" s="2">
        <v>7</v>
      </c>
      <c r="V11" s="2">
        <f t="shared" si="7"/>
        <v>0.953125</v>
      </c>
      <c r="W11" s="2">
        <f t="shared" si="0"/>
        <v>4.2317655974025703E-3</v>
      </c>
      <c r="X11" s="2">
        <f t="shared" si="8"/>
        <v>0.9609375</v>
      </c>
      <c r="Y11" s="2">
        <f t="shared" si="1"/>
        <v>-3.7355840750806779E-3</v>
      </c>
      <c r="Z11" s="2">
        <f t="shared" si="3"/>
        <v>0.95703125</v>
      </c>
      <c r="AA11" s="2">
        <f t="shared" si="2"/>
        <v>2.4777820274746176E-4</v>
      </c>
      <c r="AB11" s="2">
        <f t="shared" si="4"/>
        <v>1.0485392741729478E-6</v>
      </c>
      <c r="AC11" s="2">
        <f t="shared" si="5"/>
        <v>-9.2559630833552958E-7</v>
      </c>
      <c r="AD11" s="2">
        <f t="shared" si="6"/>
        <v>7.8125E-3</v>
      </c>
      <c r="AF11" s="2">
        <v>7</v>
      </c>
      <c r="AG11" s="2">
        <f t="shared" si="13"/>
        <v>3765.625</v>
      </c>
      <c r="AH11" s="2">
        <v>-35.76576991884167</v>
      </c>
      <c r="AI11" s="2">
        <f t="shared" si="14"/>
        <v>3914.0625</v>
      </c>
      <c r="AJ11" s="2">
        <v>2.3801569131778706</v>
      </c>
      <c r="AK11" s="2">
        <f t="shared" si="9"/>
        <v>3839.84375</v>
      </c>
      <c r="AL11" s="2">
        <v>-16.4764006167361</v>
      </c>
      <c r="AM11" s="2">
        <f t="shared" si="10"/>
        <v>589.29115354884436</v>
      </c>
      <c r="AN11" s="2">
        <f t="shared" si="11"/>
        <v>-39.216418832212561</v>
      </c>
      <c r="AO11" s="2">
        <f t="shared" si="12"/>
        <v>148.4375</v>
      </c>
    </row>
    <row r="12" spans="2:41" x14ac:dyDescent="0.2">
      <c r="B12" s="6" t="s">
        <v>135</v>
      </c>
      <c r="C12" s="16">
        <v>19.096328770943799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0.50293781185274689</v>
      </c>
      <c r="U12" s="2">
        <v>8</v>
      </c>
      <c r="V12" s="2">
        <f t="shared" si="7"/>
        <v>0.95703125</v>
      </c>
      <c r="W12" s="2">
        <f t="shared" si="0"/>
        <v>2.4777820274746176E-4</v>
      </c>
      <c r="X12" s="2">
        <f t="shared" si="8"/>
        <v>0.9609375</v>
      </c>
      <c r="Y12" s="2">
        <f t="shared" si="1"/>
        <v>-3.7355840750806779E-3</v>
      </c>
      <c r="Z12" s="2">
        <f t="shared" si="3"/>
        <v>0.958984375</v>
      </c>
      <c r="AA12" s="2">
        <f t="shared" si="2"/>
        <v>-1.7439806053062279E-3</v>
      </c>
      <c r="AB12" s="2">
        <f t="shared" si="4"/>
        <v>-4.321203800092076E-7</v>
      </c>
      <c r="AC12" s="2">
        <f t="shared" si="5"/>
        <v>6.5147861764315062E-6</v>
      </c>
      <c r="AD12" s="2">
        <f t="shared" si="6"/>
        <v>3.90625E-3</v>
      </c>
      <c r="AF12" s="2">
        <v>8</v>
      </c>
      <c r="AG12" s="2">
        <f t="shared" si="13"/>
        <v>3839.84375</v>
      </c>
      <c r="AH12" s="2">
        <v>-16.4764006167361</v>
      </c>
      <c r="AI12" s="2">
        <f t="shared" si="14"/>
        <v>3914.0625</v>
      </c>
      <c r="AJ12" s="2">
        <v>2.3801569131778706</v>
      </c>
      <c r="AK12" s="2">
        <f t="shared" si="9"/>
        <v>3876.953125</v>
      </c>
      <c r="AL12" s="2">
        <v>-6.994056919835657</v>
      </c>
      <c r="AM12" s="2">
        <f t="shared" si="10"/>
        <v>115.23688374746762</v>
      </c>
      <c r="AN12" s="2">
        <f t="shared" si="11"/>
        <v>-16.646952928906362</v>
      </c>
      <c r="AO12" s="2">
        <f t="shared" si="12"/>
        <v>74.21875</v>
      </c>
    </row>
    <row r="13" spans="2:41" x14ac:dyDescent="0.2">
      <c r="B13" s="6" t="s">
        <v>136</v>
      </c>
      <c r="C13" s="16">
        <v>11.8601655586933</v>
      </c>
      <c r="F13" s="8" t="s">
        <v>85</v>
      </c>
      <c r="G13" s="6">
        <f xml:space="preserve"> $C$17/$C$7</f>
        <v>1086.3072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3.3013615754377432E-2</v>
      </c>
      <c r="U13" s="2">
        <v>9</v>
      </c>
      <c r="V13" s="2">
        <f t="shared" si="7"/>
        <v>0.95703125</v>
      </c>
      <c r="W13" s="2">
        <f t="shared" si="0"/>
        <v>2.4777820274746176E-4</v>
      </c>
      <c r="X13" s="2">
        <f t="shared" si="8"/>
        <v>0.958984375</v>
      </c>
      <c r="Y13" s="2">
        <f t="shared" si="1"/>
        <v>-1.7439806053062279E-3</v>
      </c>
      <c r="Z13" s="2">
        <f t="shared" si="3"/>
        <v>0.9580078125</v>
      </c>
      <c r="AA13" s="2">
        <f t="shared" si="2"/>
        <v>-7.4812067707807905E-4</v>
      </c>
      <c r="AB13" s="2">
        <f t="shared" si="4"/>
        <v>-1.8536799680462064E-7</v>
      </c>
      <c r="AC13" s="2">
        <f t="shared" si="5"/>
        <v>1.3047079512527334E-6</v>
      </c>
      <c r="AD13" s="2">
        <f t="shared" si="6"/>
        <v>1.953125E-3</v>
      </c>
      <c r="AF13" s="2">
        <v>9</v>
      </c>
      <c r="AG13" s="2">
        <f t="shared" si="13"/>
        <v>3876.953125</v>
      </c>
      <c r="AH13" s="2">
        <v>-6.994056919835657</v>
      </c>
      <c r="AI13" s="2">
        <f t="shared" si="14"/>
        <v>3914.0625</v>
      </c>
      <c r="AJ13" s="2">
        <v>2.3801569131778706</v>
      </c>
      <c r="AK13" s="2">
        <f t="shared" si="9"/>
        <v>3895.5078125</v>
      </c>
      <c r="AL13" s="2">
        <v>-2.2934382301882579</v>
      </c>
      <c r="AM13" s="2">
        <f t="shared" si="10"/>
        <v>16.040437524063826</v>
      </c>
      <c r="AN13" s="2">
        <f t="shared" si="11"/>
        <v>-5.4587428585290025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94.386487895305393</v>
      </c>
      <c r="H14" s="6" t="s">
        <v>10</v>
      </c>
      <c r="J14" s="9" t="s">
        <v>75</v>
      </c>
      <c r="K14" s="17">
        <f>C5</f>
        <v>3904.5733667170298</v>
      </c>
      <c r="L14" s="6" t="s">
        <v>7</v>
      </c>
      <c r="N14" s="6" t="s">
        <v>40</v>
      </c>
      <c r="O14" s="6">
        <f xml:space="preserve"> O5 * O13 * $C$12</f>
        <v>2511.9038001256554</v>
      </c>
      <c r="P14" s="6" t="s">
        <v>21</v>
      </c>
      <c r="U14" s="2">
        <v>10</v>
      </c>
      <c r="V14" s="2">
        <f t="shared" si="7"/>
        <v>0.95703125</v>
      </c>
      <c r="W14" s="2">
        <f t="shared" si="0"/>
        <v>2.4777820274746176E-4</v>
      </c>
      <c r="X14" s="2">
        <f t="shared" si="8"/>
        <v>0.9580078125</v>
      </c>
      <c r="Y14" s="2">
        <f t="shared" si="1"/>
        <v>-7.4812067707807905E-4</v>
      </c>
      <c r="Z14" s="2">
        <f t="shared" si="3"/>
        <v>0.95751953125</v>
      </c>
      <c r="AA14" s="2">
        <f t="shared" si="2"/>
        <v>-2.5017611345479196E-4</v>
      </c>
      <c r="AB14" s="2">
        <f t="shared" si="4"/>
        <v>-6.1988187762173443E-8</v>
      </c>
      <c r="AC14" s="2">
        <f t="shared" si="5"/>
        <v>1.8716192338656128E-7</v>
      </c>
      <c r="AD14" s="2">
        <f t="shared" si="6"/>
        <v>9.765625E-4</v>
      </c>
      <c r="AF14" s="2">
        <v>10</v>
      </c>
      <c r="AG14" s="2">
        <f t="shared" si="13"/>
        <v>3895.5078125</v>
      </c>
      <c r="AH14" s="2">
        <v>-2.2934382301882579</v>
      </c>
      <c r="AI14" s="2">
        <f t="shared" si="14"/>
        <v>3914.0625</v>
      </c>
      <c r="AJ14" s="2">
        <v>2.3801569131778706</v>
      </c>
      <c r="AK14" s="2">
        <f t="shared" si="9"/>
        <v>3904.78515625</v>
      </c>
      <c r="AL14" s="2">
        <v>4.6736975539261039E-2</v>
      </c>
      <c r="AM14" s="2">
        <f t="shared" si="10"/>
        <v>-0.10718836646511473</v>
      </c>
      <c r="AN14" s="2">
        <f t="shared" si="11"/>
        <v>0.1112413354307972</v>
      </c>
      <c r="AO14" s="2">
        <f t="shared" si="12"/>
        <v>18.5546875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0.28367994363438664</v>
      </c>
      <c r="H15" s="6" t="s">
        <v>120</v>
      </c>
      <c r="J15" s="10" t="s">
        <v>53</v>
      </c>
      <c r="K15" s="6">
        <f xml:space="preserve"> 1000 * K10 / ($C$60 * $C$61 * $C$62)</f>
        <v>1399.0436873054173</v>
      </c>
      <c r="L15" s="6" t="s">
        <v>7</v>
      </c>
      <c r="N15" s="6" t="s">
        <v>140</v>
      </c>
      <c r="O15" s="6">
        <f>O4/O14</f>
        <v>15.234254120924637</v>
      </c>
      <c r="U15" s="2">
        <v>11</v>
      </c>
      <c r="V15" s="2">
        <f t="shared" si="7"/>
        <v>0.95703125</v>
      </c>
      <c r="W15" s="2">
        <f t="shared" si="0"/>
        <v>2.4777820274746176E-4</v>
      </c>
      <c r="X15" s="2">
        <f t="shared" si="8"/>
        <v>0.95751953125</v>
      </c>
      <c r="Y15" s="2">
        <f t="shared" si="1"/>
        <v>-2.5017611345479196E-4</v>
      </c>
      <c r="Z15" s="2">
        <f t="shared" si="3"/>
        <v>0.957275390625</v>
      </c>
      <c r="AA15" s="2">
        <f t="shared" si="2"/>
        <v>-1.2001753451063024E-6</v>
      </c>
      <c r="AB15" s="2">
        <f t="shared" si="4"/>
        <v>-2.9737728999225427E-10</v>
      </c>
      <c r="AC15" s="2">
        <f t="shared" si="5"/>
        <v>3.0025520330295842E-10</v>
      </c>
      <c r="AD15" s="2">
        <f t="shared" si="6"/>
        <v>4.8828125E-4</v>
      </c>
      <c r="AF15" s="2">
        <v>11</v>
      </c>
      <c r="AG15" s="2">
        <f t="shared" si="13"/>
        <v>3895.5078125</v>
      </c>
      <c r="AH15" s="2">
        <v>-2.2934382301882579</v>
      </c>
      <c r="AI15" s="2">
        <f t="shared" si="14"/>
        <v>3904.78515625</v>
      </c>
      <c r="AJ15" s="2">
        <v>4.6736975539261039E-2</v>
      </c>
      <c r="AK15" s="2">
        <f t="shared" si="9"/>
        <v>3900.146484375</v>
      </c>
      <c r="AL15" s="2">
        <v>-1.1225068118637864</v>
      </c>
      <c r="AM15" s="2">
        <f t="shared" si="10"/>
        <v>2.5744000359751462</v>
      </c>
      <c r="AN15" s="2">
        <f t="shared" si="11"/>
        <v>-5.2462573408731679E-2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2511.9038001256554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296.06934400705285</v>
      </c>
      <c r="L16" s="6" t="s">
        <v>7</v>
      </c>
      <c r="N16" s="6" t="s">
        <v>111</v>
      </c>
      <c r="O16" s="6">
        <f>(O13*$C$12)/(0.3048^2)/($C$5*2.20462/1000)^(2/3)</f>
        <v>1.6156284652037938</v>
      </c>
      <c r="U16" s="2">
        <v>12</v>
      </c>
      <c r="V16" s="2">
        <f t="shared" si="7"/>
        <v>0.95703125</v>
      </c>
      <c r="W16" s="2">
        <f t="shared" si="0"/>
        <v>2.4777820274746176E-4</v>
      </c>
      <c r="X16" s="2">
        <f t="shared" si="8"/>
        <v>0.957275390625</v>
      </c>
      <c r="Y16" s="2">
        <f t="shared" si="1"/>
        <v>-1.2001753451063024E-6</v>
      </c>
      <c r="Z16" s="2">
        <f t="shared" si="3"/>
        <v>0.9571533203125</v>
      </c>
      <c r="AA16" s="2">
        <f t="shared" si="2"/>
        <v>1.2328870858824281E-4</v>
      </c>
      <c r="AB16" s="2">
        <f t="shared" si="4"/>
        <v>3.054825463305036E-8</v>
      </c>
      <c r="AC16" s="2">
        <f t="shared" si="5"/>
        <v>-1.4796806837760467E-10</v>
      </c>
      <c r="AD16" s="2">
        <f t="shared" si="6"/>
        <v>2.44140625E-4</v>
      </c>
      <c r="AF16" s="2">
        <v>12</v>
      </c>
      <c r="AG16" s="2">
        <f t="shared" si="13"/>
        <v>3900.146484375</v>
      </c>
      <c r="AH16" s="2">
        <v>-1.1225068118637864</v>
      </c>
      <c r="AI16" s="2">
        <f t="shared" si="14"/>
        <v>3904.78515625</v>
      </c>
      <c r="AJ16" s="2">
        <v>4.6736975539261039E-2</v>
      </c>
      <c r="AK16" s="2">
        <f t="shared" si="9"/>
        <v>3902.4658203125</v>
      </c>
      <c r="AL16" s="2">
        <v>-0.53767384043385391</v>
      </c>
      <c r="AM16" s="2">
        <f t="shared" si="10"/>
        <v>0.60354254844796362</v>
      </c>
      <c r="AN16" s="2">
        <f t="shared" si="11"/>
        <v>-2.5129249128457574E-2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234.01649733816447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0.9571533203125</v>
      </c>
      <c r="W17" s="2">
        <f t="shared" si="0"/>
        <v>1.2328870858824281E-4</v>
      </c>
      <c r="X17" s="2">
        <f t="shared" si="8"/>
        <v>0.957275390625</v>
      </c>
      <c r="Y17" s="2">
        <f t="shared" si="1"/>
        <v>-1.2001753451063024E-6</v>
      </c>
      <c r="Z17" s="2">
        <f t="shared" si="3"/>
        <v>0.95721435546875</v>
      </c>
      <c r="AA17" s="2">
        <f t="shared" si="2"/>
        <v>6.1044190357684158E-5</v>
      </c>
      <c r="AB17" s="2">
        <f t="shared" si="4"/>
        <v>7.5260593960137436E-9</v>
      </c>
      <c r="AC17" s="2">
        <f t="shared" si="5"/>
        <v>-7.3263732229268406E-11</v>
      </c>
      <c r="AD17" s="2">
        <f t="shared" si="6"/>
        <v>1.220703125E-4</v>
      </c>
      <c r="AF17" s="2">
        <v>13</v>
      </c>
      <c r="AG17" s="2">
        <f t="shared" si="13"/>
        <v>3902.4658203125</v>
      </c>
      <c r="AH17" s="2">
        <v>-0.53767384043385391</v>
      </c>
      <c r="AI17" s="2">
        <f t="shared" si="14"/>
        <v>3904.78515625</v>
      </c>
      <c r="AJ17" s="2">
        <v>4.6736975539261039E-2</v>
      </c>
      <c r="AK17" s="2">
        <f t="shared" si="9"/>
        <v>3903.62548828125</v>
      </c>
      <c r="AL17" s="2">
        <v>-0.24541619635283496</v>
      </c>
      <c r="AM17" s="2">
        <f t="shared" si="10"/>
        <v>0.13195386879769755</v>
      </c>
      <c r="AN17" s="2">
        <f t="shared" si="11"/>
        <v>-1.1470010765880931E-2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1.0952314775229939</v>
      </c>
      <c r="H18" s="6" t="s">
        <v>172</v>
      </c>
      <c r="J18" s="12" t="s">
        <v>54</v>
      </c>
      <c r="K18" s="6">
        <f xml:space="preserve"> $C$78 * (0.2138 * K4 + 0.2138 * K6)</f>
        <v>328.28142218852491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0.95721435546875</v>
      </c>
      <c r="W18" s="2">
        <f t="shared" si="0"/>
        <v>6.1044190357684158E-5</v>
      </c>
      <c r="X18" s="2">
        <f t="shared" si="8"/>
        <v>0.957275390625</v>
      </c>
      <c r="Y18" s="2">
        <f t="shared" si="1"/>
        <v>-1.2001753451063024E-6</v>
      </c>
      <c r="Z18" s="2">
        <f t="shared" si="3"/>
        <v>0.957244873046875</v>
      </c>
      <c r="AA18" s="2">
        <f t="shared" si="2"/>
        <v>2.9921988442094261E-5</v>
      </c>
      <c r="AB18" s="2">
        <f t="shared" si="4"/>
        <v>1.8265635583396273E-9</v>
      </c>
      <c r="AC18" s="2">
        <f t="shared" si="5"/>
        <v>-3.5911632804757272E-11</v>
      </c>
      <c r="AD18" s="2">
        <f t="shared" si="6"/>
        <v>6.103515625E-5</v>
      </c>
      <c r="AF18" s="2">
        <v>14</v>
      </c>
      <c r="AG18" s="2">
        <f t="shared" si="13"/>
        <v>3903.62548828125</v>
      </c>
      <c r="AH18" s="2">
        <v>-0.24541619635283496</v>
      </c>
      <c r="AI18" s="2">
        <f t="shared" si="14"/>
        <v>3904.78515625</v>
      </c>
      <c r="AJ18" s="2">
        <v>4.6736975539261039E-2</v>
      </c>
      <c r="AK18" s="2">
        <f t="shared" si="9"/>
        <v>3904.205322265625</v>
      </c>
      <c r="AL18" s="2">
        <v>-9.9326551561716769E-2</v>
      </c>
      <c r="AM18" s="2">
        <f t="shared" si="10"/>
        <v>2.437634448112027E-2</v>
      </c>
      <c r="AN18" s="2">
        <f t="shared" si="11"/>
        <v>-4.6422226107391074E-3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4.3187636229126775E-2</v>
      </c>
      <c r="J19" s="12" t="s">
        <v>73</v>
      </c>
      <c r="K19" s="6">
        <f xml:space="preserve"> $C$78 * (0.1149 * K4 + 0.1149 * K6)</f>
        <v>176.42439387025968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0.957244873046875</v>
      </c>
      <c r="W19" s="2">
        <f t="shared" si="0"/>
        <v>2.9921988442094261E-5</v>
      </c>
      <c r="X19" s="2">
        <f t="shared" si="8"/>
        <v>0.957275390625</v>
      </c>
      <c r="Y19" s="2">
        <f t="shared" si="1"/>
        <v>-1.2001753451063024E-6</v>
      </c>
      <c r="Z19" s="2">
        <f t="shared" si="3"/>
        <v>0.9572601318359375</v>
      </c>
      <c r="AA19" s="2">
        <f t="shared" si="2"/>
        <v>1.4360901782639601E-5</v>
      </c>
      <c r="AB19" s="2">
        <f t="shared" si="4"/>
        <v>4.29706737158193E-10</v>
      </c>
      <c r="AC19" s="2">
        <f t="shared" si="5"/>
        <v>-1.7235600253017198E-11</v>
      </c>
      <c r="AD19" s="2">
        <f t="shared" si="6"/>
        <v>3.0517578125E-5</v>
      </c>
      <c r="AF19" s="2">
        <v>15</v>
      </c>
      <c r="AG19" s="2">
        <f t="shared" si="13"/>
        <v>3904.205322265625</v>
      </c>
      <c r="AH19" s="2">
        <v>-9.9326551561716769E-2</v>
      </c>
      <c r="AI19" s="2">
        <f t="shared" si="14"/>
        <v>3904.78515625</v>
      </c>
      <c r="AJ19" s="2">
        <v>4.6736975539261039E-2</v>
      </c>
      <c r="AK19" s="2">
        <f t="shared" si="9"/>
        <v>3904.4952392578125</v>
      </c>
      <c r="AL19" s="2">
        <v>-2.6292055609701492E-2</v>
      </c>
      <c r="AM19" s="2">
        <f t="shared" si="10"/>
        <v>2.6114992171805398E-3</v>
      </c>
      <c r="AN19" s="2">
        <f t="shared" si="11"/>
        <v>-1.2288111599075096E-3</v>
      </c>
      <c r="AO19" s="2">
        <f t="shared" si="12"/>
        <v>0.579833984375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234.01649733816447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233.41680879906613</v>
      </c>
      <c r="L20" s="6" t="s">
        <v>7</v>
      </c>
      <c r="N20" s="6" t="s">
        <v>20</v>
      </c>
      <c r="O20" s="6">
        <f xml:space="preserve"> O14 / $C$28</f>
        <v>2511.9038001256554</v>
      </c>
      <c r="P20" s="6" t="s">
        <v>21</v>
      </c>
      <c r="U20" s="2">
        <v>16</v>
      </c>
      <c r="V20" s="2">
        <f t="shared" si="7"/>
        <v>0.9572601318359375</v>
      </c>
      <c r="W20" s="2">
        <f t="shared" si="0"/>
        <v>1.4360901782639601E-5</v>
      </c>
      <c r="X20" s="2">
        <f t="shared" si="8"/>
        <v>0.957275390625</v>
      </c>
      <c r="Y20" s="2">
        <f t="shared" si="1"/>
        <v>-1.2001753451063024E-6</v>
      </c>
      <c r="Z20" s="2">
        <f t="shared" si="3"/>
        <v>0.95726776123046875</v>
      </c>
      <c r="AA20" s="2">
        <f t="shared" si="2"/>
        <v>6.5803620272752994E-6</v>
      </c>
      <c r="AB20" s="2">
        <f t="shared" si="4"/>
        <v>9.4499932767911787E-11</v>
      </c>
      <c r="AC20" s="2">
        <f t="shared" si="5"/>
        <v>-7.8975882670095398E-12</v>
      </c>
      <c r="AD20" s="2">
        <f t="shared" si="6"/>
        <v>1.52587890625E-5</v>
      </c>
      <c r="AF20" s="2">
        <v>16</v>
      </c>
      <c r="AG20" s="2">
        <f t="shared" si="13"/>
        <v>3904.4952392578125</v>
      </c>
      <c r="AH20" s="2">
        <v>-2.6292055609701492E-2</v>
      </c>
      <c r="AI20" s="2">
        <f t="shared" si="14"/>
        <v>3904.78515625</v>
      </c>
      <c r="AJ20" s="2">
        <v>4.6736975539261039E-2</v>
      </c>
      <c r="AK20" s="2">
        <f t="shared" si="9"/>
        <v>3904.6401977539062</v>
      </c>
      <c r="AL20" s="2">
        <v>1.0223808428236225E-2</v>
      </c>
      <c r="AM20" s="2">
        <f t="shared" si="10"/>
        <v>-2.6880493973812167E-4</v>
      </c>
      <c r="AN20" s="2">
        <f t="shared" si="11"/>
        <v>4.7782988442856731E-4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101.51890753464278</v>
      </c>
      <c r="L21" s="6" t="s">
        <v>7</v>
      </c>
      <c r="N21" s="6" t="s">
        <v>27</v>
      </c>
      <c r="O21" s="6">
        <f>$C$6*2*PI()/60</f>
        <v>60.621325845775544</v>
      </c>
      <c r="P21" s="6" t="s">
        <v>28</v>
      </c>
      <c r="U21" s="2">
        <v>17</v>
      </c>
      <c r="V21" s="2">
        <f t="shared" si="7"/>
        <v>0.95726776123046875</v>
      </c>
      <c r="W21" s="2">
        <f t="shared" si="0"/>
        <v>6.5803620272752994E-6</v>
      </c>
      <c r="X21" s="2">
        <f t="shared" si="8"/>
        <v>0.957275390625</v>
      </c>
      <c r="Y21" s="2">
        <f t="shared" si="1"/>
        <v>-1.2001753451063024E-6</v>
      </c>
      <c r="Z21" s="2">
        <f t="shared" si="3"/>
        <v>0.95727157592773438</v>
      </c>
      <c r="AA21" s="2">
        <f t="shared" si="2"/>
        <v>2.690093043211661E-6</v>
      </c>
      <c r="AB21" s="2">
        <f t="shared" si="4"/>
        <v>1.7701786111387464E-11</v>
      </c>
      <c r="AC21" s="2">
        <f t="shared" si="5"/>
        <v>-3.2285833465046185E-12</v>
      </c>
      <c r="AD21" s="2">
        <f t="shared" si="6"/>
        <v>7.62939453125E-6</v>
      </c>
      <c r="AF21" s="2">
        <v>17</v>
      </c>
      <c r="AG21" s="2">
        <f t="shared" si="13"/>
        <v>3904.4952392578125</v>
      </c>
      <c r="AH21" s="2">
        <v>-2.6292055609701492E-2</v>
      </c>
      <c r="AI21" s="2">
        <f t="shared" si="14"/>
        <v>3904.6401977539062</v>
      </c>
      <c r="AJ21" s="2">
        <v>1.0223808428236225E-2</v>
      </c>
      <c r="AK21" s="2">
        <f t="shared" si="9"/>
        <v>3904.5677185058594</v>
      </c>
      <c r="AL21" s="2">
        <v>-8.0339195537817432E-3</v>
      </c>
      <c r="AM21" s="2">
        <f t="shared" si="10"/>
        <v>2.112282596718978E-4</v>
      </c>
      <c r="AN21" s="2">
        <f t="shared" si="11"/>
        <v>-8.2137254445725601E-5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449.27679814110365</v>
      </c>
      <c r="L22" s="6" t="s">
        <v>7</v>
      </c>
      <c r="N22" s="6" t="s">
        <v>29</v>
      </c>
      <c r="O22" s="6">
        <f xml:space="preserve"> $C$7 * COS(O19/180*PI()) / (O21 * $C$10)</f>
        <v>8.2079302937073439E-2</v>
      </c>
      <c r="U22" s="2">
        <v>18</v>
      </c>
      <c r="V22" s="2">
        <f t="shared" si="7"/>
        <v>0.95727157592773438</v>
      </c>
      <c r="W22" s="2">
        <f t="shared" si="0"/>
        <v>2.690093043211661E-6</v>
      </c>
      <c r="X22" s="2">
        <f t="shared" si="8"/>
        <v>0.957275390625</v>
      </c>
      <c r="Y22" s="2">
        <f t="shared" si="1"/>
        <v>-1.2001753451063024E-6</v>
      </c>
      <c r="Z22" s="2">
        <f t="shared" si="3"/>
        <v>0.95727348327636719</v>
      </c>
      <c r="AA22" s="2">
        <f t="shared" si="2"/>
        <v>7.4495877455671433E-7</v>
      </c>
      <c r="AB22" s="2">
        <f t="shared" si="4"/>
        <v>2.0040084169145013E-12</v>
      </c>
      <c r="AC22" s="2">
        <f t="shared" si="5"/>
        <v>-8.9408115434357277E-13</v>
      </c>
      <c r="AD22" s="2">
        <f t="shared" si="6"/>
        <v>3.814697265625E-6</v>
      </c>
      <c r="AF22" s="2">
        <v>18</v>
      </c>
      <c r="AG22" s="2">
        <f t="shared" si="13"/>
        <v>3904.5677185058594</v>
      </c>
      <c r="AH22" s="2">
        <v>-8.0339195537817432E-3</v>
      </c>
      <c r="AI22" s="2">
        <f t="shared" si="14"/>
        <v>3904.6401977539062</v>
      </c>
      <c r="AJ22" s="2">
        <v>1.0223808428236225E-2</v>
      </c>
      <c r="AK22" s="2">
        <f t="shared" si="9"/>
        <v>3904.6039581298828</v>
      </c>
      <c r="AL22" s="2">
        <v>1.0949954466923373E-3</v>
      </c>
      <c r="AM22" s="2">
        <f t="shared" si="10"/>
        <v>-8.7971053304835428E-6</v>
      </c>
      <c r="AN22" s="2">
        <f t="shared" si="11"/>
        <v>1.1195023676773407E-5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41.289453233656978</v>
      </c>
      <c r="L23" s="6" t="s">
        <v>7</v>
      </c>
      <c r="N23" s="6" t="s">
        <v>30</v>
      </c>
      <c r="O23" s="6">
        <f xml:space="preserve"> O20 / ( $C$71 * PI() * $C$10^2 * O21^2 * $C$10^2)</f>
        <v>3.6708751814421389E-2</v>
      </c>
      <c r="U23" s="2">
        <v>19</v>
      </c>
      <c r="V23" s="2">
        <f t="shared" si="7"/>
        <v>0.95727348327636719</v>
      </c>
      <c r="W23" s="2">
        <f t="shared" si="0"/>
        <v>7.4495877455671433E-7</v>
      </c>
      <c r="X23" s="2">
        <f t="shared" si="8"/>
        <v>0.957275390625</v>
      </c>
      <c r="Y23" s="2">
        <f t="shared" si="1"/>
        <v>-1.2001753451063024E-6</v>
      </c>
      <c r="Z23" s="2">
        <f t="shared" si="3"/>
        <v>0.95727443695068359</v>
      </c>
      <c r="AA23" s="2">
        <f t="shared" si="2"/>
        <v>-2.276083038710297E-7</v>
      </c>
      <c r="AB23" s="2">
        <f t="shared" si="4"/>
        <v>-1.6955880313069454E-13</v>
      </c>
      <c r="AC23" s="2">
        <f t="shared" si="5"/>
        <v>2.7316987464747325E-13</v>
      </c>
      <c r="AD23" s="2">
        <f t="shared" si="6"/>
        <v>1.9073486328125E-6</v>
      </c>
      <c r="AF23" s="2">
        <v>19</v>
      </c>
      <c r="AG23" s="2">
        <f t="shared" si="13"/>
        <v>3904.5677185058594</v>
      </c>
      <c r="AH23" s="2">
        <v>-8.0339195537817432E-3</v>
      </c>
      <c r="AI23" s="2">
        <f t="shared" si="14"/>
        <v>3904.6039581298828</v>
      </c>
      <c r="AJ23" s="2">
        <v>1.0949954466923373E-3</v>
      </c>
      <c r="AK23" s="2">
        <f t="shared" si="9"/>
        <v>3904.5858383178711</v>
      </c>
      <c r="AL23" s="2">
        <v>-3.469449301064742E-3</v>
      </c>
      <c r="AM23" s="2">
        <f t="shared" si="10"/>
        <v>2.7873276580678433E-5</v>
      </c>
      <c r="AN23" s="2">
        <f t="shared" si="11"/>
        <v>-3.7990311871958045E-6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11.994373556320761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0.95727348327636719</v>
      </c>
      <c r="W24" s="2">
        <f t="shared" si="0"/>
        <v>7.4495877455671433E-7</v>
      </c>
      <c r="X24" s="2">
        <f t="shared" si="8"/>
        <v>0.95727443695068359</v>
      </c>
      <c r="Y24" s="2">
        <f t="shared" si="1"/>
        <v>-2.276083038710297E-7</v>
      </c>
      <c r="Z24" s="2">
        <f t="shared" si="3"/>
        <v>0.95727396011352539</v>
      </c>
      <c r="AA24" s="2">
        <f t="shared" si="2"/>
        <v>2.5867523067990561E-7</v>
      </c>
      <c r="AB24" s="2">
        <f t="shared" si="4"/>
        <v>1.9270238285547789E-13</v>
      </c>
      <c r="AC24" s="2">
        <f t="shared" si="5"/>
        <v>-5.8876630508500659E-14</v>
      </c>
      <c r="AD24" s="2">
        <f t="shared" si="6"/>
        <v>9.5367431640625E-7</v>
      </c>
      <c r="AF24" s="2">
        <v>20</v>
      </c>
      <c r="AG24" s="2">
        <f t="shared" si="13"/>
        <v>3904.5858383178711</v>
      </c>
      <c r="AH24" s="2">
        <v>-3.469449301064742E-3</v>
      </c>
      <c r="AI24" s="2">
        <f t="shared" si="14"/>
        <v>3904.6039581298828</v>
      </c>
      <c r="AJ24" s="2">
        <v>1.0949954466923373E-3</v>
      </c>
      <c r="AK24" s="2">
        <f t="shared" si="9"/>
        <v>3904.594898223877</v>
      </c>
      <c r="AL24" s="2">
        <v>-1.1872237400893937E-3</v>
      </c>
      <c r="AM24" s="2">
        <f t="shared" si="10"/>
        <v>4.1190125752606162E-6</v>
      </c>
      <c r="AN24" s="2">
        <f t="shared" si="11"/>
        <v>-1.3000045896029329E-6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71.229080776088807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6298.6843743351001</v>
      </c>
      <c r="P25" s="6" t="s">
        <v>19</v>
      </c>
      <c r="U25" s="2">
        <v>21</v>
      </c>
      <c r="V25" s="2">
        <f t="shared" si="7"/>
        <v>0.95727396011352539</v>
      </c>
      <c r="W25" s="2">
        <f t="shared" si="0"/>
        <v>2.5867523067990561E-7</v>
      </c>
      <c r="X25" s="2">
        <f t="shared" si="8"/>
        <v>0.95727443695068359</v>
      </c>
      <c r="Y25" s="2">
        <f t="shared" si="1"/>
        <v>-2.276083038710297E-7</v>
      </c>
      <c r="Z25" s="2">
        <f t="shared" si="3"/>
        <v>0.95727419853210449</v>
      </c>
      <c r="AA25" s="2">
        <f t="shared" si="2"/>
        <v>1.5533462183192626E-8</v>
      </c>
      <c r="AB25" s="2">
        <f t="shared" si="4"/>
        <v>4.0181219134949429E-15</v>
      </c>
      <c r="AC25" s="2">
        <f t="shared" si="5"/>
        <v>-3.5355449807612557E-15</v>
      </c>
      <c r="AD25" s="2">
        <f t="shared" si="6"/>
        <v>4.76837158203125E-7</v>
      </c>
      <c r="AF25" s="2">
        <v>21</v>
      </c>
      <c r="AG25" s="2">
        <f t="shared" si="13"/>
        <v>3904.594898223877</v>
      </c>
      <c r="AH25" s="2">
        <v>-1.1872237400893937E-3</v>
      </c>
      <c r="AI25" s="2">
        <f t="shared" si="14"/>
        <v>3904.6039581298828</v>
      </c>
      <c r="AJ25" s="2">
        <v>1.0949954466923373E-3</v>
      </c>
      <c r="AK25" s="2">
        <f t="shared" si="9"/>
        <v>3904.5994281768799</v>
      </c>
      <c r="AL25" s="2">
        <v>-4.664564448830788E-5</v>
      </c>
      <c r="AM25" s="2">
        <f t="shared" si="10"/>
        <v>5.5378816508289096E-8</v>
      </c>
      <c r="AN25" s="2">
        <f t="shared" si="11"/>
        <v>-5.1076768322726647E-8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4783.8301829950315</v>
      </c>
      <c r="H26" s="6" t="s">
        <v>21</v>
      </c>
      <c r="J26" s="14" t="s">
        <v>65</v>
      </c>
      <c r="K26" s="6">
        <f xml:space="preserve"> $C$80 * (0.0268 * $C$5)</f>
        <v>83.714052982413136</v>
      </c>
      <c r="L26" s="6" t="s">
        <v>7</v>
      </c>
      <c r="N26" s="6" t="s">
        <v>32</v>
      </c>
      <c r="O26" s="17">
        <f>Z34</f>
        <v>0.95727421389892697</v>
      </c>
      <c r="U26" s="2">
        <v>22</v>
      </c>
      <c r="V26" s="2">
        <f t="shared" si="7"/>
        <v>0.95727419853210449</v>
      </c>
      <c r="W26" s="2">
        <f t="shared" si="0"/>
        <v>1.5533462183192626E-8</v>
      </c>
      <c r="X26" s="2">
        <f t="shared" si="8"/>
        <v>0.95727443695068359</v>
      </c>
      <c r="Y26" s="2">
        <f t="shared" si="1"/>
        <v>-2.276083038710297E-7</v>
      </c>
      <c r="Z26" s="2">
        <f t="shared" si="3"/>
        <v>0.95727431774139404</v>
      </c>
      <c r="AA26" s="2">
        <f t="shared" si="2"/>
        <v>-1.0603742117698545E-7</v>
      </c>
      <c r="AB26" s="2">
        <f t="shared" si="4"/>
        <v>-1.6471282718559723E-15</v>
      </c>
      <c r="AC26" s="2">
        <f t="shared" si="5"/>
        <v>2.4134997580951663E-14</v>
      </c>
      <c r="AD26" s="2">
        <f t="shared" si="6"/>
        <v>2.384185791015625E-7</v>
      </c>
      <c r="AF26" s="2">
        <v>22</v>
      </c>
      <c r="AG26" s="2">
        <f t="shared" si="13"/>
        <v>3904.5994281768799</v>
      </c>
      <c r="AH26" s="2">
        <v>-4.664564448830788E-5</v>
      </c>
      <c r="AI26" s="2">
        <f t="shared" si="14"/>
        <v>3904.6039581298828</v>
      </c>
      <c r="AJ26" s="2">
        <v>1.0949954466923373E-3</v>
      </c>
      <c r="AK26" s="2">
        <f t="shared" si="9"/>
        <v>3904.6016931533813</v>
      </c>
      <c r="AL26" s="2">
        <v>5.2470739728960325E-4</v>
      </c>
      <c r="AM26" s="2">
        <f t="shared" si="10"/>
        <v>-2.4475314714356155E-8</v>
      </c>
      <c r="AN26" s="2">
        <f t="shared" si="11"/>
        <v>5.7455221087790279E-7</v>
      </c>
      <c r="AO26" s="2">
        <f t="shared" si="12"/>
        <v>4.5299530029296875E-3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122.32317426781505</v>
      </c>
      <c r="H27" t="s">
        <v>97</v>
      </c>
      <c r="J27" s="14" t="s">
        <v>66</v>
      </c>
      <c r="K27" s="6">
        <f xml:space="preserve"> $C$80 * (11.5 * ($C$5*2.20462/1000)^0.4 * 0.453592)</f>
        <v>9.872250026954335</v>
      </c>
      <c r="L27" s="6" t="s">
        <v>7</v>
      </c>
      <c r="N27" s="6" t="s">
        <v>33</v>
      </c>
      <c r="O27" s="6">
        <f xml:space="preserve"> O21 * $C$10 * O26 - $C$7 * SIN(O19/180*PI())</f>
        <v>1.8031111722816746</v>
      </c>
      <c r="P27" s="6" t="s">
        <v>10</v>
      </c>
      <c r="U27" s="2">
        <v>23</v>
      </c>
      <c r="V27" s="2">
        <f t="shared" si="7"/>
        <v>0.95727419853210449</v>
      </c>
      <c r="W27" s="2">
        <f t="shared" si="0"/>
        <v>1.5533462183192626E-8</v>
      </c>
      <c r="X27" s="2">
        <f t="shared" si="8"/>
        <v>0.95727431774139404</v>
      </c>
      <c r="Y27" s="2">
        <f t="shared" si="1"/>
        <v>-1.0603742117698545E-7</v>
      </c>
      <c r="Z27" s="2">
        <f t="shared" si="3"/>
        <v>0.95727425813674927</v>
      </c>
      <c r="AA27" s="2">
        <f t="shared" si="2"/>
        <v>-4.5251979496896411E-8</v>
      </c>
      <c r="AB27" s="2">
        <f t="shared" si="4"/>
        <v>-7.029199122296485E-16</v>
      </c>
      <c r="AC27" s="2">
        <f t="shared" si="5"/>
        <v>4.7984032090047149E-15</v>
      </c>
      <c r="AD27" s="2">
        <f t="shared" si="6"/>
        <v>1.1920928955078125E-7</v>
      </c>
      <c r="AF27" s="2">
        <v>23</v>
      </c>
      <c r="AG27" s="2">
        <f t="shared" si="13"/>
        <v>3904.5994281768799</v>
      </c>
      <c r="AH27" s="2">
        <v>-4.664564448830788E-5</v>
      </c>
      <c r="AI27" s="2">
        <f t="shared" si="14"/>
        <v>3904.6016931533813</v>
      </c>
      <c r="AJ27" s="2">
        <v>5.2470739728960325E-4</v>
      </c>
      <c r="AK27" s="2">
        <f t="shared" si="9"/>
        <v>3904.6005606651306</v>
      </c>
      <c r="AL27" s="2">
        <v>2.3903092505861423E-4</v>
      </c>
      <c r="AM27" s="2">
        <f t="shared" si="10"/>
        <v>-1.1149751551995482E-8</v>
      </c>
      <c r="AN27" s="2">
        <f t="shared" si="11"/>
        <v>1.2542129455923167E-7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3.9900180301979562</v>
      </c>
      <c r="H28" s="6" t="s">
        <v>172</v>
      </c>
      <c r="J28" s="14" t="s">
        <v>67</v>
      </c>
      <c r="K28" s="6">
        <f xml:space="preserve"> $C$80 * (8 * ($C$5/1000))</f>
        <v>24.989269546988993</v>
      </c>
      <c r="L28" s="6" t="s">
        <v>7</v>
      </c>
      <c r="N28" s="6" t="s">
        <v>34</v>
      </c>
      <c r="O28" s="6">
        <f xml:space="preserve"> 1/$C$31 - O25 * SQRT( (2*$C$71*PI()*$C$10^2) / O20^3 )</f>
        <v>1.1372380236211965</v>
      </c>
      <c r="U28" s="2">
        <v>24</v>
      </c>
      <c r="V28" s="2">
        <f t="shared" si="7"/>
        <v>0.95727419853210449</v>
      </c>
      <c r="W28" s="2">
        <f t="shared" si="0"/>
        <v>1.5533462183192626E-8</v>
      </c>
      <c r="X28" s="2">
        <f t="shared" si="8"/>
        <v>0.95727425813674927</v>
      </c>
      <c r="Y28" s="2">
        <f t="shared" si="1"/>
        <v>-4.5251979496896411E-8</v>
      </c>
      <c r="Z28" s="2">
        <f t="shared" si="3"/>
        <v>0.95727422833442688</v>
      </c>
      <c r="AA28" s="2">
        <f t="shared" si="2"/>
        <v>-1.4859258712363044E-8</v>
      </c>
      <c r="AB28" s="2">
        <f t="shared" si="4"/>
        <v>-2.3081573327876689E-16</v>
      </c>
      <c r="AC28" s="2">
        <f t="shared" si="5"/>
        <v>6.7241087059093181E-16</v>
      </c>
      <c r="AD28" s="2">
        <f t="shared" si="6"/>
        <v>5.9604644775390625E-8</v>
      </c>
      <c r="AF28" s="2">
        <v>24</v>
      </c>
      <c r="AG28" s="2">
        <f t="shared" si="13"/>
        <v>3904.5994281768799</v>
      </c>
      <c r="AH28" s="2">
        <v>-4.664564448830788E-5</v>
      </c>
      <c r="AI28" s="2">
        <f t="shared" si="14"/>
        <v>3904.6005606651306</v>
      </c>
      <c r="AJ28" s="2">
        <v>2.3903092505861423E-4</v>
      </c>
      <c r="AK28" s="2">
        <f t="shared" si="9"/>
        <v>3904.5999944210052</v>
      </c>
      <c r="AL28" s="2">
        <v>9.6724949798954185E-5</v>
      </c>
      <c r="AM28" s="2">
        <f t="shared" si="10"/>
        <v>-4.5117976214714441E-9</v>
      </c>
      <c r="AN28" s="2">
        <f t="shared" si="11"/>
        <v>2.3120254226692043E-8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978.58539414252039</v>
      </c>
      <c r="H29" s="22" t="s">
        <v>97</v>
      </c>
      <c r="J29" s="14" t="s">
        <v>68</v>
      </c>
      <c r="K29" s="6">
        <f xml:space="preserve"> $C$80 * (13 * ($C$5*2.20462/1000)^1.3 * 0.453592)</f>
        <v>77.46013603125111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0.95727419853210449</v>
      </c>
      <c r="W29" s="2">
        <f t="shared" si="0"/>
        <v>1.5533462183192626E-8</v>
      </c>
      <c r="X29" s="2">
        <f t="shared" si="8"/>
        <v>0.95727422833442688</v>
      </c>
      <c r="Y29" s="2">
        <f t="shared" si="1"/>
        <v>-1.4859258712363044E-8</v>
      </c>
      <c r="Z29" s="2">
        <f t="shared" si="3"/>
        <v>0.95727421343326569</v>
      </c>
      <c r="AA29" s="2">
        <f t="shared" si="2"/>
        <v>3.3710179092594217E-10</v>
      </c>
      <c r="AB29" s="2">
        <f t="shared" si="4"/>
        <v>5.2363579212346297E-18</v>
      </c>
      <c r="AC29" s="2">
        <f t="shared" si="5"/>
        <v>-5.0090827237694914E-18</v>
      </c>
      <c r="AD29" s="2">
        <f t="shared" si="6"/>
        <v>2.9802322387695312E-8</v>
      </c>
      <c r="AF29" s="2">
        <v>25</v>
      </c>
      <c r="AG29" s="2">
        <f t="shared" si="13"/>
        <v>3904.5994281768799</v>
      </c>
      <c r="AH29" s="2">
        <v>-4.664564448830788E-5</v>
      </c>
      <c r="AI29" s="2">
        <f t="shared" si="14"/>
        <v>3904.5999944210052</v>
      </c>
      <c r="AJ29" s="2">
        <v>9.6724949798954185E-5</v>
      </c>
      <c r="AK29" s="2">
        <f t="shared" si="9"/>
        <v>3904.5997112989426</v>
      </c>
      <c r="AL29" s="2">
        <v>2.4507357466063695E-5</v>
      </c>
      <c r="AM29" s="2">
        <f t="shared" si="10"/>
        <v>-1.143161483709885E-9</v>
      </c>
      <c r="AN29" s="2">
        <f t="shared" si="11"/>
        <v>2.3704729206100359E-9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-6.6112827116739936E-3</v>
      </c>
      <c r="L30" s="9" t="s">
        <v>7</v>
      </c>
      <c r="N30" s="6" t="s">
        <v>36</v>
      </c>
      <c r="O30" s="6">
        <f xml:space="preserve"> 1/$C$77 * LN( EXP($C$77 * O28) + EXP($C$77 * O29) )</f>
        <v>1.1673309788160326</v>
      </c>
      <c r="U30" s="2">
        <v>26</v>
      </c>
      <c r="V30" s="2">
        <f>IF(AB29&gt;0, Z29, V29)</f>
        <v>0.95727421343326569</v>
      </c>
      <c r="W30" s="2">
        <f t="shared" si="0"/>
        <v>3.3710179092594217E-10</v>
      </c>
      <c r="X30" s="2">
        <f t="shared" si="8"/>
        <v>0.95727422833442688</v>
      </c>
      <c r="Y30" s="2">
        <f t="shared" si="1"/>
        <v>-1.4859258712363044E-8</v>
      </c>
      <c r="Z30" s="2">
        <f t="shared" si="3"/>
        <v>0.95727422088384628</v>
      </c>
      <c r="AA30" s="2">
        <f t="shared" si="2"/>
        <v>-7.2610784052073996E-9</v>
      </c>
      <c r="AB30" s="2">
        <f t="shared" si="4"/>
        <v>-2.4477225344490984E-18</v>
      </c>
      <c r="AC30" s="2">
        <f t="shared" si="5"/>
        <v>1.0789424255372921E-16</v>
      </c>
      <c r="AD30" s="2">
        <f t="shared" si="6"/>
        <v>1.4901161193847656E-8</v>
      </c>
      <c r="AF30" s="2">
        <v>26</v>
      </c>
      <c r="AG30" s="2">
        <f t="shared" si="13"/>
        <v>3904.5994281768799</v>
      </c>
      <c r="AH30" s="2">
        <v>-4.664564448830788E-5</v>
      </c>
      <c r="AI30" s="2">
        <f t="shared" si="14"/>
        <v>3904.5997112989426</v>
      </c>
      <c r="AJ30" s="2">
        <v>2.4507357466063695E-5</v>
      </c>
      <c r="AK30" s="2">
        <f t="shared" si="9"/>
        <v>3904.5995697379112</v>
      </c>
      <c r="AL30" s="2">
        <v>-1.0536847639741609E-5</v>
      </c>
      <c r="AM30" s="2">
        <f t="shared" si="10"/>
        <v>4.9149804903085307E-10</v>
      </c>
      <c r="AN30" s="2">
        <f t="shared" si="11"/>
        <v>-2.5823029167259714E-10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0.95727421343326569</v>
      </c>
      <c r="W31" s="2">
        <f t="shared" si="0"/>
        <v>3.3710179092594217E-10</v>
      </c>
      <c r="X31" s="2">
        <f t="shared" si="8"/>
        <v>0.95727422088384628</v>
      </c>
      <c r="Y31" s="2">
        <f t="shared" si="1"/>
        <v>-7.2610784052073996E-9</v>
      </c>
      <c r="Z31" s="2">
        <f t="shared" si="3"/>
        <v>0.95727421715855598</v>
      </c>
      <c r="AA31" s="2">
        <f t="shared" si="2"/>
        <v>-3.4619883626518799E-9</v>
      </c>
      <c r="AB31" s="2">
        <f t="shared" si="4"/>
        <v>-1.1670424772147189E-18</v>
      </c>
      <c r="AC31" s="2">
        <f t="shared" si="5"/>
        <v>2.5137768939130889E-17</v>
      </c>
      <c r="AD31" s="2">
        <f t="shared" si="6"/>
        <v>7.4505805969238281E-9</v>
      </c>
      <c r="AF31" s="2">
        <v>27</v>
      </c>
      <c r="AG31" s="2">
        <f t="shared" si="13"/>
        <v>3904.5995697379112</v>
      </c>
      <c r="AH31" s="2">
        <v>-1.0536847639741609E-5</v>
      </c>
      <c r="AI31" s="2">
        <f t="shared" si="14"/>
        <v>3904.5997112989426</v>
      </c>
      <c r="AJ31" s="2">
        <v>2.4507357466063695E-5</v>
      </c>
      <c r="AK31" s="2">
        <f t="shared" si="9"/>
        <v>3904.5996405184269</v>
      </c>
      <c r="AL31" s="2">
        <v>7.5175530582782812E-6</v>
      </c>
      <c r="AM31" s="2">
        <f t="shared" si="10"/>
        <v>-7.9211311198751821E-11</v>
      </c>
      <c r="AN31" s="2">
        <f t="shared" si="11"/>
        <v>1.842353600693262E-10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0.95727421343326569</v>
      </c>
      <c r="W32" s="2">
        <f t="shared" si="0"/>
        <v>3.3710179092594217E-10</v>
      </c>
      <c r="X32" s="2">
        <f t="shared" si="8"/>
        <v>0.95727421715855598</v>
      </c>
      <c r="Y32" s="2">
        <f t="shared" si="1"/>
        <v>-3.4619883626518799E-9</v>
      </c>
      <c r="Z32" s="2">
        <f t="shared" si="3"/>
        <v>0.95727421529591084</v>
      </c>
      <c r="AA32" s="2">
        <f t="shared" si="2"/>
        <v>-1.5624432858629689E-9</v>
      </c>
      <c r="AB32" s="2">
        <f t="shared" si="4"/>
        <v>-5.2670242988462063E-19</v>
      </c>
      <c r="AC32" s="2">
        <f t="shared" si="5"/>
        <v>5.4091604729611628E-18</v>
      </c>
      <c r="AD32" s="2">
        <f t="shared" si="6"/>
        <v>3.7252902984619141E-9</v>
      </c>
      <c r="AF32" s="2">
        <v>28</v>
      </c>
      <c r="AG32" s="2">
        <f t="shared" si="13"/>
        <v>3904.5995697379112</v>
      </c>
      <c r="AH32" s="2">
        <v>-1.0536847639741609E-5</v>
      </c>
      <c r="AI32" s="2">
        <f t="shared" si="14"/>
        <v>3904.5996405184269</v>
      </c>
      <c r="AJ32" s="2">
        <v>7.5175530582782812E-6</v>
      </c>
      <c r="AK32" s="2">
        <f t="shared" si="9"/>
        <v>3904.5996051281691</v>
      </c>
      <c r="AL32" s="2">
        <v>-1.5096466086106375E-6</v>
      </c>
      <c r="AM32" s="2">
        <f t="shared" si="10"/>
        <v>1.590691630478292E-11</v>
      </c>
      <c r="AN32" s="2">
        <f t="shared" si="11"/>
        <v>-1.1348848479480333E-11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234.01649733816447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0.95727421343326569</v>
      </c>
      <c r="W33" s="2">
        <f t="shared" si="0"/>
        <v>3.3710179092594217E-10</v>
      </c>
      <c r="X33" s="2">
        <f t="shared" si="8"/>
        <v>0.95727421529591084</v>
      </c>
      <c r="Y33" s="2">
        <f t="shared" si="1"/>
        <v>-1.5624432858629689E-9</v>
      </c>
      <c r="Z33" s="2">
        <f t="shared" si="3"/>
        <v>0.95727421436458826</v>
      </c>
      <c r="AA33" s="2">
        <f t="shared" si="2"/>
        <v>-6.1267080297966459E-10</v>
      </c>
      <c r="AB33" s="2">
        <f t="shared" si="4"/>
        <v>-2.0653242493248E-19</v>
      </c>
      <c r="AC33" s="2">
        <f t="shared" si="5"/>
        <v>9.5726338255985076E-19</v>
      </c>
      <c r="AD33" s="2">
        <f t="shared" si="6"/>
        <v>1.862645149230957E-9</v>
      </c>
      <c r="AF33" s="2">
        <v>29</v>
      </c>
      <c r="AG33" s="2">
        <f t="shared" si="13"/>
        <v>3904.5996051281691</v>
      </c>
      <c r="AH33" s="2">
        <v>-1.5096466086106375E-6</v>
      </c>
      <c r="AI33" s="2">
        <f t="shared" si="14"/>
        <v>3904.5996405184269</v>
      </c>
      <c r="AJ33" s="2">
        <v>7.5175530582782812E-6</v>
      </c>
      <c r="AK33" s="2">
        <f t="shared" si="9"/>
        <v>3904.599622823298</v>
      </c>
      <c r="AL33" s="2">
        <v>3.0039523153391201E-6</v>
      </c>
      <c r="AM33" s="2">
        <f t="shared" si="10"/>
        <v>-4.5349064252797749E-12</v>
      </c>
      <c r="AN33" s="2">
        <f t="shared" si="11"/>
        <v>2.2582370915099726E-11</v>
      </c>
      <c r="AO33" s="2">
        <f t="shared" si="12"/>
        <v>3.5390257835388184E-5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15.37</v>
      </c>
      <c r="L34" s="6" t="s">
        <v>59</v>
      </c>
      <c r="U34" s="2">
        <v>30</v>
      </c>
      <c r="V34" s="2">
        <f t="shared" si="7"/>
        <v>0.95727421343326569</v>
      </c>
      <c r="W34" s="2">
        <f t="shared" si="0"/>
        <v>3.3710179092594217E-10</v>
      </c>
      <c r="X34" s="2">
        <f t="shared" si="8"/>
        <v>0.95727421436458826</v>
      </c>
      <c r="Y34" s="2">
        <f t="shared" si="1"/>
        <v>-6.1267080297966459E-10</v>
      </c>
      <c r="Z34" s="2">
        <f t="shared" si="3"/>
        <v>0.95727421389892697</v>
      </c>
      <c r="AA34" s="2">
        <f t="shared" si="2"/>
        <v>-1.3778445051570998E-10</v>
      </c>
      <c r="AB34" s="2">
        <f t="shared" si="4"/>
        <v>-4.6447385030592689E-20</v>
      </c>
      <c r="AC34" s="2">
        <f t="shared" si="5"/>
        <v>8.4416509935571892E-20</v>
      </c>
      <c r="AD34" s="2">
        <f t="shared" si="6"/>
        <v>9.3132257461547852E-10</v>
      </c>
      <c r="AF34" s="2">
        <v>30</v>
      </c>
      <c r="AG34" s="2">
        <f t="shared" si="13"/>
        <v>3904.5996051281691</v>
      </c>
      <c r="AH34" s="2">
        <v>-1.5096466086106375E-6</v>
      </c>
      <c r="AI34" s="2">
        <f t="shared" si="14"/>
        <v>3904.599622823298</v>
      </c>
      <c r="AJ34" s="2">
        <v>3.0039523153391201E-6</v>
      </c>
      <c r="AK34" s="2">
        <f t="shared" si="9"/>
        <v>3904.5996139757335</v>
      </c>
      <c r="AL34" s="2">
        <v>7.4715262599056587E-7</v>
      </c>
      <c r="AM34" s="2">
        <f t="shared" si="10"/>
        <v>-1.1279364279411898E-12</v>
      </c>
      <c r="AN34" s="2">
        <f t="shared" si="11"/>
        <v>2.244410860756064E-12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35.83</v>
      </c>
      <c r="L35" s="6" t="s">
        <v>59</v>
      </c>
      <c r="AF35" s="2">
        <v>31</v>
      </c>
      <c r="AG35" s="2">
        <f t="shared" si="13"/>
        <v>3904.5996051281691</v>
      </c>
      <c r="AH35" s="2">
        <v>-1.5096466086106375E-6</v>
      </c>
      <c r="AI35" s="2">
        <f t="shared" si="14"/>
        <v>3904.5996139757335</v>
      </c>
      <c r="AJ35" s="2">
        <v>7.4715262599056587E-7</v>
      </c>
      <c r="AK35" s="2">
        <f t="shared" si="9"/>
        <v>3904.5996095519513</v>
      </c>
      <c r="AL35" s="2">
        <v>-3.812474460573867E-7</v>
      </c>
      <c r="AM35" s="2">
        <f t="shared" si="10"/>
        <v>5.7554891398200078E-13</v>
      </c>
      <c r="AN35" s="2">
        <f t="shared" si="11"/>
        <v>-2.8485003047397308E-13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20.51</v>
      </c>
      <c r="L36" s="6" t="s">
        <v>59</v>
      </c>
      <c r="AF36" s="2">
        <v>32</v>
      </c>
      <c r="AG36" s="2">
        <f t="shared" si="13"/>
        <v>3904.5996095519513</v>
      </c>
      <c r="AH36" s="2">
        <v>-3.812474460573867E-7</v>
      </c>
      <c r="AI36" s="2">
        <f t="shared" si="14"/>
        <v>3904.5996139757335</v>
      </c>
      <c r="AJ36" s="2">
        <v>7.4715262599056587E-7</v>
      </c>
      <c r="AK36" s="2">
        <f t="shared" si="9"/>
        <v>3904.5996117638424</v>
      </c>
      <c r="AL36" s="2">
        <v>1.8295258996658958E-7</v>
      </c>
      <c r="AM36" s="2">
        <f t="shared" si="10"/>
        <v>-6.9750207674346549E-14</v>
      </c>
      <c r="AN36" s="2">
        <f t="shared" si="11"/>
        <v>1.3669350802531266E-13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23.27</v>
      </c>
      <c r="L37" s="6" t="s">
        <v>59</v>
      </c>
      <c r="AF37" s="2">
        <v>33</v>
      </c>
      <c r="AG37" s="2">
        <f t="shared" si="13"/>
        <v>3904.5996095519513</v>
      </c>
      <c r="AH37" s="2">
        <v>-3.812474460573867E-7</v>
      </c>
      <c r="AI37" s="2">
        <f t="shared" si="14"/>
        <v>3904.5996117638424</v>
      </c>
      <c r="AJ37" s="2">
        <v>1.8295258996658958E-7</v>
      </c>
      <c r="AK37" s="2">
        <f t="shared" si="9"/>
        <v>3904.5996106578968</v>
      </c>
      <c r="AL37" s="2">
        <v>-9.9145836429670453E-8</v>
      </c>
      <c r="AM37" s="2">
        <f t="shared" si="10"/>
        <v>3.7799096926035271E-14</v>
      </c>
      <c r="AN37" s="2">
        <f t="shared" si="11"/>
        <v>-1.8138987559212059E-14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5.0199999999999996</v>
      </c>
      <c r="L38" s="6" t="s">
        <v>59</v>
      </c>
      <c r="AF38" s="2">
        <v>34</v>
      </c>
      <c r="AG38" s="2">
        <f t="shared" si="13"/>
        <v>3904.5996106578968</v>
      </c>
      <c r="AH38" s="2">
        <v>-9.9145836429670453E-8</v>
      </c>
      <c r="AI38" s="2">
        <f t="shared" si="14"/>
        <v>3904.5996117638424</v>
      </c>
      <c r="AJ38" s="2">
        <v>1.8295258996658958E-7</v>
      </c>
      <c r="AK38" s="2">
        <f t="shared" si="9"/>
        <v>3904.5996112108696</v>
      </c>
      <c r="AL38" s="2">
        <v>4.1902694647433236E-8</v>
      </c>
      <c r="AM38" s="2">
        <f t="shared" si="10"/>
        <v>-4.1544777094768433E-15</v>
      </c>
      <c r="AN38" s="2">
        <f t="shared" si="11"/>
        <v>7.666206512327061E-15</v>
      </c>
      <c r="AO38" s="2">
        <f t="shared" si="12"/>
        <v>1.1059455573558807E-6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99.999999999999986</v>
      </c>
      <c r="L39" s="9" t="s">
        <v>59</v>
      </c>
      <c r="AF39" s="2">
        <v>35</v>
      </c>
      <c r="AG39" s="2">
        <f t="shared" si="13"/>
        <v>3904.5996106578968</v>
      </c>
      <c r="AH39" s="2">
        <v>-9.9145836429670453E-8</v>
      </c>
      <c r="AI39" s="2">
        <f t="shared" si="14"/>
        <v>3904.5996112108696</v>
      </c>
      <c r="AJ39" s="2">
        <v>4.1902694647433236E-8</v>
      </c>
      <c r="AK39" s="2">
        <f t="shared" si="9"/>
        <v>3904.5996109343832</v>
      </c>
      <c r="AL39" s="2">
        <v>-2.8621343517443165E-8</v>
      </c>
      <c r="AM39" s="2">
        <f t="shared" si="10"/>
        <v>2.8376870427778288E-15</v>
      </c>
      <c r="AN39" s="2">
        <f t="shared" si="11"/>
        <v>-1.1993114178107137E-15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3904.5996109343832</v>
      </c>
      <c r="AH40" s="2">
        <v>-2.8621343517443165E-8</v>
      </c>
      <c r="AI40" s="2">
        <f t="shared" si="14"/>
        <v>3904.5996112108696</v>
      </c>
      <c r="AJ40" s="2">
        <v>4.1902694647433236E-8</v>
      </c>
      <c r="AK40" s="2">
        <f t="shared" si="9"/>
        <v>3904.5996110726264</v>
      </c>
      <c r="AL40" s="2">
        <v>6.6406755649950355E-9</v>
      </c>
      <c r="AM40" s="2">
        <f t="shared" si="10"/>
        <v>-1.9006505653361389E-16</v>
      </c>
      <c r="AN40" s="2">
        <f t="shared" si="11"/>
        <v>2.7826220045265816E-16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3904.5996109343832</v>
      </c>
      <c r="AH41" s="2">
        <v>-2.8621343517443165E-8</v>
      </c>
      <c r="AI41" s="2">
        <f t="shared" si="14"/>
        <v>3904.5996110726264</v>
      </c>
      <c r="AJ41" s="2">
        <v>6.6406755649950355E-9</v>
      </c>
      <c r="AK41" s="2">
        <f t="shared" si="9"/>
        <v>3904.5996110035048</v>
      </c>
      <c r="AL41" s="2">
        <v>-1.0990788723574951E-8</v>
      </c>
      <c r="AM41" s="2">
        <f t="shared" si="10"/>
        <v>3.1457113958507937E-16</v>
      </c>
      <c r="AN41" s="2">
        <f t="shared" si="11"/>
        <v>-7.2986262116667155E-17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3904.5996110035048</v>
      </c>
      <c r="AH42" s="2">
        <v>-1.0990788723574951E-8</v>
      </c>
      <c r="AI42" s="2">
        <f t="shared" si="14"/>
        <v>3904.5996110726264</v>
      </c>
      <c r="AJ42" s="2">
        <v>6.6406755649950355E-9</v>
      </c>
      <c r="AK42" s="2">
        <f t="shared" si="9"/>
        <v>3904.5996110380656</v>
      </c>
      <c r="AL42" s="2">
        <v>-2.1755113266408443E-9</v>
      </c>
      <c r="AM42" s="2">
        <f t="shared" si="10"/>
        <v>2.3910585356853775E-17</v>
      </c>
      <c r="AN42" s="2">
        <f t="shared" si="11"/>
        <v>-1.4446864908193788E-17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1399.04</v>
      </c>
      <c r="L43" s="6" t="s">
        <v>7</v>
      </c>
      <c r="AF43" s="2">
        <v>39</v>
      </c>
      <c r="AG43" s="2">
        <f t="shared" si="13"/>
        <v>3904.5996110380656</v>
      </c>
      <c r="AH43" s="2">
        <v>-2.1755113266408443E-9</v>
      </c>
      <c r="AI43" s="2">
        <f t="shared" si="14"/>
        <v>3904.5996110726264</v>
      </c>
      <c r="AJ43" s="2">
        <v>6.6406755649950355E-9</v>
      </c>
      <c r="AK43" s="2">
        <f t="shared" si="9"/>
        <v>3904.599611055346</v>
      </c>
      <c r="AL43" s="2">
        <v>2.2332642402034253E-9</v>
      </c>
      <c r="AM43" s="2">
        <f t="shared" si="10"/>
        <v>-4.858491649944511E-18</v>
      </c>
      <c r="AN43" s="2">
        <f t="shared" si="11"/>
        <v>1.483038327009609E-17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800.78</v>
      </c>
      <c r="L44" s="6" t="s">
        <v>7</v>
      </c>
      <c r="AF44" s="2">
        <v>40</v>
      </c>
      <c r="AG44" s="2">
        <f t="shared" si="13"/>
        <v>3904.5996110380656</v>
      </c>
      <c r="AH44" s="2">
        <v>-2.1755113266408443E-9</v>
      </c>
      <c r="AI44" s="2">
        <f t="shared" si="14"/>
        <v>3904.599611055346</v>
      </c>
      <c r="AJ44" s="2">
        <v>2.2332642402034253E-9</v>
      </c>
      <c r="AK44" s="5">
        <f t="shared" si="9"/>
        <v>3904.5996110467058</v>
      </c>
      <c r="AL44" s="2">
        <v>2.8649083105847239E-11</v>
      </c>
      <c r="AM44" s="2">
        <f t="shared" si="10"/>
        <v>-6.2326404794645529E-20</v>
      </c>
      <c r="AN44" s="2">
        <f t="shared" si="11"/>
        <v>6.3980972814904723E-20</v>
      </c>
      <c r="AO44" s="2">
        <f t="shared" si="12"/>
        <v>1.7280399333685637E-8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908.73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196.04</v>
      </c>
      <c r="L46" s="6" t="s">
        <v>7</v>
      </c>
    </row>
    <row r="47" spans="2:41" x14ac:dyDescent="0.2">
      <c r="J47" s="9" t="s">
        <v>60</v>
      </c>
      <c r="K47" s="9">
        <f>SUM(K42:K46)</f>
        <v>3904.5899999999997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53:D53"/>
    <mergeCell ref="B59:D59"/>
    <mergeCell ref="B64:D64"/>
    <mergeCell ref="B70:D70"/>
    <mergeCell ref="B76:D76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liftcruise_ref</vt:lpstr>
      <vt:lpstr>liftcruise_opt_weight</vt:lpstr>
      <vt:lpstr>liftcruise_opt_energy</vt:lpstr>
      <vt:lpstr>liftcruise_opt_time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2025-06-30T13:29:35Z</dcterms:modified>
</cp:coreProperties>
</file>