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1_optimizations_of_ref_vehicle/multirotor/"/>
    </mc:Choice>
  </mc:AlternateContent>
  <xr:revisionPtr revIDLastSave="0" documentId="13_ncr:1_{101A3E6E-949C-0941-9E9F-DA5D16BEA6A2}" xr6:coauthVersionLast="47" xr6:coauthVersionMax="47" xr10:uidLastSave="{00000000-0000-0000-0000-000000000000}"/>
  <bookViews>
    <workbookView xWindow="15320" yWindow="740" windowWidth="14920" windowHeight="18900" activeTab="3" xr2:uid="{843CD013-835A-1741-B375-CD508AE79BD2}"/>
  </bookViews>
  <sheets>
    <sheet name="multirotor_ref" sheetId="13" r:id="rId1"/>
    <sheet name="multirotor_opt_weight" sheetId="16" r:id="rId2"/>
    <sheet name="multirotor_opt_energy" sheetId="17" r:id="rId3"/>
    <sheet name="multirotor_opt_time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7" l="1"/>
  <c r="C8" i="16"/>
  <c r="C8" i="18"/>
  <c r="O45" i="18"/>
  <c r="AN44" i="18"/>
  <c r="AM44" i="18"/>
  <c r="O44" i="18"/>
  <c r="AN43" i="18"/>
  <c r="AM43" i="18"/>
  <c r="AN42" i="18"/>
  <c r="AM42" i="18"/>
  <c r="AN41" i="18"/>
  <c r="AM41" i="18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G34" i="18"/>
  <c r="AN33" i="18"/>
  <c r="AM33" i="18"/>
  <c r="C33" i="18"/>
  <c r="AN32" i="18"/>
  <c r="AM32" i="18"/>
  <c r="AN31" i="18"/>
  <c r="AM31" i="18"/>
  <c r="K31" i="18"/>
  <c r="C31" i="18"/>
  <c r="AN30" i="18"/>
  <c r="AM30" i="18"/>
  <c r="AN29" i="18"/>
  <c r="AM29" i="18"/>
  <c r="AN28" i="18"/>
  <c r="AM28" i="18"/>
  <c r="G28" i="18"/>
  <c r="AN27" i="18"/>
  <c r="AM27" i="18"/>
  <c r="AN26" i="18"/>
  <c r="AM26" i="18"/>
  <c r="K26" i="18"/>
  <c r="G26" i="18"/>
  <c r="AN25" i="18"/>
  <c r="AM25" i="18"/>
  <c r="K25" i="18"/>
  <c r="G25" i="18"/>
  <c r="G27" i="18" s="1"/>
  <c r="AN24" i="18"/>
  <c r="AM24" i="18"/>
  <c r="K24" i="18"/>
  <c r="AN23" i="18"/>
  <c r="AM23" i="18"/>
  <c r="K23" i="18"/>
  <c r="AN22" i="18"/>
  <c r="AM22" i="18"/>
  <c r="AN21" i="18"/>
  <c r="AM21" i="18"/>
  <c r="K21" i="18"/>
  <c r="AN20" i="18"/>
  <c r="AM20" i="18"/>
  <c r="K20" i="18"/>
  <c r="AN19" i="18"/>
  <c r="AM19" i="18"/>
  <c r="O19" i="18"/>
  <c r="G16" i="18" s="1"/>
  <c r="G17" i="18" s="1"/>
  <c r="K19" i="18"/>
  <c r="AN18" i="18"/>
  <c r="AM18" i="18"/>
  <c r="K18" i="18"/>
  <c r="AN17" i="18"/>
  <c r="AM17" i="18"/>
  <c r="AN16" i="18"/>
  <c r="AM16" i="18"/>
  <c r="AN15" i="18"/>
  <c r="AM15" i="18"/>
  <c r="AN14" i="18"/>
  <c r="AM14" i="18"/>
  <c r="C14" i="18"/>
  <c r="G15" i="18" s="1"/>
  <c r="AN13" i="18"/>
  <c r="AM13" i="18"/>
  <c r="C13" i="18"/>
  <c r="K39" i="18" s="1"/>
  <c r="AN12" i="18"/>
  <c r="AM12" i="18"/>
  <c r="K12" i="18"/>
  <c r="G12" i="18"/>
  <c r="AN11" i="18"/>
  <c r="AM11" i="18"/>
  <c r="AN10" i="18"/>
  <c r="AM10" i="18"/>
  <c r="C10" i="18"/>
  <c r="C20" i="18" s="1"/>
  <c r="AN9" i="18"/>
  <c r="AM9" i="18"/>
  <c r="G9" i="18"/>
  <c r="AN8" i="18"/>
  <c r="AM8" i="18"/>
  <c r="AN7" i="18"/>
  <c r="AM7" i="18"/>
  <c r="G7" i="18"/>
  <c r="G8" i="18" s="1"/>
  <c r="AN6" i="18"/>
  <c r="AM6" i="18"/>
  <c r="AO5" i="18"/>
  <c r="AN5" i="18"/>
  <c r="AM5" i="18"/>
  <c r="AK5" i="18"/>
  <c r="O5" i="18"/>
  <c r="O7" i="18" s="1"/>
  <c r="O10" i="18" s="1"/>
  <c r="G5" i="18"/>
  <c r="G6" i="18" s="1"/>
  <c r="AD4" i="18"/>
  <c r="Z4" i="18"/>
  <c r="O4" i="18"/>
  <c r="G4" i="18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C14" i="17"/>
  <c r="G15" i="17" s="1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C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C8" i="13"/>
  <c r="O4" i="13" s="1"/>
  <c r="C14" i="13"/>
  <c r="O5" i="13"/>
  <c r="G34" i="13"/>
  <c r="AG6" i="16" l="1"/>
  <c r="AG6" i="17"/>
  <c r="AO6" i="17" s="1"/>
  <c r="AI6" i="18"/>
  <c r="O8" i="17"/>
  <c r="O9" i="17" s="1"/>
  <c r="O13" i="17" s="1"/>
  <c r="O14" i="17" s="1"/>
  <c r="O17" i="17" s="1"/>
  <c r="O20" i="17" s="1"/>
  <c r="O23" i="17" s="1"/>
  <c r="K35" i="18"/>
  <c r="K43" i="18"/>
  <c r="O8" i="18"/>
  <c r="O9" i="18" s="1"/>
  <c r="O13" i="18" s="1"/>
  <c r="K9" i="18"/>
  <c r="AG6" i="18"/>
  <c r="AK6" i="18" s="1"/>
  <c r="AI7" i="18" s="1"/>
  <c r="G10" i="18"/>
  <c r="G11" i="18" s="1"/>
  <c r="O46" i="18"/>
  <c r="O47" i="18" s="1"/>
  <c r="K22" i="18"/>
  <c r="K34" i="18" s="1"/>
  <c r="G31" i="18"/>
  <c r="G29" i="18" s="1"/>
  <c r="G30" i="18" s="1"/>
  <c r="K47" i="18"/>
  <c r="K43" i="17"/>
  <c r="K35" i="17"/>
  <c r="O46" i="17"/>
  <c r="O47" i="17" s="1"/>
  <c r="G10" i="17"/>
  <c r="G11" i="17" s="1"/>
  <c r="K34" i="17"/>
  <c r="K42" i="17"/>
  <c r="G6" i="17"/>
  <c r="K9" i="17" s="1"/>
  <c r="AK6" i="17"/>
  <c r="AI7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AK6" i="16"/>
  <c r="AI7" i="16" s="1"/>
  <c r="K43" i="16"/>
  <c r="O46" i="16"/>
  <c r="O47" i="16" s="1"/>
  <c r="G10" i="16"/>
  <c r="G11" i="16" s="1"/>
  <c r="K22" i="16"/>
  <c r="K42" i="16" s="1"/>
  <c r="G30" i="16"/>
  <c r="AO6" i="16"/>
  <c r="AG7" i="16"/>
  <c r="G6" i="16"/>
  <c r="G15" i="16"/>
  <c r="K47" i="16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G6" i="13" l="1"/>
  <c r="AG7" i="17"/>
  <c r="AK7" i="17" s="1"/>
  <c r="O18" i="16"/>
  <c r="O21" i="16" s="1"/>
  <c r="G21" i="16" s="1"/>
  <c r="O18" i="17"/>
  <c r="O21" i="17" s="1"/>
  <c r="G21" i="17" s="1"/>
  <c r="O14" i="18"/>
  <c r="O17" i="18" s="1"/>
  <c r="O20" i="18" s="1"/>
  <c r="O23" i="18" s="1"/>
  <c r="O18" i="18"/>
  <c r="AG7" i="18"/>
  <c r="K42" i="18"/>
  <c r="AO6" i="18"/>
  <c r="K34" i="16"/>
  <c r="O26" i="17"/>
  <c r="O28" i="17" s="1"/>
  <c r="AK7" i="16"/>
  <c r="AI8" i="16" s="1"/>
  <c r="AO7" i="16"/>
  <c r="K9" i="16"/>
  <c r="AI6" i="13"/>
  <c r="AO6" i="13" s="1"/>
  <c r="G27" i="13"/>
  <c r="G15" i="13"/>
  <c r="K9" i="13" s="1"/>
  <c r="K31" i="13"/>
  <c r="AO7" i="17" l="1"/>
  <c r="O26" i="16"/>
  <c r="O28" i="16" s="1"/>
  <c r="K14" i="17"/>
  <c r="K15" i="17" s="1"/>
  <c r="G18" i="17"/>
  <c r="K14" i="16"/>
  <c r="K15" i="16" s="1"/>
  <c r="G18" i="16"/>
  <c r="AI8" i="17"/>
  <c r="AG8" i="17"/>
  <c r="AA4" i="17"/>
  <c r="Y4" i="17"/>
  <c r="K14" i="18"/>
  <c r="K15" i="18" s="1"/>
  <c r="G18" i="18"/>
  <c r="O21" i="18"/>
  <c r="O26" i="18"/>
  <c r="O28" i="18" s="1"/>
  <c r="AK7" i="18"/>
  <c r="AI8" i="18" s="1"/>
  <c r="AO7" i="18"/>
  <c r="Y4" i="16"/>
  <c r="W4" i="16"/>
  <c r="AA4" i="16"/>
  <c r="W4" i="17"/>
  <c r="AG8" i="16"/>
  <c r="AO8" i="16" s="1"/>
  <c r="AK6" i="13"/>
  <c r="AG7" i="13" s="1"/>
  <c r="AI7" i="13"/>
  <c r="AK8" i="17" l="1"/>
  <c r="AI9" i="17" s="1"/>
  <c r="AB4" i="17"/>
  <c r="V5" i="17" s="1"/>
  <c r="W5" i="17" s="1"/>
  <c r="AG8" i="18"/>
  <c r="AO8" i="18" s="1"/>
  <c r="AC4" i="17"/>
  <c r="X5" i="17" s="1"/>
  <c r="Y5" i="17" s="1"/>
  <c r="AB4" i="16"/>
  <c r="V5" i="16" s="1"/>
  <c r="W5" i="16" s="1"/>
  <c r="AG9" i="17"/>
  <c r="AK9" i="17" s="1"/>
  <c r="AG10" i="17" s="1"/>
  <c r="AO8" i="17"/>
  <c r="AC4" i="16"/>
  <c r="X5" i="16" s="1"/>
  <c r="W4" i="18"/>
  <c r="Y4" i="18"/>
  <c r="G21" i="18"/>
  <c r="AA4" i="18"/>
  <c r="AK8" i="16"/>
  <c r="AI9" i="16" s="1"/>
  <c r="AG9" i="16"/>
  <c r="AK7" i="13"/>
  <c r="AI8" i="13" s="1"/>
  <c r="AO7" i="13"/>
  <c r="AG8" i="13"/>
  <c r="AD5" i="16" l="1"/>
  <c r="AK8" i="18"/>
  <c r="AI9" i="18" s="1"/>
  <c r="AD5" i="17"/>
  <c r="AG9" i="18"/>
  <c r="Z5" i="16"/>
  <c r="AA5" i="16" s="1"/>
  <c r="AB5" i="16" s="1"/>
  <c r="V6" i="16" s="1"/>
  <c r="W6" i="16" s="1"/>
  <c r="Y5" i="16"/>
  <c r="AO9" i="17"/>
  <c r="Z5" i="17"/>
  <c r="AA5" i="17" s="1"/>
  <c r="AC5" i="17" s="1"/>
  <c r="X6" i="17" s="1"/>
  <c r="Y6" i="17" s="1"/>
  <c r="AK8" i="13"/>
  <c r="AI9" i="13" s="1"/>
  <c r="AK9" i="16"/>
  <c r="AG10" i="16" s="1"/>
  <c r="AI10" i="17"/>
  <c r="AO10" i="17" s="1"/>
  <c r="AO9" i="16"/>
  <c r="AC4" i="18"/>
  <c r="X5" i="18" s="1"/>
  <c r="AB4" i="18"/>
  <c r="V5" i="18" s="1"/>
  <c r="AO8" i="13"/>
  <c r="AO9" i="18" l="1"/>
  <c r="AK9" i="18"/>
  <c r="AG10" i="18" s="1"/>
  <c r="AC5" i="16"/>
  <c r="X6" i="16" s="1"/>
  <c r="AD6" i="16" s="1"/>
  <c r="AG9" i="13"/>
  <c r="AO9" i="13" s="1"/>
  <c r="AI10" i="16"/>
  <c r="AK10" i="16" s="1"/>
  <c r="AI11" i="16" s="1"/>
  <c r="AI10" i="18"/>
  <c r="AK10" i="18" s="1"/>
  <c r="AG11" i="18" s="1"/>
  <c r="AB5" i="17"/>
  <c r="V6" i="17" s="1"/>
  <c r="AD6" i="17" s="1"/>
  <c r="AK10" i="17"/>
  <c r="Z5" i="18"/>
  <c r="AA5" i="18" s="1"/>
  <c r="W5" i="18"/>
  <c r="AD5" i="18"/>
  <c r="Y5" i="18"/>
  <c r="AO10" i="16" l="1"/>
  <c r="AK9" i="13"/>
  <c r="Z6" i="16"/>
  <c r="AA6" i="16" s="1"/>
  <c r="AB6" i="16" s="1"/>
  <c r="V7" i="16" s="1"/>
  <c r="W7" i="16" s="1"/>
  <c r="Y6" i="16"/>
  <c r="AC5" i="18"/>
  <c r="X6" i="18" s="1"/>
  <c r="Y6" i="18" s="1"/>
  <c r="AO10" i="18"/>
  <c r="AG11" i="16"/>
  <c r="AK11" i="16" s="1"/>
  <c r="AG12" i="16" s="1"/>
  <c r="Z6" i="17"/>
  <c r="AA6" i="17" s="1"/>
  <c r="AC6" i="17" s="1"/>
  <c r="X7" i="17" s="1"/>
  <c r="Y7" i="17" s="1"/>
  <c r="W6" i="17"/>
  <c r="AI11" i="18"/>
  <c r="AO11" i="18" s="1"/>
  <c r="AG11" i="17"/>
  <c r="AI11" i="17"/>
  <c r="AB5" i="18"/>
  <c r="V6" i="18" s="1"/>
  <c r="AG12" i="18"/>
  <c r="AG10" i="13"/>
  <c r="AI10" i="13"/>
  <c r="AC6" i="16" l="1"/>
  <c r="X7" i="16" s="1"/>
  <c r="AO11" i="16"/>
  <c r="AK11" i="18"/>
  <c r="AI12" i="18" s="1"/>
  <c r="AB6" i="17"/>
  <c r="V7" i="17" s="1"/>
  <c r="Z7" i="17" s="1"/>
  <c r="AA7" i="17" s="1"/>
  <c r="AC7" i="17" s="1"/>
  <c r="X8" i="17" s="1"/>
  <c r="Y8" i="17" s="1"/>
  <c r="AO11" i="17"/>
  <c r="AK11" i="17"/>
  <c r="AI12" i="17" s="1"/>
  <c r="AG12" i="17"/>
  <c r="AI12" i="16"/>
  <c r="AO12" i="16" s="1"/>
  <c r="W6" i="18"/>
  <c r="Z6" i="18"/>
  <c r="AA6" i="18" s="1"/>
  <c r="AC6" i="18" s="1"/>
  <c r="X7" i="18" s="1"/>
  <c r="AD6" i="18"/>
  <c r="AK12" i="18"/>
  <c r="AI13" i="18" s="1"/>
  <c r="AO12" i="18"/>
  <c r="AD7" i="16"/>
  <c r="Y7" i="16"/>
  <c r="Z7" i="16"/>
  <c r="AA7" i="16" s="1"/>
  <c r="AB7" i="16" s="1"/>
  <c r="V8" i="16" s="1"/>
  <c r="AO10" i="13"/>
  <c r="AK10" i="13"/>
  <c r="AG11" i="13" s="1"/>
  <c r="W7" i="17" l="1"/>
  <c r="AB7" i="17" s="1"/>
  <c r="V8" i="17" s="1"/>
  <c r="AD7" i="17"/>
  <c r="AG13" i="18"/>
  <c r="AK12" i="16"/>
  <c r="AI13" i="16" s="1"/>
  <c r="AK12" i="17"/>
  <c r="AI13" i="17" s="1"/>
  <c r="AO12" i="17"/>
  <c r="Y7" i="18"/>
  <c r="AB6" i="18"/>
  <c r="V7" i="18" s="1"/>
  <c r="AO13" i="18"/>
  <c r="AK13" i="18"/>
  <c r="AG14" i="18" s="1"/>
  <c r="AG13" i="16"/>
  <c r="W8" i="16"/>
  <c r="AC7" i="16"/>
  <c r="X8" i="16" s="1"/>
  <c r="AI11" i="13"/>
  <c r="AK11" i="13" s="1"/>
  <c r="W8" i="17" l="1"/>
  <c r="AD8" i="17"/>
  <c r="Z8" i="17"/>
  <c r="AA8" i="17" s="1"/>
  <c r="AC8" i="17" s="1"/>
  <c r="X9" i="17" s="1"/>
  <c r="AK13" i="16"/>
  <c r="AI14" i="16" s="1"/>
  <c r="AI14" i="18"/>
  <c r="AK14" i="18" s="1"/>
  <c r="AG13" i="17"/>
  <c r="AO13" i="17" s="1"/>
  <c r="Z7" i="18"/>
  <c r="AA7" i="18" s="1"/>
  <c r="AC7" i="18" s="1"/>
  <c r="X8" i="18" s="1"/>
  <c r="W7" i="18"/>
  <c r="AD7" i="18"/>
  <c r="AO14" i="18"/>
  <c r="AG14" i="16"/>
  <c r="AO13" i="16"/>
  <c r="AD8" i="16"/>
  <c r="Y8" i="16"/>
  <c r="Z8" i="16"/>
  <c r="AA8" i="16" s="1"/>
  <c r="AB8" i="16" s="1"/>
  <c r="V9" i="16" s="1"/>
  <c r="AO11" i="13"/>
  <c r="AG12" i="13"/>
  <c r="AI12" i="13"/>
  <c r="AK13" i="17" l="1"/>
  <c r="Y9" i="17"/>
  <c r="AB8" i="17"/>
  <c r="V9" i="17" s="1"/>
  <c r="AG15" i="18"/>
  <c r="AI15" i="18"/>
  <c r="AB7" i="18"/>
  <c r="V8" i="18" s="1"/>
  <c r="Z8" i="18" s="1"/>
  <c r="AA8" i="18" s="1"/>
  <c r="AG14" i="17"/>
  <c r="AI14" i="17"/>
  <c r="AD8" i="18"/>
  <c r="Y8" i="18"/>
  <c r="AO14" i="16"/>
  <c r="AK14" i="16"/>
  <c r="W9" i="16"/>
  <c r="AC8" i="16"/>
  <c r="X9" i="16" s="1"/>
  <c r="AO12" i="13"/>
  <c r="AK12" i="13"/>
  <c r="AI13" i="13" s="1"/>
  <c r="W8" i="18" l="1"/>
  <c r="AK15" i="18"/>
  <c r="AO14" i="17"/>
  <c r="AO15" i="18"/>
  <c r="W9" i="17"/>
  <c r="Z9" i="17"/>
  <c r="AA9" i="17" s="1"/>
  <c r="AC9" i="17" s="1"/>
  <c r="X10" i="17" s="1"/>
  <c r="AD9" i="17"/>
  <c r="AC8" i="18"/>
  <c r="X9" i="18" s="1"/>
  <c r="Y9" i="18" s="1"/>
  <c r="AB8" i="18"/>
  <c r="V9" i="18" s="1"/>
  <c r="W9" i="18" s="1"/>
  <c r="AK14" i="17"/>
  <c r="AI15" i="16"/>
  <c r="AG15" i="16"/>
  <c r="AD9" i="16"/>
  <c r="Y9" i="16"/>
  <c r="Z9" i="16"/>
  <c r="AA9" i="16" s="1"/>
  <c r="AB9" i="16" s="1"/>
  <c r="V10" i="16" s="1"/>
  <c r="AG13" i="13"/>
  <c r="AK13" i="13" s="1"/>
  <c r="AI14" i="13" s="1"/>
  <c r="AD9" i="18" l="1"/>
  <c r="AG16" i="18"/>
  <c r="AI16" i="18"/>
  <c r="Z9" i="18"/>
  <c r="AA9" i="18" s="1"/>
  <c r="AC9" i="18" s="1"/>
  <c r="X10" i="18" s="1"/>
  <c r="Y10" i="17"/>
  <c r="AB9" i="17"/>
  <c r="V10" i="17" s="1"/>
  <c r="AI17" i="18"/>
  <c r="AK15" i="16"/>
  <c r="AG16" i="16" s="1"/>
  <c r="AG15" i="17"/>
  <c r="AI15" i="17"/>
  <c r="AI16" i="16"/>
  <c r="AO15" i="16"/>
  <c r="W10" i="16"/>
  <c r="AC9" i="16"/>
  <c r="X10" i="16" s="1"/>
  <c r="AO13" i="13"/>
  <c r="AG14" i="13"/>
  <c r="AO14" i="13" s="1"/>
  <c r="AO16" i="18" l="1"/>
  <c r="AB9" i="18"/>
  <c r="V10" i="18" s="1"/>
  <c r="AD10" i="18" s="1"/>
  <c r="AK16" i="18"/>
  <c r="AG17" i="18" s="1"/>
  <c r="AK17" i="18" s="1"/>
  <c r="AI18" i="18" s="1"/>
  <c r="AO15" i="17"/>
  <c r="Z10" i="17"/>
  <c r="AA10" i="17" s="1"/>
  <c r="AC10" i="17" s="1"/>
  <c r="X11" i="17" s="1"/>
  <c r="W10" i="17"/>
  <c r="AD10" i="17"/>
  <c r="AK16" i="16"/>
  <c r="AI17" i="16" s="1"/>
  <c r="AK15" i="17"/>
  <c r="AG18" i="18"/>
  <c r="Y10" i="18"/>
  <c r="AO16" i="16"/>
  <c r="AD10" i="16"/>
  <c r="Y10" i="16"/>
  <c r="Z10" i="16"/>
  <c r="AA10" i="16" s="1"/>
  <c r="AB10" i="16" s="1"/>
  <c r="V11" i="16" s="1"/>
  <c r="AK14" i="13"/>
  <c r="AG15" i="13" s="1"/>
  <c r="AO17" i="18" l="1"/>
  <c r="Z10" i="18"/>
  <c r="AA10" i="18" s="1"/>
  <c r="AC10" i="18" s="1"/>
  <c r="X11" i="18" s="1"/>
  <c r="W10" i="18"/>
  <c r="AG17" i="16"/>
  <c r="AO17" i="16" s="1"/>
  <c r="AB10" i="17"/>
  <c r="V11" i="17" s="1"/>
  <c r="AO18" i="18"/>
  <c r="Y11" i="17"/>
  <c r="AD11" i="17"/>
  <c r="W11" i="17"/>
  <c r="Z11" i="17"/>
  <c r="AA11" i="17" s="1"/>
  <c r="AG16" i="17"/>
  <c r="AI16" i="17"/>
  <c r="AK18" i="18"/>
  <c r="W11" i="16"/>
  <c r="AC10" i="16"/>
  <c r="X11" i="16" s="1"/>
  <c r="AI15" i="13"/>
  <c r="AK15" i="13" s="1"/>
  <c r="AK17" i="16" l="1"/>
  <c r="AG18" i="16" s="1"/>
  <c r="AB10" i="18"/>
  <c r="V11" i="18" s="1"/>
  <c r="W11" i="18" s="1"/>
  <c r="AI18" i="16"/>
  <c r="AO18" i="16" s="1"/>
  <c r="AB11" i="17"/>
  <c r="V12" i="17" s="1"/>
  <c r="W12" i="17" s="1"/>
  <c r="AC11" i="17"/>
  <c r="X12" i="17" s="1"/>
  <c r="AO16" i="17"/>
  <c r="AK16" i="17"/>
  <c r="AI17" i="17" s="1"/>
  <c r="AG19" i="18"/>
  <c r="AI19" i="18"/>
  <c r="Y11" i="18"/>
  <c r="AD11" i="16"/>
  <c r="Y11" i="16"/>
  <c r="Z11" i="16"/>
  <c r="AA11" i="16" s="1"/>
  <c r="AB11" i="16" s="1"/>
  <c r="V12" i="16" s="1"/>
  <c r="AO15" i="13"/>
  <c r="AG16" i="13"/>
  <c r="AI16" i="13"/>
  <c r="AG17" i="17" l="1"/>
  <c r="AK18" i="16"/>
  <c r="AI19" i="16" s="1"/>
  <c r="Z11" i="18"/>
  <c r="AA11" i="18" s="1"/>
  <c r="AB11" i="18" s="1"/>
  <c r="V12" i="18" s="1"/>
  <c r="W12" i="18" s="1"/>
  <c r="AD11" i="18"/>
  <c r="AO19" i="18"/>
  <c r="AG19" i="16"/>
  <c r="AK19" i="16" s="1"/>
  <c r="AI20" i="16" s="1"/>
  <c r="AD12" i="17"/>
  <c r="Y12" i="17"/>
  <c r="Z12" i="17"/>
  <c r="AA12" i="17" s="1"/>
  <c r="AB12" i="17" s="1"/>
  <c r="V13" i="17" s="1"/>
  <c r="W13" i="17" s="1"/>
  <c r="AK17" i="17"/>
  <c r="AG18" i="17" s="1"/>
  <c r="AO17" i="17"/>
  <c r="AI18" i="17"/>
  <c r="AK19" i="18"/>
  <c r="W12" i="16"/>
  <c r="AC11" i="16"/>
  <c r="X12" i="16" s="1"/>
  <c r="AO16" i="13"/>
  <c r="AK16" i="13"/>
  <c r="AC11" i="18" l="1"/>
  <c r="X12" i="18" s="1"/>
  <c r="AD12" i="18" s="1"/>
  <c r="AO19" i="16"/>
  <c r="Y12" i="18"/>
  <c r="AC12" i="17"/>
  <c r="X13" i="17" s="1"/>
  <c r="Z13" i="17" s="1"/>
  <c r="AA13" i="17" s="1"/>
  <c r="AB13" i="17" s="1"/>
  <c r="V14" i="17" s="1"/>
  <c r="W14" i="17" s="1"/>
  <c r="AO18" i="17"/>
  <c r="AG20" i="16"/>
  <c r="AO20" i="16" s="1"/>
  <c r="AK18" i="17"/>
  <c r="AG20" i="18"/>
  <c r="AI20" i="18"/>
  <c r="AD12" i="16"/>
  <c r="Y12" i="16"/>
  <c r="Z12" i="16"/>
  <c r="AA12" i="16" s="1"/>
  <c r="AB12" i="16" s="1"/>
  <c r="V13" i="16" s="1"/>
  <c r="AG17" i="13"/>
  <c r="AI17" i="13"/>
  <c r="Z12" i="18" l="1"/>
  <c r="AA12" i="18" s="1"/>
  <c r="AK20" i="16"/>
  <c r="AO20" i="18"/>
  <c r="AD13" i="17"/>
  <c r="Y13" i="17"/>
  <c r="AC13" i="17" s="1"/>
  <c r="X14" i="17" s="1"/>
  <c r="AD14" i="17" s="1"/>
  <c r="AI19" i="17"/>
  <c r="AG19" i="17"/>
  <c r="AK20" i="18"/>
  <c r="W13" i="16"/>
  <c r="AC12" i="16"/>
  <c r="X13" i="16" s="1"/>
  <c r="AK17" i="13"/>
  <c r="AO17" i="13"/>
  <c r="AG21" i="16" l="1"/>
  <c r="AI21" i="16"/>
  <c r="AO21" i="16" s="1"/>
  <c r="AB12" i="18"/>
  <c r="V13" i="18" s="1"/>
  <c r="W13" i="18" s="1"/>
  <c r="AC12" i="18"/>
  <c r="X13" i="18" s="1"/>
  <c r="Z14" i="17"/>
  <c r="AA14" i="17" s="1"/>
  <c r="AB14" i="17" s="1"/>
  <c r="V15" i="17" s="1"/>
  <c r="Y14" i="17"/>
  <c r="AK19" i="17"/>
  <c r="AI20" i="17" s="1"/>
  <c r="AO19" i="17"/>
  <c r="AG21" i="18"/>
  <c r="AI21" i="18"/>
  <c r="W15" i="17"/>
  <c r="AD13" i="16"/>
  <c r="Y13" i="16"/>
  <c r="Z13" i="16"/>
  <c r="AA13" i="16" s="1"/>
  <c r="AB13" i="16" s="1"/>
  <c r="V14" i="16" s="1"/>
  <c r="AI18" i="13"/>
  <c r="AG18" i="13"/>
  <c r="AK21" i="16" l="1"/>
  <c r="Z13" i="18"/>
  <c r="AA13" i="18" s="1"/>
  <c r="AB13" i="18" s="1"/>
  <c r="V14" i="18" s="1"/>
  <c r="W14" i="18" s="1"/>
  <c r="Y13" i="18"/>
  <c r="AD13" i="18"/>
  <c r="AC14" i="17"/>
  <c r="X15" i="17" s="1"/>
  <c r="AO21" i="18"/>
  <c r="AG20" i="17"/>
  <c r="AK20" i="17" s="1"/>
  <c r="AG21" i="17" s="1"/>
  <c r="AK21" i="18"/>
  <c r="AD15" i="17"/>
  <c r="Y15" i="17"/>
  <c r="Z15" i="17"/>
  <c r="AA15" i="17" s="1"/>
  <c r="AB15" i="17" s="1"/>
  <c r="V16" i="17" s="1"/>
  <c r="W14" i="16"/>
  <c r="AC13" i="16"/>
  <c r="X14" i="16" s="1"/>
  <c r="AK18" i="13"/>
  <c r="AG19" i="13" s="1"/>
  <c r="AO18" i="13"/>
  <c r="AI22" i="16" l="1"/>
  <c r="AG22" i="16"/>
  <c r="AC13" i="18"/>
  <c r="X14" i="18" s="1"/>
  <c r="Z14" i="18" s="1"/>
  <c r="AA14" i="18" s="1"/>
  <c r="AB14" i="18" s="1"/>
  <c r="V15" i="18" s="1"/>
  <c r="Y14" i="18"/>
  <c r="AD14" i="18"/>
  <c r="AO20" i="17"/>
  <c r="AI21" i="17"/>
  <c r="AK21" i="17" s="1"/>
  <c r="AG22" i="17" s="1"/>
  <c r="AG22" i="18"/>
  <c r="AI22" i="18"/>
  <c r="W16" i="17"/>
  <c r="AC15" i="17"/>
  <c r="X16" i="17" s="1"/>
  <c r="AD14" i="16"/>
  <c r="Y14" i="16"/>
  <c r="Z14" i="16"/>
  <c r="AA14" i="16" s="1"/>
  <c r="AB14" i="16" s="1"/>
  <c r="V15" i="16" s="1"/>
  <c r="AI19" i="13"/>
  <c r="AO19" i="13" s="1"/>
  <c r="AK22" i="16" l="1"/>
  <c r="AI23" i="16"/>
  <c r="AG23" i="16"/>
  <c r="AK23" i="16" s="1"/>
  <c r="AI24" i="16" s="1"/>
  <c r="AO22" i="16"/>
  <c r="AC14" i="18"/>
  <c r="X15" i="18" s="1"/>
  <c r="AD15" i="18" s="1"/>
  <c r="W15" i="18"/>
  <c r="Z15" i="18"/>
  <c r="AA15" i="18" s="1"/>
  <c r="AO21" i="17"/>
  <c r="AO22" i="18"/>
  <c r="AI22" i="17"/>
  <c r="AO22" i="17" s="1"/>
  <c r="AK22" i="18"/>
  <c r="AD16" i="17"/>
  <c r="Y16" i="17"/>
  <c r="Z16" i="17"/>
  <c r="AA16" i="17" s="1"/>
  <c r="AB16" i="17" s="1"/>
  <c r="V17" i="17" s="1"/>
  <c r="AG24" i="16"/>
  <c r="W15" i="16"/>
  <c r="AC14" i="16"/>
  <c r="X15" i="16" s="1"/>
  <c r="AK19" i="13"/>
  <c r="AG20" i="13" s="1"/>
  <c r="AO23" i="16" l="1"/>
  <c r="Y15" i="18"/>
  <c r="AB15" i="18"/>
  <c r="V16" i="18" s="1"/>
  <c r="W16" i="18" s="1"/>
  <c r="AC15" i="18"/>
  <c r="X16" i="18" s="1"/>
  <c r="AK22" i="17"/>
  <c r="AK24" i="16"/>
  <c r="AG25" i="16" s="1"/>
  <c r="AI23" i="17"/>
  <c r="AG23" i="17"/>
  <c r="AG23" i="18"/>
  <c r="AI23" i="18"/>
  <c r="W17" i="17"/>
  <c r="AC16" i="17"/>
  <c r="X17" i="17" s="1"/>
  <c r="AO24" i="16"/>
  <c r="AD15" i="16"/>
  <c r="Y15" i="16"/>
  <c r="Z15" i="16"/>
  <c r="AA15" i="16" s="1"/>
  <c r="AB15" i="16" s="1"/>
  <c r="V16" i="16" s="1"/>
  <c r="AI20" i="13"/>
  <c r="AO20" i="13" s="1"/>
  <c r="AI25" i="16" l="1"/>
  <c r="Y16" i="18"/>
  <c r="AD16" i="18"/>
  <c r="Z16" i="18"/>
  <c r="AA16" i="18" s="1"/>
  <c r="AB16" i="18" s="1"/>
  <c r="V17" i="18" s="1"/>
  <c r="AO23" i="18"/>
  <c r="AK23" i="17"/>
  <c r="AG24" i="17" s="1"/>
  <c r="AK25" i="16"/>
  <c r="AI26" i="16" s="1"/>
  <c r="AI24" i="17"/>
  <c r="AO23" i="17"/>
  <c r="AK23" i="18"/>
  <c r="AD17" i="17"/>
  <c r="Y17" i="17"/>
  <c r="Z17" i="17"/>
  <c r="AA17" i="17" s="1"/>
  <c r="AB17" i="17" s="1"/>
  <c r="V18" i="17" s="1"/>
  <c r="AO25" i="16"/>
  <c r="W16" i="16"/>
  <c r="AC15" i="16"/>
  <c r="X16" i="16" s="1"/>
  <c r="AK20" i="13"/>
  <c r="AG21" i="13" s="1"/>
  <c r="AG26" i="16" l="1"/>
  <c r="W17" i="18"/>
  <c r="AC16" i="18"/>
  <c r="X17" i="18" s="1"/>
  <c r="AK24" i="17"/>
  <c r="AI25" i="17" s="1"/>
  <c r="AO24" i="17"/>
  <c r="AG24" i="18"/>
  <c r="AI24" i="18"/>
  <c r="W18" i="17"/>
  <c r="AC17" i="17"/>
  <c r="X18" i="17" s="1"/>
  <c r="AK26" i="16"/>
  <c r="AO26" i="16"/>
  <c r="AD16" i="16"/>
  <c r="Y16" i="16"/>
  <c r="Z16" i="16"/>
  <c r="AA16" i="16" s="1"/>
  <c r="AB16" i="16" s="1"/>
  <c r="V17" i="16" s="1"/>
  <c r="AI21" i="13"/>
  <c r="AO21" i="13" s="1"/>
  <c r="AO24" i="18" l="1"/>
  <c r="AD17" i="18"/>
  <c r="Y17" i="18"/>
  <c r="Z17" i="18"/>
  <c r="AA17" i="18" s="1"/>
  <c r="AB17" i="18" s="1"/>
  <c r="V18" i="18" s="1"/>
  <c r="AG25" i="17"/>
  <c r="AK25" i="17" s="1"/>
  <c r="AK24" i="18"/>
  <c r="AD18" i="17"/>
  <c r="Y18" i="17"/>
  <c r="Z18" i="17"/>
  <c r="AA18" i="17" s="1"/>
  <c r="AB18" i="17" s="1"/>
  <c r="V19" i="17" s="1"/>
  <c r="AG27" i="16"/>
  <c r="AI27" i="16"/>
  <c r="W17" i="16"/>
  <c r="AC16" i="16"/>
  <c r="X17" i="16" s="1"/>
  <c r="AK21" i="13"/>
  <c r="AG22" i="13" s="1"/>
  <c r="W18" i="18" l="1"/>
  <c r="AC17" i="18"/>
  <c r="X18" i="18" s="1"/>
  <c r="Z18" i="18" s="1"/>
  <c r="AA18" i="18" s="1"/>
  <c r="AB18" i="18" s="1"/>
  <c r="V19" i="18" s="1"/>
  <c r="AO25" i="17"/>
  <c r="AG26" i="17"/>
  <c r="AI26" i="17"/>
  <c r="AO27" i="16"/>
  <c r="AG25" i="18"/>
  <c r="AI25" i="18"/>
  <c r="W19" i="17"/>
  <c r="AC18" i="17"/>
  <c r="X19" i="17" s="1"/>
  <c r="AK27" i="16"/>
  <c r="AD17" i="16"/>
  <c r="Y17" i="16"/>
  <c r="Z17" i="16"/>
  <c r="AA17" i="16" s="1"/>
  <c r="AB17" i="16" s="1"/>
  <c r="V18" i="16" s="1"/>
  <c r="AI22" i="13"/>
  <c r="AO22" i="13" s="1"/>
  <c r="W19" i="18" l="1"/>
  <c r="AD18" i="18"/>
  <c r="Y18" i="18"/>
  <c r="AC18" i="18" s="1"/>
  <c r="X19" i="18" s="1"/>
  <c r="Z19" i="18" s="1"/>
  <c r="AA19" i="18" s="1"/>
  <c r="AB19" i="18" s="1"/>
  <c r="V20" i="18" s="1"/>
  <c r="W20" i="18" s="1"/>
  <c r="AO26" i="17"/>
  <c r="AK26" i="17"/>
  <c r="AG27" i="17" s="1"/>
  <c r="AI27" i="17"/>
  <c r="AO25" i="18"/>
  <c r="AK25" i="18"/>
  <c r="AD19" i="17"/>
  <c r="Y19" i="17"/>
  <c r="Z19" i="17"/>
  <c r="AA19" i="17" s="1"/>
  <c r="AB19" i="17" s="1"/>
  <c r="V20" i="17" s="1"/>
  <c r="AI28" i="16"/>
  <c r="AG28" i="16"/>
  <c r="W18" i="16"/>
  <c r="AC17" i="16"/>
  <c r="X18" i="16" s="1"/>
  <c r="AK22" i="13"/>
  <c r="AG23" i="13" s="1"/>
  <c r="AD19" i="18" l="1"/>
  <c r="Y19" i="18"/>
  <c r="AC19" i="18" s="1"/>
  <c r="X20" i="18" s="1"/>
  <c r="Z20" i="18" s="1"/>
  <c r="AA20" i="18" s="1"/>
  <c r="AB20" i="18" s="1"/>
  <c r="V21" i="18" s="1"/>
  <c r="AO27" i="17"/>
  <c r="AK27" i="17"/>
  <c r="AG28" i="17"/>
  <c r="AI28" i="17"/>
  <c r="AO28" i="17" s="1"/>
  <c r="AK28" i="16"/>
  <c r="AI29" i="16" s="1"/>
  <c r="AG26" i="18"/>
  <c r="AI26" i="18"/>
  <c r="W20" i="17"/>
  <c r="AC19" i="17"/>
  <c r="X20" i="17" s="1"/>
  <c r="AO28" i="16"/>
  <c r="AD18" i="16"/>
  <c r="Y18" i="16"/>
  <c r="Z18" i="16"/>
  <c r="AA18" i="16" s="1"/>
  <c r="AB18" i="16" s="1"/>
  <c r="V19" i="16" s="1"/>
  <c r="AI23" i="13"/>
  <c r="AO23" i="13" s="1"/>
  <c r="Y20" i="18" l="1"/>
  <c r="AK28" i="17"/>
  <c r="AD20" i="18"/>
  <c r="AO26" i="18"/>
  <c r="AG29" i="16"/>
  <c r="AO29" i="16" s="1"/>
  <c r="AI29" i="17"/>
  <c r="AG29" i="17"/>
  <c r="AK26" i="18"/>
  <c r="W21" i="18"/>
  <c r="AC20" i="18"/>
  <c r="X21" i="18" s="1"/>
  <c r="AD20" i="17"/>
  <c r="Y20" i="17"/>
  <c r="Z20" i="17"/>
  <c r="AA20" i="17" s="1"/>
  <c r="AB20" i="17" s="1"/>
  <c r="V21" i="17" s="1"/>
  <c r="W19" i="16"/>
  <c r="AC18" i="16"/>
  <c r="X19" i="16" s="1"/>
  <c r="AK23" i="13"/>
  <c r="AG24" i="13" s="1"/>
  <c r="AK29" i="16" l="1"/>
  <c r="AK29" i="17"/>
  <c r="AI30" i="17"/>
  <c r="AG30" i="17"/>
  <c r="AO29" i="17"/>
  <c r="AG27" i="18"/>
  <c r="AI27" i="18"/>
  <c r="AD21" i="18"/>
  <c r="Y21" i="18"/>
  <c r="Z21" i="18"/>
  <c r="AA21" i="18" s="1"/>
  <c r="AB21" i="18" s="1"/>
  <c r="V22" i="18" s="1"/>
  <c r="W21" i="17"/>
  <c r="AC20" i="17"/>
  <c r="X21" i="17" s="1"/>
  <c r="AI30" i="16"/>
  <c r="AG30" i="16"/>
  <c r="AD19" i="16"/>
  <c r="Y19" i="16"/>
  <c r="Z19" i="16"/>
  <c r="AA19" i="16" s="1"/>
  <c r="AB19" i="16" s="1"/>
  <c r="V20" i="16" s="1"/>
  <c r="AI24" i="13"/>
  <c r="AO24" i="13" s="1"/>
  <c r="AK30" i="16" l="1"/>
  <c r="AK30" i="17"/>
  <c r="AO30" i="17"/>
  <c r="AK27" i="18"/>
  <c r="AO27" i="18"/>
  <c r="W22" i="18"/>
  <c r="AC21" i="18"/>
  <c r="X22" i="18" s="1"/>
  <c r="AD21" i="17"/>
  <c r="Y21" i="17"/>
  <c r="Z21" i="17"/>
  <c r="AA21" i="17" s="1"/>
  <c r="AB21" i="17" s="1"/>
  <c r="V22" i="17" s="1"/>
  <c r="AI31" i="16"/>
  <c r="AG31" i="16"/>
  <c r="AO30" i="16"/>
  <c r="W20" i="16"/>
  <c r="AC19" i="16"/>
  <c r="X20" i="16" s="1"/>
  <c r="AK24" i="13"/>
  <c r="AI25" i="13" s="1"/>
  <c r="AK31" i="16" l="1"/>
  <c r="AI31" i="17"/>
  <c r="AG31" i="17"/>
  <c r="AG28" i="18"/>
  <c r="AI28" i="18"/>
  <c r="AD22" i="18"/>
  <c r="Y22" i="18"/>
  <c r="Z22" i="18"/>
  <c r="AA22" i="18" s="1"/>
  <c r="AB22" i="18" s="1"/>
  <c r="V23" i="18" s="1"/>
  <c r="W22" i="17"/>
  <c r="AC21" i="17"/>
  <c r="X22" i="17" s="1"/>
  <c r="AI32" i="16"/>
  <c r="AG32" i="16"/>
  <c r="AO31" i="16"/>
  <c r="AD20" i="16"/>
  <c r="Y20" i="16"/>
  <c r="Z20" i="16"/>
  <c r="AA20" i="16" s="1"/>
  <c r="AB20" i="16" s="1"/>
  <c r="V21" i="16" s="1"/>
  <c r="AG25" i="13"/>
  <c r="AK25" i="13" s="1"/>
  <c r="AK31" i="17" l="1"/>
  <c r="AK32" i="16"/>
  <c r="AI33" i="16" s="1"/>
  <c r="AG32" i="17"/>
  <c r="AI32" i="17"/>
  <c r="AO32" i="17" s="1"/>
  <c r="AO31" i="17"/>
  <c r="AK28" i="18"/>
  <c r="AO28" i="18"/>
  <c r="W23" i="18"/>
  <c r="AC22" i="18"/>
  <c r="X23" i="18" s="1"/>
  <c r="AD22" i="17"/>
  <c r="Y22" i="17"/>
  <c r="Z22" i="17"/>
  <c r="AA22" i="17" s="1"/>
  <c r="AB22" i="17" s="1"/>
  <c r="V23" i="17" s="1"/>
  <c r="AO32" i="16"/>
  <c r="W21" i="16"/>
  <c r="AC20" i="16"/>
  <c r="X21" i="16" s="1"/>
  <c r="AI26" i="13"/>
  <c r="AG26" i="13"/>
  <c r="AO25" i="13"/>
  <c r="AG33" i="16" l="1"/>
  <c r="AK33" i="16"/>
  <c r="AK32" i="17"/>
  <c r="AG29" i="18"/>
  <c r="AI29" i="18"/>
  <c r="AO29" i="18" s="1"/>
  <c r="AD23" i="18"/>
  <c r="Y23" i="18"/>
  <c r="Z23" i="18"/>
  <c r="AA23" i="18" s="1"/>
  <c r="AB23" i="18" s="1"/>
  <c r="V24" i="18" s="1"/>
  <c r="W23" i="17"/>
  <c r="AC22" i="17"/>
  <c r="X23" i="17" s="1"/>
  <c r="AG34" i="16"/>
  <c r="AI34" i="16"/>
  <c r="AO33" i="16"/>
  <c r="AD21" i="16"/>
  <c r="Y21" i="16"/>
  <c r="Z21" i="16"/>
  <c r="AA21" i="16" s="1"/>
  <c r="AB21" i="16" s="1"/>
  <c r="V22" i="16" s="1"/>
  <c r="AO26" i="13"/>
  <c r="AK26" i="13"/>
  <c r="AG27" i="13" s="1"/>
  <c r="AI27" i="13"/>
  <c r="AI33" i="17" l="1"/>
  <c r="AG33" i="17"/>
  <c r="AO34" i="16"/>
  <c r="AK29" i="18"/>
  <c r="W24" i="18"/>
  <c r="AC23" i="18"/>
  <c r="X24" i="18" s="1"/>
  <c r="AD23" i="17"/>
  <c r="Y23" i="17"/>
  <c r="Z23" i="17"/>
  <c r="AA23" i="17" s="1"/>
  <c r="AB23" i="17" s="1"/>
  <c r="V24" i="17" s="1"/>
  <c r="AK34" i="16"/>
  <c r="W22" i="16"/>
  <c r="AC21" i="16"/>
  <c r="X22" i="16" s="1"/>
  <c r="AK27" i="13"/>
  <c r="AI28" i="13" s="1"/>
  <c r="AO27" i="13"/>
  <c r="AK33" i="17" l="1"/>
  <c r="AG34" i="17"/>
  <c r="AI34" i="17"/>
  <c r="AO33" i="17"/>
  <c r="AG30" i="18"/>
  <c r="AI30" i="18"/>
  <c r="AO30" i="18" s="1"/>
  <c r="AD24" i="18"/>
  <c r="Y24" i="18"/>
  <c r="Z24" i="18"/>
  <c r="AA24" i="18" s="1"/>
  <c r="AB24" i="18" s="1"/>
  <c r="V25" i="18" s="1"/>
  <c r="W24" i="17"/>
  <c r="AC23" i="17"/>
  <c r="X24" i="17" s="1"/>
  <c r="AI35" i="16"/>
  <c r="AG35" i="16"/>
  <c r="AD22" i="16"/>
  <c r="Y22" i="16"/>
  <c r="Z22" i="16"/>
  <c r="AA22" i="16" s="1"/>
  <c r="AB22" i="16" s="1"/>
  <c r="V23" i="16" s="1"/>
  <c r="AG28" i="13"/>
  <c r="AO28" i="13" s="1"/>
  <c r="AK35" i="16" l="1"/>
  <c r="AO34" i="17"/>
  <c r="AK34" i="17"/>
  <c r="AK30" i="18"/>
  <c r="W25" i="18"/>
  <c r="AC24" i="18"/>
  <c r="X25" i="18" s="1"/>
  <c r="AD24" i="17"/>
  <c r="Y24" i="17"/>
  <c r="Z24" i="17"/>
  <c r="AA24" i="17" s="1"/>
  <c r="AB24" i="17" s="1"/>
  <c r="V25" i="17" s="1"/>
  <c r="AI36" i="16"/>
  <c r="AG36" i="16"/>
  <c r="AO35" i="16"/>
  <c r="W23" i="16"/>
  <c r="AC22" i="16"/>
  <c r="X23" i="16" s="1"/>
  <c r="AK28" i="13"/>
  <c r="AG29" i="13" s="1"/>
  <c r="AK36" i="16" l="1"/>
  <c r="AG35" i="17"/>
  <c r="AI35" i="17"/>
  <c r="AG31" i="18"/>
  <c r="AI31" i="18"/>
  <c r="AO31" i="18" s="1"/>
  <c r="AD25" i="18"/>
  <c r="Y25" i="18"/>
  <c r="Z25" i="18"/>
  <c r="AA25" i="18" s="1"/>
  <c r="AB25" i="18" s="1"/>
  <c r="V26" i="18" s="1"/>
  <c r="W25" i="17"/>
  <c r="AC24" i="17"/>
  <c r="X25" i="17" s="1"/>
  <c r="AI37" i="16"/>
  <c r="AG37" i="16"/>
  <c r="AO36" i="16"/>
  <c r="AD23" i="16"/>
  <c r="Y23" i="16"/>
  <c r="Z23" i="16"/>
  <c r="AA23" i="16" s="1"/>
  <c r="AB23" i="16" s="1"/>
  <c r="V24" i="16" s="1"/>
  <c r="AI29" i="13"/>
  <c r="AK29" i="13" s="1"/>
  <c r="AO35" i="17" l="1"/>
  <c r="AK35" i="17"/>
  <c r="AK31" i="18"/>
  <c r="W26" i="18"/>
  <c r="AC25" i="18"/>
  <c r="X26" i="18" s="1"/>
  <c r="AD25" i="17"/>
  <c r="Y25" i="17"/>
  <c r="Z25" i="17"/>
  <c r="AA25" i="17" s="1"/>
  <c r="AB25" i="17" s="1"/>
  <c r="V26" i="17" s="1"/>
  <c r="AK37" i="16"/>
  <c r="AI38" i="16" s="1"/>
  <c r="AG38" i="16"/>
  <c r="AO37" i="16"/>
  <c r="W24" i="16"/>
  <c r="AC23" i="16"/>
  <c r="X24" i="16" s="1"/>
  <c r="AO29" i="13"/>
  <c r="AG30" i="13"/>
  <c r="AI30" i="13"/>
  <c r="AG36" i="17" l="1"/>
  <c r="AI36" i="17"/>
  <c r="AK38" i="16"/>
  <c r="AG32" i="18"/>
  <c r="AI32" i="18"/>
  <c r="AD26" i="18"/>
  <c r="Y26" i="18"/>
  <c r="Z26" i="18"/>
  <c r="AA26" i="18" s="1"/>
  <c r="AB26" i="18" s="1"/>
  <c r="V27" i="18" s="1"/>
  <c r="W26" i="17"/>
  <c r="AC25" i="17"/>
  <c r="X26" i="17" s="1"/>
  <c r="AI39" i="16"/>
  <c r="AG39" i="16"/>
  <c r="AO38" i="16"/>
  <c r="AD24" i="16"/>
  <c r="Y24" i="16"/>
  <c r="Z24" i="16"/>
  <c r="AA24" i="16" s="1"/>
  <c r="AB24" i="16" s="1"/>
  <c r="V25" i="16" s="1"/>
  <c r="AK30" i="13"/>
  <c r="AO30" i="13"/>
  <c r="AO36" i="17" l="1"/>
  <c r="AK39" i="16"/>
  <c r="AK36" i="17"/>
  <c r="AO32" i="18"/>
  <c r="AK32" i="18"/>
  <c r="W27" i="18"/>
  <c r="AC26" i="18"/>
  <c r="X27" i="18" s="1"/>
  <c r="AD26" i="17"/>
  <c r="Y26" i="17"/>
  <c r="Z26" i="17"/>
  <c r="AA26" i="17" s="1"/>
  <c r="AB26" i="17" s="1"/>
  <c r="V27" i="17" s="1"/>
  <c r="AG40" i="16"/>
  <c r="AI40" i="16"/>
  <c r="AO39" i="16"/>
  <c r="W25" i="16"/>
  <c r="AC24" i="16"/>
  <c r="X25" i="16" s="1"/>
  <c r="AG31" i="13"/>
  <c r="AI31" i="13"/>
  <c r="AG37" i="17" l="1"/>
  <c r="AI37" i="17"/>
  <c r="AO40" i="16"/>
  <c r="AG33" i="18"/>
  <c r="AI33" i="18"/>
  <c r="AO33" i="18" s="1"/>
  <c r="AD27" i="18"/>
  <c r="Y27" i="18"/>
  <c r="Z27" i="18"/>
  <c r="AA27" i="18" s="1"/>
  <c r="AB27" i="18" s="1"/>
  <c r="V28" i="18" s="1"/>
  <c r="W27" i="17"/>
  <c r="AC26" i="17"/>
  <c r="X27" i="17" s="1"/>
  <c r="AK40" i="16"/>
  <c r="AD25" i="16"/>
  <c r="Y25" i="16"/>
  <c r="Z25" i="16"/>
  <c r="AA25" i="16" s="1"/>
  <c r="AB25" i="16" s="1"/>
  <c r="V26" i="16" s="1"/>
  <c r="AK31" i="13"/>
  <c r="AO31" i="13"/>
  <c r="AO37" i="17" l="1"/>
  <c r="AK37" i="17"/>
  <c r="AK33" i="18"/>
  <c r="W28" i="18"/>
  <c r="AC27" i="18"/>
  <c r="X28" i="18" s="1"/>
  <c r="AD27" i="17"/>
  <c r="Y27" i="17"/>
  <c r="Z27" i="17"/>
  <c r="AA27" i="17" s="1"/>
  <c r="AB27" i="17" s="1"/>
  <c r="V28" i="17" s="1"/>
  <c r="AI41" i="16"/>
  <c r="AG41" i="16"/>
  <c r="AK41" i="16" s="1"/>
  <c r="W26" i="16"/>
  <c r="AC25" i="16"/>
  <c r="X26" i="16" s="1"/>
  <c r="AG32" i="13"/>
  <c r="AI32" i="13"/>
  <c r="AG38" i="17" l="1"/>
  <c r="AI38" i="17"/>
  <c r="AO38" i="17" s="1"/>
  <c r="AG34" i="18"/>
  <c r="AI34" i="18"/>
  <c r="AO34" i="18" s="1"/>
  <c r="AD28" i="18"/>
  <c r="Y28" i="18"/>
  <c r="Z28" i="18"/>
  <c r="AA28" i="18" s="1"/>
  <c r="AB28" i="18" s="1"/>
  <c r="V29" i="18" s="1"/>
  <c r="W28" i="17"/>
  <c r="AC27" i="17"/>
  <c r="X28" i="17" s="1"/>
  <c r="AG42" i="16"/>
  <c r="AI42" i="16"/>
  <c r="AO41" i="16"/>
  <c r="AD26" i="16"/>
  <c r="Y26" i="16"/>
  <c r="Z26" i="16"/>
  <c r="AA26" i="16" s="1"/>
  <c r="AB26" i="16" s="1"/>
  <c r="V27" i="16" s="1"/>
  <c r="AO32" i="13"/>
  <c r="AK32" i="13"/>
  <c r="AK38" i="17" l="1"/>
  <c r="AO42" i="16"/>
  <c r="AK34" i="18"/>
  <c r="W29" i="18"/>
  <c r="AC28" i="18"/>
  <c r="X29" i="18" s="1"/>
  <c r="AD28" i="17"/>
  <c r="Y28" i="17"/>
  <c r="Z28" i="17"/>
  <c r="AA28" i="17" s="1"/>
  <c r="AB28" i="17" s="1"/>
  <c r="V29" i="17" s="1"/>
  <c r="AK42" i="16"/>
  <c r="W27" i="16"/>
  <c r="AC26" i="16"/>
  <c r="X27" i="16" s="1"/>
  <c r="AG33" i="13"/>
  <c r="AI33" i="13"/>
  <c r="AI39" i="17" l="1"/>
  <c r="AG39" i="17"/>
  <c r="AG35" i="18"/>
  <c r="AI35" i="18"/>
  <c r="AO35" i="18" s="1"/>
  <c r="AD29" i="18"/>
  <c r="Y29" i="18"/>
  <c r="Z29" i="18"/>
  <c r="AA29" i="18" s="1"/>
  <c r="AB29" i="18" s="1"/>
  <c r="V30" i="18" s="1"/>
  <c r="W29" i="17"/>
  <c r="AC28" i="17"/>
  <c r="X29" i="17" s="1"/>
  <c r="AG43" i="16"/>
  <c r="AI43" i="16"/>
  <c r="AD27" i="16"/>
  <c r="Y27" i="16"/>
  <c r="Z27" i="16"/>
  <c r="AA27" i="16" s="1"/>
  <c r="AB27" i="16" s="1"/>
  <c r="V28" i="16" s="1"/>
  <c r="AK33" i="13"/>
  <c r="AO33" i="13"/>
  <c r="AK39" i="17" l="1"/>
  <c r="AI40" i="17"/>
  <c r="AG40" i="17"/>
  <c r="AO39" i="17"/>
  <c r="AO43" i="16"/>
  <c r="AK35" i="18"/>
  <c r="W30" i="18"/>
  <c r="AC29" i="18"/>
  <c r="X30" i="18" s="1"/>
  <c r="AD29" i="17"/>
  <c r="Y29" i="17"/>
  <c r="Z29" i="17"/>
  <c r="AA29" i="17" s="1"/>
  <c r="AB29" i="17" s="1"/>
  <c r="V30" i="17" s="1"/>
  <c r="AK43" i="16"/>
  <c r="W28" i="16"/>
  <c r="AC27" i="16"/>
  <c r="X28" i="16" s="1"/>
  <c r="AG34" i="13"/>
  <c r="AI34" i="13"/>
  <c r="AK40" i="17" l="1"/>
  <c r="AG41" i="17" s="1"/>
  <c r="AO40" i="17"/>
  <c r="AG36" i="18"/>
  <c r="AI36" i="18"/>
  <c r="AO36" i="18" s="1"/>
  <c r="AD30" i="18"/>
  <c r="Y30" i="18"/>
  <c r="Z30" i="18"/>
  <c r="AA30" i="18" s="1"/>
  <c r="AB30" i="18" s="1"/>
  <c r="V31" i="18" s="1"/>
  <c r="W30" i="17"/>
  <c r="AC29" i="17"/>
  <c r="X30" i="17" s="1"/>
  <c r="AI44" i="16"/>
  <c r="AG44" i="16"/>
  <c r="AD28" i="16"/>
  <c r="Y28" i="16"/>
  <c r="Z28" i="16"/>
  <c r="AA28" i="16" s="1"/>
  <c r="AB28" i="16" s="1"/>
  <c r="V29" i="16" s="1"/>
  <c r="AO34" i="13"/>
  <c r="AK34" i="13"/>
  <c r="AI41" i="17" l="1"/>
  <c r="AO41" i="17" s="1"/>
  <c r="AK44" i="16"/>
  <c r="AK36" i="18"/>
  <c r="W31" i="18"/>
  <c r="AC30" i="18"/>
  <c r="X31" i="18" s="1"/>
  <c r="AD30" i="17"/>
  <c r="Y30" i="17"/>
  <c r="Z30" i="17"/>
  <c r="AA30" i="17" s="1"/>
  <c r="AB30" i="17" s="1"/>
  <c r="V31" i="17" s="1"/>
  <c r="AO44" i="16"/>
  <c r="W29" i="16"/>
  <c r="AC28" i="16"/>
  <c r="X29" i="16" s="1"/>
  <c r="AG35" i="13"/>
  <c r="AI35" i="13"/>
  <c r="AK41" i="17" l="1"/>
  <c r="AI42" i="17" s="1"/>
  <c r="AG42" i="17"/>
  <c r="AG37" i="18"/>
  <c r="AI37" i="18"/>
  <c r="AD31" i="18"/>
  <c r="Y31" i="18"/>
  <c r="Z31" i="18"/>
  <c r="AA31" i="18" s="1"/>
  <c r="AB31" i="18" s="1"/>
  <c r="V32" i="18" s="1"/>
  <c r="W31" i="17"/>
  <c r="AC30" i="17"/>
  <c r="X31" i="17" s="1"/>
  <c r="AD29" i="16"/>
  <c r="Y29" i="16"/>
  <c r="Z29" i="16"/>
  <c r="AA29" i="16" s="1"/>
  <c r="AB29" i="16" s="1"/>
  <c r="V30" i="16" s="1"/>
  <c r="AO35" i="13"/>
  <c r="AK35" i="13"/>
  <c r="AO37" i="18" l="1"/>
  <c r="AO42" i="17"/>
  <c r="AK42" i="17"/>
  <c r="AK37" i="18"/>
  <c r="W32" i="18"/>
  <c r="AC31" i="18"/>
  <c r="X32" i="18" s="1"/>
  <c r="AD31" i="17"/>
  <c r="Y31" i="17"/>
  <c r="Z31" i="17"/>
  <c r="AA31" i="17" s="1"/>
  <c r="AB31" i="17" s="1"/>
  <c r="V32" i="17" s="1"/>
  <c r="W30" i="16"/>
  <c r="AC29" i="16"/>
  <c r="X30" i="16" s="1"/>
  <c r="AG36" i="13"/>
  <c r="AI36" i="13"/>
  <c r="AG43" i="17" l="1"/>
  <c r="AI43" i="17"/>
  <c r="AG38" i="18"/>
  <c r="AI38" i="18"/>
  <c r="AO38" i="18" s="1"/>
  <c r="AD32" i="18"/>
  <c r="Y32" i="18"/>
  <c r="Z32" i="18"/>
  <c r="AA32" i="18" s="1"/>
  <c r="AB32" i="18" s="1"/>
  <c r="V33" i="18" s="1"/>
  <c r="W32" i="17"/>
  <c r="AC31" i="17"/>
  <c r="X32" i="17" s="1"/>
  <c r="AD30" i="16"/>
  <c r="Y30" i="16"/>
  <c r="Z30" i="16"/>
  <c r="AA30" i="16" s="1"/>
  <c r="AB30" i="16" s="1"/>
  <c r="V31" i="16" s="1"/>
  <c r="AO36" i="13"/>
  <c r="AK36" i="13"/>
  <c r="AO43" i="17" l="1"/>
  <c r="AK43" i="17"/>
  <c r="AK38" i="18"/>
  <c r="W33" i="18"/>
  <c r="AC32" i="18"/>
  <c r="X33" i="18" s="1"/>
  <c r="AD32" i="17"/>
  <c r="Y32" i="17"/>
  <c r="Z32" i="17"/>
  <c r="AA32" i="17" s="1"/>
  <c r="AB32" i="17" s="1"/>
  <c r="V33" i="17" s="1"/>
  <c r="W31" i="16"/>
  <c r="AC30" i="16"/>
  <c r="X31" i="16" s="1"/>
  <c r="AG37" i="13"/>
  <c r="AI37" i="13"/>
  <c r="AG44" i="17" l="1"/>
  <c r="AI44" i="17"/>
  <c r="AO44" i="17" s="1"/>
  <c r="AG39" i="18"/>
  <c r="AI39" i="18"/>
  <c r="AO39" i="18" s="1"/>
  <c r="AD33" i="18"/>
  <c r="Y33" i="18"/>
  <c r="Z33" i="18"/>
  <c r="AA33" i="18" s="1"/>
  <c r="AB33" i="18" s="1"/>
  <c r="V34" i="18" s="1"/>
  <c r="W33" i="17"/>
  <c r="AC32" i="17"/>
  <c r="X33" i="17" s="1"/>
  <c r="AD31" i="16"/>
  <c r="Y31" i="16"/>
  <c r="Z31" i="16"/>
  <c r="AA31" i="16" s="1"/>
  <c r="AB31" i="16" s="1"/>
  <c r="V32" i="16" s="1"/>
  <c r="AO37" i="13"/>
  <c r="AK37" i="13"/>
  <c r="AK44" i="17" l="1"/>
  <c r="AK39" i="18"/>
  <c r="W34" i="18"/>
  <c r="AC33" i="18"/>
  <c r="X34" i="18" s="1"/>
  <c r="AD33" i="17"/>
  <c r="Y33" i="17"/>
  <c r="Z33" i="17"/>
  <c r="AA33" i="17" s="1"/>
  <c r="AB33" i="17" s="1"/>
  <c r="V34" i="17" s="1"/>
  <c r="W32" i="16"/>
  <c r="AC31" i="16"/>
  <c r="X32" i="16" s="1"/>
  <c r="AI38" i="13"/>
  <c r="AG38" i="13"/>
  <c r="AG40" i="18" l="1"/>
  <c r="AI40" i="18"/>
  <c r="AD34" i="18"/>
  <c r="Y34" i="18"/>
  <c r="Z34" i="18"/>
  <c r="W34" i="17"/>
  <c r="AC33" i="17"/>
  <c r="X34" i="17" s="1"/>
  <c r="AD32" i="16"/>
  <c r="Y32" i="16"/>
  <c r="Z32" i="16"/>
  <c r="AA32" i="16" s="1"/>
  <c r="AB32" i="16" s="1"/>
  <c r="V33" i="16" s="1"/>
  <c r="AK38" i="13"/>
  <c r="AI39" i="13" s="1"/>
  <c r="AO38" i="13"/>
  <c r="AO40" i="18" l="1"/>
  <c r="AK40" i="18"/>
  <c r="O24" i="18"/>
  <c r="O25" i="18" s="1"/>
  <c r="G19" i="18" s="1"/>
  <c r="AA34" i="18"/>
  <c r="AB34" i="18" s="1"/>
  <c r="AD34" i="17"/>
  <c r="Y34" i="17"/>
  <c r="Z34" i="17"/>
  <c r="W33" i="16"/>
  <c r="AC32" i="16"/>
  <c r="X33" i="16" s="1"/>
  <c r="AG39" i="13"/>
  <c r="AO39" i="13" s="1"/>
  <c r="AG41" i="18" l="1"/>
  <c r="AI41" i="18"/>
  <c r="AO41" i="18" s="1"/>
  <c r="AC34" i="18"/>
  <c r="G22" i="18"/>
  <c r="G20" i="18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K39" i="13"/>
  <c r="AG40" i="13" s="1"/>
  <c r="AI40" i="13"/>
  <c r="AK41" i="18" l="1"/>
  <c r="G35" i="18"/>
  <c r="K8" i="18" s="1"/>
  <c r="K13" i="18" s="1"/>
  <c r="K4" i="18"/>
  <c r="AC34" i="17"/>
  <c r="G22" i="17"/>
  <c r="G20" i="17"/>
  <c r="W34" i="16"/>
  <c r="AC33" i="16"/>
  <c r="X34" i="16" s="1"/>
  <c r="AO40" i="13"/>
  <c r="AK40" i="13"/>
  <c r="AG42" i="18" l="1"/>
  <c r="AI42" i="18"/>
  <c r="K5" i="18"/>
  <c r="K17" i="18"/>
  <c r="K16" i="18"/>
  <c r="K40" i="18"/>
  <c r="K48" i="18"/>
  <c r="K32" i="18"/>
  <c r="K27" i="18"/>
  <c r="G35" i="17"/>
  <c r="K4" i="17"/>
  <c r="K8" i="17"/>
  <c r="K13" i="17" s="1"/>
  <c r="AD34" i="16"/>
  <c r="Y34" i="16"/>
  <c r="Z34" i="16"/>
  <c r="AI41" i="13"/>
  <c r="AG41" i="13"/>
  <c r="AO42" i="18" l="1"/>
  <c r="AK42" i="18"/>
  <c r="K28" i="18"/>
  <c r="AJ4" i="18"/>
  <c r="AH4" i="18"/>
  <c r="AL4" i="18"/>
  <c r="K41" i="18"/>
  <c r="K44" i="18" s="1"/>
  <c r="K33" i="18"/>
  <c r="K36" i="18" s="1"/>
  <c r="K49" i="18"/>
  <c r="K50" i="18" s="1"/>
  <c r="K48" i="17"/>
  <c r="K32" i="17"/>
  <c r="K40" i="17"/>
  <c r="K5" i="17"/>
  <c r="K17" i="17"/>
  <c r="K16" i="17"/>
  <c r="O24" i="16"/>
  <c r="O25" i="16" s="1"/>
  <c r="G19" i="16" s="1"/>
  <c r="AA34" i="16"/>
  <c r="AB34" i="16" s="1"/>
  <c r="AK41" i="13"/>
  <c r="AI42" i="13" s="1"/>
  <c r="AO41" i="13"/>
  <c r="AG43" i="18" l="1"/>
  <c r="AI43" i="18"/>
  <c r="AO43" i="18" s="1"/>
  <c r="K27" i="17"/>
  <c r="K28" i="17" s="1"/>
  <c r="K49" i="17"/>
  <c r="K50" i="17" s="1"/>
  <c r="K41" i="17"/>
  <c r="K44" i="17" s="1"/>
  <c r="K33" i="17"/>
  <c r="K36" i="17" s="1"/>
  <c r="AC34" i="16"/>
  <c r="G22" i="16"/>
  <c r="G20" i="16"/>
  <c r="AG42" i="13"/>
  <c r="AO42" i="13" s="1"/>
  <c r="AJ4" i="17" l="1"/>
  <c r="AL4" i="17"/>
  <c r="AH4" i="17"/>
  <c r="AK43" i="18"/>
  <c r="G35" i="16"/>
  <c r="K4" i="16"/>
  <c r="K8" i="16"/>
  <c r="K13" i="16" s="1"/>
  <c r="AK42" i="13"/>
  <c r="AG43" i="13" s="1"/>
  <c r="AG44" i="18" l="1"/>
  <c r="AI44" i="18"/>
  <c r="K40" i="16"/>
  <c r="K32" i="16"/>
  <c r="K48" i="16"/>
  <c r="K17" i="16"/>
  <c r="K16" i="16"/>
  <c r="K5" i="16"/>
  <c r="AI43" i="13"/>
  <c r="AK43" i="13" s="1"/>
  <c r="AG44" i="13" s="1"/>
  <c r="AO44" i="18" l="1"/>
  <c r="AK44" i="18"/>
  <c r="K33" i="16"/>
  <c r="K41" i="16"/>
  <c r="K44" i="16" s="1"/>
  <c r="K49" i="16"/>
  <c r="K50" i="16" s="1"/>
  <c r="K27" i="16"/>
  <c r="K36" i="16"/>
  <c r="AI44" i="13"/>
  <c r="AK44" i="13" s="1"/>
  <c r="AO43" i="13"/>
  <c r="K28" i="16" l="1"/>
  <c r="AJ4" i="16"/>
  <c r="AH4" i="16"/>
  <c r="AL4" i="16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O8" i="13" l="1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/>
  <c r="W10" i="13" l="1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/>
  <c r="Z26" i="13" l="1"/>
  <c r="AA26" i="13" s="1"/>
  <c r="AB26" i="13" s="1"/>
  <c r="V27" i="13" s="1"/>
  <c r="W27" i="13" s="1"/>
  <c r="AC26" i="13" l="1"/>
  <c r="X27" i="13" s="1"/>
  <c r="AD27" i="13" l="1"/>
  <c r="Z27" i="13"/>
  <c r="AA27" i="13" s="1"/>
  <c r="AB27" i="13" s="1"/>
  <c r="V28" i="13" s="1"/>
  <c r="W28" i="13" s="1"/>
  <c r="Y27" i="13"/>
  <c r="AC27" i="13" s="1"/>
  <c r="X28" i="13" s="1"/>
  <c r="Z28" i="13" s="1"/>
  <c r="AA28" i="13" s="1"/>
  <c r="AB28" i="13" s="1"/>
  <c r="V29" i="13" s="1"/>
  <c r="W29" i="13" s="1"/>
  <c r="AD28" i="13" l="1"/>
  <c r="Y28" i="13"/>
  <c r="AC28" i="13" s="1"/>
  <c r="X29" i="13" s="1"/>
  <c r="AD29" i="13" s="1"/>
  <c r="Y29" i="13"/>
  <c r="Z29" i="13"/>
  <c r="AA29" i="13" s="1"/>
  <c r="AB29" i="13" s="1"/>
  <c r="V30" i="13" s="1"/>
  <c r="W30" i="13" s="1"/>
  <c r="AC29" i="13" l="1"/>
  <c r="X30" i="13" s="1"/>
  <c r="Z30" i="13" s="1"/>
  <c r="AA30" i="13" s="1"/>
  <c r="AB30" i="13" s="1"/>
  <c r="V31" i="13" s="1"/>
  <c r="W31" i="13" s="1"/>
  <c r="Y30" i="13" l="1"/>
  <c r="AC30" i="13" s="1"/>
  <c r="X31" i="13" s="1"/>
  <c r="AD30" i="13"/>
  <c r="AD31" i="13" l="1"/>
  <c r="Y31" i="13"/>
  <c r="Z31" i="13"/>
  <c r="AA31" i="13" s="1"/>
  <c r="AB31" i="13" s="1"/>
  <c r="V32" i="13" s="1"/>
  <c r="W32" i="13" s="1"/>
  <c r="AC31" i="13" l="1"/>
  <c r="X32" i="13" s="1"/>
  <c r="AD32" i="13" s="1"/>
  <c r="Z32" i="13" l="1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Y33" i="13" l="1"/>
  <c r="AC33" i="13" s="1"/>
  <c r="X34" i="13" s="1"/>
  <c r="Z34" i="13" s="1"/>
  <c r="AD33" i="13"/>
  <c r="W34" i="13"/>
  <c r="O24" i="13" l="1"/>
  <c r="O25" i="13" s="1"/>
  <c r="G19" i="13" s="1"/>
  <c r="AA34" i="13"/>
  <c r="AB34" i="13" s="1"/>
  <c r="AD34" i="13"/>
  <c r="Y34" i="13"/>
  <c r="AC34" i="13" l="1"/>
  <c r="G20" i="13"/>
  <c r="G22" i="13"/>
  <c r="G35" i="13" l="1"/>
  <c r="K4" i="13" s="1"/>
  <c r="K5" i="13" s="1"/>
  <c r="K8" i="13" l="1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<sst xmlns="http://schemas.openxmlformats.org/spreadsheetml/2006/main" count="1076" uniqueCount="160">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</sst>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multirotor_ref!$K$39:$K$43</c:f>
              <c:numCache>
                <c:formatCode>General</c:formatCode>
                <c:ptCount val="5"/>
                <c:pt idx="0">
                  <c:v>14.56</c:v>
                </c:pt>
                <c:pt idx="1">
                  <c:v>51.1</c:v>
                </c:pt>
                <c:pt idx="2">
                  <c:v>23.72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2106</c:v>
                </c:pt>
                <c:pt idx="2">
                  <c:v>977.54</c:v>
                </c:pt>
                <c:pt idx="3">
                  <c:v>229.7</c:v>
                </c:pt>
                <c:pt idx="4">
                  <c:v>207.91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22.16</c:v>
                </c:pt>
                <c:pt idx="1">
                  <c:v>44.39</c:v>
                </c:pt>
                <c:pt idx="2">
                  <c:v>21.49</c:v>
                </c:pt>
                <c:pt idx="3">
                  <c:v>7.09</c:v>
                </c:pt>
                <c:pt idx="4">
                  <c:v>4.88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1201.8699999999999</c:v>
                </c:pt>
                <c:pt idx="2">
                  <c:v>581.72</c:v>
                </c:pt>
                <c:pt idx="3">
                  <c:v>191.88</c:v>
                </c:pt>
                <c:pt idx="4">
                  <c:v>132.03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21.93</c:v>
                </c:pt>
                <c:pt idx="1">
                  <c:v>43.44</c:v>
                </c:pt>
                <c:pt idx="2">
                  <c:v>22.78</c:v>
                </c:pt>
                <c:pt idx="3">
                  <c:v>6.97</c:v>
                </c:pt>
                <c:pt idx="4">
                  <c:v>4.88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1188.17</c:v>
                </c:pt>
                <c:pt idx="2">
                  <c:v>623</c:v>
                </c:pt>
                <c:pt idx="3">
                  <c:v>190.8</c:v>
                </c:pt>
                <c:pt idx="4">
                  <c:v>133.49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54-C54F-81DD-33605AD030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54-C54F-81DD-33605AD030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54-C54F-81DD-33605AD030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54-C54F-81DD-33605AD0302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54-C54F-81DD-33605AD030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multirotor_opt_time!$K$39:$K$43</c:f>
              <c:numCache>
                <c:formatCode>General</c:formatCode>
                <c:ptCount val="5"/>
                <c:pt idx="0">
                  <c:v>10.79</c:v>
                </c:pt>
                <c:pt idx="1">
                  <c:v>56.31</c:v>
                </c:pt>
                <c:pt idx="2">
                  <c:v>22.75</c:v>
                </c:pt>
                <c:pt idx="3">
                  <c:v>4.95</c:v>
                </c:pt>
                <c:pt idx="4">
                  <c:v>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54-C54F-81DD-33605AD030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6E-0F48-B66C-F189451234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6E-0F48-B66C-F1894512349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6E-0F48-B66C-F1894512349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6E-0F48-B66C-F1894512349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6E-0F48-B66C-F189451234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multirotor_opt_time!$K$31:$K$35</c:f>
              <c:numCache>
                <c:formatCode>General</c:formatCode>
                <c:ptCount val="5"/>
                <c:pt idx="0">
                  <c:v>600</c:v>
                </c:pt>
                <c:pt idx="1">
                  <c:v>3130.57</c:v>
                </c:pt>
                <c:pt idx="2">
                  <c:v>1264.6400000000001</c:v>
                </c:pt>
                <c:pt idx="3">
                  <c:v>275.17</c:v>
                </c:pt>
                <c:pt idx="4">
                  <c:v>288.75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6E-0F48-B66C-F189451234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57518-282F-5D4E-887B-1110506BB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E6E0D-D8FE-3044-84E3-EBBC256B0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D7" sqref="D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864.65478830902669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2.9093317191606963E-2</v>
      </c>
      <c r="X4" s="3">
        <v>1</v>
      </c>
      <c r="Y4" s="2">
        <f t="shared" ref="Y4:Y34" si="1" xml:space="preserve"> $O$20 * TAN($O$17/180*PI()) + $O$21 / (2 * SQRT($O$20^2 + X4^2)) - X4</f>
        <v>-0.97553556355802817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-0.47390419187939531</v>
      </c>
      <c r="AB4" s="2">
        <f>W4*AA4</f>
        <v>-1.3787444972779417E-2</v>
      </c>
      <c r="AC4" s="2">
        <f>Y4*AA4</f>
        <v>0.4623103928975778</v>
      </c>
      <c r="AD4" s="2">
        <f>X4-V4</f>
        <v>1</v>
      </c>
      <c r="AF4" s="2">
        <v>0</v>
      </c>
      <c r="AG4" s="2"/>
      <c r="AH4" s="2">
        <f>K27</f>
        <v>-7.2038954540403211E-3</v>
      </c>
      <c r="AI4" s="2"/>
      <c r="AJ4" s="2">
        <f>K27</f>
        <v>-7.2038954540403211E-3</v>
      </c>
      <c r="AK4" s="2"/>
      <c r="AL4" s="2">
        <f>K27</f>
        <v>-7.2038954540403211E-3</v>
      </c>
      <c r="AM4" s="2"/>
      <c r="AN4" s="2"/>
      <c r="AO4" s="2"/>
    </row>
    <row r="5" spans="2:41" x14ac:dyDescent="0.2">
      <c r="B5" s="10" t="s">
        <v>37</v>
      </c>
      <c r="C5" s="10">
        <v>4121.1399736181002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216.16369707725667</v>
      </c>
      <c r="L5" s="6" t="s">
        <v>101</v>
      </c>
      <c r="N5" s="6" t="s">
        <v>114</v>
      </c>
      <c r="O5" s="6">
        <f xml:space="preserve"> $C$18 * 0.85 * ($C$5/$C$18 *2.20462/1000)^(2/3) * 0.3048^2</f>
        <v>0.54580342145897975</v>
      </c>
      <c r="P5" s="6" t="s">
        <v>115</v>
      </c>
      <c r="U5" s="2">
        <v>1</v>
      </c>
      <c r="V5" s="2">
        <f>IF(AB4&gt;0, Z4, V4)</f>
        <v>0</v>
      </c>
      <c r="W5" s="2">
        <f t="shared" si="0"/>
        <v>2.9093317191606963E-2</v>
      </c>
      <c r="X5" s="2">
        <f>IF(AC4&gt;0, Z4, X4)</f>
        <v>0.5</v>
      </c>
      <c r="Y5" s="2">
        <f t="shared" si="1"/>
        <v>-0.47390419187939531</v>
      </c>
      <c r="Z5" s="2">
        <f t="shared" ref="Z5:Z34" si="3" xml:space="preserve"> (V5 + X5)/2</f>
        <v>0.25</v>
      </c>
      <c r="AA5" s="2">
        <f t="shared" si="2"/>
        <v>-0.22224320273669629</v>
      </c>
      <c r="AB5" s="2">
        <f t="shared" ref="AB5:AB34" si="4">W5*AA5</f>
        <v>-6.4657919908973176E-3</v>
      </c>
      <c r="AC5" s="2">
        <f t="shared" ref="AC5:AC34" si="5">Y5*AA5</f>
        <v>0.10532198539362267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-1811.1257419457706</v>
      </c>
      <c r="AI5" s="3">
        <v>10000</v>
      </c>
      <c r="AJ5" s="2">
        <f t="dataTable" ref="AJ5:AJ44" dt2D="0" dtr="0" r1="C5" ca="1"/>
        <v>1594.7116670535379</v>
      </c>
      <c r="AK5" s="2">
        <f>(AG5+AI5)/2</f>
        <v>5250</v>
      </c>
      <c r="AL5" s="2">
        <f t="dataTable" ref="AL5:AL44" dt2D="0" dtr="0" r1="C5" ca="1"/>
        <v>439.85454548231428</v>
      </c>
      <c r="AM5" s="2">
        <f>AH5*AL5</f>
        <v>-796631.89003487618</v>
      </c>
      <c r="AN5" s="2">
        <f>AJ5*AL5</f>
        <v>701441.17548717756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2.9093317191606963E-2</v>
      </c>
      <c r="X6" s="2">
        <f t="shared" ref="X6:X34" si="8">IF(AC5&gt;0, Z5, X5)</f>
        <v>0.25</v>
      </c>
      <c r="Y6" s="2">
        <f t="shared" si="1"/>
        <v>-0.22224320273669629</v>
      </c>
      <c r="Z6" s="2">
        <f t="shared" si="3"/>
        <v>0.125</v>
      </c>
      <c r="AA6" s="2">
        <f t="shared" si="2"/>
        <v>-9.6330185686011566E-2</v>
      </c>
      <c r="AB6" s="2">
        <f t="shared" si="4"/>
        <v>-2.8025646472895314E-3</v>
      </c>
      <c r="AC6" s="2">
        <f t="shared" si="5"/>
        <v>2.1408728987079868E-2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-1811.1257419457706</v>
      </c>
      <c r="AI6" s="2">
        <f>IF(AN5&gt;0, AK5, AI5)</f>
        <v>5250</v>
      </c>
      <c r="AJ6" s="2">
        <v>439.85454548231428</v>
      </c>
      <c r="AK6" s="2">
        <f t="shared" ref="AK6:AK43" si="9">(AG6+AI6)/2</f>
        <v>2875</v>
      </c>
      <c r="AL6" s="2">
        <v>-560.20323876921202</v>
      </c>
      <c r="AM6" s="2">
        <f t="shared" ref="AM6:AM44" si="10">AH6*AL6</f>
        <v>1014598.5064563128</v>
      </c>
      <c r="AN6" s="2">
        <f t="shared" ref="AN6:AN44" si="11">AJ6*AL6</f>
        <v>-246407.94096655212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450</v>
      </c>
      <c r="D7" s="6" t="s">
        <v>125</v>
      </c>
      <c r="F7" t="s">
        <v>121</v>
      </c>
      <c r="G7" s="8">
        <f>$C$6*2*PI()/60*$C$9</f>
        <v>176.19056910980711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1.1760800447940758</v>
      </c>
      <c r="P7" s="6" t="s">
        <v>115</v>
      </c>
      <c r="U7" s="2">
        <v>3</v>
      </c>
      <c r="V7" s="2">
        <f t="shared" si="7"/>
        <v>0</v>
      </c>
      <c r="W7" s="2">
        <f t="shared" si="0"/>
        <v>2.9093317191606963E-2</v>
      </c>
      <c r="X7" s="2">
        <f t="shared" si="8"/>
        <v>0.125</v>
      </c>
      <c r="Y7" s="2">
        <f t="shared" si="1"/>
        <v>-9.6330185686011566E-2</v>
      </c>
      <c r="Z7" s="2">
        <f t="shared" si="3"/>
        <v>6.25E-2</v>
      </c>
      <c r="AA7" s="2">
        <f t="shared" si="2"/>
        <v>-3.3520414465698735E-2</v>
      </c>
      <c r="AB7" s="2">
        <f t="shared" si="4"/>
        <v>-9.752200504447037E-4</v>
      </c>
      <c r="AC7" s="2">
        <f t="shared" si="5"/>
        <v>3.2290277497528273E-3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-560.20323876921202</v>
      </c>
      <c r="AI7" s="2">
        <f t="shared" ref="AI7:AI44" si="14">IF(AN6&gt;0, AK6, AI6)</f>
        <v>5250</v>
      </c>
      <c r="AJ7" s="2">
        <v>439.85454548231428</v>
      </c>
      <c r="AK7" s="2">
        <f t="shared" si="9"/>
        <v>4062.5</v>
      </c>
      <c r="AL7" s="2">
        <v>-24.369520845351872</v>
      </c>
      <c r="AM7" s="2">
        <f t="shared" si="10"/>
        <v>13651.884504819944</v>
      </c>
      <c r="AN7" s="2">
        <f t="shared" si="11"/>
        <v>-10719.044515054031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0.52764788361167103</v>
      </c>
      <c r="H8" s="6" t="s">
        <v>122</v>
      </c>
      <c r="J8" s="6" t="s">
        <v>96</v>
      </c>
      <c r="K8" s="6">
        <f xml:space="preserve"> $C$15 * (G12*G6 + G22*G15 + G31*G27 +G35*G34)/3600</f>
        <v>358.01916000487313</v>
      </c>
      <c r="L8" s="6" t="s">
        <v>102</v>
      </c>
      <c r="N8" s="6" t="s">
        <v>38</v>
      </c>
      <c r="O8" s="6">
        <f xml:space="preserve"> O4 *O7</f>
        <v>2666.7189105304446</v>
      </c>
      <c r="P8" s="6" t="s">
        <v>20</v>
      </c>
      <c r="U8" s="2">
        <v>4</v>
      </c>
      <c r="V8" s="2">
        <f t="shared" si="7"/>
        <v>0</v>
      </c>
      <c r="W8" s="2">
        <f t="shared" si="0"/>
        <v>2.9093317191606963E-2</v>
      </c>
      <c r="X8" s="2">
        <f t="shared" si="8"/>
        <v>6.25E-2</v>
      </c>
      <c r="Y8" s="2">
        <f t="shared" si="1"/>
        <v>-3.3520414465698735E-2</v>
      </c>
      <c r="Z8" s="2">
        <f t="shared" si="3"/>
        <v>3.125E-2</v>
      </c>
      <c r="AA8" s="2">
        <f t="shared" si="2"/>
        <v>-2.1856585746872909E-3</v>
      </c>
      <c r="AB8" s="2">
        <f t="shared" si="4"/>
        <v>-6.3588058185932934E-5</v>
      </c>
      <c r="AC8" s="2">
        <f t="shared" si="5"/>
        <v>7.3264181304026339E-5</v>
      </c>
      <c r="AD8" s="2">
        <f t="shared" si="6"/>
        <v>6.25E-2</v>
      </c>
      <c r="AF8" s="2">
        <v>4</v>
      </c>
      <c r="AG8" s="2">
        <f t="shared" si="13"/>
        <v>4062.5</v>
      </c>
      <c r="AH8" s="2">
        <v>-24.369520845351872</v>
      </c>
      <c r="AI8" s="2">
        <f t="shared" si="14"/>
        <v>5250</v>
      </c>
      <c r="AJ8" s="2">
        <v>439.85454548231428</v>
      </c>
      <c r="AK8" s="2">
        <f t="shared" si="9"/>
        <v>4656.25</v>
      </c>
      <c r="AL8" s="2">
        <v>215.45464577344046</v>
      </c>
      <c r="AM8" s="2">
        <f t="shared" si="10"/>
        <v>-5250.526481403761</v>
      </c>
      <c r="AN8" s="2">
        <f t="shared" si="11"/>
        <v>94768.705288729674</v>
      </c>
      <c r="AO8" s="2">
        <f t="shared" si="12"/>
        <v>1187.5</v>
      </c>
    </row>
    <row r="9" spans="2:41" x14ac:dyDescent="0.2">
      <c r="B9" s="6" t="s">
        <v>95</v>
      </c>
      <c r="C9" s="17">
        <v>4.2062400000000002</v>
      </c>
      <c r="D9" s="6" t="s">
        <v>8</v>
      </c>
      <c r="F9" t="s">
        <v>19</v>
      </c>
      <c r="G9" s="6">
        <f xml:space="preserve"> $C$5 * $C$44 / $C$18</f>
        <v>10098.329288517312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2666.7189105304446</v>
      </c>
      <c r="P9" s="6" t="s">
        <v>20</v>
      </c>
      <c r="U9" s="2">
        <v>5</v>
      </c>
      <c r="V9" s="2">
        <f t="shared" si="7"/>
        <v>0</v>
      </c>
      <c r="W9" s="2">
        <f t="shared" si="0"/>
        <v>2.9093317191606963E-2</v>
      </c>
      <c r="X9" s="2">
        <f t="shared" si="8"/>
        <v>3.125E-2</v>
      </c>
      <c r="Y9" s="2">
        <f t="shared" si="1"/>
        <v>-2.1856585746872909E-3</v>
      </c>
      <c r="Z9" s="2">
        <f t="shared" si="3"/>
        <v>1.5625E-2</v>
      </c>
      <c r="AA9" s="2">
        <f t="shared" si="2"/>
        <v>1.3461038416431783E-2</v>
      </c>
      <c r="AB9" s="2">
        <f t="shared" si="4"/>
        <v>3.9162626037765656E-4</v>
      </c>
      <c r="AC9" s="2">
        <f t="shared" si="5"/>
        <v>-2.9421234039069156E-5</v>
      </c>
      <c r="AD9" s="2">
        <f t="shared" si="6"/>
        <v>3.125E-2</v>
      </c>
      <c r="AF9" s="2">
        <v>5</v>
      </c>
      <c r="AG9" s="2">
        <f t="shared" si="13"/>
        <v>4062.5</v>
      </c>
      <c r="AH9" s="2">
        <v>-24.369520845351872</v>
      </c>
      <c r="AI9" s="2">
        <f t="shared" si="14"/>
        <v>4656.25</v>
      </c>
      <c r="AJ9" s="2">
        <v>215.45464577344046</v>
      </c>
      <c r="AK9" s="2">
        <f t="shared" si="9"/>
        <v>4359.375</v>
      </c>
      <c r="AL9" s="2">
        <v>97.448817689398311</v>
      </c>
      <c r="AM9" s="2">
        <f t="shared" si="10"/>
        <v>-2374.7809940366865</v>
      </c>
      <c r="AN9" s="2">
        <f t="shared" si="11"/>
        <v>20995.80049630989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144.10913138483778</v>
      </c>
      <c r="H10" s="6" t="s">
        <v>101</v>
      </c>
      <c r="N10" s="6" t="s">
        <v>113</v>
      </c>
      <c r="O10" s="6">
        <f>O7/(0.3048^2)/($C$5*2.20462/1000)^(2/3)</f>
        <v>2.9074095780076519</v>
      </c>
      <c r="U10" s="2">
        <v>6</v>
      </c>
      <c r="V10" s="2">
        <f t="shared" si="7"/>
        <v>1.5625E-2</v>
      </c>
      <c r="W10" s="2">
        <f t="shared" si="0"/>
        <v>1.3461038416431783E-2</v>
      </c>
      <c r="X10" s="2">
        <f t="shared" si="8"/>
        <v>3.125E-2</v>
      </c>
      <c r="Y10" s="2">
        <f t="shared" si="1"/>
        <v>-2.1856585746872909E-3</v>
      </c>
      <c r="Z10" s="2">
        <f t="shared" si="3"/>
        <v>2.34375E-2</v>
      </c>
      <c r="AA10" s="2">
        <f t="shared" si="2"/>
        <v>5.6394727055260746E-3</v>
      </c>
      <c r="AB10" s="2">
        <f t="shared" si="4"/>
        <v>7.5913158737504969E-5</v>
      </c>
      <c r="AC10" s="2">
        <f t="shared" si="5"/>
        <v>-1.2325961875548E-5</v>
      </c>
      <c r="AD10" s="2">
        <f t="shared" si="6"/>
        <v>1.5625E-2</v>
      </c>
      <c r="AF10" s="2">
        <v>6</v>
      </c>
      <c r="AG10" s="2">
        <f t="shared" si="13"/>
        <v>4062.5</v>
      </c>
      <c r="AH10" s="2">
        <v>-24.369520845351872</v>
      </c>
      <c r="AI10" s="2">
        <f t="shared" si="14"/>
        <v>4359.375</v>
      </c>
      <c r="AJ10" s="2">
        <v>97.448817689398311</v>
      </c>
      <c r="AK10" s="2">
        <f t="shared" si="9"/>
        <v>4210.9375</v>
      </c>
      <c r="AL10" s="2">
        <v>37.013746424936926</v>
      </c>
      <c r="AM10" s="2">
        <f t="shared" si="10"/>
        <v>-902.00726506706872</v>
      </c>
      <c r="AN10" s="2">
        <f t="shared" si="11"/>
        <v>3606.9458273652972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7.1493387233955996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2.34375E-2</v>
      </c>
      <c r="W11" s="2">
        <f t="shared" si="0"/>
        <v>5.6394727055260746E-3</v>
      </c>
      <c r="X11" s="2">
        <f t="shared" si="8"/>
        <v>3.125E-2</v>
      </c>
      <c r="Y11" s="2">
        <f t="shared" si="1"/>
        <v>-2.1856585746872909E-3</v>
      </c>
      <c r="Z11" s="2">
        <f t="shared" si="3"/>
        <v>2.734375E-2</v>
      </c>
      <c r="AA11" s="2">
        <f t="shared" si="2"/>
        <v>1.7273494056991544E-3</v>
      </c>
      <c r="AB11" s="2">
        <f t="shared" si="4"/>
        <v>9.7413398263470672E-6</v>
      </c>
      <c r="AC11" s="2">
        <f t="shared" si="5"/>
        <v>-3.7753960400473529E-6</v>
      </c>
      <c r="AD11" s="2">
        <f t="shared" si="6"/>
        <v>7.8125E-3</v>
      </c>
      <c r="AF11" s="2">
        <v>7</v>
      </c>
      <c r="AG11" s="2">
        <f t="shared" si="13"/>
        <v>4062.5</v>
      </c>
      <c r="AH11" s="2">
        <v>-24.369520845351872</v>
      </c>
      <c r="AI11" s="2">
        <f t="shared" si="14"/>
        <v>4210.9375</v>
      </c>
      <c r="AJ11" s="2">
        <v>37.013746424936926</v>
      </c>
      <c r="AK11" s="2">
        <f t="shared" si="9"/>
        <v>4136.71875</v>
      </c>
      <c r="AL11" s="2">
        <v>6.4402910396470361</v>
      </c>
      <c r="AM11" s="2">
        <f t="shared" si="10"/>
        <v>-156.94680674081133</v>
      </c>
      <c r="AN11" s="2">
        <f t="shared" si="11"/>
        <v>238.37929944428879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576.43652553935112</v>
      </c>
      <c r="H12" s="25" t="s">
        <v>101</v>
      </c>
      <c r="J12" s="10" t="s">
        <v>79</v>
      </c>
      <c r="K12" s="6">
        <f>C5</f>
        <v>4121.1399736181002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2.734375E-2</v>
      </c>
      <c r="W12" s="2">
        <f t="shared" si="0"/>
        <v>1.7273494056991544E-3</v>
      </c>
      <c r="X12" s="2">
        <f t="shared" si="8"/>
        <v>3.125E-2</v>
      </c>
      <c r="Y12" s="2">
        <f t="shared" si="1"/>
        <v>-2.1856585746872909E-3</v>
      </c>
      <c r="Z12" s="2">
        <f t="shared" si="3"/>
        <v>2.9296875E-2</v>
      </c>
      <c r="AA12" s="2">
        <f t="shared" si="2"/>
        <v>-2.2904447479156487E-4</v>
      </c>
      <c r="AB12" s="2">
        <f t="shared" si="4"/>
        <v>-3.9563983740988454E-7</v>
      </c>
      <c r="AC12" s="2">
        <f t="shared" si="5"/>
        <v>5.0061302031293074E-7</v>
      </c>
      <c r="AD12" s="2">
        <f t="shared" si="6"/>
        <v>3.90625E-3</v>
      </c>
      <c r="AF12" s="2">
        <v>8</v>
      </c>
      <c r="AG12" s="2">
        <f t="shared" si="13"/>
        <v>4062.5</v>
      </c>
      <c r="AH12" s="2">
        <v>-24.369520845351872</v>
      </c>
      <c r="AI12" s="2">
        <f t="shared" si="14"/>
        <v>4136.71875</v>
      </c>
      <c r="AJ12" s="2">
        <v>6.4402910396470361</v>
      </c>
      <c r="AK12" s="2">
        <f t="shared" si="9"/>
        <v>4099.609375</v>
      </c>
      <c r="AL12" s="2">
        <v>-8.9351174031053233</v>
      </c>
      <c r="AM12" s="2">
        <f t="shared" si="10"/>
        <v>217.74452981064147</v>
      </c>
      <c r="AN12" s="2">
        <f t="shared" si="11"/>
        <v>-57.544756549413506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2105.9950588521947</v>
      </c>
      <c r="L13" s="6" t="s">
        <v>7</v>
      </c>
      <c r="N13" s="6" t="s">
        <v>74</v>
      </c>
      <c r="O13" s="6">
        <f xml:space="preserve"> SQRT( ($C$5*$C$50)^2 + O9^2)</f>
        <v>40477.392967711821</v>
      </c>
      <c r="P13" s="6" t="s">
        <v>20</v>
      </c>
      <c r="U13" s="2">
        <v>9</v>
      </c>
      <c r="V13" s="2">
        <f t="shared" si="7"/>
        <v>2.734375E-2</v>
      </c>
      <c r="W13" s="2">
        <f t="shared" si="0"/>
        <v>1.7273494056991544E-3</v>
      </c>
      <c r="X13" s="2">
        <f t="shared" si="8"/>
        <v>2.9296875E-2</v>
      </c>
      <c r="Y13" s="2">
        <f t="shared" si="1"/>
        <v>-2.2904447479156487E-4</v>
      </c>
      <c r="Z13" s="2">
        <f t="shared" si="3"/>
        <v>2.83203125E-2</v>
      </c>
      <c r="AA13" s="2">
        <f t="shared" si="2"/>
        <v>7.4918005475826596E-4</v>
      </c>
      <c r="AB13" s="2">
        <f t="shared" si="4"/>
        <v>1.2940957223483507E-6</v>
      </c>
      <c r="AC13" s="2">
        <f t="shared" si="5"/>
        <v>-1.7159555216642282E-7</v>
      </c>
      <c r="AD13" s="2">
        <f t="shared" si="6"/>
        <v>1.953125E-3</v>
      </c>
      <c r="AF13" s="2">
        <v>9</v>
      </c>
      <c r="AG13" s="2">
        <f t="shared" si="13"/>
        <v>4099.609375</v>
      </c>
      <c r="AH13" s="2">
        <v>-8.9351174031053233</v>
      </c>
      <c r="AI13" s="2">
        <f t="shared" si="14"/>
        <v>4136.71875</v>
      </c>
      <c r="AJ13" s="2">
        <v>6.4402910396470361</v>
      </c>
      <c r="AK13" s="2">
        <f t="shared" si="9"/>
        <v>4118.1640625</v>
      </c>
      <c r="AL13" s="2">
        <v>-1.2400041891878573</v>
      </c>
      <c r="AM13" s="2">
        <f t="shared" si="10"/>
        <v>11.079583010735929</v>
      </c>
      <c r="AN13" s="2">
        <f t="shared" si="11"/>
        <v>-7.9859878687513453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301.46018655460983</v>
      </c>
      <c r="L14" s="6" t="s">
        <v>7</v>
      </c>
      <c r="N14" s="6" t="s">
        <v>75</v>
      </c>
      <c r="O14" s="6">
        <f>$C$5*$C$50/O13</f>
        <v>0.99782744169253856</v>
      </c>
      <c r="U14" s="2">
        <v>10</v>
      </c>
      <c r="V14" s="2">
        <f t="shared" si="7"/>
        <v>2.83203125E-2</v>
      </c>
      <c r="W14" s="2">
        <f t="shared" si="0"/>
        <v>7.4918005475826596E-4</v>
      </c>
      <c r="X14" s="2">
        <f t="shared" si="8"/>
        <v>2.9296875E-2</v>
      </c>
      <c r="Y14" s="2">
        <f t="shared" si="1"/>
        <v>-2.2904447479156487E-4</v>
      </c>
      <c r="Z14" s="2">
        <f t="shared" si="3"/>
        <v>2.880859375E-2</v>
      </c>
      <c r="AA14" s="2">
        <f t="shared" si="2"/>
        <v>2.6007467972718329E-4</v>
      </c>
      <c r="AB14" s="2">
        <f t="shared" si="4"/>
        <v>1.9484276279924965E-7</v>
      </c>
      <c r="AC14" s="2">
        <f t="shared" si="5"/>
        <v>-5.9568668424697141E-8</v>
      </c>
      <c r="AD14" s="2">
        <f t="shared" si="6"/>
        <v>9.765625E-4</v>
      </c>
      <c r="AF14" s="2">
        <v>10</v>
      </c>
      <c r="AG14" s="2">
        <f t="shared" si="13"/>
        <v>4118.1640625</v>
      </c>
      <c r="AH14" s="2">
        <v>-1.2400041891878573</v>
      </c>
      <c r="AI14" s="2">
        <f t="shared" si="14"/>
        <v>4136.71875</v>
      </c>
      <c r="AJ14" s="2">
        <v>6.4402910396470361</v>
      </c>
      <c r="AK14" s="2">
        <f t="shared" si="9"/>
        <v>4127.44140625</v>
      </c>
      <c r="AL14" s="2">
        <v>2.6019916433092476</v>
      </c>
      <c r="AM14" s="2">
        <f t="shared" si="10"/>
        <v>-3.2264805379352639</v>
      </c>
      <c r="AN14" s="2">
        <f t="shared" si="11"/>
        <v>16.757583465641012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448.71297669795467</v>
      </c>
      <c r="L15" s="6" t="s">
        <v>7</v>
      </c>
      <c r="U15" s="2">
        <v>11</v>
      </c>
      <c r="V15" s="2">
        <f t="shared" si="7"/>
        <v>2.880859375E-2</v>
      </c>
      <c r="W15" s="2">
        <f t="shared" si="0"/>
        <v>2.6007467972718329E-4</v>
      </c>
      <c r="X15" s="2">
        <f t="shared" si="8"/>
        <v>2.9296875E-2</v>
      </c>
      <c r="Y15" s="2">
        <f t="shared" si="1"/>
        <v>-2.2904447479156487E-4</v>
      </c>
      <c r="Z15" s="2">
        <f t="shared" si="3"/>
        <v>2.9052734375E-2</v>
      </c>
      <c r="AA15" s="2">
        <f t="shared" si="2"/>
        <v>1.5516823942591379E-5</v>
      </c>
      <c r="AB15" s="2">
        <f t="shared" si="4"/>
        <v>4.0355330172525422E-9</v>
      </c>
      <c r="AC15" s="2">
        <f t="shared" si="5"/>
        <v>-3.5540427903640212E-9</v>
      </c>
      <c r="AD15" s="2">
        <f t="shared" si="6"/>
        <v>4.8828125E-4</v>
      </c>
      <c r="AF15" s="2">
        <v>11</v>
      </c>
      <c r="AG15" s="2">
        <f t="shared" si="13"/>
        <v>4118.1640625</v>
      </c>
      <c r="AH15" s="2">
        <v>-1.2400041891878573</v>
      </c>
      <c r="AI15" s="2">
        <f t="shared" si="14"/>
        <v>4127.44140625</v>
      </c>
      <c r="AJ15" s="2">
        <v>2.6019916433092476</v>
      </c>
      <c r="AK15" s="2">
        <f t="shared" si="9"/>
        <v>4122.802734375</v>
      </c>
      <c r="AL15" s="2">
        <v>0.68146731057731813</v>
      </c>
      <c r="AM15" s="2">
        <f t="shared" si="10"/>
        <v>-0.84502231991045706</v>
      </c>
      <c r="AN15" s="2">
        <f t="shared" si="11"/>
        <v>1.7731722473106095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198.21439024853296</v>
      </c>
      <c r="H16" s="6" t="s">
        <v>10</v>
      </c>
      <c r="J16" s="13" t="s">
        <v>53</v>
      </c>
      <c r="K16" s="6">
        <f xml:space="preserve"> $C$54 * 0.2138 * K4</f>
        <v>147.89055499237591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2.9052734375E-2</v>
      </c>
      <c r="W16" s="2">
        <f t="shared" si="0"/>
        <v>1.5516823942591379E-5</v>
      </c>
      <c r="X16" s="2">
        <f t="shared" si="8"/>
        <v>2.9296875E-2</v>
      </c>
      <c r="Y16" s="2">
        <f t="shared" si="1"/>
        <v>-2.2904447479156487E-4</v>
      </c>
      <c r="Z16" s="2">
        <f t="shared" si="3"/>
        <v>2.91748046875E-2</v>
      </c>
      <c r="AA16" s="2">
        <f t="shared" si="2"/>
        <v>-1.0676339517677255E-4</v>
      </c>
      <c r="AB16" s="2">
        <f t="shared" si="4"/>
        <v>-1.6566288064712892E-9</v>
      </c>
      <c r="AC16" s="2">
        <f t="shared" si="5"/>
        <v>2.445356577522816E-8</v>
      </c>
      <c r="AD16" s="2">
        <f t="shared" si="6"/>
        <v>2.44140625E-4</v>
      </c>
      <c r="AF16" s="2">
        <v>12</v>
      </c>
      <c r="AG16" s="2">
        <f t="shared" si="13"/>
        <v>4118.1640625</v>
      </c>
      <c r="AH16" s="2">
        <v>-1.2400041891878573</v>
      </c>
      <c r="AI16" s="2">
        <f t="shared" si="14"/>
        <v>4122.802734375</v>
      </c>
      <c r="AJ16" s="2">
        <v>0.68146731057731813</v>
      </c>
      <c r="AK16" s="2">
        <f t="shared" si="9"/>
        <v>4120.4833984375</v>
      </c>
      <c r="AL16" s="2">
        <v>-0.27918277583921736</v>
      </c>
      <c r="AM16" s="2">
        <f t="shared" si="10"/>
        <v>0.346187811589724</v>
      </c>
      <c r="AN16" s="2">
        <f t="shared" si="11"/>
        <v>-0.19025393541066171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0.59573619388824506</v>
      </c>
      <c r="H17" s="6" t="s">
        <v>122</v>
      </c>
      <c r="J17" s="13" t="s">
        <v>77</v>
      </c>
      <c r="K17" s="6">
        <f xml:space="preserve"> $C$54 * 0.1149 * K4</f>
        <v>79.47906814136573</v>
      </c>
      <c r="L17" s="6" t="s">
        <v>7</v>
      </c>
      <c r="N17" s="6" t="s">
        <v>25</v>
      </c>
      <c r="O17" s="6">
        <f xml:space="preserve"> ACOS(O14)/PI()*180</f>
        <v>3.7774785728811744</v>
      </c>
      <c r="P17" s="6" t="s">
        <v>40</v>
      </c>
      <c r="U17" s="2">
        <v>13</v>
      </c>
      <c r="V17" s="2">
        <f t="shared" si="7"/>
        <v>2.9052734375E-2</v>
      </c>
      <c r="W17" s="2">
        <f t="shared" si="0"/>
        <v>1.5516823942591379E-5</v>
      </c>
      <c r="X17" s="2">
        <f t="shared" si="8"/>
        <v>2.91748046875E-2</v>
      </c>
      <c r="Y17" s="2">
        <f t="shared" si="1"/>
        <v>-1.0676339517677255E-4</v>
      </c>
      <c r="Z17" s="2">
        <f t="shared" si="3"/>
        <v>2.911376953125E-2</v>
      </c>
      <c r="AA17" s="2">
        <f t="shared" si="2"/>
        <v>-4.5623178040000989E-5</v>
      </c>
      <c r="AB17" s="2">
        <f t="shared" si="4"/>
        <v>-7.0792682134819661E-10</v>
      </c>
      <c r="AC17" s="2">
        <f t="shared" si="5"/>
        <v>4.8708853863048769E-9</v>
      </c>
      <c r="AD17" s="2">
        <f t="shared" si="6"/>
        <v>1.220703125E-4</v>
      </c>
      <c r="AF17" s="2">
        <v>13</v>
      </c>
      <c r="AG17" s="2">
        <f t="shared" si="13"/>
        <v>4120.4833984375</v>
      </c>
      <c r="AH17" s="2">
        <v>-0.27918277583921736</v>
      </c>
      <c r="AI17" s="2">
        <f t="shared" si="14"/>
        <v>4122.802734375</v>
      </c>
      <c r="AJ17" s="2">
        <v>0.68146731057731813</v>
      </c>
      <c r="AK17" s="2">
        <f t="shared" si="9"/>
        <v>4121.64306640625</v>
      </c>
      <c r="AL17" s="2">
        <v>0.20116371428184721</v>
      </c>
      <c r="AM17" s="2">
        <f t="shared" si="10"/>
        <v>-5.6161444151333319E-2</v>
      </c>
      <c r="AN17" s="2">
        <f t="shared" si="11"/>
        <v>0.13708649535739445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10119.348241927955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144.27017571275965</v>
      </c>
      <c r="L18" s="6" t="s">
        <v>7</v>
      </c>
      <c r="N18" s="6" t="s">
        <v>19</v>
      </c>
      <c r="O18" s="6">
        <f xml:space="preserve"> O13 / $C$18</f>
        <v>10119.348241927955</v>
      </c>
      <c r="P18" s="6" t="s">
        <v>20</v>
      </c>
      <c r="U18" s="2">
        <v>14</v>
      </c>
      <c r="V18" s="2">
        <f t="shared" si="7"/>
        <v>2.9052734375E-2</v>
      </c>
      <c r="W18" s="2">
        <f t="shared" si="0"/>
        <v>1.5516823942591379E-5</v>
      </c>
      <c r="X18" s="2">
        <f t="shared" si="8"/>
        <v>2.911376953125E-2</v>
      </c>
      <c r="Y18" s="2">
        <f t="shared" si="1"/>
        <v>-4.5623178040000989E-5</v>
      </c>
      <c r="Z18" s="2">
        <f t="shared" si="3"/>
        <v>2.9083251953125E-2</v>
      </c>
      <c r="AA18" s="2">
        <f t="shared" si="2"/>
        <v>-1.505315015254069E-5</v>
      </c>
      <c r="AB18" s="2">
        <f t="shared" si="4"/>
        <v>-2.3357708069836647E-10</v>
      </c>
      <c r="AC18" s="2">
        <f t="shared" si="5"/>
        <v>6.8677254947223197E-10</v>
      </c>
      <c r="AD18" s="2">
        <f t="shared" si="6"/>
        <v>6.103515625E-5</v>
      </c>
      <c r="AF18" s="2">
        <v>14</v>
      </c>
      <c r="AG18" s="2">
        <f t="shared" si="13"/>
        <v>4120.4833984375</v>
      </c>
      <c r="AH18" s="2">
        <v>-0.27918277583921736</v>
      </c>
      <c r="AI18" s="2">
        <f t="shared" si="14"/>
        <v>4121.64306640625</v>
      </c>
      <c r="AJ18" s="2">
        <v>0.20116371428184721</v>
      </c>
      <c r="AK18" s="2">
        <f t="shared" si="9"/>
        <v>4121.063232421875</v>
      </c>
      <c r="AL18" s="2">
        <v>-3.8976372379693203E-2</v>
      </c>
      <c r="AM18" s="2">
        <f t="shared" si="10"/>
        <v>1.0881531833105751E-2</v>
      </c>
      <c r="AN18" s="2">
        <f t="shared" si="11"/>
        <v>-7.8406318371314846E-3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105.96725954513127</v>
      </c>
      <c r="H19" s="6" t="s">
        <v>101</v>
      </c>
      <c r="J19" s="14" t="s">
        <v>61</v>
      </c>
      <c r="K19" s="6">
        <f xml:space="preserve"> $C$55 * C31 * $C$5</f>
        <v>46.156767704522728</v>
      </c>
      <c r="L19" s="6" t="s">
        <v>7</v>
      </c>
      <c r="N19" s="6" t="s">
        <v>26</v>
      </c>
      <c r="O19" s="6">
        <f>$C$7*2*PI()/60</f>
        <v>47.123889803846893</v>
      </c>
      <c r="P19" s="6" t="s">
        <v>27</v>
      </c>
      <c r="U19" s="2">
        <v>15</v>
      </c>
      <c r="V19" s="2">
        <f t="shared" si="7"/>
        <v>2.9052734375E-2</v>
      </c>
      <c r="W19" s="2">
        <f t="shared" si="0"/>
        <v>1.5516823942591379E-5</v>
      </c>
      <c r="X19" s="2">
        <f t="shared" si="8"/>
        <v>2.9083251953125E-2</v>
      </c>
      <c r="Y19" s="2">
        <f t="shared" si="1"/>
        <v>-1.505315015254069E-5</v>
      </c>
      <c r="Z19" s="2">
        <f t="shared" si="3"/>
        <v>2.90679931640625E-2</v>
      </c>
      <c r="AA19" s="2">
        <f t="shared" si="2"/>
        <v>2.3184361930272956E-7</v>
      </c>
      <c r="AB19" s="2">
        <f t="shared" si="4"/>
        <v>3.5974766229336348E-12</v>
      </c>
      <c r="AC19" s="2">
        <f t="shared" si="5"/>
        <v>-3.489976813272469E-12</v>
      </c>
      <c r="AD19" s="2">
        <f t="shared" si="6"/>
        <v>3.0517578125E-5</v>
      </c>
      <c r="AF19" s="2">
        <v>15</v>
      </c>
      <c r="AG19" s="2">
        <f t="shared" si="13"/>
        <v>4121.063232421875</v>
      </c>
      <c r="AH19" s="2">
        <v>-3.8976372379693203E-2</v>
      </c>
      <c r="AI19" s="2">
        <f t="shared" si="14"/>
        <v>4121.64306640625</v>
      </c>
      <c r="AJ19" s="2">
        <v>0.20116371428184721</v>
      </c>
      <c r="AK19" s="2">
        <f t="shared" si="9"/>
        <v>4121.3531494140625</v>
      </c>
      <c r="AL19" s="2">
        <v>8.1092695000279491E-2</v>
      </c>
      <c r="AM19" s="2">
        <f t="shared" si="10"/>
        <v>-3.1606990776037788E-3</v>
      </c>
      <c r="AN19" s="2">
        <f t="shared" si="11"/>
        <v>1.6312907727381202E-2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9.7438418772107855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0.33756538486554249</v>
      </c>
      <c r="U20" s="2">
        <v>16</v>
      </c>
      <c r="V20" s="2">
        <f t="shared" si="7"/>
        <v>2.90679931640625E-2</v>
      </c>
      <c r="W20" s="2">
        <f t="shared" si="0"/>
        <v>2.3184361930272956E-7</v>
      </c>
      <c r="X20" s="2">
        <f t="shared" si="8"/>
        <v>2.9083251953125E-2</v>
      </c>
      <c r="Y20" s="2">
        <f t="shared" si="1"/>
        <v>-1.505315015254069E-5</v>
      </c>
      <c r="Z20" s="2">
        <f t="shared" si="3"/>
        <v>2.907562255859375E-2</v>
      </c>
      <c r="AA20" s="2">
        <f t="shared" si="2"/>
        <v>-7.4106515855799915E-6</v>
      </c>
      <c r="AB20" s="2">
        <f t="shared" si="4"/>
        <v>-1.7181122849923767E-12</v>
      </c>
      <c r="AC20" s="2">
        <f t="shared" si="5"/>
        <v>1.1155365104589935E-10</v>
      </c>
      <c r="AD20" s="2">
        <f t="shared" si="6"/>
        <v>1.52587890625E-5</v>
      </c>
      <c r="AF20" s="2">
        <v>16</v>
      </c>
      <c r="AG20" s="2">
        <f t="shared" si="13"/>
        <v>4121.063232421875</v>
      </c>
      <c r="AH20" s="2">
        <v>-3.8976372379693203E-2</v>
      </c>
      <c r="AI20" s="2">
        <f t="shared" si="14"/>
        <v>4121.3531494140625</v>
      </c>
      <c r="AJ20" s="2">
        <v>8.1092695000279491E-2</v>
      </c>
      <c r="AK20" s="2">
        <f t="shared" si="9"/>
        <v>4121.2081909179688</v>
      </c>
      <c r="AL20" s="2">
        <v>2.1039382970229781E-2</v>
      </c>
      <c r="AM20" s="2">
        <f t="shared" si="10"/>
        <v>-8.2003882528665156E-4</v>
      </c>
      <c r="AN20" s="2">
        <f t="shared" si="11"/>
        <v>1.706140266198918E-3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7.4828456339980046E-2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4.5946151584892554E-3</v>
      </c>
      <c r="U21" s="2">
        <v>17</v>
      </c>
      <c r="V21" s="2">
        <f t="shared" si="7"/>
        <v>2.90679931640625E-2</v>
      </c>
      <c r="W21" s="2">
        <f t="shared" si="0"/>
        <v>2.3184361930272956E-7</v>
      </c>
      <c r="X21" s="2">
        <f t="shared" si="8"/>
        <v>2.907562255859375E-2</v>
      </c>
      <c r="Y21" s="2">
        <f t="shared" si="1"/>
        <v>-7.4106515855799915E-6</v>
      </c>
      <c r="Z21" s="2">
        <f t="shared" si="3"/>
        <v>2.9071807861328125E-2</v>
      </c>
      <c r="AA21" s="2">
        <f t="shared" si="2"/>
        <v>-3.5894035628758481E-6</v>
      </c>
      <c r="AB21" s="2">
        <f t="shared" si="4"/>
        <v>-8.321803131552492E-13</v>
      </c>
      <c r="AC21" s="2">
        <f t="shared" si="5"/>
        <v>2.6599819204512373E-11</v>
      </c>
      <c r="AD21" s="2">
        <f t="shared" si="6"/>
        <v>7.62939453125E-6</v>
      </c>
      <c r="AF21" s="2">
        <v>17</v>
      </c>
      <c r="AG21" s="2">
        <f t="shared" si="13"/>
        <v>4121.063232421875</v>
      </c>
      <c r="AH21" s="2">
        <v>-3.8976372379693203E-2</v>
      </c>
      <c r="AI21" s="2">
        <f t="shared" si="14"/>
        <v>4121.2081909179688</v>
      </c>
      <c r="AJ21" s="2">
        <v>2.1039382970229781E-2</v>
      </c>
      <c r="AK21" s="2">
        <f t="shared" si="9"/>
        <v>4121.1357116699219</v>
      </c>
      <c r="AL21" s="2">
        <v>-8.9870895649255544E-3</v>
      </c>
      <c r="AM21" s="2">
        <f t="shared" si="10"/>
        <v>3.5028414949219339E-4</v>
      </c>
      <c r="AN21" s="2">
        <f t="shared" si="11"/>
        <v>-1.8908281914422449E-4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423.86903818052508</v>
      </c>
      <c r="H22" s="25" t="s">
        <v>101</v>
      </c>
      <c r="J22" s="14" t="s">
        <v>112</v>
      </c>
      <c r="K22" s="6">
        <f>$C$55*(0.14*$G$12*1000/745.7)*0.453592</f>
        <v>39.27089125272078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2.90679931640625E-2</v>
      </c>
      <c r="W22" s="2">
        <f t="shared" si="0"/>
        <v>2.3184361930272956E-7</v>
      </c>
      <c r="X22" s="2">
        <f t="shared" si="8"/>
        <v>2.9071807861328125E-2</v>
      </c>
      <c r="Y22" s="2">
        <f t="shared" si="1"/>
        <v>-3.5894035628758481E-6</v>
      </c>
      <c r="Z22" s="2">
        <f t="shared" si="3"/>
        <v>2.9069900512695312E-2</v>
      </c>
      <c r="AA22" s="2">
        <f t="shared" si="2"/>
        <v>-1.6787798667178278E-6</v>
      </c>
      <c r="AB22" s="2">
        <f t="shared" si="4"/>
        <v>-3.8921440031241515E-13</v>
      </c>
      <c r="AC22" s="2">
        <f t="shared" si="5"/>
        <v>6.0258184348812126E-12</v>
      </c>
      <c r="AD22" s="2">
        <f t="shared" si="6"/>
        <v>3.814697265625E-6</v>
      </c>
      <c r="AF22" s="2">
        <v>18</v>
      </c>
      <c r="AG22" s="2">
        <f t="shared" si="13"/>
        <v>4121.1357116699219</v>
      </c>
      <c r="AH22" s="2">
        <v>-8.9870895649255544E-3</v>
      </c>
      <c r="AI22" s="2">
        <f t="shared" si="14"/>
        <v>4121.2081909179688</v>
      </c>
      <c r="AJ22" s="2">
        <v>2.1039382970229781E-2</v>
      </c>
      <c r="AK22" s="2">
        <f t="shared" si="9"/>
        <v>4121.1719512939453</v>
      </c>
      <c r="AL22" s="2">
        <v>6.026131412909308E-3</v>
      </c>
      <c r="AM22" s="2">
        <f t="shared" si="10"/>
        <v>-5.4157382737827329E-5</v>
      </c>
      <c r="AN22" s="2">
        <f t="shared" si="11"/>
        <v>1.2678608662513083E-4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88.357241034372066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45622.101709719616</v>
      </c>
      <c r="P23" s="6" t="s">
        <v>18</v>
      </c>
      <c r="U23" s="2">
        <v>19</v>
      </c>
      <c r="V23" s="2">
        <f t="shared" si="7"/>
        <v>2.90679931640625E-2</v>
      </c>
      <c r="W23" s="2">
        <f t="shared" si="0"/>
        <v>2.3184361930272956E-7</v>
      </c>
      <c r="X23" s="2">
        <f t="shared" si="8"/>
        <v>2.9069900512695312E-2</v>
      </c>
      <c r="Y23" s="2">
        <f t="shared" si="1"/>
        <v>-1.6787798667178278E-6</v>
      </c>
      <c r="Z23" s="2">
        <f t="shared" si="3"/>
        <v>2.9068946838378906E-2</v>
      </c>
      <c r="AA23" s="2">
        <f t="shared" si="2"/>
        <v>-7.2346809744036622E-7</v>
      </c>
      <c r="AB23" s="2">
        <f t="shared" si="4"/>
        <v>-1.6773146216063433E-13</v>
      </c>
      <c r="AC23" s="2">
        <f t="shared" si="5"/>
        <v>1.2145436761955384E-12</v>
      </c>
      <c r="AD23" s="2">
        <f t="shared" si="6"/>
        <v>1.9073486328125E-6</v>
      </c>
      <c r="AF23" s="2">
        <v>19</v>
      </c>
      <c r="AG23" s="2">
        <f t="shared" si="13"/>
        <v>4121.1357116699219</v>
      </c>
      <c r="AH23" s="2">
        <v>-8.9870895649255544E-3</v>
      </c>
      <c r="AI23" s="2">
        <f t="shared" si="14"/>
        <v>4121.1719512939453</v>
      </c>
      <c r="AJ23" s="2">
        <v>6.026131412909308E-3</v>
      </c>
      <c r="AK23" s="2">
        <f t="shared" si="9"/>
        <v>4121.1538314819336</v>
      </c>
      <c r="AL23" s="2">
        <v>-1.461948791074974E-3</v>
      </c>
      <c r="AM23" s="2">
        <f t="shared" si="10"/>
        <v>1.3138664724725428E-5</v>
      </c>
      <c r="AN23" s="2">
        <f t="shared" si="11"/>
        <v>-8.8098955339616872E-6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10.087734814665552</v>
      </c>
      <c r="L24" s="6" t="s">
        <v>7</v>
      </c>
      <c r="N24" s="6" t="s">
        <v>31</v>
      </c>
      <c r="O24" s="18">
        <f>Z34</f>
        <v>2.9068224597722292E-2</v>
      </c>
      <c r="U24" s="2">
        <v>20</v>
      </c>
      <c r="V24" s="2">
        <f t="shared" si="7"/>
        <v>2.90679931640625E-2</v>
      </c>
      <c r="W24" s="2">
        <f t="shared" si="0"/>
        <v>2.3184361930272956E-7</v>
      </c>
      <c r="X24" s="2">
        <f t="shared" si="8"/>
        <v>2.9068946838378906E-2</v>
      </c>
      <c r="Y24" s="2">
        <f t="shared" si="1"/>
        <v>-7.2346809744036622E-7</v>
      </c>
      <c r="Z24" s="2">
        <f t="shared" si="3"/>
        <v>2.9068470001220703E-2</v>
      </c>
      <c r="AA24" s="2">
        <f t="shared" si="2"/>
        <v>-2.4581223250288997E-7</v>
      </c>
      <c r="AB24" s="2">
        <f t="shared" si="4"/>
        <v>-5.6989997652354066E-14</v>
      </c>
      <c r="AC24" s="2">
        <f t="shared" si="5"/>
        <v>1.7783730817643477E-13</v>
      </c>
      <c r="AD24" s="2">
        <f t="shared" si="6"/>
        <v>9.5367431640625E-7</v>
      </c>
      <c r="AF24" s="2">
        <v>20</v>
      </c>
      <c r="AG24" s="2">
        <f t="shared" si="13"/>
        <v>4121.1538314819336</v>
      </c>
      <c r="AH24" s="2">
        <v>-1.461948791074974E-3</v>
      </c>
      <c r="AI24" s="2">
        <f t="shared" si="14"/>
        <v>4121.1719512939453</v>
      </c>
      <c r="AJ24" s="2">
        <v>6.026131412909308E-3</v>
      </c>
      <c r="AK24" s="2">
        <f t="shared" si="9"/>
        <v>4121.1628913879395</v>
      </c>
      <c r="AL24" s="2">
        <v>2.2820903745923715E-3</v>
      </c>
      <c r="AM24" s="2">
        <f t="shared" si="10"/>
        <v>-3.3362992642591523E-6</v>
      </c>
      <c r="AN24" s="2">
        <f t="shared" si="11"/>
        <v>1.375217649342906E-5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26.375295831155842</v>
      </c>
      <c r="L25" s="6" t="s">
        <v>7</v>
      </c>
      <c r="N25" s="6" t="s">
        <v>32</v>
      </c>
      <c r="O25" s="6">
        <f xml:space="preserve"> O19 * $C$9 * O24 - $C$8 * SIN(O17/180*PI())</f>
        <v>1.3439780497772089</v>
      </c>
      <c r="P25" s="6" t="s">
        <v>10</v>
      </c>
      <c r="U25" s="2">
        <v>21</v>
      </c>
      <c r="V25" s="2">
        <f t="shared" si="7"/>
        <v>2.90679931640625E-2</v>
      </c>
      <c r="W25" s="2">
        <f t="shared" si="0"/>
        <v>2.3184361930272956E-7</v>
      </c>
      <c r="X25" s="2">
        <f t="shared" si="8"/>
        <v>2.9068470001220703E-2</v>
      </c>
      <c r="Y25" s="2">
        <f t="shared" si="1"/>
        <v>-2.4581223250288997E-7</v>
      </c>
      <c r="Z25" s="2">
        <f t="shared" si="3"/>
        <v>2.9068231582641602E-2</v>
      </c>
      <c r="AA25" s="2">
        <f t="shared" si="2"/>
        <v>-6.9843049572970717E-9</v>
      </c>
      <c r="AB25" s="2">
        <f t="shared" si="4"/>
        <v>-1.6192665396137491E-15</v>
      </c>
      <c r="AC25" s="2">
        <f t="shared" si="5"/>
        <v>1.7168275940341948E-15</v>
      </c>
      <c r="AD25" s="2">
        <f t="shared" si="6"/>
        <v>4.76837158203125E-7</v>
      </c>
      <c r="AF25" s="2">
        <v>21</v>
      </c>
      <c r="AG25" s="2">
        <f t="shared" si="13"/>
        <v>4121.1538314819336</v>
      </c>
      <c r="AH25" s="2">
        <v>-1.461948791074974E-3</v>
      </c>
      <c r="AI25" s="2">
        <f t="shared" si="14"/>
        <v>4121.1628913879395</v>
      </c>
      <c r="AJ25" s="2">
        <v>2.2820903745923715E-3</v>
      </c>
      <c r="AK25" s="2">
        <f t="shared" si="9"/>
        <v>4121.1583614349365</v>
      </c>
      <c r="AL25" s="2">
        <v>4.1007055870068143E-4</v>
      </c>
      <c r="AM25" s="2">
        <f t="shared" si="10"/>
        <v>-5.9950215754790033E-7</v>
      </c>
      <c r="AN25" s="2">
        <f t="shared" si="11"/>
        <v>9.3581807491454118E-7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83.091225924856843</v>
      </c>
      <c r="L26" s="6" t="s">
        <v>7</v>
      </c>
      <c r="N26" s="6" t="s">
        <v>33</v>
      </c>
      <c r="O26" s="6">
        <f xml:space="preserve"> 1/$C$21 - O23 * SQRT( (2*$C$47*PI()*$C$9^2) / O18^3 )</f>
        <v>0.85878768726285926</v>
      </c>
      <c r="U26" s="2">
        <v>22</v>
      </c>
      <c r="V26" s="2">
        <f t="shared" si="7"/>
        <v>2.90679931640625E-2</v>
      </c>
      <c r="W26" s="2">
        <f t="shared" si="0"/>
        <v>2.3184361930272956E-7</v>
      </c>
      <c r="X26" s="2">
        <f t="shared" si="8"/>
        <v>2.9068231582641602E-2</v>
      </c>
      <c r="Y26" s="2">
        <f t="shared" si="1"/>
        <v>-6.9843049572970717E-9</v>
      </c>
      <c r="Z26" s="2">
        <f t="shared" si="3"/>
        <v>2.9068112373352051E-2</v>
      </c>
      <c r="AA26" s="2">
        <f t="shared" si="2"/>
        <v>1.1242965758384571E-7</v>
      </c>
      <c r="AB26" s="2">
        <f t="shared" si="4"/>
        <v>2.6066098731205367E-14</v>
      </c>
      <c r="AC26" s="2">
        <f t="shared" si="5"/>
        <v>-7.8524301481006593E-16</v>
      </c>
      <c r="AD26" s="2">
        <f t="shared" si="6"/>
        <v>2.384185791015625E-7</v>
      </c>
      <c r="AF26" s="2">
        <v>22</v>
      </c>
      <c r="AG26" s="2">
        <f t="shared" si="13"/>
        <v>4121.1538314819336</v>
      </c>
      <c r="AH26" s="2">
        <v>-1.461948791074974E-3</v>
      </c>
      <c r="AI26" s="2">
        <f t="shared" si="14"/>
        <v>4121.1583614349365</v>
      </c>
      <c r="AJ26" s="2">
        <v>4.1007055870068143E-4</v>
      </c>
      <c r="AK26" s="2">
        <f t="shared" si="9"/>
        <v>4121.1560964584351</v>
      </c>
      <c r="AL26" s="2">
        <v>-5.2593917598642292E-4</v>
      </c>
      <c r="AM26" s="2">
        <f t="shared" si="10"/>
        <v>7.6889614251231903E-7</v>
      </c>
      <c r="AN26" s="2">
        <f t="shared" si="11"/>
        <v>-2.1567217173932846E-7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-7.2038954540403211E-3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2.9068112373352051E-2</v>
      </c>
      <c r="W27" s="2">
        <f t="shared" si="0"/>
        <v>1.1242965758384571E-7</v>
      </c>
      <c r="X27" s="2">
        <f t="shared" si="8"/>
        <v>2.9068231582641602E-2</v>
      </c>
      <c r="Y27" s="2">
        <f t="shared" si="1"/>
        <v>-6.9843049572970717E-9</v>
      </c>
      <c r="Z27" s="2">
        <f t="shared" si="3"/>
        <v>2.9068171977996826E-2</v>
      </c>
      <c r="AA27" s="2">
        <f t="shared" si="2"/>
        <v>5.2722676415623004E-8</v>
      </c>
      <c r="AB27" s="2">
        <f t="shared" si="4"/>
        <v>5.9275924563123925E-15</v>
      </c>
      <c r="AC27" s="2">
        <f t="shared" si="5"/>
        <v>-3.6823125025160516E-16</v>
      </c>
      <c r="AD27" s="2">
        <f t="shared" si="6"/>
        <v>1.1920928955078125E-7</v>
      </c>
      <c r="AF27" s="2">
        <v>23</v>
      </c>
      <c r="AG27" s="2">
        <f t="shared" si="13"/>
        <v>4121.1560964584351</v>
      </c>
      <c r="AH27" s="2">
        <v>-5.2593917598642292E-4</v>
      </c>
      <c r="AI27" s="2">
        <f t="shared" si="14"/>
        <v>4121.1583614349365</v>
      </c>
      <c r="AJ27" s="2">
        <v>4.1007055870068143E-4</v>
      </c>
      <c r="AK27" s="2">
        <f t="shared" si="9"/>
        <v>4121.1572289466858</v>
      </c>
      <c r="AL27" s="2">
        <v>-3.9400201330863638E-5</v>
      </c>
      <c r="AM27" s="2">
        <f t="shared" si="10"/>
        <v>2.0722109421653587E-8</v>
      </c>
      <c r="AN27" s="2">
        <f t="shared" si="11"/>
        <v>-1.6156862572666584E-8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10098.329288517312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1.1500053541045991</v>
      </c>
      <c r="U28" s="2">
        <v>24</v>
      </c>
      <c r="V28" s="2">
        <f t="shared" si="7"/>
        <v>2.9068171977996826E-2</v>
      </c>
      <c r="W28" s="2">
        <f t="shared" si="0"/>
        <v>5.2722676415623004E-8</v>
      </c>
      <c r="X28" s="2">
        <f t="shared" si="8"/>
        <v>2.9068231582641602E-2</v>
      </c>
      <c r="Y28" s="2">
        <f t="shared" si="1"/>
        <v>-6.9843049572970717E-9</v>
      </c>
      <c r="Z28" s="2">
        <f t="shared" si="3"/>
        <v>2.9068201780319214E-2</v>
      </c>
      <c r="AA28" s="2">
        <f t="shared" si="2"/>
        <v>2.2869185753449095E-8</v>
      </c>
      <c r="AB28" s="2">
        <f t="shared" si="4"/>
        <v>1.2057246803678722E-15</v>
      </c>
      <c r="AC28" s="2">
        <f t="shared" si="5"/>
        <v>-1.5972536742716209E-16</v>
      </c>
      <c r="AD28" s="2">
        <f t="shared" si="6"/>
        <v>5.9604644775390625E-8</v>
      </c>
      <c r="AF28" s="2">
        <v>24</v>
      </c>
      <c r="AG28" s="2">
        <f t="shared" si="13"/>
        <v>4121.1572289466858</v>
      </c>
      <c r="AH28" s="2">
        <v>-3.9400201330863638E-5</v>
      </c>
      <c r="AI28" s="2">
        <f t="shared" si="14"/>
        <v>4121.1583614349365</v>
      </c>
      <c r="AJ28" s="2">
        <v>4.1007055870068143E-4</v>
      </c>
      <c r="AK28" s="2">
        <f t="shared" si="9"/>
        <v>4121.1577951908112</v>
      </c>
      <c r="AL28" s="2">
        <v>1.8533517823016155E-4</v>
      </c>
      <c r="AM28" s="2">
        <f t="shared" si="10"/>
        <v>-7.3022433359598603E-9</v>
      </c>
      <c r="AN28" s="2">
        <f t="shared" si="11"/>
        <v>7.600050008373272E-8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125.85291519529368</v>
      </c>
      <c r="H29" t="s">
        <v>18</v>
      </c>
      <c r="U29" s="2">
        <v>25</v>
      </c>
      <c r="V29" s="2">
        <f t="shared" si="7"/>
        <v>2.9068201780319214E-2</v>
      </c>
      <c r="W29" s="2">
        <f t="shared" si="0"/>
        <v>2.2869185753449095E-8</v>
      </c>
      <c r="X29" s="2">
        <f t="shared" si="8"/>
        <v>2.9068231582641602E-2</v>
      </c>
      <c r="Y29" s="2">
        <f t="shared" si="1"/>
        <v>-6.9843049572970717E-9</v>
      </c>
      <c r="Z29" s="2">
        <f t="shared" si="3"/>
        <v>2.9068216681480408E-2</v>
      </c>
      <c r="AA29" s="2">
        <f t="shared" si="2"/>
        <v>7.942440406749629E-9</v>
      </c>
      <c r="AB29" s="2">
        <f t="shared" si="4"/>
        <v>1.8163714499765706E-16</v>
      </c>
      <c r="AC29" s="2">
        <f t="shared" si="5"/>
        <v>-5.5472425905898003E-17</v>
      </c>
      <c r="AD29" s="2">
        <f t="shared" si="6"/>
        <v>2.9802322387695312E-8</v>
      </c>
      <c r="AF29" s="2">
        <v>25</v>
      </c>
      <c r="AG29" s="2">
        <f t="shared" si="13"/>
        <v>4121.1572289466858</v>
      </c>
      <c r="AH29" s="2">
        <v>-3.9400201330863638E-5</v>
      </c>
      <c r="AI29" s="2">
        <f t="shared" si="14"/>
        <v>4121.1577951908112</v>
      </c>
      <c r="AJ29" s="2">
        <v>1.8533517823016155E-4</v>
      </c>
      <c r="AK29" s="2">
        <f t="shared" si="9"/>
        <v>4121.1575120687485</v>
      </c>
      <c r="AL29" s="2">
        <v>5.4433363402495161E-5</v>
      </c>
      <c r="AM29" s="2">
        <f t="shared" si="10"/>
        <v>-2.1446854771743739E-9</v>
      </c>
      <c r="AN29" s="2">
        <f t="shared" si="11"/>
        <v>1.0088417107868593E-8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8.1864213618394821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2.9068216681480408E-2</v>
      </c>
      <c r="W30" s="2">
        <f t="shared" si="0"/>
        <v>7.942440406749629E-9</v>
      </c>
      <c r="X30" s="2">
        <f t="shared" si="8"/>
        <v>2.9068231582641602E-2</v>
      </c>
      <c r="Y30" s="2">
        <f t="shared" si="1"/>
        <v>-6.9843049572970717E-9</v>
      </c>
      <c r="Z30" s="2">
        <f t="shared" si="3"/>
        <v>2.9068224132061005E-2</v>
      </c>
      <c r="AA30" s="2">
        <f t="shared" si="2"/>
        <v>4.790677229915552E-10</v>
      </c>
      <c r="AB30" s="2">
        <f t="shared" si="4"/>
        <v>3.8049668406576662E-18</v>
      </c>
      <c r="AC30" s="2">
        <f t="shared" si="5"/>
        <v>-3.3459550725709394E-18</v>
      </c>
      <c r="AD30" s="2">
        <f t="shared" si="6"/>
        <v>1.4901161193847656E-8</v>
      </c>
      <c r="AF30" s="2">
        <v>26</v>
      </c>
      <c r="AG30" s="2">
        <f t="shared" si="13"/>
        <v>4121.1572289466858</v>
      </c>
      <c r="AH30" s="2">
        <v>-3.9400201330863638E-5</v>
      </c>
      <c r="AI30" s="2">
        <f t="shared" si="14"/>
        <v>4121.1575120687485</v>
      </c>
      <c r="AJ30" s="2">
        <v>5.4433363402495161E-5</v>
      </c>
      <c r="AK30" s="2">
        <f t="shared" si="9"/>
        <v>4121.1573705077171</v>
      </c>
      <c r="AL30" s="2">
        <v>7.5165817179367878E-6</v>
      </c>
      <c r="AM30" s="2">
        <f t="shared" si="10"/>
        <v>-2.9615483300659831E-10</v>
      </c>
      <c r="AN30" s="2">
        <f t="shared" si="11"/>
        <v>4.0915282419700455E-10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503.4116607811747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2.9068224132061005E-2</v>
      </c>
      <c r="W31" s="2">
        <f t="shared" si="0"/>
        <v>4.790677229915552E-10</v>
      </c>
      <c r="X31" s="2">
        <f t="shared" si="8"/>
        <v>2.9068231582641602E-2</v>
      </c>
      <c r="Y31" s="2">
        <f t="shared" si="1"/>
        <v>-6.9843049572970717E-9</v>
      </c>
      <c r="Z31" s="2">
        <f t="shared" si="3"/>
        <v>2.9068227857351303E-2</v>
      </c>
      <c r="AA31" s="2">
        <f t="shared" si="2"/>
        <v>-3.2526186154180348E-9</v>
      </c>
      <c r="AB31" s="2">
        <f t="shared" si="4"/>
        <v>-1.5582245938482629E-18</v>
      </c>
      <c r="AC31" s="2">
        <f t="shared" si="5"/>
        <v>2.2717280319860919E-17</v>
      </c>
      <c r="AD31" s="2">
        <f t="shared" si="6"/>
        <v>7.4505805969238281E-9</v>
      </c>
      <c r="AF31" s="2">
        <v>27</v>
      </c>
      <c r="AG31" s="2">
        <f t="shared" si="13"/>
        <v>4121.1572289466858</v>
      </c>
      <c r="AH31" s="2">
        <v>-3.9400201330863638E-5</v>
      </c>
      <c r="AI31" s="2">
        <f t="shared" si="14"/>
        <v>4121.1573705077171</v>
      </c>
      <c r="AJ31" s="2">
        <v>7.5165817179367878E-6</v>
      </c>
      <c r="AK31" s="2">
        <f t="shared" si="9"/>
        <v>4121.1572997272015</v>
      </c>
      <c r="AL31" s="2">
        <v>-1.59418100338371E-5</v>
      </c>
      <c r="AM31" s="2">
        <f t="shared" si="10"/>
        <v>6.2811052491156382E-10</v>
      </c>
      <c r="AN31" s="2">
        <f t="shared" si="11"/>
        <v>-1.1982791785116119E-10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2106</v>
      </c>
      <c r="L32" s="6" t="s">
        <v>7</v>
      </c>
      <c r="U32" s="2">
        <v>28</v>
      </c>
      <c r="V32" s="2">
        <f t="shared" si="7"/>
        <v>2.9068224132061005E-2</v>
      </c>
      <c r="W32" s="2">
        <f t="shared" si="0"/>
        <v>4.790677229915552E-10</v>
      </c>
      <c r="X32" s="2">
        <f t="shared" si="8"/>
        <v>2.9068227857351303E-2</v>
      </c>
      <c r="Y32" s="2">
        <f t="shared" si="1"/>
        <v>-3.2526186154180348E-9</v>
      </c>
      <c r="Z32" s="2">
        <f t="shared" si="3"/>
        <v>2.9068225994706154E-2</v>
      </c>
      <c r="AA32" s="2">
        <f t="shared" si="2"/>
        <v>-1.3867754444785163E-9</v>
      </c>
      <c r="AB32" s="2">
        <f t="shared" si="4"/>
        <v>-6.6435935448692469E-19</v>
      </c>
      <c r="AC32" s="2">
        <f t="shared" si="5"/>
        <v>4.5106516261154417E-18</v>
      </c>
      <c r="AD32" s="2">
        <f t="shared" si="6"/>
        <v>3.7252902984619141E-9</v>
      </c>
      <c r="AF32" s="2">
        <v>28</v>
      </c>
      <c r="AG32" s="2">
        <f t="shared" si="13"/>
        <v>4121.1572997272015</v>
      </c>
      <c r="AH32" s="2">
        <v>-1.59418100338371E-5</v>
      </c>
      <c r="AI32" s="2">
        <f t="shared" si="14"/>
        <v>4121.1573705077171</v>
      </c>
      <c r="AJ32" s="2">
        <v>7.5165817179367878E-6</v>
      </c>
      <c r="AK32" s="2">
        <f t="shared" si="9"/>
        <v>4121.1573351174593</v>
      </c>
      <c r="AL32" s="2">
        <v>-4.2126162043132354E-6</v>
      </c>
      <c r="AM32" s="2">
        <f t="shared" si="10"/>
        <v>6.7156727274625496E-11</v>
      </c>
      <c r="AN32" s="2">
        <f t="shared" si="11"/>
        <v>-3.1664473946025129E-11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977.54</v>
      </c>
      <c r="L33" s="6" t="s">
        <v>7</v>
      </c>
      <c r="U33" s="2">
        <v>29</v>
      </c>
      <c r="V33" s="2">
        <f t="shared" si="7"/>
        <v>2.9068224132061005E-2</v>
      </c>
      <c r="W33" s="2">
        <f t="shared" si="0"/>
        <v>4.790677229915552E-10</v>
      </c>
      <c r="X33" s="2">
        <f t="shared" si="8"/>
        <v>2.9068225994706154E-2</v>
      </c>
      <c r="Y33" s="2">
        <f t="shared" si="1"/>
        <v>-1.3867754444785163E-9</v>
      </c>
      <c r="Z33" s="2">
        <f t="shared" si="3"/>
        <v>2.9068225063383579E-2</v>
      </c>
      <c r="AA33" s="2">
        <f t="shared" si="2"/>
        <v>-4.5385386074348055E-10</v>
      </c>
      <c r="AB33" s="2">
        <f t="shared" si="4"/>
        <v>-2.1742673563730563E-19</v>
      </c>
      <c r="AC33" s="2">
        <f t="shared" si="5"/>
        <v>6.2939338946083089E-19</v>
      </c>
      <c r="AD33" s="2">
        <f t="shared" si="6"/>
        <v>1.862645149230957E-9</v>
      </c>
      <c r="AF33" s="2">
        <v>29</v>
      </c>
      <c r="AG33" s="2">
        <f t="shared" si="13"/>
        <v>4121.1573351174593</v>
      </c>
      <c r="AH33" s="2">
        <v>-4.2126162043132354E-6</v>
      </c>
      <c r="AI33" s="2">
        <f t="shared" si="14"/>
        <v>4121.1573705077171</v>
      </c>
      <c r="AJ33" s="2">
        <v>7.5165817179367878E-6</v>
      </c>
      <c r="AK33" s="2">
        <f t="shared" si="9"/>
        <v>4121.1573528125882</v>
      </c>
      <c r="AL33" s="2">
        <v>1.6519829841854516E-6</v>
      </c>
      <c r="AM33" s="2">
        <f t="shared" si="10"/>
        <v>-6.9591702884293688E-12</v>
      </c>
      <c r="AN33" s="2">
        <f t="shared" si="11"/>
        <v>1.2417265097271023E-11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229.7</v>
      </c>
      <c r="L34" s="6" t="s">
        <v>7</v>
      </c>
      <c r="U34" s="2">
        <v>30</v>
      </c>
      <c r="V34" s="2">
        <f t="shared" si="7"/>
        <v>2.9068224132061005E-2</v>
      </c>
      <c r="W34" s="2">
        <f t="shared" si="0"/>
        <v>4.790677229915552E-10</v>
      </c>
      <c r="X34" s="2">
        <f t="shared" si="8"/>
        <v>2.9068225063383579E-2</v>
      </c>
      <c r="Y34" s="2">
        <f t="shared" si="1"/>
        <v>-4.5385386074348055E-10</v>
      </c>
      <c r="Z34" s="2">
        <f t="shared" si="3"/>
        <v>2.9068224597722292E-2</v>
      </c>
      <c r="AA34" s="2">
        <f t="shared" si="2"/>
        <v>1.26069328587608E-11</v>
      </c>
      <c r="AB34" s="2">
        <f t="shared" si="4"/>
        <v>6.039574618553954E-21</v>
      </c>
      <c r="AC34" s="2">
        <f t="shared" si="5"/>
        <v>-5.7217051500824332E-21</v>
      </c>
      <c r="AD34" s="2">
        <f>X34-V34</f>
        <v>9.3132257461547852E-10</v>
      </c>
      <c r="AF34" s="2">
        <v>30</v>
      </c>
      <c r="AG34" s="2">
        <f t="shared" si="13"/>
        <v>4121.1573351174593</v>
      </c>
      <c r="AH34" s="2">
        <v>-4.2126162043132354E-6</v>
      </c>
      <c r="AI34" s="2">
        <f t="shared" si="14"/>
        <v>4121.1573528125882</v>
      </c>
      <c r="AJ34" s="2">
        <v>1.6519829841854516E-6</v>
      </c>
      <c r="AK34" s="2">
        <f t="shared" si="9"/>
        <v>4121.1573439650238</v>
      </c>
      <c r="AL34" s="2">
        <v>-1.280316155316541E-6</v>
      </c>
      <c r="AM34" s="2">
        <f t="shared" si="10"/>
        <v>5.3934805825304815E-12</v>
      </c>
      <c r="AN34" s="2">
        <f t="shared" si="11"/>
        <v>-2.1150605029606636E-12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423.86903818052508</v>
      </c>
      <c r="H35" s="25" t="s">
        <v>101</v>
      </c>
      <c r="J35" s="15" t="s">
        <v>70</v>
      </c>
      <c r="K35" s="6">
        <f>ROUND(SUM(K23:K26),2)</f>
        <v>207.91</v>
      </c>
      <c r="L35" s="6" t="s">
        <v>7</v>
      </c>
      <c r="AF35" s="2">
        <v>31</v>
      </c>
      <c r="AG35" s="2">
        <f t="shared" si="13"/>
        <v>4121.1573439650238</v>
      </c>
      <c r="AH35" s="2">
        <v>-1.280316155316541E-6</v>
      </c>
      <c r="AI35" s="2">
        <f t="shared" si="14"/>
        <v>4121.1573528125882</v>
      </c>
      <c r="AJ35" s="2">
        <v>1.6519829841854516E-6</v>
      </c>
      <c r="AK35" s="2">
        <f t="shared" si="9"/>
        <v>4121.157348388806</v>
      </c>
      <c r="AL35" s="2">
        <v>1.858311406977009E-7</v>
      </c>
      <c r="AM35" s="2">
        <f t="shared" si="10"/>
        <v>-2.3792261159616761E-13</v>
      </c>
      <c r="AN35" s="2">
        <f t="shared" si="11"/>
        <v>3.0698988236437447E-13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4121.1499999999996</v>
      </c>
      <c r="L36" s="6" t="s">
        <v>7</v>
      </c>
      <c r="AF36" s="2">
        <v>32</v>
      </c>
      <c r="AG36" s="2">
        <f t="shared" si="13"/>
        <v>4121.1573439650238</v>
      </c>
      <c r="AH36" s="2">
        <v>-1.280316155316541E-6</v>
      </c>
      <c r="AI36" s="2">
        <f t="shared" si="14"/>
        <v>4121.157348388806</v>
      </c>
      <c r="AJ36" s="2">
        <v>1.858311406977009E-7</v>
      </c>
      <c r="AK36" s="2">
        <f t="shared" si="9"/>
        <v>4121.1573461769149</v>
      </c>
      <c r="AL36" s="2">
        <v>-5.4724296205677092E-7</v>
      </c>
      <c r="AM36" s="2">
        <f t="shared" si="10"/>
        <v>7.0064400520456066E-13</v>
      </c>
      <c r="AN36" s="2">
        <f t="shared" si="11"/>
        <v>-1.0169478387779839E-13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4121.1573461769149</v>
      </c>
      <c r="AH37" s="2">
        <v>-5.4724296205677092E-7</v>
      </c>
      <c r="AI37" s="2">
        <f t="shared" si="14"/>
        <v>4121.157348388806</v>
      </c>
      <c r="AJ37" s="2">
        <v>1.858311406977009E-7</v>
      </c>
      <c r="AK37" s="2">
        <f t="shared" si="9"/>
        <v>4121.1573472828604</v>
      </c>
      <c r="AL37" s="2">
        <v>-1.8070159057970159E-7</v>
      </c>
      <c r="AM37" s="2">
        <f t="shared" si="10"/>
        <v>9.888767367720579E-14</v>
      </c>
      <c r="AN37" s="2">
        <f t="shared" si="11"/>
        <v>-3.357998270331487E-14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4121.1573472828604</v>
      </c>
      <c r="AH38" s="2">
        <v>-1.8070159057970159E-7</v>
      </c>
      <c r="AI38" s="2">
        <f t="shared" si="14"/>
        <v>4121.157348388806</v>
      </c>
      <c r="AJ38" s="2">
        <v>1.858311406977009E-7</v>
      </c>
      <c r="AK38" s="2">
        <f t="shared" si="9"/>
        <v>4121.1573478358332</v>
      </c>
      <c r="AL38" s="2">
        <v>2.5675035431049764E-9</v>
      </c>
      <c r="AM38" s="2">
        <f t="shared" si="10"/>
        <v>-4.6395197405808866E-16</v>
      </c>
      <c r="AN38" s="2">
        <f t="shared" si="11"/>
        <v>4.7712211216058645E-16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14.56</v>
      </c>
      <c r="L39" s="6" t="s">
        <v>58</v>
      </c>
      <c r="AF39" s="2">
        <v>35</v>
      </c>
      <c r="AG39" s="2">
        <f t="shared" si="13"/>
        <v>4121.1573472828604</v>
      </c>
      <c r="AH39" s="2">
        <v>-1.8070159057970159E-7</v>
      </c>
      <c r="AI39" s="2">
        <f t="shared" si="14"/>
        <v>4121.1573478358332</v>
      </c>
      <c r="AJ39" s="2">
        <v>2.5675035431049764E-9</v>
      </c>
      <c r="AK39" s="2">
        <f t="shared" si="9"/>
        <v>4121.1573475593468</v>
      </c>
      <c r="AL39" s="2">
        <v>-8.9068635134026408E-8</v>
      </c>
      <c r="AM39" s="2">
        <f t="shared" si="10"/>
        <v>1.6094844039481664E-14</v>
      </c>
      <c r="AN39" s="2">
        <f t="shared" si="11"/>
        <v>-2.2868403628613719E-16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51.1</v>
      </c>
      <c r="L40" s="6" t="s">
        <v>58</v>
      </c>
      <c r="AF40" s="2">
        <v>36</v>
      </c>
      <c r="AG40" s="2">
        <f t="shared" si="13"/>
        <v>4121.1573475593468</v>
      </c>
      <c r="AH40" s="2">
        <v>-8.9068635134026408E-8</v>
      </c>
      <c r="AI40" s="2">
        <f t="shared" si="14"/>
        <v>4121.1573478358332</v>
      </c>
      <c r="AJ40" s="2">
        <v>2.5675035431049764E-9</v>
      </c>
      <c r="AK40" s="2">
        <f t="shared" si="9"/>
        <v>4121.15734769759</v>
      </c>
      <c r="AL40" s="2">
        <v>-4.3251930037513375E-8</v>
      </c>
      <c r="AM40" s="2">
        <f t="shared" si="10"/>
        <v>3.852390375353716E-15</v>
      </c>
      <c r="AN40" s="2">
        <f t="shared" si="11"/>
        <v>-1.1104948361744415E-16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23.72</v>
      </c>
      <c r="L41" s="6" t="s">
        <v>58</v>
      </c>
      <c r="AF41" s="2">
        <v>37</v>
      </c>
      <c r="AG41" s="2">
        <f t="shared" si="13"/>
        <v>4121.15734769759</v>
      </c>
      <c r="AH41" s="2">
        <v>-4.3251930037513375E-8</v>
      </c>
      <c r="AI41" s="2">
        <f t="shared" si="14"/>
        <v>4121.1573478358332</v>
      </c>
      <c r="AJ41" s="2">
        <v>2.5675035431049764E-9</v>
      </c>
      <c r="AK41" s="2">
        <f t="shared" si="9"/>
        <v>4121.1573477667116</v>
      </c>
      <c r="AL41" s="2">
        <v>-2.0340394257800654E-8</v>
      </c>
      <c r="AM41" s="2">
        <f t="shared" si="10"/>
        <v>8.7976130937383267E-16</v>
      </c>
      <c r="AN41" s="2">
        <f t="shared" si="11"/>
        <v>-5.2224034325055295E-17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5.57</v>
      </c>
      <c r="L42" s="6" t="s">
        <v>58</v>
      </c>
      <c r="AF42" s="2">
        <v>38</v>
      </c>
      <c r="AG42" s="2">
        <f t="shared" si="13"/>
        <v>4121.1573477667116</v>
      </c>
      <c r="AH42" s="2">
        <v>-2.0340394257800654E-8</v>
      </c>
      <c r="AI42" s="2">
        <f t="shared" si="14"/>
        <v>4121.1573478358332</v>
      </c>
      <c r="AJ42" s="2">
        <v>2.5675035431049764E-9</v>
      </c>
      <c r="AK42" s="2">
        <f t="shared" si="9"/>
        <v>4121.1573478012724</v>
      </c>
      <c r="AL42" s="2">
        <v>-8.89076545718126E-9</v>
      </c>
      <c r="AM42" s="2">
        <f t="shared" si="10"/>
        <v>1.808416746527021E-16</v>
      </c>
      <c r="AN42" s="2">
        <f t="shared" si="11"/>
        <v>-2.2827071812228221E-17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4121.1573478012724</v>
      </c>
      <c r="AH43" s="2">
        <v>-8.89076545718126E-9</v>
      </c>
      <c r="AI43" s="2">
        <f t="shared" si="14"/>
        <v>4121.1573478358332</v>
      </c>
      <c r="AJ43" s="2">
        <v>2.5675035431049764E-9</v>
      </c>
      <c r="AK43" s="2">
        <f t="shared" si="9"/>
        <v>4121.1573478185528</v>
      </c>
      <c r="AL43" s="2">
        <v>-3.1632225727662444E-9</v>
      </c>
      <c r="AM43" s="2">
        <f t="shared" si="10"/>
        <v>2.812346998332616E-17</v>
      </c>
      <c r="AN43" s="2">
        <f t="shared" si="11"/>
        <v>-8.1215851632069716E-18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4121.1573478185528</v>
      </c>
      <c r="AH44" s="2">
        <v>-3.1632225727662444E-9</v>
      </c>
      <c r="AI44" s="2">
        <f t="shared" si="14"/>
        <v>4121.1573478358332</v>
      </c>
      <c r="AJ44" s="2">
        <v>2.5675035431049764E-9</v>
      </c>
      <c r="AK44" s="5">
        <f>(AG44+AI44)/2</f>
        <v>4121.157347827193</v>
      </c>
      <c r="AL44" s="2">
        <v>-2.9467628337442875E-10</v>
      </c>
      <c r="AM44" s="2">
        <f t="shared" si="10"/>
        <v>9.321266712288554E-19</v>
      </c>
      <c r="AN44" s="2">
        <f t="shared" si="11"/>
        <v>-7.5658240163285187E-19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4587.1361209152656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14.56</v>
      </c>
      <c r="L47" s="6" t="s">
        <v>58</v>
      </c>
      <c r="N47" s="6" t="s">
        <v>154</v>
      </c>
      <c r="O47" s="6">
        <f>0.377*O46^0.6945</f>
        <v>131.60791555824369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51.1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34.340000000000003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567.02943177951727</v>
      </c>
      <c r="L4" s="6" t="s">
        <v>101</v>
      </c>
      <c r="N4" s="6" t="s">
        <v>22</v>
      </c>
      <c r="O4" s="6">
        <f xml:space="preserve"> 0.5 * $C$47 * $C$8^2</f>
        <v>1935.8554336774664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4.2553431105326354E-2</v>
      </c>
      <c r="X4" s="3">
        <v>1</v>
      </c>
      <c r="Y4" s="2">
        <f t="shared" ref="Y4:Y34" si="1" xml:space="preserve"> $O$20 * TAN($O$17/180*PI()) + $O$21 / (2 * SQRT($O$20^2 + X4^2)) - X4</f>
        <v>-0.96355802661259327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-0.460974323390827</v>
      </c>
      <c r="AB4" s="2">
        <f>W4*AA4</f>
        <v>-1.9616039111735987E-2</v>
      </c>
      <c r="AC4" s="2">
        <f>Y4*AA4</f>
        <v>0.44417550936554068</v>
      </c>
      <c r="AD4" s="2">
        <f>X4-V4</f>
        <v>1</v>
      </c>
      <c r="AF4" s="2">
        <v>0</v>
      </c>
      <c r="AG4" s="2"/>
      <c r="AH4" s="2">
        <f>K27</f>
        <v>-8.2266087024436274E-3</v>
      </c>
      <c r="AI4" s="2"/>
      <c r="AJ4" s="2">
        <f>K27</f>
        <v>-8.2266087024436274E-3</v>
      </c>
      <c r="AK4" s="2"/>
      <c r="AL4" s="2">
        <f>K27</f>
        <v>-8.2266087024436274E-3</v>
      </c>
      <c r="AM4" s="2"/>
      <c r="AN4" s="2"/>
      <c r="AO4" s="2"/>
    </row>
    <row r="5" spans="2:41" x14ac:dyDescent="0.2">
      <c r="B5" s="10" t="s">
        <v>37</v>
      </c>
      <c r="C5" s="10">
        <v>2707.4864013965798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141.75735794487932</v>
      </c>
      <c r="L5" s="6" t="s">
        <v>101</v>
      </c>
      <c r="N5" s="6" t="s">
        <v>114</v>
      </c>
      <c r="O5" s="6">
        <f xml:space="preserve"> $C$18 * 0.85 * ($C$5/$C$18 *2.20462/1000)^(2/3) * 0.3048^2</f>
        <v>0.41247933877031973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4.2553431105326354E-2</v>
      </c>
      <c r="X5" s="2">
        <f>IF(AC4&gt;0, Z4, X4)</f>
        <v>0.5</v>
      </c>
      <c r="Y5" s="2">
        <f t="shared" si="1"/>
        <v>-0.460974323390827</v>
      </c>
      <c r="Z5" s="2">
        <f t="shared" ref="Z5:Z34" si="3" xml:space="preserve"> (V5 + X5)/2</f>
        <v>0.25</v>
      </c>
      <c r="AA5" s="2">
        <f t="shared" si="2"/>
        <v>-0.20882528223695196</v>
      </c>
      <c r="AB5" s="2">
        <f t="shared" ref="AB5:AB34" si="4">W5*AA5</f>
        <v>-8.8862322607204669E-3</v>
      </c>
      <c r="AC5" s="2">
        <f t="shared" ref="AC5:AC34" si="5">Y5*AA5</f>
        <v>9.6263093186077411E-2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-1104.174433020557</v>
      </c>
      <c r="AI5" s="3">
        <v>10000</v>
      </c>
      <c r="AJ5" s="2">
        <f t="dataTable" ref="AJ5:AJ44" dt2D="0" dtr="0" r1="C5" ca="1"/>
        <v>733.55861405586256</v>
      </c>
      <c r="AK5" s="2">
        <f>(AG5+AI5)/2</f>
        <v>5250</v>
      </c>
      <c r="AL5" s="2">
        <f t="dataTable" ref="AL5:AL44" dt2D="0" dtr="0" r1="C5" ca="1"/>
        <v>749.23098877662414</v>
      </c>
      <c r="AM5" s="2">
        <f>AH5*AL5</f>
        <v>-827281.70223386027</v>
      </c>
      <c r="AN5" s="2">
        <f>AJ5*AL5</f>
        <v>549604.84573468391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4.2553431105326354E-2</v>
      </c>
      <c r="X6" s="2">
        <f t="shared" ref="X6:X34" si="8">IF(AC5&gt;0, Z5, X5)</f>
        <v>0.25</v>
      </c>
      <c r="Y6" s="2">
        <f t="shared" si="1"/>
        <v>-0.20882528223695196</v>
      </c>
      <c r="Z6" s="2">
        <f t="shared" si="3"/>
        <v>0.125</v>
      </c>
      <c r="AA6" s="2">
        <f t="shared" si="2"/>
        <v>-8.2851801444217332E-2</v>
      </c>
      <c r="AB6" s="2">
        <f t="shared" si="4"/>
        <v>-3.5256284247086808E-3</v>
      </c>
      <c r="AC6" s="2">
        <f t="shared" si="5"/>
        <v>1.7301550820428589E-2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-1104.174433020557</v>
      </c>
      <c r="AI6" s="2">
        <f>IF(AN5&gt;0, AK5, AI5)</f>
        <v>5250</v>
      </c>
      <c r="AJ6" s="2">
        <v>749.23098877662414</v>
      </c>
      <c r="AK6" s="2">
        <f t="shared" ref="AK6:AK43" si="9">(AG6+AI6)/2</f>
        <v>2875</v>
      </c>
      <c r="AL6" s="2">
        <v>66.901717474489033</v>
      </c>
      <c r="AM6" s="2">
        <f t="shared" ref="AM6:AM44" si="10">AH6*AL6</f>
        <v>-73871.165960495418</v>
      </c>
      <c r="AN6" s="2">
        <f t="shared" ref="AN6:AN44" si="11">AJ6*AL6</f>
        <v>50124.839934265772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404.33810347350698</v>
      </c>
      <c r="D7" s="6" t="s">
        <v>125</v>
      </c>
      <c r="F7" t="s">
        <v>121</v>
      </c>
      <c r="G7" s="8">
        <f>$C$6*2*PI()/60*$C$9</f>
        <v>143.10856534931449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1.0427559621054159</v>
      </c>
      <c r="P7" s="6" t="s">
        <v>115</v>
      </c>
      <c r="U7" s="2">
        <v>3</v>
      </c>
      <c r="V7" s="2">
        <f t="shared" si="7"/>
        <v>0</v>
      </c>
      <c r="W7" s="2">
        <f t="shared" si="0"/>
        <v>4.2553431105326354E-2</v>
      </c>
      <c r="X7" s="2">
        <f t="shared" si="8"/>
        <v>0.125</v>
      </c>
      <c r="Y7" s="2">
        <f t="shared" si="1"/>
        <v>-8.2851801444217332E-2</v>
      </c>
      <c r="Z7" s="2">
        <f t="shared" si="3"/>
        <v>6.25E-2</v>
      </c>
      <c r="AA7" s="2">
        <f t="shared" si="2"/>
        <v>-2.0052640807819391E-2</v>
      </c>
      <c r="AB7" s="2">
        <f t="shared" si="4"/>
        <v>-8.5330866909539833E-4</v>
      </c>
      <c r="AC7" s="2">
        <f t="shared" si="5"/>
        <v>1.6613974146416622E-3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-1104.174433020557</v>
      </c>
      <c r="AI7" s="2">
        <f t="shared" ref="AI7:AI44" si="14">IF(AN6&gt;0, AK6, AI6)</f>
        <v>2875</v>
      </c>
      <c r="AJ7" s="2">
        <v>66.901717474489033</v>
      </c>
      <c r="AK7" s="2">
        <f t="shared" si="9"/>
        <v>1687.5</v>
      </c>
      <c r="AL7" s="2">
        <v>-456.43225661206861</v>
      </c>
      <c r="AM7" s="2">
        <f t="shared" si="10"/>
        <v>503980.82815692422</v>
      </c>
      <c r="AN7" s="2">
        <f t="shared" si="11"/>
        <v>-30536.101878104095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223.05215597965 * 1000 / 3600</f>
        <v>61.958932216569444</v>
      </c>
      <c r="D8" s="6" t="s">
        <v>10</v>
      </c>
      <c r="F8" t="s">
        <v>124</v>
      </c>
      <c r="G8" s="8">
        <f>G7/$C$43</f>
        <v>0.42857533189649721</v>
      </c>
      <c r="H8" s="6" t="s">
        <v>122</v>
      </c>
      <c r="J8" s="6" t="s">
        <v>96</v>
      </c>
      <c r="K8" s="6">
        <f xml:space="preserve"> $C$15 * (G12*G6 + G22*G15 + G31*G27 +G35*G34)/3600</f>
        <v>204.31753289898714</v>
      </c>
      <c r="L8" s="6" t="s">
        <v>102</v>
      </c>
      <c r="N8" s="6" t="s">
        <v>38</v>
      </c>
      <c r="O8" s="6">
        <f xml:space="preserve"> O4 *O7</f>
        <v>2018.6247952413437</v>
      </c>
      <c r="P8" s="6" t="s">
        <v>20</v>
      </c>
      <c r="U8" s="2">
        <v>4</v>
      </c>
      <c r="V8" s="2">
        <f t="shared" si="7"/>
        <v>0</v>
      </c>
      <c r="W8" s="2">
        <f t="shared" si="0"/>
        <v>4.2553431105326354E-2</v>
      </c>
      <c r="X8" s="2">
        <f t="shared" si="8"/>
        <v>6.25E-2</v>
      </c>
      <c r="Y8" s="2">
        <f t="shared" si="1"/>
        <v>-2.0052640807819391E-2</v>
      </c>
      <c r="Z8" s="2">
        <f t="shared" si="3"/>
        <v>3.125E-2</v>
      </c>
      <c r="AA8" s="2">
        <f t="shared" si="2"/>
        <v>1.1276595642216267E-2</v>
      </c>
      <c r="AB8" s="2">
        <f t="shared" si="4"/>
        <v>4.7985783576367331E-4</v>
      </c>
      <c r="AC8" s="2">
        <f t="shared" si="5"/>
        <v>-2.2612552194838423E-4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-456.43225661206861</v>
      </c>
      <c r="AI8" s="2">
        <f t="shared" si="14"/>
        <v>2875</v>
      </c>
      <c r="AJ8" s="2">
        <v>66.901717474489033</v>
      </c>
      <c r="AK8" s="2">
        <f t="shared" si="9"/>
        <v>2281.25</v>
      </c>
      <c r="AL8" s="2">
        <v>-181.22118101376691</v>
      </c>
      <c r="AM8" s="2">
        <f t="shared" si="10"/>
        <v>82715.19259601779</v>
      </c>
      <c r="AN8" s="2">
        <f t="shared" si="11"/>
        <v>-12124.00825257627</v>
      </c>
      <c r="AO8" s="2">
        <f t="shared" si="12"/>
        <v>1187.5</v>
      </c>
    </row>
    <row r="9" spans="2:41" x14ac:dyDescent="0.2">
      <c r="B9" s="6" t="s">
        <v>95</v>
      </c>
      <c r="C9" s="17">
        <v>3.41646533611994</v>
      </c>
      <c r="D9" s="6" t="s">
        <v>8</v>
      </c>
      <c r="F9" t="s">
        <v>19</v>
      </c>
      <c r="G9" s="6">
        <f xml:space="preserve"> $C$5 * $C$44 / $C$18</f>
        <v>6634.3510292084729</v>
      </c>
      <c r="H9" s="6" t="s">
        <v>20</v>
      </c>
      <c r="J9" s="6" t="s">
        <v>138</v>
      </c>
      <c r="K9" s="6">
        <f xml:space="preserve"> $C$15 * (G6 + G15 + G27 + G34)/60</f>
        <v>51.307699617999866</v>
      </c>
      <c r="L9" s="6" t="s">
        <v>103</v>
      </c>
      <c r="N9" s="6" t="s">
        <v>39</v>
      </c>
      <c r="O9" s="6">
        <f xml:space="preserve"> O8</f>
        <v>2018.6247952413437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1.1276595642216267E-2</v>
      </c>
      <c r="X9" s="2">
        <f t="shared" si="8"/>
        <v>6.25E-2</v>
      </c>
      <c r="Y9" s="2">
        <f t="shared" si="1"/>
        <v>-2.0052640807819391E-2</v>
      </c>
      <c r="Z9" s="2">
        <f t="shared" si="3"/>
        <v>4.6875E-2</v>
      </c>
      <c r="AA9" s="2">
        <f t="shared" si="2"/>
        <v>-4.3816487473368887E-3</v>
      </c>
      <c r="AB9" s="2">
        <f t="shared" si="4"/>
        <v>-4.9410081169941526E-5</v>
      </c>
      <c r="AC9" s="2">
        <f t="shared" si="5"/>
        <v>8.7863628476378411E-5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-181.22118101376691</v>
      </c>
      <c r="AI9" s="2">
        <f t="shared" si="14"/>
        <v>2875</v>
      </c>
      <c r="AJ9" s="2">
        <v>66.901717474489033</v>
      </c>
      <c r="AK9" s="2">
        <f t="shared" si="9"/>
        <v>2578.125</v>
      </c>
      <c r="AL9" s="2">
        <v>-53.395882295584443</v>
      </c>
      <c r="AM9" s="2">
        <f t="shared" si="10"/>
        <v>9676.4648508778992</v>
      </c>
      <c r="AN9" s="2">
        <f t="shared" si="11"/>
        <v>-3572.2762316402614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94.504905296586216</v>
      </c>
      <c r="H10" s="6" t="s">
        <v>101</v>
      </c>
      <c r="N10" s="6" t="s">
        <v>113</v>
      </c>
      <c r="O10" s="6">
        <f>O7/(0.3048^2)/($C$5*2.20462/1000)^(2/3)</f>
        <v>3.4110341834524207</v>
      </c>
      <c r="U10" s="2">
        <v>6</v>
      </c>
      <c r="V10" s="2">
        <f t="shared" si="7"/>
        <v>3.125E-2</v>
      </c>
      <c r="W10" s="2">
        <f t="shared" si="0"/>
        <v>1.1276595642216267E-2</v>
      </c>
      <c r="X10" s="2">
        <f t="shared" si="8"/>
        <v>4.6875E-2</v>
      </c>
      <c r="Y10" s="2">
        <f t="shared" si="1"/>
        <v>-4.3816487473368887E-3</v>
      </c>
      <c r="Z10" s="2">
        <f t="shared" si="3"/>
        <v>3.90625E-2</v>
      </c>
      <c r="AA10" s="2">
        <f t="shared" si="2"/>
        <v>3.4490947104885775E-3</v>
      </c>
      <c r="AB10" s="2">
        <f t="shared" si="4"/>
        <v>3.8894046381886671E-5</v>
      </c>
      <c r="AC10" s="2">
        <f t="shared" si="5"/>
        <v>-1.5112721517658564E-5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-53.395882295584443</v>
      </c>
      <c r="AI10" s="2">
        <f t="shared" si="14"/>
        <v>2875</v>
      </c>
      <c r="AJ10" s="2">
        <v>66.901717474489033</v>
      </c>
      <c r="AK10" s="2">
        <f t="shared" si="9"/>
        <v>2726.5625</v>
      </c>
      <c r="AL10" s="2">
        <v>7.7394681521304847</v>
      </c>
      <c r="AM10" s="2">
        <f t="shared" si="10"/>
        <v>-413.25573048158378</v>
      </c>
      <c r="AN10" s="2">
        <f t="shared" si="11"/>
        <v>517.78371171663935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7.1622906580870938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3.90625E-2</v>
      </c>
      <c r="W11" s="2">
        <f t="shared" si="0"/>
        <v>3.4490947104885775E-3</v>
      </c>
      <c r="X11" s="2">
        <f t="shared" si="8"/>
        <v>4.6875E-2</v>
      </c>
      <c r="Y11" s="2">
        <f t="shared" si="1"/>
        <v>-4.3816487473368887E-3</v>
      </c>
      <c r="Z11" s="2">
        <f t="shared" si="3"/>
        <v>4.296875E-2</v>
      </c>
      <c r="AA11" s="2">
        <f t="shared" si="2"/>
        <v>-4.6587483385068101E-4</v>
      </c>
      <c r="AB11" s="2">
        <f t="shared" si="4"/>
        <v>-1.6068464251841288E-6</v>
      </c>
      <c r="AC11" s="2">
        <f t="shared" si="5"/>
        <v>2.0412998821576176E-6</v>
      </c>
      <c r="AD11" s="2">
        <f t="shared" si="6"/>
        <v>7.8125E-3</v>
      </c>
      <c r="AF11" s="2">
        <v>7</v>
      </c>
      <c r="AG11" s="2">
        <f t="shared" si="13"/>
        <v>2578.125</v>
      </c>
      <c r="AH11" s="2">
        <v>-53.395882295584443</v>
      </c>
      <c r="AI11" s="2">
        <f t="shared" si="14"/>
        <v>2726.5625</v>
      </c>
      <c r="AJ11" s="2">
        <v>7.7394681521304847</v>
      </c>
      <c r="AK11" s="2">
        <f t="shared" si="9"/>
        <v>2652.34375</v>
      </c>
      <c r="AL11" s="2">
        <v>-22.586257150780511</v>
      </c>
      <c r="AM11" s="2">
        <f t="shared" si="10"/>
        <v>1206.0131283208786</v>
      </c>
      <c r="AN11" s="2">
        <f t="shared" si="11"/>
        <v>-174.80561789429518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378.01962118634486</v>
      </c>
      <c r="H12" s="25" t="s">
        <v>101</v>
      </c>
      <c r="J12" s="10" t="s">
        <v>79</v>
      </c>
      <c r="K12" s="6">
        <f>C5</f>
        <v>2707.4864013965798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3.90625E-2</v>
      </c>
      <c r="W12" s="2">
        <f t="shared" si="0"/>
        <v>3.4490947104885775E-3</v>
      </c>
      <c r="X12" s="2">
        <f t="shared" si="8"/>
        <v>4.296875E-2</v>
      </c>
      <c r="Y12" s="2">
        <f t="shared" si="1"/>
        <v>-4.6587483385068101E-4</v>
      </c>
      <c r="Z12" s="2">
        <f t="shared" si="3"/>
        <v>4.1015625E-2</v>
      </c>
      <c r="AA12" s="2">
        <f t="shared" si="2"/>
        <v>1.4917108979686441E-3</v>
      </c>
      <c r="AB12" s="2">
        <f t="shared" si="4"/>
        <v>5.1450521677618162E-6</v>
      </c>
      <c r="AC12" s="2">
        <f t="shared" si="5"/>
        <v>-6.949505667443923E-7</v>
      </c>
      <c r="AD12" s="2">
        <f t="shared" si="6"/>
        <v>3.90625E-3</v>
      </c>
      <c r="AF12" s="2">
        <v>8</v>
      </c>
      <c r="AG12" s="2">
        <f t="shared" si="13"/>
        <v>2652.34375</v>
      </c>
      <c r="AH12" s="2">
        <v>-22.586257150780511</v>
      </c>
      <c r="AI12" s="2">
        <f t="shared" si="14"/>
        <v>2726.5625</v>
      </c>
      <c r="AJ12" s="2">
        <v>7.7394681521304847</v>
      </c>
      <c r="AK12" s="2">
        <f t="shared" si="9"/>
        <v>2689.453125</v>
      </c>
      <c r="AL12" s="2">
        <v>-7.3622360562044378</v>
      </c>
      <c r="AM12" s="2">
        <f t="shared" si="10"/>
        <v>166.28535677018161</v>
      </c>
      <c r="AN12" s="2">
        <f t="shared" si="11"/>
        <v>-56.979791485460986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1201.8678405822773</v>
      </c>
      <c r="L13" s="6" t="s">
        <v>7</v>
      </c>
      <c r="N13" s="6" t="s">
        <v>74</v>
      </c>
      <c r="O13" s="6">
        <f xml:space="preserve"> SQRT( ($C$5*$C$50)^2 + O9^2)</f>
        <v>26611.537867599895</v>
      </c>
      <c r="P13" s="6" t="s">
        <v>20</v>
      </c>
      <c r="U13" s="2">
        <v>9</v>
      </c>
      <c r="V13" s="2">
        <f t="shared" si="7"/>
        <v>4.1015625E-2</v>
      </c>
      <c r="W13" s="2">
        <f t="shared" si="0"/>
        <v>1.4917108979686441E-3</v>
      </c>
      <c r="X13" s="2">
        <f t="shared" si="8"/>
        <v>4.296875E-2</v>
      </c>
      <c r="Y13" s="2">
        <f t="shared" si="1"/>
        <v>-4.6587483385068101E-4</v>
      </c>
      <c r="Z13" s="2">
        <f t="shared" si="3"/>
        <v>4.19921875E-2</v>
      </c>
      <c r="AA13" s="2">
        <f t="shared" si="2"/>
        <v>5.1294322164768813E-4</v>
      </c>
      <c r="AB13" s="2">
        <f t="shared" si="4"/>
        <v>7.6516299377100211E-7</v>
      </c>
      <c r="AC13" s="2">
        <f t="shared" si="5"/>
        <v>-2.3896733815994974E-7</v>
      </c>
      <c r="AD13" s="2">
        <f t="shared" si="6"/>
        <v>1.953125E-3</v>
      </c>
      <c r="AF13" s="2">
        <v>9</v>
      </c>
      <c r="AG13" s="2">
        <f t="shared" si="13"/>
        <v>2689.453125</v>
      </c>
      <c r="AH13" s="2">
        <v>-7.3622360562044378</v>
      </c>
      <c r="AI13" s="2">
        <f t="shared" si="14"/>
        <v>2726.5625</v>
      </c>
      <c r="AJ13" s="2">
        <v>7.7394681521304847</v>
      </c>
      <c r="AK13" s="2">
        <f t="shared" si="9"/>
        <v>2708.0078125</v>
      </c>
      <c r="AL13" s="2">
        <v>0.20399053677647316</v>
      </c>
      <c r="AM13" s="2">
        <f t="shared" si="10"/>
        <v>-1.5018264849802481</v>
      </c>
      <c r="AN13" s="2">
        <f t="shared" si="11"/>
        <v>1.5787782627175164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196.07968779375921</v>
      </c>
      <c r="L14" s="6" t="s">
        <v>7</v>
      </c>
      <c r="N14" s="6" t="s">
        <v>75</v>
      </c>
      <c r="O14" s="6">
        <f>$C$5*$C$50/O13</f>
        <v>0.99711884016112051</v>
      </c>
      <c r="U14" s="2">
        <v>10</v>
      </c>
      <c r="V14" s="2">
        <f t="shared" si="7"/>
        <v>4.19921875E-2</v>
      </c>
      <c r="W14" s="2">
        <f t="shared" si="0"/>
        <v>5.1294322164768813E-4</v>
      </c>
      <c r="X14" s="2">
        <f t="shared" si="8"/>
        <v>4.296875E-2</v>
      </c>
      <c r="Y14" s="2">
        <f t="shared" si="1"/>
        <v>-4.6587483385068101E-4</v>
      </c>
      <c r="Z14" s="2">
        <f t="shared" si="3"/>
        <v>4.248046875E-2</v>
      </c>
      <c r="AA14" s="2">
        <f t="shared" si="2"/>
        <v>2.3540484885176127E-5</v>
      </c>
      <c r="AB14" s="2">
        <f t="shared" si="4"/>
        <v>1.2074932156150951E-8</v>
      </c>
      <c r="AC14" s="2">
        <f t="shared" si="5"/>
        <v>-1.0966919484645896E-8</v>
      </c>
      <c r="AD14" s="2">
        <f t="shared" si="6"/>
        <v>9.765625E-4</v>
      </c>
      <c r="AF14" s="2">
        <v>10</v>
      </c>
      <c r="AG14" s="2">
        <f t="shared" si="13"/>
        <v>2689.453125</v>
      </c>
      <c r="AH14" s="2">
        <v>-7.3622360562044378</v>
      </c>
      <c r="AI14" s="2">
        <f t="shared" si="14"/>
        <v>2708.0078125</v>
      </c>
      <c r="AJ14" s="2">
        <v>0.20399053677647316</v>
      </c>
      <c r="AK14" s="2">
        <f t="shared" si="9"/>
        <v>2698.73046875</v>
      </c>
      <c r="AL14" s="2">
        <v>-3.5753031121266758</v>
      </c>
      <c r="AM14" s="2">
        <f t="shared" si="10"/>
        <v>26.322225483958952</v>
      </c>
      <c r="AN14" s="2">
        <f t="shared" si="11"/>
        <v>-0.72932800098131567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1558.4619770799916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236.5341157418153</v>
      </c>
      <c r="L15" s="6" t="s">
        <v>7</v>
      </c>
      <c r="U15" s="2">
        <v>11</v>
      </c>
      <c r="V15" s="2">
        <f t="shared" si="7"/>
        <v>4.248046875E-2</v>
      </c>
      <c r="W15" s="2">
        <f t="shared" si="0"/>
        <v>2.3540484885176127E-5</v>
      </c>
      <c r="X15" s="2">
        <f t="shared" si="8"/>
        <v>4.296875E-2</v>
      </c>
      <c r="Y15" s="2">
        <f t="shared" si="1"/>
        <v>-4.6587483385068101E-4</v>
      </c>
      <c r="Z15" s="2">
        <f t="shared" si="3"/>
        <v>4.2724609375E-2</v>
      </c>
      <c r="AA15" s="2">
        <f t="shared" si="2"/>
        <v>-2.2116560254486356E-4</v>
      </c>
      <c r="AB15" s="2">
        <f t="shared" si="4"/>
        <v>-5.2063455238282318E-9</v>
      </c>
      <c r="AC15" s="2">
        <f t="shared" si="5"/>
        <v>1.0303548833907407E-7</v>
      </c>
      <c r="AD15" s="2">
        <f t="shared" si="6"/>
        <v>4.8828125E-4</v>
      </c>
      <c r="AF15" s="2">
        <v>11</v>
      </c>
      <c r="AG15" s="2">
        <f t="shared" si="13"/>
        <v>2698.73046875</v>
      </c>
      <c r="AH15" s="2">
        <v>-7.3622360562044378</v>
      </c>
      <c r="AI15" s="2">
        <f t="shared" si="14"/>
        <v>2708.0078125</v>
      </c>
      <c r="AJ15" s="2">
        <v>-3.5753031121266758</v>
      </c>
      <c r="AK15" s="2">
        <f t="shared" si="9"/>
        <v>2703.369140625</v>
      </c>
      <c r="AL15" s="2">
        <v>-3.5753031121266758</v>
      </c>
      <c r="AM15" s="2">
        <f t="shared" si="10"/>
        <v>26.322225483958952</v>
      </c>
      <c r="AN15" s="2">
        <f t="shared" si="11"/>
        <v>12.782792343582694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144.66061476039064</v>
      </c>
      <c r="H16" s="6" t="s">
        <v>10</v>
      </c>
      <c r="J16" s="13" t="s">
        <v>53</v>
      </c>
      <c r="K16" s="6">
        <f xml:space="preserve"> $C$54 * 0.2138 * K4</f>
        <v>96.984714011568627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4.248046875E-2</v>
      </c>
      <c r="W16" s="2">
        <f t="shared" si="0"/>
        <v>2.3540484885176127E-5</v>
      </c>
      <c r="X16" s="2">
        <f t="shared" si="8"/>
        <v>4.2724609375E-2</v>
      </c>
      <c r="Y16" s="2">
        <f t="shared" si="1"/>
        <v>-2.2116560254486356E-4</v>
      </c>
      <c r="Z16" s="2">
        <f t="shared" si="3"/>
        <v>4.26025390625E-2</v>
      </c>
      <c r="AA16" s="2">
        <f t="shared" si="2"/>
        <v>-9.8812165743936142E-5</v>
      </c>
      <c r="AB16" s="2">
        <f t="shared" si="4"/>
        <v>-2.3260862941666469E-9</v>
      </c>
      <c r="AC16" s="2">
        <f t="shared" si="5"/>
        <v>2.1853852175520563E-8</v>
      </c>
      <c r="AD16" s="2">
        <f t="shared" si="6"/>
        <v>2.44140625E-4</v>
      </c>
      <c r="AF16" s="2">
        <v>12</v>
      </c>
      <c r="AG16" s="2">
        <f t="shared" si="13"/>
        <v>2703.369140625</v>
      </c>
      <c r="AH16" s="2">
        <v>-7.3622360562044378</v>
      </c>
      <c r="AI16" s="2">
        <f t="shared" si="14"/>
        <v>2703.369140625</v>
      </c>
      <c r="AJ16" s="2">
        <v>-3.5753031121266758</v>
      </c>
      <c r="AK16" s="2">
        <f t="shared" si="9"/>
        <v>2703.369140625</v>
      </c>
      <c r="AL16" s="2">
        <v>-3.5753031121266758</v>
      </c>
      <c r="AM16" s="2">
        <f t="shared" si="10"/>
        <v>26.322225483958952</v>
      </c>
      <c r="AN16" s="2">
        <f t="shared" si="11"/>
        <v>12.782792343582694</v>
      </c>
      <c r="AO16" s="2">
        <f t="shared" si="12"/>
        <v>0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0.43477955326468354</v>
      </c>
      <c r="H17" s="6" t="s">
        <v>122</v>
      </c>
      <c r="J17" s="13" t="s">
        <v>77</v>
      </c>
      <c r="K17" s="6">
        <f xml:space="preserve"> $C$54 * 0.1149 * K4</f>
        <v>52.121345369173227</v>
      </c>
      <c r="L17" s="6" t="s">
        <v>7</v>
      </c>
      <c r="N17" s="6" t="s">
        <v>25</v>
      </c>
      <c r="O17" s="6">
        <f xml:space="preserve"> ACOS(O14)/PI()*180</f>
        <v>4.3503643789181154</v>
      </c>
      <c r="P17" s="6" t="s">
        <v>40</v>
      </c>
      <c r="U17" s="2">
        <v>13</v>
      </c>
      <c r="V17" s="2">
        <f t="shared" si="7"/>
        <v>4.248046875E-2</v>
      </c>
      <c r="W17" s="2">
        <f t="shared" si="0"/>
        <v>2.3540484885176127E-5</v>
      </c>
      <c r="X17" s="2">
        <f t="shared" si="8"/>
        <v>4.26025390625E-2</v>
      </c>
      <c r="Y17" s="2">
        <f t="shared" si="1"/>
        <v>-9.8812165743936142E-5</v>
      </c>
      <c r="Z17" s="2">
        <f t="shared" si="3"/>
        <v>4.254150390625E-2</v>
      </c>
      <c r="AA17" s="2">
        <f t="shared" si="2"/>
        <v>-3.7635742145256113E-5</v>
      </c>
      <c r="AB17" s="2">
        <f t="shared" si="4"/>
        <v>-8.8596361911278769E-10</v>
      </c>
      <c r="AC17" s="2">
        <f t="shared" si="5"/>
        <v>3.71886919075309E-9</v>
      </c>
      <c r="AD17" s="2">
        <f t="shared" si="6"/>
        <v>1.220703125E-4</v>
      </c>
      <c r="AF17" s="2">
        <v>13</v>
      </c>
      <c r="AG17" s="2">
        <f t="shared" si="13"/>
        <v>2703.369140625</v>
      </c>
      <c r="AH17" s="2">
        <v>-7.3622360562044378</v>
      </c>
      <c r="AI17" s="2">
        <f t="shared" si="14"/>
        <v>2703.369140625</v>
      </c>
      <c r="AJ17" s="2">
        <v>-3.5753031121266758</v>
      </c>
      <c r="AK17" s="2">
        <f t="shared" si="9"/>
        <v>2703.369140625</v>
      </c>
      <c r="AL17" s="2">
        <v>-3.5753031121266758</v>
      </c>
      <c r="AM17" s="2">
        <f t="shared" si="10"/>
        <v>26.322225483958952</v>
      </c>
      <c r="AN17" s="2">
        <f t="shared" si="11"/>
        <v>12.782792343582694</v>
      </c>
      <c r="AO17" s="2">
        <f t="shared" si="12"/>
        <v>0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6652.8844668999736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135.80119919510028</v>
      </c>
      <c r="L18" s="6" t="s">
        <v>7</v>
      </c>
      <c r="N18" s="6" t="s">
        <v>19</v>
      </c>
      <c r="O18" s="6">
        <f xml:space="preserve"> O13 / $C$18</f>
        <v>6652.8844668999736</v>
      </c>
      <c r="P18" s="6" t="s">
        <v>20</v>
      </c>
      <c r="U18" s="2">
        <v>14</v>
      </c>
      <c r="V18" s="2">
        <f t="shared" si="7"/>
        <v>4.248046875E-2</v>
      </c>
      <c r="W18" s="2">
        <f t="shared" si="0"/>
        <v>2.3540484885176127E-5</v>
      </c>
      <c r="X18" s="2">
        <f t="shared" si="8"/>
        <v>4.254150390625E-2</v>
      </c>
      <c r="Y18" s="2">
        <f t="shared" si="1"/>
        <v>-3.7635742145256113E-5</v>
      </c>
      <c r="Z18" s="2">
        <f t="shared" si="3"/>
        <v>4.2510986328125E-2</v>
      </c>
      <c r="AA18" s="2">
        <f t="shared" si="2"/>
        <v>-7.0476040574252163E-6</v>
      </c>
      <c r="AB18" s="2">
        <f t="shared" si="4"/>
        <v>-1.6590401679052424E-10</v>
      </c>
      <c r="AC18" s="2">
        <f t="shared" si="5"/>
        <v>2.6524180904711622E-10</v>
      </c>
      <c r="AD18" s="2">
        <f t="shared" si="6"/>
        <v>6.103515625E-5</v>
      </c>
      <c r="AF18" s="2">
        <v>14</v>
      </c>
      <c r="AG18" s="2">
        <f t="shared" si="13"/>
        <v>2703.369140625</v>
      </c>
      <c r="AH18" s="2">
        <v>-7.3622360562044378</v>
      </c>
      <c r="AI18" s="2">
        <f t="shared" si="14"/>
        <v>2703.369140625</v>
      </c>
      <c r="AJ18" s="2">
        <v>-3.5753031121266758</v>
      </c>
      <c r="AK18" s="2">
        <f t="shared" si="9"/>
        <v>2703.369140625</v>
      </c>
      <c r="AL18" s="2">
        <v>-3.5753031121266758</v>
      </c>
      <c r="AM18" s="2">
        <f t="shared" si="10"/>
        <v>26.322225483958952</v>
      </c>
      <c r="AN18" s="2">
        <f t="shared" si="11"/>
        <v>12.782792343582694</v>
      </c>
      <c r="AO18" s="2">
        <f t="shared" si="12"/>
        <v>0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56.56895125955743</v>
      </c>
      <c r="H19" s="6" t="s">
        <v>101</v>
      </c>
      <c r="J19" s="14" t="s">
        <v>61</v>
      </c>
      <c r="K19" s="6">
        <f xml:space="preserve"> $C$55 * C31 * $C$5</f>
        <v>30.3238476956417</v>
      </c>
      <c r="L19" s="6" t="s">
        <v>7</v>
      </c>
      <c r="N19" s="6" t="s">
        <v>26</v>
      </c>
      <c r="O19" s="6">
        <f>$C$7*2*PI()/60</f>
        <v>42.342187181293305</v>
      </c>
      <c r="P19" s="6" t="s">
        <v>27</v>
      </c>
      <c r="U19" s="2">
        <v>15</v>
      </c>
      <c r="V19" s="2">
        <f t="shared" si="7"/>
        <v>4.248046875E-2</v>
      </c>
      <c r="W19" s="2">
        <f t="shared" si="0"/>
        <v>2.3540484885176127E-5</v>
      </c>
      <c r="X19" s="2">
        <f t="shared" si="8"/>
        <v>4.2510986328125E-2</v>
      </c>
      <c r="Y19" s="2">
        <f t="shared" si="1"/>
        <v>-7.0476040574252163E-6</v>
      </c>
      <c r="Z19" s="2">
        <f t="shared" si="3"/>
        <v>4.24957275390625E-2</v>
      </c>
      <c r="AA19" s="2">
        <f t="shared" si="2"/>
        <v>8.2464465572251733E-6</v>
      </c>
      <c r="AB19" s="2">
        <f t="shared" si="4"/>
        <v>1.9412535053677189E-10</v>
      </c>
      <c r="AC19" s="2">
        <f t="shared" si="5"/>
        <v>-5.8117690216040337E-11</v>
      </c>
      <c r="AD19" s="2">
        <f t="shared" si="6"/>
        <v>3.0517578125E-5</v>
      </c>
      <c r="AF19" s="2">
        <v>15</v>
      </c>
      <c r="AG19" s="2">
        <f t="shared" si="13"/>
        <v>2703.369140625</v>
      </c>
      <c r="AH19" s="2">
        <v>-7.3622360562044378</v>
      </c>
      <c r="AI19" s="2">
        <f t="shared" si="14"/>
        <v>2703.369140625</v>
      </c>
      <c r="AJ19" s="2">
        <v>-3.5753031121266758</v>
      </c>
      <c r="AK19" s="2">
        <f t="shared" si="9"/>
        <v>2703.369140625</v>
      </c>
      <c r="AL19" s="2">
        <v>-3.5753031121266758</v>
      </c>
      <c r="AM19" s="2">
        <f t="shared" si="10"/>
        <v>26.322225483958952</v>
      </c>
      <c r="AN19" s="2">
        <f t="shared" si="11"/>
        <v>12.782792343582694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11.99999992058313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0.42707145086959242</v>
      </c>
      <c r="U20" s="2">
        <v>16</v>
      </c>
      <c r="V20" s="2">
        <f t="shared" si="7"/>
        <v>4.24957275390625E-2</v>
      </c>
      <c r="W20" s="2">
        <f t="shared" si="0"/>
        <v>8.2464465572251733E-6</v>
      </c>
      <c r="X20" s="2">
        <f t="shared" si="8"/>
        <v>4.2510986328125E-2</v>
      </c>
      <c r="Y20" s="2">
        <f t="shared" si="1"/>
        <v>-7.0476040574252163E-6</v>
      </c>
      <c r="Z20" s="2">
        <f t="shared" si="3"/>
        <v>4.250335693359375E-2</v>
      </c>
      <c r="AA20" s="2">
        <f t="shared" si="2"/>
        <v>5.994227857131218E-7</v>
      </c>
      <c r="AB20" s="2">
        <f t="shared" si="4"/>
        <v>4.9431079675662962E-12</v>
      </c>
      <c r="AC20" s="2">
        <f t="shared" si="5"/>
        <v>-4.2244944567049233E-12</v>
      </c>
      <c r="AD20" s="2">
        <f t="shared" si="6"/>
        <v>1.52587890625E-5</v>
      </c>
      <c r="AF20" s="2">
        <v>16</v>
      </c>
      <c r="AG20" s="2">
        <f t="shared" si="13"/>
        <v>2703.369140625</v>
      </c>
      <c r="AH20" s="2">
        <v>-7.3622360562044378</v>
      </c>
      <c r="AI20" s="2">
        <f t="shared" si="14"/>
        <v>2703.369140625</v>
      </c>
      <c r="AJ20" s="2">
        <v>-3.5753031121266758</v>
      </c>
      <c r="AK20" s="2">
        <f t="shared" si="9"/>
        <v>2703.369140625</v>
      </c>
      <c r="AL20" s="2">
        <v>-3.5753031121266758</v>
      </c>
      <c r="AM20" s="2">
        <f t="shared" si="10"/>
        <v>26.322225483958952</v>
      </c>
      <c r="AN20" s="2">
        <f t="shared" si="11"/>
        <v>12.782792343582694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0.13999999999236509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8.5962767858106508E-3</v>
      </c>
      <c r="U21" s="2">
        <v>17</v>
      </c>
      <c r="V21" s="2">
        <f t="shared" si="7"/>
        <v>4.250335693359375E-2</v>
      </c>
      <c r="W21" s="2">
        <f t="shared" si="0"/>
        <v>5.994227857131218E-7</v>
      </c>
      <c r="X21" s="2">
        <f t="shared" si="8"/>
        <v>4.2510986328125E-2</v>
      </c>
      <c r="Y21" s="2">
        <f t="shared" si="1"/>
        <v>-7.0476040574252163E-6</v>
      </c>
      <c r="Z21" s="2">
        <f t="shared" si="3"/>
        <v>4.2507171630859375E-2</v>
      </c>
      <c r="AA21" s="2">
        <f t="shared" si="2"/>
        <v>-3.2240902519062309E-6</v>
      </c>
      <c r="AB21" s="2">
        <f t="shared" si="4"/>
        <v>-1.9325931601881535E-12</v>
      </c>
      <c r="AC21" s="2">
        <f t="shared" si="5"/>
        <v>2.2722111540839439E-11</v>
      </c>
      <c r="AD21" s="2">
        <f t="shared" si="6"/>
        <v>7.62939453125E-6</v>
      </c>
      <c r="AF21" s="2">
        <v>17</v>
      </c>
      <c r="AG21" s="2">
        <f t="shared" si="13"/>
        <v>2703.369140625</v>
      </c>
      <c r="AH21" s="2">
        <v>-7.3622360562044378</v>
      </c>
      <c r="AI21" s="2">
        <f t="shared" si="14"/>
        <v>2703.369140625</v>
      </c>
      <c r="AJ21" s="2">
        <v>-3.5753031121266758</v>
      </c>
      <c r="AK21" s="2">
        <f t="shared" si="9"/>
        <v>2703.369140625</v>
      </c>
      <c r="AL21" s="2">
        <v>-3.5753031121266758</v>
      </c>
      <c r="AM21" s="2">
        <f t="shared" si="10"/>
        <v>26.322225483958952</v>
      </c>
      <c r="AN21" s="2">
        <f t="shared" si="11"/>
        <v>12.782792343582694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226.27580503822972</v>
      </c>
      <c r="H22" s="25" t="s">
        <v>101</v>
      </c>
      <c r="J22" s="14" t="s">
        <v>112</v>
      </c>
      <c r="K22" s="6">
        <f>$C$55*(0.14*$G$12*1000/745.7)*0.453592</f>
        <v>25.753342783255373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4.250335693359375E-2</v>
      </c>
      <c r="W22" s="2">
        <f t="shared" si="0"/>
        <v>5.994227857131218E-7</v>
      </c>
      <c r="X22" s="2">
        <f t="shared" si="8"/>
        <v>4.2507171630859375E-2</v>
      </c>
      <c r="Y22" s="2">
        <f t="shared" si="1"/>
        <v>-3.2240902519062309E-6</v>
      </c>
      <c r="Z22" s="2">
        <f t="shared" si="3"/>
        <v>4.2505264282226562E-2</v>
      </c>
      <c r="AA22" s="2">
        <f t="shared" si="2"/>
        <v>-1.3123336371073657E-6</v>
      </c>
      <c r="AB22" s="2">
        <f t="shared" si="4"/>
        <v>-7.8664268453993024E-13</v>
      </c>
      <c r="AC22" s="2">
        <f t="shared" si="5"/>
        <v>4.2310820866465073E-12</v>
      </c>
      <c r="AD22" s="2">
        <f t="shared" si="6"/>
        <v>3.814697265625E-6</v>
      </c>
      <c r="AF22" s="2">
        <v>18</v>
      </c>
      <c r="AG22" s="2">
        <f t="shared" si="13"/>
        <v>2703.369140625</v>
      </c>
      <c r="AH22" s="2">
        <v>-7.3622360562044378</v>
      </c>
      <c r="AI22" s="2">
        <f t="shared" si="14"/>
        <v>2703.369140625</v>
      </c>
      <c r="AJ22" s="2">
        <v>-3.5753031121266758</v>
      </c>
      <c r="AK22" s="2">
        <f t="shared" si="9"/>
        <v>2703.369140625</v>
      </c>
      <c r="AL22" s="2">
        <v>-3.5753031121266758</v>
      </c>
      <c r="AM22" s="2">
        <f t="shared" si="10"/>
        <v>26.322225483958952</v>
      </c>
      <c r="AN22" s="2">
        <f t="shared" si="11"/>
        <v>12.782792343582694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58.048508445942673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14133.864967567351</v>
      </c>
      <c r="P23" s="6" t="s">
        <v>18</v>
      </c>
      <c r="U23" s="2">
        <v>19</v>
      </c>
      <c r="V23" s="2">
        <f t="shared" si="7"/>
        <v>4.250335693359375E-2</v>
      </c>
      <c r="W23" s="2">
        <f t="shared" si="0"/>
        <v>5.994227857131218E-7</v>
      </c>
      <c r="X23" s="2">
        <f t="shared" si="8"/>
        <v>4.2505264282226562E-2</v>
      </c>
      <c r="Y23" s="2">
        <f t="shared" si="1"/>
        <v>-1.3123336371073657E-6</v>
      </c>
      <c r="Z23" s="2">
        <f t="shared" si="3"/>
        <v>4.2504310607910156E-2</v>
      </c>
      <c r="AA23" s="2">
        <f t="shared" si="2"/>
        <v>-3.5645540170242684E-7</v>
      </c>
      <c r="AB23" s="2">
        <f t="shared" si="4"/>
        <v>-2.1366748987095856E-13</v>
      </c>
      <c r="AC23" s="2">
        <f t="shared" si="5"/>
        <v>4.6778841378271294E-13</v>
      </c>
      <c r="AD23" s="2">
        <f t="shared" si="6"/>
        <v>1.9073486328125E-6</v>
      </c>
      <c r="AF23" s="2">
        <v>19</v>
      </c>
      <c r="AG23" s="2">
        <f t="shared" si="13"/>
        <v>2703.369140625</v>
      </c>
      <c r="AH23" s="2">
        <v>-7.3622360562044378</v>
      </c>
      <c r="AI23" s="2">
        <f t="shared" si="14"/>
        <v>2703.369140625</v>
      </c>
      <c r="AJ23" s="2">
        <v>-3.5753031121266758</v>
      </c>
      <c r="AK23" s="2">
        <f t="shared" si="9"/>
        <v>2703.369140625</v>
      </c>
      <c r="AL23" s="2">
        <v>-3.5753031121266758</v>
      </c>
      <c r="AM23" s="2">
        <f t="shared" si="10"/>
        <v>26.322225483958952</v>
      </c>
      <c r="AN23" s="2">
        <f t="shared" si="11"/>
        <v>12.782792343582694</v>
      </c>
      <c r="AO23" s="2">
        <f t="shared" si="12"/>
        <v>0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8.5273330301091974</v>
      </c>
      <c r="L24" s="6" t="s">
        <v>7</v>
      </c>
      <c r="N24" s="6" t="s">
        <v>31</v>
      </c>
      <c r="O24" s="18">
        <f>Z34</f>
        <v>4.250395530834794E-2</v>
      </c>
      <c r="U24" s="2">
        <v>20</v>
      </c>
      <c r="V24" s="2">
        <f t="shared" si="7"/>
        <v>4.250335693359375E-2</v>
      </c>
      <c r="W24" s="2">
        <f t="shared" si="0"/>
        <v>5.994227857131218E-7</v>
      </c>
      <c r="X24" s="2">
        <f t="shared" si="8"/>
        <v>4.2504310607910156E-2</v>
      </c>
      <c r="Y24" s="2">
        <f t="shared" si="1"/>
        <v>-3.5645540170242684E-7</v>
      </c>
      <c r="Z24" s="2">
        <f t="shared" si="3"/>
        <v>4.2503833770751953E-2</v>
      </c>
      <c r="AA24" s="2">
        <f t="shared" si="2"/>
        <v>1.2148369800402126E-7</v>
      </c>
      <c r="AB24" s="2">
        <f t="shared" si="4"/>
        <v>7.2820096676302035E-14</v>
      </c>
      <c r="AC24" s="2">
        <f t="shared" si="5"/>
        <v>-4.330352037231971E-14</v>
      </c>
      <c r="AD24" s="2">
        <f t="shared" si="6"/>
        <v>9.5367431640625E-7</v>
      </c>
      <c r="AF24" s="2">
        <v>20</v>
      </c>
      <c r="AG24" s="2">
        <f t="shared" si="13"/>
        <v>2703.369140625</v>
      </c>
      <c r="AH24" s="2">
        <v>-7.3622360562044378</v>
      </c>
      <c r="AI24" s="2">
        <f t="shared" si="14"/>
        <v>2703.369140625</v>
      </c>
      <c r="AJ24" s="2">
        <v>-3.5753031121266758</v>
      </c>
      <c r="AK24" s="2">
        <f t="shared" si="9"/>
        <v>2703.369140625</v>
      </c>
      <c r="AL24" s="2">
        <v>-3.5753031121266758</v>
      </c>
      <c r="AM24" s="2">
        <f t="shared" si="10"/>
        <v>26.322225483958952</v>
      </c>
      <c r="AN24" s="2">
        <f t="shared" si="11"/>
        <v>12.782792343582694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17.327912968938112</v>
      </c>
      <c r="L25" s="6" t="s">
        <v>7</v>
      </c>
      <c r="N25" s="6" t="s">
        <v>32</v>
      </c>
      <c r="O25" s="6">
        <f xml:space="preserve"> O19 * $C$9 * O24 - $C$8 * SIN(O17/180*PI())</f>
        <v>1.4487381573592906</v>
      </c>
      <c r="P25" s="6" t="s">
        <v>10</v>
      </c>
      <c r="U25" s="2">
        <v>21</v>
      </c>
      <c r="V25" s="2">
        <f t="shared" si="7"/>
        <v>4.2503833770751953E-2</v>
      </c>
      <c r="W25" s="2">
        <f t="shared" si="0"/>
        <v>1.2148369800402126E-7</v>
      </c>
      <c r="X25" s="2">
        <f t="shared" si="8"/>
        <v>4.2504310607910156E-2</v>
      </c>
      <c r="Y25" s="2">
        <f t="shared" si="1"/>
        <v>-3.5645540170242684E-7</v>
      </c>
      <c r="Z25" s="2">
        <f t="shared" si="3"/>
        <v>4.2504072189331055E-2</v>
      </c>
      <c r="AA25" s="2">
        <f t="shared" si="2"/>
        <v>-1.1748585034693226E-7</v>
      </c>
      <c r="AB25" s="2">
        <f t="shared" si="4"/>
        <v>-1.4272615563292356E-14</v>
      </c>
      <c r="AC25" s="2">
        <f t="shared" si="5"/>
        <v>4.1878465979766941E-14</v>
      </c>
      <c r="AD25" s="2">
        <f t="shared" si="6"/>
        <v>4.76837158203125E-7</v>
      </c>
      <c r="AF25" s="2">
        <v>21</v>
      </c>
      <c r="AG25" s="2">
        <f t="shared" si="13"/>
        <v>2703.369140625</v>
      </c>
      <c r="AH25" s="2">
        <v>-7.3622360562044378</v>
      </c>
      <c r="AI25" s="2">
        <f t="shared" si="14"/>
        <v>2703.369140625</v>
      </c>
      <c r="AJ25" s="2">
        <v>-3.5753031121266758</v>
      </c>
      <c r="AK25" s="2">
        <f t="shared" si="9"/>
        <v>2703.369140625</v>
      </c>
      <c r="AL25" s="2">
        <v>-3.5753031121266758</v>
      </c>
      <c r="AM25" s="2">
        <f t="shared" si="10"/>
        <v>26.322225483958952</v>
      </c>
      <c r="AN25" s="2">
        <f t="shared" si="11"/>
        <v>12.782792343582694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48.124780387700895</v>
      </c>
      <c r="L26" s="6" t="s">
        <v>7</v>
      </c>
      <c r="N26" s="6" t="s">
        <v>33</v>
      </c>
      <c r="O26" s="6">
        <f xml:space="preserve"> 1/$C$21 - O23 * SQRT( (2*$C$47*PI()*$C$9^2) / O18^3 )</f>
        <v>1.1093269200264353</v>
      </c>
      <c r="U26" s="2">
        <v>22</v>
      </c>
      <c r="V26" s="2">
        <f t="shared" si="7"/>
        <v>4.2503833770751953E-2</v>
      </c>
      <c r="W26" s="2">
        <f t="shared" si="0"/>
        <v>1.2148369800402126E-7</v>
      </c>
      <c r="X26" s="2">
        <f t="shared" si="8"/>
        <v>4.2504072189331055E-2</v>
      </c>
      <c r="Y26" s="2">
        <f t="shared" si="1"/>
        <v>-1.1748585034693226E-7</v>
      </c>
      <c r="Z26" s="2">
        <f t="shared" si="3"/>
        <v>4.2503952980041504E-2</v>
      </c>
      <c r="AA26" s="2">
        <f t="shared" si="2"/>
        <v>1.9989242067142143E-9</v>
      </c>
      <c r="AB26" s="2">
        <f t="shared" si="4"/>
        <v>2.4283670466139735E-16</v>
      </c>
      <c r="AC26" s="2">
        <f t="shared" si="5"/>
        <v>-2.3484531020488647E-16</v>
      </c>
      <c r="AD26" s="2">
        <f t="shared" si="6"/>
        <v>2.384185791015625E-7</v>
      </c>
      <c r="AF26" s="2">
        <v>22</v>
      </c>
      <c r="AG26" s="2">
        <f t="shared" si="13"/>
        <v>2703.369140625</v>
      </c>
      <c r="AH26" s="2">
        <v>-7.3622360562044378</v>
      </c>
      <c r="AI26" s="2">
        <f t="shared" si="14"/>
        <v>2703.369140625</v>
      </c>
      <c r="AJ26" s="2">
        <v>-3.5753031121266758</v>
      </c>
      <c r="AK26" s="2">
        <f t="shared" si="9"/>
        <v>2703.369140625</v>
      </c>
      <c r="AL26" s="2">
        <v>-3.5753031121266758</v>
      </c>
      <c r="AM26" s="2">
        <f t="shared" si="10"/>
        <v>26.322225483958952</v>
      </c>
      <c r="AN26" s="2">
        <f t="shared" si="11"/>
        <v>12.782792343582694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-8.2266087024436274E-3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4.2503952980041504E-2</v>
      </c>
      <c r="W27" s="2">
        <f t="shared" si="0"/>
        <v>1.9989242067142143E-9</v>
      </c>
      <c r="X27" s="2">
        <f t="shared" si="8"/>
        <v>4.2504072189331055E-2</v>
      </c>
      <c r="Y27" s="2">
        <f t="shared" si="1"/>
        <v>-1.1748585034693226E-7</v>
      </c>
      <c r="Z27" s="2">
        <f t="shared" si="3"/>
        <v>4.2504012584686279E-2</v>
      </c>
      <c r="AA27" s="2">
        <f t="shared" si="2"/>
        <v>-5.7743462976433957E-8</v>
      </c>
      <c r="AB27" s="2">
        <f t="shared" si="4"/>
        <v>-1.1542480592309984E-16</v>
      </c>
      <c r="AC27" s="2">
        <f t="shared" si="5"/>
        <v>6.7840398497629439E-15</v>
      </c>
      <c r="AD27" s="2">
        <f t="shared" si="6"/>
        <v>1.1920928955078125E-7</v>
      </c>
      <c r="AF27" s="2">
        <v>23</v>
      </c>
      <c r="AG27" s="2">
        <f t="shared" si="13"/>
        <v>2703.369140625</v>
      </c>
      <c r="AH27" s="2">
        <v>-7.3622360562044378</v>
      </c>
      <c r="AI27" s="2">
        <f t="shared" si="14"/>
        <v>2703.369140625</v>
      </c>
      <c r="AJ27" s="2">
        <v>-3.5753031121266758</v>
      </c>
      <c r="AK27" s="2">
        <f t="shared" si="9"/>
        <v>2703.369140625</v>
      </c>
      <c r="AL27" s="2">
        <v>-3.5753031121266758</v>
      </c>
      <c r="AM27" s="2">
        <f t="shared" si="10"/>
        <v>26.322225483958952</v>
      </c>
      <c r="AN27" s="2">
        <f t="shared" si="11"/>
        <v>12.782792343582694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6634.3510292084729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1.1586214854299901</v>
      </c>
      <c r="U28" s="2">
        <v>24</v>
      </c>
      <c r="V28" s="2">
        <f t="shared" si="7"/>
        <v>4.2503952980041504E-2</v>
      </c>
      <c r="W28" s="2">
        <f t="shared" si="0"/>
        <v>1.9989242067142143E-9</v>
      </c>
      <c r="X28" s="2">
        <f t="shared" si="8"/>
        <v>4.2504012584686279E-2</v>
      </c>
      <c r="Y28" s="2">
        <f t="shared" si="1"/>
        <v>-5.7743462976433957E-8</v>
      </c>
      <c r="Z28" s="2">
        <f t="shared" si="3"/>
        <v>4.2503982782363892E-2</v>
      </c>
      <c r="AA28" s="2">
        <f t="shared" si="2"/>
        <v>-2.7872269367512637E-8</v>
      </c>
      <c r="AB28" s="2">
        <f t="shared" si="4"/>
        <v>-5.5714553934780094E-17</v>
      </c>
      <c r="AC28" s="2">
        <f t="shared" si="5"/>
        <v>1.6094413542921602E-15</v>
      </c>
      <c r="AD28" s="2">
        <f t="shared" si="6"/>
        <v>5.9604644775390625E-8</v>
      </c>
      <c r="AF28" s="2">
        <v>24</v>
      </c>
      <c r="AG28" s="2">
        <f t="shared" si="13"/>
        <v>2703.369140625</v>
      </c>
      <c r="AH28" s="2">
        <v>-7.3622360562044378</v>
      </c>
      <c r="AI28" s="2">
        <f t="shared" si="14"/>
        <v>2703.369140625</v>
      </c>
      <c r="AJ28" s="2">
        <v>-3.5753031121266758</v>
      </c>
      <c r="AK28" s="2">
        <f t="shared" si="9"/>
        <v>2703.369140625</v>
      </c>
      <c r="AL28" s="2">
        <v>-3.5753031121266758</v>
      </c>
      <c r="AM28" s="2">
        <f t="shared" si="10"/>
        <v>26.322225483958952</v>
      </c>
      <c r="AN28" s="2">
        <f t="shared" si="11"/>
        <v>12.782792343582694</v>
      </c>
      <c r="AO28" s="2">
        <f t="shared" si="12"/>
        <v>0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82.509449203588176</v>
      </c>
      <c r="H29" t="s">
        <v>18</v>
      </c>
      <c r="U29" s="2">
        <v>25</v>
      </c>
      <c r="V29" s="2">
        <f t="shared" si="7"/>
        <v>4.2503952980041504E-2</v>
      </c>
      <c r="W29" s="2">
        <f t="shared" si="0"/>
        <v>1.9989242067142143E-9</v>
      </c>
      <c r="X29" s="2">
        <f t="shared" si="8"/>
        <v>4.2503982782363892E-2</v>
      </c>
      <c r="Y29" s="2">
        <f t="shared" si="1"/>
        <v>-2.7872269367512637E-8</v>
      </c>
      <c r="Z29" s="2">
        <f t="shared" si="3"/>
        <v>4.2503967881202698E-2</v>
      </c>
      <c r="AA29" s="2">
        <f t="shared" si="2"/>
        <v>-1.2936672573460317E-8</v>
      </c>
      <c r="AB29" s="2">
        <f t="shared" si="4"/>
        <v>-2.5859427961425698E-17</v>
      </c>
      <c r="AC29" s="2">
        <f t="shared" si="5"/>
        <v>3.6057442268679886E-16</v>
      </c>
      <c r="AD29" s="2">
        <f t="shared" si="6"/>
        <v>2.9802322387695312E-8</v>
      </c>
      <c r="AF29" s="2">
        <v>25</v>
      </c>
      <c r="AG29" s="2">
        <f t="shared" si="13"/>
        <v>2703.369140625</v>
      </c>
      <c r="AH29" s="2">
        <v>-7.3622360562044378</v>
      </c>
      <c r="AI29" s="2">
        <f t="shared" si="14"/>
        <v>2703.369140625</v>
      </c>
      <c r="AJ29" s="2">
        <v>-3.5753031121266758</v>
      </c>
      <c r="AK29" s="2">
        <f t="shared" si="9"/>
        <v>2703.369140625</v>
      </c>
      <c r="AL29" s="2">
        <v>-3.5753031121266758</v>
      </c>
      <c r="AM29" s="2">
        <f t="shared" si="10"/>
        <v>26.322225483958952</v>
      </c>
      <c r="AN29" s="2">
        <f t="shared" si="11"/>
        <v>12.782792343582694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8.2035646448080914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4.2503952980041504E-2</v>
      </c>
      <c r="W30" s="2">
        <f t="shared" si="0"/>
        <v>1.9989242067142143E-9</v>
      </c>
      <c r="X30" s="2">
        <f t="shared" si="8"/>
        <v>4.2503967881202698E-2</v>
      </c>
      <c r="Y30" s="2">
        <f t="shared" si="1"/>
        <v>-1.2936672573460317E-8</v>
      </c>
      <c r="Z30" s="2">
        <f t="shared" si="3"/>
        <v>4.2503960430622101E-2</v>
      </c>
      <c r="AA30" s="2">
        <f t="shared" si="2"/>
        <v>-5.4688741868424984E-9</v>
      </c>
      <c r="AB30" s="2">
        <f t="shared" si="4"/>
        <v>-1.0931864995553986E-17</v>
      </c>
      <c r="AC30" s="2">
        <f t="shared" si="5"/>
        <v>7.0749034700630446E-17</v>
      </c>
      <c r="AD30" s="2">
        <f t="shared" si="6"/>
        <v>1.4901161193847656E-8</v>
      </c>
      <c r="AF30" s="2">
        <v>26</v>
      </c>
      <c r="AG30" s="2">
        <f t="shared" si="13"/>
        <v>2703.369140625</v>
      </c>
      <c r="AH30" s="2">
        <v>-7.3622360562044378</v>
      </c>
      <c r="AI30" s="2">
        <f t="shared" si="14"/>
        <v>2703.369140625</v>
      </c>
      <c r="AJ30" s="2">
        <v>-3.5753031121266758</v>
      </c>
      <c r="AK30" s="2">
        <f t="shared" si="9"/>
        <v>2703.369140625</v>
      </c>
      <c r="AL30" s="2">
        <v>-3.5753031121266758</v>
      </c>
      <c r="AM30" s="2">
        <f t="shared" si="10"/>
        <v>26.322225483958952</v>
      </c>
      <c r="AN30" s="2">
        <f t="shared" si="11"/>
        <v>12.782792343582694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330.0377968143527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4.2503952980041504E-2</v>
      </c>
      <c r="W31" s="2">
        <f t="shared" si="0"/>
        <v>1.9989242067142143E-9</v>
      </c>
      <c r="X31" s="2">
        <f t="shared" si="8"/>
        <v>4.2503960430622101E-2</v>
      </c>
      <c r="Y31" s="2">
        <f t="shared" si="1"/>
        <v>-5.4688741868424984E-9</v>
      </c>
      <c r="Z31" s="2">
        <f t="shared" si="3"/>
        <v>4.2503956705331802E-2</v>
      </c>
      <c r="AA31" s="2">
        <f t="shared" si="2"/>
        <v>-1.734974990064142E-9</v>
      </c>
      <c r="AB31" s="2">
        <f t="shared" si="4"/>
        <v>-3.4680835056829671E-18</v>
      </c>
      <c r="AC31" s="2">
        <f t="shared" si="5"/>
        <v>9.488359937979106E-18</v>
      </c>
      <c r="AD31" s="2">
        <f t="shared" si="6"/>
        <v>7.4505805969238281E-9</v>
      </c>
      <c r="AF31" s="2">
        <v>27</v>
      </c>
      <c r="AG31" s="2">
        <f t="shared" si="13"/>
        <v>2703.369140625</v>
      </c>
      <c r="AH31" s="2">
        <v>-7.3622360562044378</v>
      </c>
      <c r="AI31" s="2">
        <f t="shared" si="14"/>
        <v>2703.369140625</v>
      </c>
      <c r="AJ31" s="2">
        <v>-3.5753031121266758</v>
      </c>
      <c r="AK31" s="2">
        <f t="shared" si="9"/>
        <v>2703.369140625</v>
      </c>
      <c r="AL31" s="2">
        <v>-3.5753031121266758</v>
      </c>
      <c r="AM31" s="2">
        <f t="shared" si="10"/>
        <v>26.322225483958952</v>
      </c>
      <c r="AN31" s="2">
        <f t="shared" si="11"/>
        <v>12.782792343582694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1201.8699999999999</v>
      </c>
      <c r="L32" s="6" t="s">
        <v>7</v>
      </c>
      <c r="U32" s="2">
        <v>28</v>
      </c>
      <c r="V32" s="2">
        <f t="shared" si="7"/>
        <v>4.2503952980041504E-2</v>
      </c>
      <c r="W32" s="2">
        <f t="shared" si="0"/>
        <v>1.9989242067142143E-9</v>
      </c>
      <c r="X32" s="2">
        <f t="shared" si="8"/>
        <v>4.2503956705331802E-2</v>
      </c>
      <c r="Y32" s="2">
        <f t="shared" si="1"/>
        <v>-1.734974990064142E-9</v>
      </c>
      <c r="Z32" s="2">
        <f t="shared" si="3"/>
        <v>4.2503954842686653E-2</v>
      </c>
      <c r="AA32" s="2">
        <f t="shared" si="2"/>
        <v>1.3197460485558921E-10</v>
      </c>
      <c r="AB32" s="2">
        <f t="shared" si="4"/>
        <v>2.6380723231738055E-19</v>
      </c>
      <c r="AC32" s="2">
        <f t="shared" si="5"/>
        <v>-2.2897263874804495E-19</v>
      </c>
      <c r="AD32" s="2">
        <f t="shared" si="6"/>
        <v>3.7252902984619141E-9</v>
      </c>
      <c r="AF32" s="2">
        <v>28</v>
      </c>
      <c r="AG32" s="2">
        <f t="shared" si="13"/>
        <v>2703.369140625</v>
      </c>
      <c r="AH32" s="2">
        <v>-7.3622360562044378</v>
      </c>
      <c r="AI32" s="2">
        <f t="shared" si="14"/>
        <v>2703.369140625</v>
      </c>
      <c r="AJ32" s="2">
        <v>-3.5753031121266758</v>
      </c>
      <c r="AK32" s="2">
        <f t="shared" si="9"/>
        <v>2703.369140625</v>
      </c>
      <c r="AL32" s="2">
        <v>-3.5753031121266758</v>
      </c>
      <c r="AM32" s="2">
        <f t="shared" si="10"/>
        <v>26.322225483958952</v>
      </c>
      <c r="AN32" s="2">
        <f t="shared" si="11"/>
        <v>12.782792343582694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581.72</v>
      </c>
      <c r="L33" s="6" t="s">
        <v>7</v>
      </c>
      <c r="U33" s="2">
        <v>29</v>
      </c>
      <c r="V33" s="2">
        <f t="shared" si="7"/>
        <v>4.2503954842686653E-2</v>
      </c>
      <c r="W33" s="2">
        <f t="shared" si="0"/>
        <v>1.3197460485558921E-10</v>
      </c>
      <c r="X33" s="2">
        <f t="shared" si="8"/>
        <v>4.2503956705331802E-2</v>
      </c>
      <c r="Y33" s="2">
        <f t="shared" si="1"/>
        <v>-1.734974990064142E-9</v>
      </c>
      <c r="Z33" s="2">
        <f t="shared" si="3"/>
        <v>4.2503955774009228E-2</v>
      </c>
      <c r="AA33" s="2">
        <f t="shared" si="2"/>
        <v>-8.0150019260427641E-10</v>
      </c>
      <c r="AB33" s="2">
        <f t="shared" si="4"/>
        <v>-1.0577767121062802E-19</v>
      </c>
      <c r="AC33" s="2">
        <f t="shared" si="5"/>
        <v>1.3905827887000123E-18</v>
      </c>
      <c r="AD33" s="2">
        <f t="shared" si="6"/>
        <v>1.862645149230957E-9</v>
      </c>
      <c r="AF33" s="2">
        <v>29</v>
      </c>
      <c r="AG33" s="2">
        <f t="shared" si="13"/>
        <v>2703.369140625</v>
      </c>
      <c r="AH33" s="2">
        <v>-7.3622360562044378</v>
      </c>
      <c r="AI33" s="2">
        <f t="shared" si="14"/>
        <v>2703.369140625</v>
      </c>
      <c r="AJ33" s="2">
        <v>-3.5753031121266758</v>
      </c>
      <c r="AK33" s="2">
        <f t="shared" si="9"/>
        <v>2703.369140625</v>
      </c>
      <c r="AL33" s="2">
        <v>-3.5753031121266758</v>
      </c>
      <c r="AM33" s="2">
        <f t="shared" si="10"/>
        <v>26.322225483958952</v>
      </c>
      <c r="AN33" s="2">
        <f t="shared" si="11"/>
        <v>12.782792343582694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191.88</v>
      </c>
      <c r="L34" s="6" t="s">
        <v>7</v>
      </c>
      <c r="U34" s="2">
        <v>30</v>
      </c>
      <c r="V34" s="2">
        <f t="shared" si="7"/>
        <v>4.2503954842686653E-2</v>
      </c>
      <c r="W34" s="2">
        <f t="shared" si="0"/>
        <v>1.3197460485558921E-10</v>
      </c>
      <c r="X34" s="2">
        <f t="shared" si="8"/>
        <v>4.2503955774009228E-2</v>
      </c>
      <c r="Y34" s="2">
        <f t="shared" si="1"/>
        <v>-8.0150019260427641E-10</v>
      </c>
      <c r="Z34" s="2">
        <f t="shared" si="3"/>
        <v>4.250395530834794E-2</v>
      </c>
      <c r="AA34" s="2">
        <f t="shared" si="2"/>
        <v>-3.347627938743436E-10</v>
      </c>
      <c r="AB34" s="2">
        <f t="shared" si="4"/>
        <v>-4.4180187441919555E-20</v>
      </c>
      <c r="AC34" s="2">
        <f t="shared" si="5"/>
        <v>2.6831244376703208E-19</v>
      </c>
      <c r="AD34" s="2">
        <f>X34-V34</f>
        <v>9.3132257461547852E-10</v>
      </c>
      <c r="AF34" s="2">
        <v>30</v>
      </c>
      <c r="AG34" s="2">
        <f t="shared" si="13"/>
        <v>2703.369140625</v>
      </c>
      <c r="AH34" s="2">
        <v>-7.3622360562044378</v>
      </c>
      <c r="AI34" s="2">
        <f t="shared" si="14"/>
        <v>2703.369140625</v>
      </c>
      <c r="AJ34" s="2">
        <v>-3.5753031121266758</v>
      </c>
      <c r="AK34" s="2">
        <f t="shared" si="9"/>
        <v>2703.369140625</v>
      </c>
      <c r="AL34" s="2">
        <v>-3.5753031121266758</v>
      </c>
      <c r="AM34" s="2">
        <f t="shared" si="10"/>
        <v>26.322225483958952</v>
      </c>
      <c r="AN34" s="2">
        <f t="shared" si="11"/>
        <v>12.782792343582694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226.27580503822972</v>
      </c>
      <c r="H35" s="25" t="s">
        <v>101</v>
      </c>
      <c r="J35" s="15" t="s">
        <v>70</v>
      </c>
      <c r="K35" s="6">
        <f>ROUND(SUM(K23:K26),2)</f>
        <v>132.03</v>
      </c>
      <c r="L35" s="6" t="s">
        <v>7</v>
      </c>
      <c r="AF35" s="2">
        <v>31</v>
      </c>
      <c r="AG35" s="2">
        <f t="shared" si="13"/>
        <v>2703.369140625</v>
      </c>
      <c r="AH35" s="2">
        <v>-7.3622360562044378</v>
      </c>
      <c r="AI35" s="2">
        <f t="shared" si="14"/>
        <v>2703.369140625</v>
      </c>
      <c r="AJ35" s="2">
        <v>-3.5753031121266758</v>
      </c>
      <c r="AK35" s="2">
        <f t="shared" si="9"/>
        <v>2703.369140625</v>
      </c>
      <c r="AL35" s="2">
        <v>-3.5753031121266758</v>
      </c>
      <c r="AM35" s="2">
        <f t="shared" si="10"/>
        <v>26.322225483958952</v>
      </c>
      <c r="AN35" s="2">
        <f t="shared" si="11"/>
        <v>12.782792343582694</v>
      </c>
      <c r="AO35" s="2">
        <f t="shared" si="12"/>
        <v>0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2707.5000000000005</v>
      </c>
      <c r="L36" s="6" t="s">
        <v>7</v>
      </c>
      <c r="AF36" s="2">
        <v>32</v>
      </c>
      <c r="AG36" s="2">
        <f t="shared" si="13"/>
        <v>2703.369140625</v>
      </c>
      <c r="AH36" s="2">
        <v>-7.3622360562044378</v>
      </c>
      <c r="AI36" s="2">
        <f t="shared" si="14"/>
        <v>2703.369140625</v>
      </c>
      <c r="AJ36" s="2">
        <v>-3.5753031121266758</v>
      </c>
      <c r="AK36" s="2">
        <f t="shared" si="9"/>
        <v>2703.369140625</v>
      </c>
      <c r="AL36" s="2">
        <v>-3.5753031121266758</v>
      </c>
      <c r="AM36" s="2">
        <f t="shared" si="10"/>
        <v>26.322225483958952</v>
      </c>
      <c r="AN36" s="2">
        <f t="shared" si="11"/>
        <v>12.782792343582694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2703.369140625</v>
      </c>
      <c r="AH37" s="2">
        <v>-7.3622360562044378</v>
      </c>
      <c r="AI37" s="2">
        <f t="shared" si="14"/>
        <v>2703.369140625</v>
      </c>
      <c r="AJ37" s="2">
        <v>-3.5753031121266758</v>
      </c>
      <c r="AK37" s="2">
        <f t="shared" si="9"/>
        <v>2703.369140625</v>
      </c>
      <c r="AL37" s="2">
        <v>-3.5753031121266758</v>
      </c>
      <c r="AM37" s="2">
        <f t="shared" si="10"/>
        <v>26.322225483958952</v>
      </c>
      <c r="AN37" s="2">
        <f t="shared" si="11"/>
        <v>12.782792343582694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2703.369140625</v>
      </c>
      <c r="AH38" s="2">
        <v>-7.3622360562044378</v>
      </c>
      <c r="AI38" s="2">
        <f t="shared" si="14"/>
        <v>2703.369140625</v>
      </c>
      <c r="AJ38" s="2">
        <v>-3.5753031121266758</v>
      </c>
      <c r="AK38" s="2">
        <f t="shared" si="9"/>
        <v>2703.369140625</v>
      </c>
      <c r="AL38" s="2">
        <v>-3.5753031121266758</v>
      </c>
      <c r="AM38" s="2">
        <f t="shared" si="10"/>
        <v>26.322225483958952</v>
      </c>
      <c r="AN38" s="2">
        <f t="shared" si="11"/>
        <v>12.782792343582694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22.16</v>
      </c>
      <c r="L39" s="6" t="s">
        <v>58</v>
      </c>
      <c r="AF39" s="2">
        <v>35</v>
      </c>
      <c r="AG39" s="2">
        <f t="shared" si="13"/>
        <v>2703.369140625</v>
      </c>
      <c r="AH39" s="2">
        <v>-7.3622360562044378</v>
      </c>
      <c r="AI39" s="2">
        <f t="shared" si="14"/>
        <v>2703.369140625</v>
      </c>
      <c r="AJ39" s="2">
        <v>-3.5753031121266758</v>
      </c>
      <c r="AK39" s="2">
        <f t="shared" si="9"/>
        <v>2703.369140625</v>
      </c>
      <c r="AL39" s="2">
        <v>-3.5753031121266758</v>
      </c>
      <c r="AM39" s="2">
        <f t="shared" si="10"/>
        <v>26.322225483958952</v>
      </c>
      <c r="AN39" s="2">
        <f t="shared" si="11"/>
        <v>12.782792343582694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44.39</v>
      </c>
      <c r="L40" s="6" t="s">
        <v>58</v>
      </c>
      <c r="AF40" s="2">
        <v>36</v>
      </c>
      <c r="AG40" s="2">
        <f t="shared" si="13"/>
        <v>2703.369140625</v>
      </c>
      <c r="AH40" s="2">
        <v>-7.3622360562044378</v>
      </c>
      <c r="AI40" s="2">
        <f t="shared" si="14"/>
        <v>2703.369140625</v>
      </c>
      <c r="AJ40" s="2">
        <v>-3.5753031121266758</v>
      </c>
      <c r="AK40" s="2">
        <f t="shared" si="9"/>
        <v>2703.369140625</v>
      </c>
      <c r="AL40" s="2">
        <v>-3.5753031121266758</v>
      </c>
      <c r="AM40" s="2">
        <f t="shared" si="10"/>
        <v>26.322225483958952</v>
      </c>
      <c r="AN40" s="2">
        <f t="shared" si="11"/>
        <v>12.782792343582694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21.49</v>
      </c>
      <c r="L41" s="6" t="s">
        <v>58</v>
      </c>
      <c r="AF41" s="2">
        <v>37</v>
      </c>
      <c r="AG41" s="2">
        <f t="shared" si="13"/>
        <v>2703.369140625</v>
      </c>
      <c r="AH41" s="2">
        <v>-7.3622360562044378</v>
      </c>
      <c r="AI41" s="2">
        <f t="shared" si="14"/>
        <v>2703.369140625</v>
      </c>
      <c r="AJ41" s="2">
        <v>-3.5753031121266758</v>
      </c>
      <c r="AK41" s="2">
        <f t="shared" si="9"/>
        <v>2703.369140625</v>
      </c>
      <c r="AL41" s="2">
        <v>-3.5753031121266758</v>
      </c>
      <c r="AM41" s="2">
        <f t="shared" si="10"/>
        <v>26.322225483958952</v>
      </c>
      <c r="AN41" s="2">
        <f t="shared" si="11"/>
        <v>12.782792343582694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7.09</v>
      </c>
      <c r="L42" s="6" t="s">
        <v>58</v>
      </c>
      <c r="AF42" s="2">
        <v>38</v>
      </c>
      <c r="AG42" s="2">
        <f t="shared" si="13"/>
        <v>2703.369140625</v>
      </c>
      <c r="AH42" s="2">
        <v>-7.3622360562044378</v>
      </c>
      <c r="AI42" s="2">
        <f t="shared" si="14"/>
        <v>2703.369140625</v>
      </c>
      <c r="AJ42" s="2">
        <v>-3.5753031121266758</v>
      </c>
      <c r="AK42" s="2">
        <f t="shared" si="9"/>
        <v>2703.369140625</v>
      </c>
      <c r="AL42" s="2">
        <v>-3.5753031121266758</v>
      </c>
      <c r="AM42" s="2">
        <f t="shared" si="10"/>
        <v>26.322225483958952</v>
      </c>
      <c r="AN42" s="2">
        <f t="shared" si="11"/>
        <v>12.782792343582694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4.88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2703.369140625</v>
      </c>
      <c r="AH43" s="2">
        <v>-7.3622360562044378</v>
      </c>
      <c r="AI43" s="2">
        <f t="shared" si="14"/>
        <v>2703.369140625</v>
      </c>
      <c r="AJ43" s="2">
        <v>-3.5753031121266758</v>
      </c>
      <c r="AK43" s="2">
        <f t="shared" si="9"/>
        <v>2703.369140625</v>
      </c>
      <c r="AL43" s="2">
        <v>-3.5753031121266758</v>
      </c>
      <c r="AM43" s="2">
        <f t="shared" si="10"/>
        <v>26.322225483958952</v>
      </c>
      <c r="AN43" s="2">
        <f t="shared" si="11"/>
        <v>12.782792343582694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2703.369140625</v>
      </c>
      <c r="AH44" s="2">
        <v>-7.3622360562044378</v>
      </c>
      <c r="AI44" s="2">
        <f t="shared" si="14"/>
        <v>2703.369140625</v>
      </c>
      <c r="AJ44" s="2">
        <v>-3.5753031121266758</v>
      </c>
      <c r="AK44" s="5">
        <f>(AG44+AI44)/2</f>
        <v>2703.369140625</v>
      </c>
      <c r="AL44" s="2">
        <v>-3.5753031121266758</v>
      </c>
      <c r="AM44" s="2">
        <f t="shared" si="10"/>
        <v>26.322225483958952</v>
      </c>
      <c r="AN44" s="2">
        <f t="shared" si="11"/>
        <v>12.782792343582694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3008.1845648766275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22.16</v>
      </c>
      <c r="L47" s="6" t="s">
        <v>58</v>
      </c>
      <c r="N47" s="6" t="s">
        <v>154</v>
      </c>
      <c r="O47" s="6">
        <f>0.377*O46^0.6945</f>
        <v>98.180176964065893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44.39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33.450000000000003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topLeftCell="B1" workbookViewId="0">
      <selection activeCell="I10" sqref="I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531.86442472942997</v>
      </c>
      <c r="L4" s="6" t="s">
        <v>101</v>
      </c>
      <c r="N4" s="6" t="s">
        <v>22</v>
      </c>
      <c r="O4" s="6">
        <f xml:space="preserve"> 0.5 * $C$47 * $C$8^2</f>
        <v>2017.6651722010179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4.6441748737896957E-2</v>
      </c>
      <c r="X4" s="3">
        <v>1</v>
      </c>
      <c r="Y4" s="2">
        <f t="shared" ref="Y4:Y34" si="1" xml:space="preserve"> $O$20 * TAN($O$17/180*PI()) + $O$21 / (2 * SQRT($O$20^2 + X4^2)) - X4</f>
        <v>-0.95872039124803843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-0.4563716267642357</v>
      </c>
      <c r="AB4" s="2">
        <f>W4*AA4</f>
        <v>-2.1194696421289926E-2</v>
      </c>
      <c r="AC4" s="2">
        <f>Y4*AA4</f>
        <v>0.43753278456591183</v>
      </c>
      <c r="AD4" s="2">
        <f>X4-V4</f>
        <v>1</v>
      </c>
      <c r="AF4" s="2">
        <v>0</v>
      </c>
      <c r="AG4" s="2"/>
      <c r="AH4" s="2">
        <f>K27</f>
        <v>-9.96474264866265E-3</v>
      </c>
      <c r="AI4" s="2"/>
      <c r="AJ4" s="2">
        <f>K27</f>
        <v>-9.96474264866265E-3</v>
      </c>
      <c r="AK4" s="2"/>
      <c r="AL4" s="2">
        <f>K27</f>
        <v>-9.96474264866265E-3</v>
      </c>
      <c r="AM4" s="2"/>
      <c r="AN4" s="2"/>
      <c r="AO4" s="2"/>
    </row>
    <row r="5" spans="2:41" x14ac:dyDescent="0.2">
      <c r="B5" s="10" t="s">
        <v>37</v>
      </c>
      <c r="C5" s="10">
        <v>2735.4408269800301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132.96610618235749</v>
      </c>
      <c r="L5" s="6" t="s">
        <v>101</v>
      </c>
      <c r="N5" s="6" t="s">
        <v>114</v>
      </c>
      <c r="O5" s="6">
        <f xml:space="preserve"> $C$18 * 0.85 * ($C$5/$C$18 *2.20462/1000)^(2/3) * 0.3048^2</f>
        <v>0.41531367038868106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4.6441748737896957E-2</v>
      </c>
      <c r="X5" s="2">
        <f>IF(AC4&gt;0, Z4, X4)</f>
        <v>0.5</v>
      </c>
      <c r="Y5" s="2">
        <f t="shared" si="1"/>
        <v>-0.4563716267642357</v>
      </c>
      <c r="Z5" s="2">
        <f t="shared" ref="Z5:Z34" si="3" xml:space="preserve"> (V5 + X5)/2</f>
        <v>0.25</v>
      </c>
      <c r="AA5" s="2">
        <f t="shared" si="2"/>
        <v>-0.20459820655801031</v>
      </c>
      <c r="AB5" s="2">
        <f t="shared" ref="AB5:AB34" si="4">W5*AA5</f>
        <v>-9.5018985011914563E-3</v>
      </c>
      <c r="AC5" s="2">
        <f t="shared" ref="AC5:AC34" si="5">Y5*AA5</f>
        <v>9.3372816359924282E-2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-1148.1488459793502</v>
      </c>
      <c r="AI5" s="3">
        <v>10000</v>
      </c>
      <c r="AJ5" s="2">
        <f t="dataTable" ref="AJ5:AJ44" dt2D="0" dtr="0" r1="C5"/>
        <v>1387.1171175999734</v>
      </c>
      <c r="AK5" s="2">
        <f>(AG5+AI5)/2</f>
        <v>5250</v>
      </c>
      <c r="AL5" s="2">
        <f t="dataTable" ref="AL5:AL44" dt2D="0" dtr="0" r1="C5" ca="1"/>
        <v>881.72700808516765</v>
      </c>
      <c r="AM5" s="2">
        <f>AH5*AL5</f>
        <v>-1012353.8468018104</v>
      </c>
      <c r="AN5" s="2">
        <f>AJ5*AL5</f>
        <v>1223058.6259651461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4.6441748737896957E-2</v>
      </c>
      <c r="X6" s="2">
        <f t="shared" ref="X6:X34" si="8">IF(AC5&gt;0, Z5, X5)</f>
        <v>0.25</v>
      </c>
      <c r="Y6" s="2">
        <f t="shared" si="1"/>
        <v>-0.20459820655801031</v>
      </c>
      <c r="Z6" s="2">
        <f t="shared" si="3"/>
        <v>0.125</v>
      </c>
      <c r="AA6" s="2">
        <f t="shared" si="2"/>
        <v>-7.8855752787848538E-2</v>
      </c>
      <c r="AB6" s="2">
        <f t="shared" si="4"/>
        <v>-3.6621990575109791E-3</v>
      </c>
      <c r="AC6" s="2">
        <f t="shared" si="5"/>
        <v>1.6133745597175633E-2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-1148.1488459793502</v>
      </c>
      <c r="AI6" s="2">
        <f>IF(AN5&gt;0, AK5, AI5)</f>
        <v>5250</v>
      </c>
      <c r="AJ6" s="2">
        <v>881.72700808516765</v>
      </c>
      <c r="AK6" s="2">
        <f t="shared" ref="AK6:AK43" si="9">(AG6+AI6)/2</f>
        <v>2875</v>
      </c>
      <c r="AL6" s="2">
        <v>60.813887443495787</v>
      </c>
      <c r="AM6" s="2">
        <f t="shared" ref="AM6:AM44" si="10">AH6*AL6</f>
        <v>-69823.394687767781</v>
      </c>
      <c r="AN6" s="2">
        <f t="shared" ref="AN6:AN44" si="11">AJ6*AL6</f>
        <v>53621.247025581688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338.41668921802</v>
      </c>
      <c r="D7" s="6" t="s">
        <v>125</v>
      </c>
      <c r="F7" t="s">
        <v>121</v>
      </c>
      <c r="G7" s="8">
        <f>$C$6*2*PI()/60*$C$9</f>
        <v>156.83724371884483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1.0455902937237771</v>
      </c>
      <c r="P7" s="6" t="s">
        <v>115</v>
      </c>
      <c r="U7" s="2">
        <v>3</v>
      </c>
      <c r="V7" s="2">
        <f t="shared" si="7"/>
        <v>0</v>
      </c>
      <c r="W7" s="2">
        <f t="shared" si="0"/>
        <v>4.6441748737896957E-2</v>
      </c>
      <c r="X7" s="2">
        <f t="shared" si="8"/>
        <v>0.125</v>
      </c>
      <c r="Y7" s="2">
        <f t="shared" si="1"/>
        <v>-7.8855752787848538E-2</v>
      </c>
      <c r="Z7" s="2">
        <f t="shared" si="3"/>
        <v>6.25E-2</v>
      </c>
      <c r="AA7" s="2">
        <f t="shared" si="2"/>
        <v>-1.6135464104999483E-2</v>
      </c>
      <c r="AB7" s="2">
        <f t="shared" si="4"/>
        <v>-7.4935916973374139E-4</v>
      </c>
      <c r="AC7" s="2">
        <f t="shared" si="5"/>
        <v>1.2723741685810429E-3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-1148.1488459793502</v>
      </c>
      <c r="AI7" s="2">
        <f t="shared" ref="AI7:AI44" si="14">IF(AN6&gt;0, AK6, AI6)</f>
        <v>2875</v>
      </c>
      <c r="AJ7" s="2">
        <v>60.813887443495787</v>
      </c>
      <c r="AK7" s="2">
        <f t="shared" si="9"/>
        <v>1687.5</v>
      </c>
      <c r="AL7" s="2">
        <v>-498.92366403881783</v>
      </c>
      <c r="AM7" s="2">
        <f t="shared" si="10"/>
        <v>572838.62909795775</v>
      </c>
      <c r="AN7" s="2">
        <f t="shared" si="11"/>
        <v>-30341.487547753175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227.716506900748 * 1000 / 3600</f>
        <v>63.254585250207768</v>
      </c>
      <c r="D8" s="6" t="s">
        <v>10</v>
      </c>
      <c r="F8" t="s">
        <v>124</v>
      </c>
      <c r="G8" s="8">
        <f>G7/$C$43</f>
        <v>0.46968938313696629</v>
      </c>
      <c r="H8" s="6" t="s">
        <v>122</v>
      </c>
      <c r="J8" s="6" t="s">
        <v>96</v>
      </c>
      <c r="K8" s="6">
        <f xml:space="preserve"> $C$15 * (G12*G6 + G22*G15 + G31*G27 +G35*G34)/3600</f>
        <v>201.98872298928697</v>
      </c>
      <c r="L8" s="6" t="s">
        <v>102</v>
      </c>
      <c r="N8" s="6" t="s">
        <v>38</v>
      </c>
      <c r="O8" s="6">
        <f xml:space="preserve"> O4 *O7</f>
        <v>2109.6511200378977</v>
      </c>
      <c r="P8" s="6" t="s">
        <v>20</v>
      </c>
      <c r="U8" s="2">
        <v>4</v>
      </c>
      <c r="V8" s="2">
        <f t="shared" si="7"/>
        <v>0</v>
      </c>
      <c r="W8" s="2">
        <f t="shared" si="0"/>
        <v>4.6441748737896957E-2</v>
      </c>
      <c r="X8" s="2">
        <f t="shared" si="8"/>
        <v>6.25E-2</v>
      </c>
      <c r="Y8" s="2">
        <f t="shared" si="1"/>
        <v>-1.6135464104999483E-2</v>
      </c>
      <c r="Z8" s="2">
        <f t="shared" si="3"/>
        <v>3.125E-2</v>
      </c>
      <c r="AA8" s="2">
        <f t="shared" si="2"/>
        <v>1.5172258670158152E-2</v>
      </c>
      <c r="AB8" s="2">
        <f t="shared" si="4"/>
        <v>7.0462622494586356E-4</v>
      </c>
      <c r="AC8" s="2">
        <f t="shared" si="5"/>
        <v>-2.4481143516410408E-4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-498.92366403881783</v>
      </c>
      <c r="AI8" s="2">
        <f t="shared" si="14"/>
        <v>2875</v>
      </c>
      <c r="AJ8" s="2">
        <v>60.813887443495787</v>
      </c>
      <c r="AK8" s="2">
        <f t="shared" si="9"/>
        <v>2281.25</v>
      </c>
      <c r="AL8" s="2">
        <v>-206.6456123829621</v>
      </c>
      <c r="AM8" s="2">
        <f t="shared" si="10"/>
        <v>103100.38608765276</v>
      </c>
      <c r="AN8" s="2">
        <f t="shared" si="11"/>
        <v>-12566.923012149717</v>
      </c>
      <c r="AO8" s="2">
        <f t="shared" si="12"/>
        <v>1187.5</v>
      </c>
    </row>
    <row r="9" spans="2:41" x14ac:dyDescent="0.2">
      <c r="B9" s="6" t="s">
        <v>95</v>
      </c>
      <c r="C9" s="17">
        <v>3.7442133898143699</v>
      </c>
      <c r="D9" s="6" t="s">
        <v>8</v>
      </c>
      <c r="F9" t="s">
        <v>19</v>
      </c>
      <c r="G9" s="6">
        <f xml:space="preserve"> $C$5 * $C$44 / $C$18</f>
        <v>6702.8497932446771</v>
      </c>
      <c r="H9" s="6" t="s">
        <v>20</v>
      </c>
      <c r="J9" s="6" t="s">
        <v>138</v>
      </c>
      <c r="K9" s="6">
        <f xml:space="preserve"> $C$15 * (G6 + G15 + G27 + G34)/60</f>
        <v>50.775662828248706</v>
      </c>
      <c r="L9" s="6" t="s">
        <v>103</v>
      </c>
      <c r="N9" s="6" t="s">
        <v>39</v>
      </c>
      <c r="O9" s="6">
        <f xml:space="preserve"> O8</f>
        <v>2109.6511200378977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1.5172258670158152E-2</v>
      </c>
      <c r="X9" s="2">
        <f t="shared" si="8"/>
        <v>6.25E-2</v>
      </c>
      <c r="Y9" s="2">
        <f t="shared" si="1"/>
        <v>-1.6135464104999483E-2</v>
      </c>
      <c r="Z9" s="2">
        <f t="shared" si="3"/>
        <v>4.6875E-2</v>
      </c>
      <c r="AA9" s="2">
        <f t="shared" si="2"/>
        <v>-4.7692764173111468E-4</v>
      </c>
      <c r="AB9" s="2">
        <f t="shared" si="4"/>
        <v>-7.236069547292986E-6</v>
      </c>
      <c r="AC9" s="2">
        <f t="shared" si="5"/>
        <v>7.6954488438344548E-6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-206.6456123829621</v>
      </c>
      <c r="AI9" s="2">
        <f t="shared" si="14"/>
        <v>2875</v>
      </c>
      <c r="AJ9" s="2">
        <v>60.813887443495787</v>
      </c>
      <c r="AK9" s="2">
        <f t="shared" si="9"/>
        <v>2578.125</v>
      </c>
      <c r="AL9" s="2">
        <v>-70.135691836959722</v>
      </c>
      <c r="AM9" s="2">
        <f t="shared" si="10"/>
        <v>14493.232989551258</v>
      </c>
      <c r="AN9" s="2">
        <f t="shared" si="11"/>
        <v>-4265.224069144575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88.644070788238324</v>
      </c>
      <c r="H10" s="6" t="s">
        <v>101</v>
      </c>
      <c r="N10" s="6" t="s">
        <v>113</v>
      </c>
      <c r="O10" s="6">
        <f>O7/(0.3048^2)/($C$5*2.20462/1000)^(2/3)</f>
        <v>3.3969636998387207</v>
      </c>
      <c r="U10" s="2">
        <v>6</v>
      </c>
      <c r="V10" s="2">
        <f t="shared" si="7"/>
        <v>3.125E-2</v>
      </c>
      <c r="W10" s="2">
        <f t="shared" si="0"/>
        <v>1.5172258670158152E-2</v>
      </c>
      <c r="X10" s="2">
        <f t="shared" si="8"/>
        <v>4.6875E-2</v>
      </c>
      <c r="Y10" s="2">
        <f t="shared" si="1"/>
        <v>-4.7692764173111468E-4</v>
      </c>
      <c r="Z10" s="2">
        <f t="shared" si="3"/>
        <v>3.90625E-2</v>
      </c>
      <c r="AA10" s="2">
        <f t="shared" si="2"/>
        <v>7.3488507278796078E-3</v>
      </c>
      <c r="AB10" s="2">
        <f t="shared" si="4"/>
        <v>1.1149866417176943E-4</v>
      </c>
      <c r="AC10" s="2">
        <f t="shared" si="5"/>
        <v>-3.5048700470816069E-6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-70.135691836959722</v>
      </c>
      <c r="AI10" s="2">
        <f t="shared" si="14"/>
        <v>2875</v>
      </c>
      <c r="AJ10" s="2">
        <v>60.813887443495787</v>
      </c>
      <c r="AK10" s="2">
        <f t="shared" si="9"/>
        <v>2726.5625</v>
      </c>
      <c r="AL10" s="2">
        <v>-3.9243345166673862</v>
      </c>
      <c r="AM10" s="2">
        <f t="shared" si="10"/>
        <v>275.23591632612806</v>
      </c>
      <c r="AN10" s="2">
        <f t="shared" si="11"/>
        <v>-238.65403758723588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7.7146751120972326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3.90625E-2</v>
      </c>
      <c r="W11" s="2">
        <f t="shared" si="0"/>
        <v>7.3488507278796078E-3</v>
      </c>
      <c r="X11" s="2">
        <f t="shared" si="8"/>
        <v>4.6875E-2</v>
      </c>
      <c r="Y11" s="2">
        <f t="shared" si="1"/>
        <v>-4.7692764173111468E-4</v>
      </c>
      <c r="Z11" s="2">
        <f t="shared" si="3"/>
        <v>4.296875E-2</v>
      </c>
      <c r="AA11" s="2">
        <f t="shared" si="2"/>
        <v>3.4362559983368984E-3</v>
      </c>
      <c r="AB11" s="2">
        <f t="shared" si="4"/>
        <v>2.5252532394558786E-5</v>
      </c>
      <c r="AC11" s="2">
        <f t="shared" si="5"/>
        <v>-1.6388454696712141E-6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-3.9243345166673862</v>
      </c>
      <c r="AI11" s="2">
        <f t="shared" si="14"/>
        <v>2875</v>
      </c>
      <c r="AJ11" s="2">
        <v>60.813887443495787</v>
      </c>
      <c r="AK11" s="2">
        <f t="shared" si="9"/>
        <v>2800.78125</v>
      </c>
      <c r="AL11" s="2">
        <v>28.634077283313673</v>
      </c>
      <c r="AM11" s="2">
        <f t="shared" si="10"/>
        <v>-112.36969783582934</v>
      </c>
      <c r="AN11" s="2">
        <f t="shared" si="11"/>
        <v>1741.3495529557972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354.57628315295329</v>
      </c>
      <c r="H12" s="25" t="s">
        <v>101</v>
      </c>
      <c r="J12" s="10" t="s">
        <v>79</v>
      </c>
      <c r="K12" s="6">
        <f>C5</f>
        <v>2735.4408269800301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4.296875E-2</v>
      </c>
      <c r="W12" s="2">
        <f t="shared" si="0"/>
        <v>3.4362559983368984E-3</v>
      </c>
      <c r="X12" s="2">
        <f t="shared" si="8"/>
        <v>4.6875E-2</v>
      </c>
      <c r="Y12" s="2">
        <f t="shared" si="1"/>
        <v>-4.7692764173111468E-4</v>
      </c>
      <c r="Z12" s="2">
        <f t="shared" si="3"/>
        <v>4.4921875E-2</v>
      </c>
      <c r="AA12" s="2">
        <f t="shared" si="2"/>
        <v>1.4797375426206863E-3</v>
      </c>
      <c r="AB12" s="2">
        <f t="shared" si="4"/>
        <v>5.0847570067946356E-6</v>
      </c>
      <c r="AC12" s="2">
        <f t="shared" si="5"/>
        <v>-7.0572773658307874E-7</v>
      </c>
      <c r="AD12" s="2">
        <f t="shared" si="6"/>
        <v>3.90625E-3</v>
      </c>
      <c r="AF12" s="2">
        <v>8</v>
      </c>
      <c r="AG12" s="2">
        <f t="shared" si="13"/>
        <v>2726.5625</v>
      </c>
      <c r="AH12" s="2">
        <v>-3.9243345166673862</v>
      </c>
      <c r="AI12" s="2">
        <f t="shared" si="14"/>
        <v>2800.78125</v>
      </c>
      <c r="AJ12" s="2">
        <v>28.634077283313673</v>
      </c>
      <c r="AK12" s="2">
        <f t="shared" si="9"/>
        <v>2763.671875</v>
      </c>
      <c r="AL12" s="2">
        <v>12.401568199522444</v>
      </c>
      <c r="AM12" s="2">
        <f t="shared" si="10"/>
        <v>-48.667902146190535</v>
      </c>
      <c r="AN12" s="2">
        <f t="shared" si="11"/>
        <v>355.10746225941085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1188.1689587605115</v>
      </c>
      <c r="L13" s="6" t="s">
        <v>7</v>
      </c>
      <c r="N13" s="6" t="s">
        <v>74</v>
      </c>
      <c r="O13" s="6">
        <f xml:space="preserve"> SQRT( ($C$5*$C$50)^2 + O9^2)</f>
        <v>26891.7132517342</v>
      </c>
      <c r="P13" s="6" t="s">
        <v>20</v>
      </c>
      <c r="U13" s="2">
        <v>9</v>
      </c>
      <c r="V13" s="2">
        <f t="shared" si="7"/>
        <v>4.4921875E-2</v>
      </c>
      <c r="W13" s="2">
        <f t="shared" si="0"/>
        <v>1.4797375426206863E-3</v>
      </c>
      <c r="X13" s="2">
        <f t="shared" si="8"/>
        <v>4.6875E-2</v>
      </c>
      <c r="Y13" s="2">
        <f t="shared" si="1"/>
        <v>-4.7692764173111468E-4</v>
      </c>
      <c r="Z13" s="2">
        <f t="shared" si="3"/>
        <v>4.58984375E-2</v>
      </c>
      <c r="AA13" s="2">
        <f t="shared" si="2"/>
        <v>5.0142325919824704E-4</v>
      </c>
      <c r="AB13" s="2">
        <f t="shared" si="4"/>
        <v>7.4197482137886956E-7</v>
      </c>
      <c r="AC13" s="2">
        <f t="shared" si="5"/>
        <v>-2.391426125185494E-7</v>
      </c>
      <c r="AD13" s="2">
        <f t="shared" si="6"/>
        <v>1.953125E-3</v>
      </c>
      <c r="AF13" s="2">
        <v>9</v>
      </c>
      <c r="AG13" s="2">
        <f t="shared" si="13"/>
        <v>2726.5625</v>
      </c>
      <c r="AH13" s="2">
        <v>-3.9243345166673862</v>
      </c>
      <c r="AI13" s="2">
        <f t="shared" si="14"/>
        <v>2763.671875</v>
      </c>
      <c r="AJ13" s="2">
        <v>12.401568199522444</v>
      </c>
      <c r="AK13" s="2">
        <f t="shared" si="9"/>
        <v>2745.1171875</v>
      </c>
      <c r="AL13" s="2">
        <v>4.2502080302538161</v>
      </c>
      <c r="AM13" s="2">
        <f t="shared" si="10"/>
        <v>-16.679238076141953</v>
      </c>
      <c r="AN13" s="2">
        <f t="shared" si="11"/>
        <v>52.709244749350653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198.20902071317994</v>
      </c>
      <c r="L14" s="6" t="s">
        <v>7</v>
      </c>
      <c r="N14" s="6" t="s">
        <v>75</v>
      </c>
      <c r="O14" s="6">
        <f>$C$5*$C$50/O13</f>
        <v>0.99691806061533528</v>
      </c>
      <c r="U14" s="2">
        <v>10</v>
      </c>
      <c r="V14" s="2">
        <f t="shared" si="7"/>
        <v>4.58984375E-2</v>
      </c>
      <c r="W14" s="2">
        <f t="shared" si="0"/>
        <v>5.0142325919824704E-4</v>
      </c>
      <c r="X14" s="2">
        <f t="shared" si="8"/>
        <v>4.6875E-2</v>
      </c>
      <c r="Y14" s="2">
        <f t="shared" si="1"/>
        <v>-4.7692764173111468E-4</v>
      </c>
      <c r="Z14" s="2">
        <f t="shared" si="3"/>
        <v>4.638671875E-2</v>
      </c>
      <c r="AA14" s="2">
        <f t="shared" si="2"/>
        <v>1.2252381810538837E-5</v>
      </c>
      <c r="AB14" s="2">
        <f t="shared" si="4"/>
        <v>6.1436292203817025E-9</v>
      </c>
      <c r="AC14" s="2">
        <f t="shared" si="5"/>
        <v>-5.8434995624894927E-9</v>
      </c>
      <c r="AD14" s="2">
        <f t="shared" si="6"/>
        <v>9.765625E-4</v>
      </c>
      <c r="AF14" s="2">
        <v>10</v>
      </c>
      <c r="AG14" s="2">
        <f t="shared" si="13"/>
        <v>2726.5625</v>
      </c>
      <c r="AH14" s="2">
        <v>-3.9243345166673862</v>
      </c>
      <c r="AI14" s="2">
        <f t="shared" si="14"/>
        <v>2745.1171875</v>
      </c>
      <c r="AJ14" s="2">
        <v>4.2502080302538161</v>
      </c>
      <c r="AK14" s="2">
        <f t="shared" si="9"/>
        <v>2735.83984375</v>
      </c>
      <c r="AL14" s="2">
        <v>0.16583622360803929</v>
      </c>
      <c r="AM14" s="2">
        <f t="shared" si="10"/>
        <v>-0.6507968164187995</v>
      </c>
      <c r="AN14" s="2">
        <f t="shared" si="11"/>
        <v>0.70483844928585604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1526.5397696949224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284.92952896390676</v>
      </c>
      <c r="L15" s="6" t="s">
        <v>7</v>
      </c>
      <c r="U15" s="2">
        <v>11</v>
      </c>
      <c r="V15" s="2">
        <f t="shared" si="7"/>
        <v>4.638671875E-2</v>
      </c>
      <c r="W15" s="2">
        <f t="shared" si="0"/>
        <v>1.2252381810538837E-5</v>
      </c>
      <c r="X15" s="2">
        <f t="shared" si="8"/>
        <v>4.6875E-2</v>
      </c>
      <c r="Y15" s="2">
        <f t="shared" si="1"/>
        <v>-4.7692764173111468E-4</v>
      </c>
      <c r="Z15" s="2">
        <f t="shared" si="3"/>
        <v>4.6630859375E-2</v>
      </c>
      <c r="AA15" s="2">
        <f t="shared" si="2"/>
        <v>-2.3233648720936972E-4</v>
      </c>
      <c r="AB15" s="2">
        <f t="shared" si="4"/>
        <v>-2.8466753498085707E-9</v>
      </c>
      <c r="AC15" s="2">
        <f t="shared" si="5"/>
        <v>1.10807692932856E-7</v>
      </c>
      <c r="AD15" s="2">
        <f t="shared" si="6"/>
        <v>4.8828125E-4</v>
      </c>
      <c r="AF15" s="2">
        <v>11</v>
      </c>
      <c r="AG15" s="2">
        <f t="shared" si="13"/>
        <v>2726.5625</v>
      </c>
      <c r="AH15" s="2">
        <v>-3.9243345166673862</v>
      </c>
      <c r="AI15" s="2">
        <f t="shared" si="14"/>
        <v>2735.83984375</v>
      </c>
      <c r="AJ15" s="2">
        <v>0.16583622360803929</v>
      </c>
      <c r="AK15" s="2">
        <f t="shared" si="9"/>
        <v>2731.201171875</v>
      </c>
      <c r="AL15" s="2">
        <v>-1.8785385698915888</v>
      </c>
      <c r="AM15" s="2">
        <f t="shared" si="10"/>
        <v>7.3720137507165511</v>
      </c>
      <c r="AN15" s="2">
        <f t="shared" si="11"/>
        <v>-0.3115297423328679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132.69085191352792</v>
      </c>
      <c r="H16" s="6" t="s">
        <v>10</v>
      </c>
      <c r="J16" s="13" t="s">
        <v>53</v>
      </c>
      <c r="K16" s="6">
        <f xml:space="preserve"> $C$54 * 0.2138 * K4</f>
        <v>90.970091205721701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4.638671875E-2</v>
      </c>
      <c r="W16" s="2">
        <f t="shared" si="0"/>
        <v>1.2252381810538837E-5</v>
      </c>
      <c r="X16" s="2">
        <f t="shared" si="8"/>
        <v>4.6630859375E-2</v>
      </c>
      <c r="Y16" s="2">
        <f t="shared" si="1"/>
        <v>-2.3233648720936972E-4</v>
      </c>
      <c r="Z16" s="2">
        <f t="shared" si="3"/>
        <v>4.65087890625E-2</v>
      </c>
      <c r="AA16" s="2">
        <f t="shared" si="2"/>
        <v>-1.1004176694669188E-4</v>
      </c>
      <c r="AB16" s="2">
        <f t="shared" si="4"/>
        <v>-1.3482737437372014E-9</v>
      </c>
      <c r="AC16" s="2">
        <f t="shared" si="5"/>
        <v>2.5566717578706521E-8</v>
      </c>
      <c r="AD16" s="2">
        <f t="shared" si="6"/>
        <v>2.44140625E-4</v>
      </c>
      <c r="AF16" s="2">
        <v>12</v>
      </c>
      <c r="AG16" s="2">
        <f t="shared" si="13"/>
        <v>2731.201171875</v>
      </c>
      <c r="AH16" s="2">
        <v>-3.9243345166673862</v>
      </c>
      <c r="AI16" s="2">
        <f t="shared" si="14"/>
        <v>2735.83984375</v>
      </c>
      <c r="AJ16" s="2">
        <v>0.16583622360803929</v>
      </c>
      <c r="AK16" s="2">
        <f t="shared" si="9"/>
        <v>2733.5205078125</v>
      </c>
      <c r="AL16" s="2">
        <v>-2.9012534879684608</v>
      </c>
      <c r="AM16" s="2">
        <f t="shared" si="10"/>
        <v>11.385489204436277</v>
      </c>
      <c r="AN16" s="2">
        <f t="shared" si="11"/>
        <v>-0.48113292217434162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0.39880425928530155</v>
      </c>
      <c r="H17" s="6" t="s">
        <v>122</v>
      </c>
      <c r="J17" s="13" t="s">
        <v>77</v>
      </c>
      <c r="K17" s="6">
        <f xml:space="preserve"> $C$54 * 0.1149 * K4</f>
        <v>48.888977921129204</v>
      </c>
      <c r="L17" s="6" t="s">
        <v>7</v>
      </c>
      <c r="N17" s="6" t="s">
        <v>25</v>
      </c>
      <c r="O17" s="6">
        <f xml:space="preserve"> ACOS(O14)/PI()*180</f>
        <v>4.4994691535268627</v>
      </c>
      <c r="P17" s="6" t="s">
        <v>40</v>
      </c>
      <c r="U17" s="2">
        <v>13</v>
      </c>
      <c r="V17" s="2">
        <f t="shared" si="7"/>
        <v>4.638671875E-2</v>
      </c>
      <c r="W17" s="2">
        <f t="shared" si="0"/>
        <v>1.2252381810538837E-5</v>
      </c>
      <c r="X17" s="2">
        <f t="shared" si="8"/>
        <v>4.65087890625E-2</v>
      </c>
      <c r="Y17" s="2">
        <f t="shared" si="1"/>
        <v>-1.1004176694669188E-4</v>
      </c>
      <c r="Z17" s="2">
        <f t="shared" si="3"/>
        <v>4.644775390625E-2</v>
      </c>
      <c r="AA17" s="2">
        <f t="shared" si="2"/>
        <v>-4.8894621121793602E-5</v>
      </c>
      <c r="AB17" s="2">
        <f t="shared" si="4"/>
        <v>-5.9907556646585199E-10</v>
      </c>
      <c r="AC17" s="2">
        <f t="shared" si="5"/>
        <v>5.3804505024312101E-9</v>
      </c>
      <c r="AD17" s="2">
        <f t="shared" si="6"/>
        <v>1.220703125E-4</v>
      </c>
      <c r="AF17" s="2">
        <v>13</v>
      </c>
      <c r="AG17" s="2">
        <f t="shared" si="13"/>
        <v>2733.5205078125</v>
      </c>
      <c r="AH17" s="2">
        <v>-3.9243345166673862</v>
      </c>
      <c r="AI17" s="2">
        <f t="shared" si="14"/>
        <v>2735.83984375</v>
      </c>
      <c r="AJ17" s="2">
        <v>0.16583622360803929</v>
      </c>
      <c r="AK17" s="2">
        <f t="shared" si="9"/>
        <v>2734.68017578125</v>
      </c>
      <c r="AL17" s="2">
        <v>-3.4127568842086475</v>
      </c>
      <c r="AM17" s="2">
        <f t="shared" si="10"/>
        <v>13.392799637694237</v>
      </c>
      <c r="AN17" s="2">
        <f t="shared" si="11"/>
        <v>-0.56595871376950069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6722.9283129335499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136.00221915900795</v>
      </c>
      <c r="L18" s="6" t="s">
        <v>7</v>
      </c>
      <c r="N18" s="6" t="s">
        <v>19</v>
      </c>
      <c r="O18" s="6">
        <f xml:space="preserve"> O13 / $C$18</f>
        <v>6722.9283129335499</v>
      </c>
      <c r="P18" s="6" t="s">
        <v>20</v>
      </c>
      <c r="U18" s="2">
        <v>14</v>
      </c>
      <c r="V18" s="2">
        <f t="shared" si="7"/>
        <v>4.638671875E-2</v>
      </c>
      <c r="W18" s="2">
        <f t="shared" si="0"/>
        <v>1.2252381810538837E-5</v>
      </c>
      <c r="X18" s="2">
        <f t="shared" si="8"/>
        <v>4.644775390625E-2</v>
      </c>
      <c r="Y18" s="2">
        <f t="shared" si="1"/>
        <v>-4.8894621121793602E-5</v>
      </c>
      <c r="Z18" s="2">
        <f t="shared" si="3"/>
        <v>4.6417236328125E-2</v>
      </c>
      <c r="AA18" s="2">
        <f t="shared" si="2"/>
        <v>-1.8321101793040973E-5</v>
      </c>
      <c r="AB18" s="2">
        <f t="shared" si="4"/>
        <v>-2.2447713435808568E-10</v>
      </c>
      <c r="AC18" s="2">
        <f t="shared" si="5"/>
        <v>8.9580333070455181E-10</v>
      </c>
      <c r="AD18" s="2">
        <f t="shared" si="6"/>
        <v>6.103515625E-5</v>
      </c>
      <c r="AF18" s="2">
        <v>14</v>
      </c>
      <c r="AG18" s="2">
        <f t="shared" si="13"/>
        <v>2734.68017578125</v>
      </c>
      <c r="AH18" s="2">
        <v>-3.9243345166673862</v>
      </c>
      <c r="AI18" s="2">
        <f t="shared" si="14"/>
        <v>2735.83984375</v>
      </c>
      <c r="AJ18" s="2">
        <v>0.16583622360803929</v>
      </c>
      <c r="AK18" s="2">
        <f t="shared" si="9"/>
        <v>2735.260009765625</v>
      </c>
      <c r="AL18" s="2">
        <v>-3.6685300459057544</v>
      </c>
      <c r="AM18" s="2">
        <f t="shared" si="10"/>
        <v>14.396539084579343</v>
      </c>
      <c r="AN18" s="2">
        <f t="shared" si="11"/>
        <v>-0.60837516900563737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57.164527846583958</v>
      </c>
      <c r="H19" s="6" t="s">
        <v>101</v>
      </c>
      <c r="J19" s="14" t="s">
        <v>61</v>
      </c>
      <c r="K19" s="6">
        <f xml:space="preserve"> $C$55 * C31 * $C$5</f>
        <v>30.636937262176343</v>
      </c>
      <c r="L19" s="6" t="s">
        <v>7</v>
      </c>
      <c r="N19" s="6" t="s">
        <v>26</v>
      </c>
      <c r="O19" s="6">
        <f>$C$7*2*PI()/60</f>
        <v>35.438912823317061</v>
      </c>
      <c r="P19" s="6" t="s">
        <v>27</v>
      </c>
      <c r="U19" s="2">
        <v>15</v>
      </c>
      <c r="V19" s="2">
        <f t="shared" si="7"/>
        <v>4.638671875E-2</v>
      </c>
      <c r="W19" s="2">
        <f t="shared" si="0"/>
        <v>1.2252381810538837E-5</v>
      </c>
      <c r="X19" s="2">
        <f t="shared" si="8"/>
        <v>4.6417236328125E-2</v>
      </c>
      <c r="Y19" s="2">
        <f t="shared" si="1"/>
        <v>-1.8321101793040973E-5</v>
      </c>
      <c r="Z19" s="2">
        <f t="shared" si="3"/>
        <v>4.64019775390625E-2</v>
      </c>
      <c r="AA19" s="2">
        <f t="shared" si="2"/>
        <v>-3.0343555254760957E-6</v>
      </c>
      <c r="AB19" s="2">
        <f t="shared" si="4"/>
        <v>-3.7178082447051331E-11</v>
      </c>
      <c r="AC19" s="2">
        <f t="shared" si="5"/>
        <v>5.5592736458523877E-11</v>
      </c>
      <c r="AD19" s="2">
        <f t="shared" si="6"/>
        <v>3.0517578125E-5</v>
      </c>
      <c r="AF19" s="2">
        <v>15</v>
      </c>
      <c r="AG19" s="2">
        <f t="shared" si="13"/>
        <v>2735.260009765625</v>
      </c>
      <c r="AH19" s="2">
        <v>-3.9243345166673862</v>
      </c>
      <c r="AI19" s="2">
        <f t="shared" si="14"/>
        <v>2735.83984375</v>
      </c>
      <c r="AJ19" s="2">
        <v>0.16583622360803929</v>
      </c>
      <c r="AK19" s="2">
        <f t="shared" si="9"/>
        <v>2735.5499267578125</v>
      </c>
      <c r="AL19" s="2">
        <v>-3.7964347584656934</v>
      </c>
      <c r="AM19" s="2">
        <f t="shared" si="10"/>
        <v>14.898479962922732</v>
      </c>
      <c r="AN19" s="2">
        <f t="shared" si="11"/>
        <v>-0.62958640351824935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12.000000068493188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0.4752372717733343</v>
      </c>
      <c r="U20" s="2">
        <v>16</v>
      </c>
      <c r="V20" s="2">
        <f t="shared" si="7"/>
        <v>4.638671875E-2</v>
      </c>
      <c r="W20" s="2">
        <f t="shared" si="0"/>
        <v>1.2252381810538837E-5</v>
      </c>
      <c r="X20" s="2">
        <f t="shared" si="8"/>
        <v>4.64019775390625E-2</v>
      </c>
      <c r="Y20" s="2">
        <f t="shared" si="1"/>
        <v>-3.0343555254760957E-6</v>
      </c>
      <c r="Z20" s="2">
        <f t="shared" si="3"/>
        <v>4.639434814453125E-2</v>
      </c>
      <c r="AA20" s="2">
        <f t="shared" si="2"/>
        <v>4.609014258992461E-6</v>
      </c>
      <c r="AB20" s="2">
        <f t="shared" si="4"/>
        <v>5.6471402471393366E-11</v>
      </c>
      <c r="AC20" s="2">
        <f t="shared" si="5"/>
        <v>-1.3985387883771886E-11</v>
      </c>
      <c r="AD20" s="2">
        <f t="shared" si="6"/>
        <v>1.52587890625E-5</v>
      </c>
      <c r="AF20" s="2">
        <v>16</v>
      </c>
      <c r="AG20" s="2">
        <f t="shared" si="13"/>
        <v>2735.5499267578125</v>
      </c>
      <c r="AH20" s="2">
        <v>-3.9243345166673862</v>
      </c>
      <c r="AI20" s="2">
        <f t="shared" si="14"/>
        <v>2735.83984375</v>
      </c>
      <c r="AJ20" s="2">
        <v>0.16583622360803929</v>
      </c>
      <c r="AK20" s="2">
        <f t="shared" si="9"/>
        <v>2735.6948852539062</v>
      </c>
      <c r="AL20" s="2">
        <v>-3.8603767393406088</v>
      </c>
      <c r="AM20" s="2">
        <f t="shared" si="10"/>
        <v>15.149409685534248</v>
      </c>
      <c r="AN20" s="2">
        <f t="shared" si="11"/>
        <v>-0.64019030015656275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0.13999999999032714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8.5962767856855166E-3</v>
      </c>
      <c r="U21" s="2">
        <v>17</v>
      </c>
      <c r="V21" s="2">
        <f t="shared" si="7"/>
        <v>4.639434814453125E-2</v>
      </c>
      <c r="W21" s="2">
        <f t="shared" si="0"/>
        <v>4.609014258992461E-6</v>
      </c>
      <c r="X21" s="2">
        <f t="shared" si="8"/>
        <v>4.64019775390625E-2</v>
      </c>
      <c r="Y21" s="2">
        <f t="shared" si="1"/>
        <v>-3.0343555254760957E-6</v>
      </c>
      <c r="Z21" s="2">
        <f t="shared" si="3"/>
        <v>4.6398162841796875E-2</v>
      </c>
      <c r="AA21" s="2">
        <f t="shared" si="2"/>
        <v>7.8732964586825105E-7</v>
      </c>
      <c r="AB21" s="2">
        <f t="shared" si="4"/>
        <v>3.6288135643342538E-12</v>
      </c>
      <c r="AC21" s="2">
        <f t="shared" si="5"/>
        <v>-2.3890380613114652E-12</v>
      </c>
      <c r="AD21" s="2">
        <f t="shared" si="6"/>
        <v>7.62939453125E-6</v>
      </c>
      <c r="AF21" s="2">
        <v>17</v>
      </c>
      <c r="AG21" s="2">
        <f t="shared" si="13"/>
        <v>2735.6948852539062</v>
      </c>
      <c r="AH21" s="2">
        <v>-3.9243345166673862</v>
      </c>
      <c r="AI21" s="2">
        <f t="shared" si="14"/>
        <v>2735.83984375</v>
      </c>
      <c r="AJ21" s="2">
        <v>0.16583622360803929</v>
      </c>
      <c r="AK21" s="2">
        <f t="shared" si="9"/>
        <v>2735.7673645019531</v>
      </c>
      <c r="AL21" s="2">
        <v>-3.8923643002608515</v>
      </c>
      <c r="AM21" s="2">
        <f t="shared" si="10"/>
        <v>15.274939574957557</v>
      </c>
      <c r="AN21" s="2">
        <f t="shared" si="11"/>
        <v>-0.64549499646200792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228.65811138633583</v>
      </c>
      <c r="H22" s="25" t="s">
        <v>101</v>
      </c>
      <c r="J22" s="14" t="s">
        <v>112</v>
      </c>
      <c r="K22" s="6">
        <f>$C$55*(0.14*$G$12*1000/745.7)*0.453592</f>
        <v>24.156218489910707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4.6398162841796875E-2</v>
      </c>
      <c r="W22" s="2">
        <f t="shared" si="0"/>
        <v>7.8732964586825105E-7</v>
      </c>
      <c r="X22" s="2">
        <f t="shared" si="8"/>
        <v>4.64019775390625E-2</v>
      </c>
      <c r="Y22" s="2">
        <f t="shared" si="1"/>
        <v>-3.0343555254760957E-6</v>
      </c>
      <c r="Z22" s="2">
        <f t="shared" si="3"/>
        <v>4.6400070190429688E-2</v>
      </c>
      <c r="AA22" s="2">
        <f t="shared" si="2"/>
        <v>-1.1235128700298747E-6</v>
      </c>
      <c r="AB22" s="2">
        <f t="shared" si="4"/>
        <v>-8.845749900890436E-13</v>
      </c>
      <c r="AC22" s="2">
        <f t="shared" si="5"/>
        <v>3.4091374851186568E-12</v>
      </c>
      <c r="AD22" s="2">
        <f t="shared" si="6"/>
        <v>3.814697265625E-6</v>
      </c>
      <c r="AF22" s="2">
        <v>18</v>
      </c>
      <c r="AG22" s="2">
        <f t="shared" si="13"/>
        <v>2735.7673645019531</v>
      </c>
      <c r="AH22" s="2">
        <v>-3.9243345166673862</v>
      </c>
      <c r="AI22" s="2">
        <f t="shared" si="14"/>
        <v>2735.83984375</v>
      </c>
      <c r="AJ22" s="2">
        <v>0.16583622360803929</v>
      </c>
      <c r="AK22" s="2">
        <f t="shared" si="9"/>
        <v>2735.8036041259766</v>
      </c>
      <c r="AL22" s="2">
        <v>-3.9083409299537379</v>
      </c>
      <c r="AM22" s="2">
        <f t="shared" si="10"/>
        <v>15.337637214321365</v>
      </c>
      <c r="AN22" s="2">
        <f t="shared" si="11"/>
        <v>-0.64814450039626026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58.647851330451857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14533.448065703187</v>
      </c>
      <c r="P23" s="6" t="s">
        <v>18</v>
      </c>
      <c r="U23" s="2">
        <v>19</v>
      </c>
      <c r="V23" s="2">
        <f t="shared" si="7"/>
        <v>4.6398162841796875E-2</v>
      </c>
      <c r="W23" s="2">
        <f t="shared" si="0"/>
        <v>7.8732964586825105E-7</v>
      </c>
      <c r="X23" s="2">
        <f t="shared" si="8"/>
        <v>4.6400070190429688E-2</v>
      </c>
      <c r="Y23" s="2">
        <f t="shared" si="1"/>
        <v>-1.1235128700298747E-6</v>
      </c>
      <c r="Z23" s="2">
        <f t="shared" si="3"/>
        <v>4.6399116516113281E-2</v>
      </c>
      <c r="AA23" s="2">
        <f t="shared" si="2"/>
        <v>-1.6809159463643253E-7</v>
      </c>
      <c r="AB23" s="2">
        <f t="shared" si="4"/>
        <v>-1.3234349567853203E-13</v>
      </c>
      <c r="AC23" s="2">
        <f t="shared" si="5"/>
        <v>1.8885306991787659E-13</v>
      </c>
      <c r="AD23" s="2">
        <f t="shared" si="6"/>
        <v>1.9073486328125E-6</v>
      </c>
      <c r="AF23" s="2">
        <v>19</v>
      </c>
      <c r="AG23" s="2">
        <f t="shared" si="13"/>
        <v>2735.8036041259766</v>
      </c>
      <c r="AH23" s="2">
        <v>-3.9243345166673862</v>
      </c>
      <c r="AI23" s="2">
        <f t="shared" si="14"/>
        <v>2735.83984375</v>
      </c>
      <c r="AJ23" s="2">
        <v>0.16583622360803929</v>
      </c>
      <c r="AK23" s="2">
        <f t="shared" si="9"/>
        <v>2735.8217239379883</v>
      </c>
      <c r="AL23" s="2">
        <v>-3.9163377330105504</v>
      </c>
      <c r="AM23" s="2">
        <f t="shared" si="10"/>
        <v>15.369019344580206</v>
      </c>
      <c r="AN23" s="2">
        <f t="shared" si="11"/>
        <v>-0.64947066001613929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8.5624419596701244</v>
      </c>
      <c r="L24" s="6" t="s">
        <v>7</v>
      </c>
      <c r="N24" s="6" t="s">
        <v>31</v>
      </c>
      <c r="O24" s="18">
        <f>Z34</f>
        <v>4.6398948412388563E-2</v>
      </c>
      <c r="U24" s="2">
        <v>20</v>
      </c>
      <c r="V24" s="2">
        <f t="shared" si="7"/>
        <v>4.6398162841796875E-2</v>
      </c>
      <c r="W24" s="2">
        <f t="shared" si="0"/>
        <v>7.8732964586825105E-7</v>
      </c>
      <c r="X24" s="2">
        <f t="shared" si="8"/>
        <v>4.6399116516113281E-2</v>
      </c>
      <c r="Y24" s="2">
        <f t="shared" si="1"/>
        <v>-1.6809159463643253E-7</v>
      </c>
      <c r="Z24" s="2">
        <f t="shared" si="3"/>
        <v>4.6398639678955078E-2</v>
      </c>
      <c r="AA24" s="2">
        <f t="shared" si="2"/>
        <v>3.0961902997700408E-7</v>
      </c>
      <c r="AB24" s="2">
        <f t="shared" si="4"/>
        <v>2.4377224122586605E-13</v>
      </c>
      <c r="AC24" s="2">
        <f t="shared" si="5"/>
        <v>-5.204435647862002E-14</v>
      </c>
      <c r="AD24" s="2">
        <f t="shared" si="6"/>
        <v>9.5367431640625E-7</v>
      </c>
      <c r="AF24" s="2">
        <v>20</v>
      </c>
      <c r="AG24" s="2">
        <f t="shared" si="13"/>
        <v>2735.8217239379883</v>
      </c>
      <c r="AH24" s="2">
        <v>-3.9243345166673862</v>
      </c>
      <c r="AI24" s="2">
        <f t="shared" si="14"/>
        <v>2735.83984375</v>
      </c>
      <c r="AJ24" s="2">
        <v>0.16583622360803929</v>
      </c>
      <c r="AK24" s="2">
        <f t="shared" si="9"/>
        <v>2735.8307838439941</v>
      </c>
      <c r="AL24" s="2">
        <v>-3.9203361272607253</v>
      </c>
      <c r="AM24" s="2">
        <f t="shared" si="10"/>
        <v>15.384710381147411</v>
      </c>
      <c r="AN24" s="2">
        <f t="shared" si="11"/>
        <v>-0.65013373861908441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17.506821292672196</v>
      </c>
      <c r="L25" s="6" t="s">
        <v>7</v>
      </c>
      <c r="N25" s="6" t="s">
        <v>32</v>
      </c>
      <c r="O25" s="6">
        <f xml:space="preserve"> O19 * $C$9 * O24 - $C$8 * SIN(O17/180*PI())</f>
        <v>1.1944026818819511</v>
      </c>
      <c r="P25" s="6" t="s">
        <v>10</v>
      </c>
      <c r="U25" s="2">
        <v>21</v>
      </c>
      <c r="V25" s="2">
        <f t="shared" si="7"/>
        <v>4.6398639678955078E-2</v>
      </c>
      <c r="W25" s="2">
        <f t="shared" si="0"/>
        <v>3.0961902997700408E-7</v>
      </c>
      <c r="X25" s="2">
        <f t="shared" si="8"/>
        <v>4.6399116516113281E-2</v>
      </c>
      <c r="Y25" s="2">
        <f t="shared" si="1"/>
        <v>-1.6809159463643253E-7</v>
      </c>
      <c r="Z25" s="2">
        <f t="shared" si="3"/>
        <v>4.639887809753418E-2</v>
      </c>
      <c r="AA25" s="2">
        <f t="shared" si="2"/>
        <v>7.0763718759692118E-8</v>
      </c>
      <c r="AB25" s="2">
        <f t="shared" si="4"/>
        <v>2.1909793959941401E-14</v>
      </c>
      <c r="AC25" s="2">
        <f t="shared" si="5"/>
        <v>-1.1894786328720684E-14</v>
      </c>
      <c r="AD25" s="2">
        <f t="shared" si="6"/>
        <v>4.76837158203125E-7</v>
      </c>
      <c r="AF25" s="2">
        <v>21</v>
      </c>
      <c r="AG25" s="2">
        <f t="shared" si="13"/>
        <v>2735.8307838439941</v>
      </c>
      <c r="AH25" s="2">
        <v>-3.9243345166673862</v>
      </c>
      <c r="AI25" s="2">
        <f t="shared" si="14"/>
        <v>2735.83984375</v>
      </c>
      <c r="AJ25" s="2">
        <v>0.16583622360803929</v>
      </c>
      <c r="AK25" s="2">
        <f t="shared" si="9"/>
        <v>2735.8353137969971</v>
      </c>
      <c r="AL25" s="2">
        <v>-3.9223353225697792</v>
      </c>
      <c r="AM25" s="2">
        <f t="shared" si="10"/>
        <v>15.392555892304291</v>
      </c>
      <c r="AN25" s="2">
        <f t="shared" si="11"/>
        <v>-0.65046527761939288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48.771724664340745</v>
      </c>
      <c r="L26" s="6" t="s">
        <v>7</v>
      </c>
      <c r="N26" s="6" t="s">
        <v>33</v>
      </c>
      <c r="O26" s="6">
        <f xml:space="preserve"> 1/$C$21 - O23 * SQRT( (2*$C$47*PI()*$C$9^2) / O18^3 )</f>
        <v>1.0848318400521417</v>
      </c>
      <c r="U26" s="2">
        <v>22</v>
      </c>
      <c r="V26" s="2">
        <f t="shared" si="7"/>
        <v>4.639887809753418E-2</v>
      </c>
      <c r="W26" s="2">
        <f t="shared" si="0"/>
        <v>7.0763718759692118E-8</v>
      </c>
      <c r="X26" s="2">
        <f t="shared" si="8"/>
        <v>4.6399116516113281E-2</v>
      </c>
      <c r="Y26" s="2">
        <f t="shared" si="1"/>
        <v>-1.6809159463643253E-7</v>
      </c>
      <c r="Z26" s="2">
        <f t="shared" si="3"/>
        <v>4.639899730682373E-2</v>
      </c>
      <c r="AA26" s="2">
        <f t="shared" si="2"/>
        <v>-4.8663937664283896E-8</v>
      </c>
      <c r="AB26" s="2">
        <f t="shared" si="4"/>
        <v>-3.4436411986145743E-15</v>
      </c>
      <c r="AC26" s="2">
        <f t="shared" si="5"/>
        <v>8.1799988832774297E-15</v>
      </c>
      <c r="AD26" s="2">
        <f t="shared" si="6"/>
        <v>2.384185791015625E-7</v>
      </c>
      <c r="AF26" s="2">
        <v>22</v>
      </c>
      <c r="AG26" s="2">
        <f t="shared" si="13"/>
        <v>2735.8353137969971</v>
      </c>
      <c r="AH26" s="2">
        <v>-3.9243345166673862</v>
      </c>
      <c r="AI26" s="2">
        <f t="shared" si="14"/>
        <v>2735.83984375</v>
      </c>
      <c r="AJ26" s="2">
        <v>0.16583622360803929</v>
      </c>
      <c r="AK26" s="2">
        <f t="shared" si="9"/>
        <v>2735.8375787734985</v>
      </c>
      <c r="AL26" s="2">
        <v>-3.9233434368507005</v>
      </c>
      <c r="AM26" s="2">
        <f t="shared" si="10"/>
        <v>15.396512069973655</v>
      </c>
      <c r="AN26" s="2">
        <f t="shared" si="11"/>
        <v>-0.65063245948470616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-9.96474264866265E-3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4.639887809753418E-2</v>
      </c>
      <c r="W27" s="2">
        <f t="shared" si="0"/>
        <v>7.0763718759692118E-8</v>
      </c>
      <c r="X27" s="2">
        <f t="shared" si="8"/>
        <v>4.639899730682373E-2</v>
      </c>
      <c r="Y27" s="2">
        <f t="shared" si="1"/>
        <v>-4.8663937664283896E-8</v>
      </c>
      <c r="Z27" s="2">
        <f t="shared" si="3"/>
        <v>4.6398937702178955E-2</v>
      </c>
      <c r="AA27" s="2">
        <f t="shared" si="2"/>
        <v>1.1049890613623603E-8</v>
      </c>
      <c r="AB27" s="2">
        <f t="shared" si="4"/>
        <v>7.8193135170782245E-16</v>
      </c>
      <c r="AC27" s="2">
        <f t="shared" si="5"/>
        <v>-5.3773118801853479E-16</v>
      </c>
      <c r="AD27" s="2">
        <f t="shared" si="6"/>
        <v>1.1920928955078125E-7</v>
      </c>
      <c r="AF27" s="2">
        <v>23</v>
      </c>
      <c r="AG27" s="2">
        <f t="shared" si="13"/>
        <v>2735.8375787734985</v>
      </c>
      <c r="AH27" s="2">
        <v>-3.9243345166673862</v>
      </c>
      <c r="AI27" s="2">
        <f t="shared" si="14"/>
        <v>2735.83984375</v>
      </c>
      <c r="AJ27" s="2">
        <v>0.16583622360803929</v>
      </c>
      <c r="AK27" s="2">
        <f t="shared" si="9"/>
        <v>2735.8387112617493</v>
      </c>
      <c r="AL27" s="2">
        <v>-3.9238389767951958</v>
      </c>
      <c r="AM27" s="2">
        <f t="shared" si="10"/>
        <v>15.398456734482226</v>
      </c>
      <c r="AN27" s="2">
        <f t="shared" si="11"/>
        <v>-0.6507146379577482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6702.8497932446771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1.1544131371422173</v>
      </c>
      <c r="U28" s="2">
        <v>24</v>
      </c>
      <c r="V28" s="2">
        <f t="shared" si="7"/>
        <v>4.6398937702178955E-2</v>
      </c>
      <c r="W28" s="2">
        <f t="shared" si="0"/>
        <v>1.1049890613623603E-8</v>
      </c>
      <c r="X28" s="2">
        <f t="shared" si="8"/>
        <v>4.639899730682373E-2</v>
      </c>
      <c r="Y28" s="2">
        <f t="shared" si="1"/>
        <v>-4.8663937664283896E-8</v>
      </c>
      <c r="Z28" s="2">
        <f t="shared" si="3"/>
        <v>4.6398967504501343E-2</v>
      </c>
      <c r="AA28" s="2">
        <f t="shared" si="2"/>
        <v>-1.8807023507982912E-8</v>
      </c>
      <c r="AB28" s="2">
        <f t="shared" si="4"/>
        <v>-2.0781555253105881E-16</v>
      </c>
      <c r="AC28" s="2">
        <f t="shared" si="5"/>
        <v>9.1522381964320217E-16</v>
      </c>
      <c r="AD28" s="2">
        <f t="shared" si="6"/>
        <v>5.9604644775390625E-8</v>
      </c>
      <c r="AF28" s="2">
        <v>24</v>
      </c>
      <c r="AG28" s="2">
        <f t="shared" si="13"/>
        <v>2735.8387112617493</v>
      </c>
      <c r="AH28" s="2">
        <v>-3.9243345166673862</v>
      </c>
      <c r="AI28" s="2">
        <f t="shared" si="14"/>
        <v>2735.83984375</v>
      </c>
      <c r="AJ28" s="2">
        <v>0.16583622360803929</v>
      </c>
      <c r="AK28" s="2">
        <f t="shared" si="9"/>
        <v>2735.8392775058746</v>
      </c>
      <c r="AL28" s="2">
        <v>-3.9240867467378848</v>
      </c>
      <c r="AM28" s="2">
        <f t="shared" si="10"/>
        <v>15.399429066620513</v>
      </c>
      <c r="AN28" s="2">
        <f t="shared" si="11"/>
        <v>-0.65075572718936736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76.456018031128352</v>
      </c>
      <c r="H29" t="s">
        <v>18</v>
      </c>
      <c r="U29" s="2">
        <v>25</v>
      </c>
      <c r="V29" s="2">
        <f t="shared" si="7"/>
        <v>4.6398937702178955E-2</v>
      </c>
      <c r="W29" s="2">
        <f t="shared" si="0"/>
        <v>1.1049890613623603E-8</v>
      </c>
      <c r="X29" s="2">
        <f t="shared" si="8"/>
        <v>4.6398967504501343E-2</v>
      </c>
      <c r="Y29" s="2">
        <f t="shared" si="1"/>
        <v>-1.8807023507982912E-8</v>
      </c>
      <c r="Z29" s="2">
        <f t="shared" si="3"/>
        <v>4.6398952603340149E-2</v>
      </c>
      <c r="AA29" s="2">
        <f t="shared" si="2"/>
        <v>-3.8785664402407605E-9</v>
      </c>
      <c r="AB29" s="2">
        <f t="shared" si="4"/>
        <v>-4.2857734902331892E-17</v>
      </c>
      <c r="AC29" s="2">
        <f t="shared" si="5"/>
        <v>7.2944290218881587E-17</v>
      </c>
      <c r="AD29" s="2">
        <f t="shared" si="6"/>
        <v>2.9802322387695312E-8</v>
      </c>
      <c r="AF29" s="2">
        <v>25</v>
      </c>
      <c r="AG29" s="2">
        <f t="shared" si="13"/>
        <v>2735.8392775058746</v>
      </c>
      <c r="AH29" s="2">
        <v>-3.9243345166673862</v>
      </c>
      <c r="AI29" s="2">
        <f t="shared" si="14"/>
        <v>2735.83984375</v>
      </c>
      <c r="AJ29" s="2">
        <v>0.16583622360803929</v>
      </c>
      <c r="AK29" s="2">
        <f t="shared" si="9"/>
        <v>2735.8395606279373</v>
      </c>
      <c r="AL29" s="2">
        <v>-3.9242106317051366</v>
      </c>
      <c r="AM29" s="2">
        <f t="shared" si="10"/>
        <v>15.399915232673596</v>
      </c>
      <c r="AN29" s="2">
        <f t="shared" si="11"/>
        <v>-0.65077627180449815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8.9444915437079171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4.6398937702178955E-2</v>
      </c>
      <c r="W30" s="2">
        <f t="shared" si="0"/>
        <v>1.1049890613623603E-8</v>
      </c>
      <c r="X30" s="2">
        <f t="shared" si="8"/>
        <v>4.6398952603340149E-2</v>
      </c>
      <c r="Y30" s="2">
        <f t="shared" si="1"/>
        <v>-3.8785664402407605E-9</v>
      </c>
      <c r="Z30" s="2">
        <f t="shared" si="3"/>
        <v>4.6398945152759552E-2</v>
      </c>
      <c r="AA30" s="2">
        <f t="shared" si="2"/>
        <v>3.5856620866914213E-9</v>
      </c>
      <c r="AB30" s="2">
        <f t="shared" si="4"/>
        <v>3.9621173835357556E-17</v>
      </c>
      <c r="AC30" s="2">
        <f t="shared" si="5"/>
        <v>-1.3907228635485004E-17</v>
      </c>
      <c r="AD30" s="2">
        <f t="shared" si="6"/>
        <v>1.4901161193847656E-8</v>
      </c>
      <c r="AF30" s="2">
        <v>26</v>
      </c>
      <c r="AG30" s="2">
        <f t="shared" si="13"/>
        <v>2735.8395606279373</v>
      </c>
      <c r="AH30" s="2">
        <v>-3.9243345166673862</v>
      </c>
      <c r="AI30" s="2">
        <f t="shared" si="14"/>
        <v>2735.83984375</v>
      </c>
      <c r="AJ30" s="2">
        <v>0.16583622360803929</v>
      </c>
      <c r="AK30" s="2">
        <f t="shared" si="9"/>
        <v>2735.8397021889687</v>
      </c>
      <c r="AL30" s="2">
        <v>-3.9242725741887625</v>
      </c>
      <c r="AM30" s="2">
        <f t="shared" si="10"/>
        <v>15.400158315700137</v>
      </c>
      <c r="AN30" s="2">
        <f t="shared" si="11"/>
        <v>-0.6507865441120636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305.82407212451341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4.6398945152759552E-2</v>
      </c>
      <c r="W31" s="2">
        <f t="shared" si="0"/>
        <v>3.5856620866914213E-9</v>
      </c>
      <c r="X31" s="2">
        <f t="shared" si="8"/>
        <v>4.6398952603340149E-2</v>
      </c>
      <c r="Y31" s="2">
        <f t="shared" si="1"/>
        <v>-3.8785664402407605E-9</v>
      </c>
      <c r="Z31" s="2">
        <f t="shared" si="3"/>
        <v>4.639894887804985E-2</v>
      </c>
      <c r="AA31" s="2">
        <f t="shared" si="2"/>
        <v>-1.464521767746696E-10</v>
      </c>
      <c r="AB31" s="2">
        <f t="shared" si="4"/>
        <v>-5.2512801777436269E-19</v>
      </c>
      <c r="AC31" s="2">
        <f t="shared" si="5"/>
        <v>5.6802449793844083E-19</v>
      </c>
      <c r="AD31" s="2">
        <f t="shared" si="6"/>
        <v>7.4505805969238281E-9</v>
      </c>
      <c r="AF31" s="2">
        <v>27</v>
      </c>
      <c r="AG31" s="2">
        <f t="shared" si="13"/>
        <v>2735.8397021889687</v>
      </c>
      <c r="AH31" s="2">
        <v>-3.9243345166673862</v>
      </c>
      <c r="AI31" s="2">
        <f t="shared" si="14"/>
        <v>2735.83984375</v>
      </c>
      <c r="AJ31" s="2">
        <v>0.16583622360803929</v>
      </c>
      <c r="AK31" s="2">
        <f t="shared" si="9"/>
        <v>2735.8397729694843</v>
      </c>
      <c r="AL31" s="2">
        <v>-3.9243120625001211</v>
      </c>
      <c r="AM31" s="2">
        <f t="shared" si="10"/>
        <v>15.400313281043406</v>
      </c>
      <c r="AN31" s="2">
        <f t="shared" si="11"/>
        <v>-0.65079309270449592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1188.17</v>
      </c>
      <c r="L32" s="6" t="s">
        <v>7</v>
      </c>
      <c r="U32" s="2">
        <v>28</v>
      </c>
      <c r="V32" s="2">
        <f t="shared" si="7"/>
        <v>4.6398945152759552E-2</v>
      </c>
      <c r="W32" s="2">
        <f t="shared" si="0"/>
        <v>3.5856620866914213E-9</v>
      </c>
      <c r="X32" s="2">
        <f t="shared" si="8"/>
        <v>4.639894887804985E-2</v>
      </c>
      <c r="Y32" s="2">
        <f t="shared" si="1"/>
        <v>-1.464521767746696E-10</v>
      </c>
      <c r="Z32" s="2">
        <f t="shared" si="3"/>
        <v>4.6398947015404701E-2</v>
      </c>
      <c r="AA32" s="2">
        <f t="shared" si="2"/>
        <v>1.7196049584278228E-9</v>
      </c>
      <c r="AB32" s="2">
        <f t="shared" si="4"/>
        <v>6.1659223035212218E-18</v>
      </c>
      <c r="AC32" s="2">
        <f t="shared" si="5"/>
        <v>-2.5183988935426987E-19</v>
      </c>
      <c r="AD32" s="2">
        <f t="shared" si="6"/>
        <v>3.7252902984619141E-9</v>
      </c>
      <c r="AF32" s="2">
        <v>28</v>
      </c>
      <c r="AG32" s="2">
        <f t="shared" si="13"/>
        <v>2735.8397729694843</v>
      </c>
      <c r="AH32" s="2">
        <v>-3.9243345166673862</v>
      </c>
      <c r="AI32" s="2">
        <f t="shared" si="14"/>
        <v>2735.83984375</v>
      </c>
      <c r="AJ32" s="2">
        <v>0.16583622360803929</v>
      </c>
      <c r="AK32" s="2">
        <f t="shared" si="9"/>
        <v>2735.8398083597422</v>
      </c>
      <c r="AL32" s="2">
        <v>-3.9243232895828442</v>
      </c>
      <c r="AM32" s="2">
        <f t="shared" si="10"/>
        <v>15.400357339871658</v>
      </c>
      <c r="AN32" s="2">
        <f t="shared" si="11"/>
        <v>-0.65079495456149683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623</v>
      </c>
      <c r="L33" s="6" t="s">
        <v>7</v>
      </c>
      <c r="U33" s="2">
        <v>29</v>
      </c>
      <c r="V33" s="2">
        <f t="shared" si="7"/>
        <v>4.6398947015404701E-2</v>
      </c>
      <c r="W33" s="2">
        <f t="shared" si="0"/>
        <v>1.7196049584278228E-9</v>
      </c>
      <c r="X33" s="2">
        <f t="shared" si="8"/>
        <v>4.639894887804985E-2</v>
      </c>
      <c r="Y33" s="2">
        <f t="shared" si="1"/>
        <v>-1.464521767746696E-10</v>
      </c>
      <c r="Z33" s="2">
        <f t="shared" si="3"/>
        <v>4.6398947946727276E-2</v>
      </c>
      <c r="AA33" s="2">
        <f t="shared" si="2"/>
        <v>7.8657639429602355E-10</v>
      </c>
      <c r="AB33" s="2">
        <f t="shared" si="4"/>
        <v>1.3526006678137203E-18</v>
      </c>
      <c r="AC33" s="2">
        <f t="shared" si="5"/>
        <v>-1.1519582514422345E-19</v>
      </c>
      <c r="AD33" s="2">
        <f t="shared" si="6"/>
        <v>1.862645149230957E-9</v>
      </c>
      <c r="AF33" s="2">
        <v>29</v>
      </c>
      <c r="AG33" s="2">
        <f t="shared" si="13"/>
        <v>2735.8398083597422</v>
      </c>
      <c r="AH33" s="2">
        <v>-3.9243345166673862</v>
      </c>
      <c r="AI33" s="2">
        <f t="shared" si="14"/>
        <v>2735.83984375</v>
      </c>
      <c r="AJ33" s="2">
        <v>0.16583622360803929</v>
      </c>
      <c r="AK33" s="2">
        <f t="shared" si="9"/>
        <v>2735.8398260548711</v>
      </c>
      <c r="AL33" s="2">
        <v>-3.9243289031260247</v>
      </c>
      <c r="AM33" s="2">
        <f t="shared" si="10"/>
        <v>15.400379369292923</v>
      </c>
      <c r="AN33" s="2">
        <f t="shared" si="11"/>
        <v>-0.65079588549029899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190.8</v>
      </c>
      <c r="L34" s="6" t="s">
        <v>7</v>
      </c>
      <c r="U34" s="2">
        <v>30</v>
      </c>
      <c r="V34" s="2">
        <f t="shared" si="7"/>
        <v>4.6398947946727276E-2</v>
      </c>
      <c r="W34" s="2">
        <f t="shared" si="0"/>
        <v>7.8657639429602355E-10</v>
      </c>
      <c r="X34" s="2">
        <f t="shared" si="8"/>
        <v>4.639894887804985E-2</v>
      </c>
      <c r="Y34" s="2">
        <f t="shared" si="1"/>
        <v>-1.464521767746696E-10</v>
      </c>
      <c r="Z34" s="2">
        <f t="shared" si="3"/>
        <v>4.6398948412388563E-2</v>
      </c>
      <c r="AA34" s="2">
        <f t="shared" si="2"/>
        <v>3.2006210876067698E-10</v>
      </c>
      <c r="AB34" s="2">
        <f t="shared" si="4"/>
        <v>2.5175329945975503E-19</v>
      </c>
      <c r="AC34" s="2">
        <f t="shared" si="5"/>
        <v>-4.6873792531092191E-20</v>
      </c>
      <c r="AD34" s="2">
        <f>X34-V34</f>
        <v>9.3132257461547852E-10</v>
      </c>
      <c r="AF34" s="2">
        <v>30</v>
      </c>
      <c r="AG34" s="2">
        <f t="shared" si="13"/>
        <v>2735.8398260548711</v>
      </c>
      <c r="AH34" s="2">
        <v>-3.9243345166673862</v>
      </c>
      <c r="AI34" s="2">
        <f t="shared" si="14"/>
        <v>2735.83984375</v>
      </c>
      <c r="AJ34" s="2">
        <v>0.16583622360803929</v>
      </c>
      <c r="AK34" s="2">
        <f t="shared" si="9"/>
        <v>2735.8398349024355</v>
      </c>
      <c r="AL34" s="2">
        <v>-3.9243317098953412</v>
      </c>
      <c r="AM34" s="2">
        <f t="shared" si="10"/>
        <v>15.400390383994631</v>
      </c>
      <c r="AN34" s="2">
        <f t="shared" si="11"/>
        <v>-0.65079635095432298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228.65811138633583</v>
      </c>
      <c r="H35" s="25" t="s">
        <v>101</v>
      </c>
      <c r="J35" s="15" t="s">
        <v>70</v>
      </c>
      <c r="K35" s="6">
        <f>ROUND(SUM(K23:K26),2)</f>
        <v>133.49</v>
      </c>
      <c r="L35" s="6" t="s">
        <v>7</v>
      </c>
      <c r="AF35" s="2">
        <v>31</v>
      </c>
      <c r="AG35" s="2">
        <f t="shared" si="13"/>
        <v>2735.8398349024355</v>
      </c>
      <c r="AH35" s="2">
        <v>-3.9243345166673862</v>
      </c>
      <c r="AI35" s="2">
        <f t="shared" si="14"/>
        <v>2735.83984375</v>
      </c>
      <c r="AJ35" s="2">
        <v>0.16583622360803929</v>
      </c>
      <c r="AK35" s="2">
        <f t="shared" si="9"/>
        <v>2735.8398393262178</v>
      </c>
      <c r="AL35" s="2">
        <v>-3.9243331132806816</v>
      </c>
      <c r="AM35" s="2">
        <f t="shared" si="10"/>
        <v>15.400395891348163</v>
      </c>
      <c r="AN35" s="2">
        <f t="shared" si="11"/>
        <v>-0.6507965836864481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2735.46</v>
      </c>
      <c r="L36" s="6" t="s">
        <v>7</v>
      </c>
      <c r="AF36" s="2">
        <v>32</v>
      </c>
      <c r="AG36" s="2">
        <f t="shared" si="13"/>
        <v>2735.8398393262178</v>
      </c>
      <c r="AH36" s="2">
        <v>-3.9243345166673862</v>
      </c>
      <c r="AI36" s="2">
        <f t="shared" si="14"/>
        <v>2735.83984375</v>
      </c>
      <c r="AJ36" s="2">
        <v>0.16583622360803929</v>
      </c>
      <c r="AK36" s="2">
        <f t="shared" si="9"/>
        <v>2735.8398415381089</v>
      </c>
      <c r="AL36" s="2">
        <v>-3.9243338149731244</v>
      </c>
      <c r="AM36" s="2">
        <f t="shared" si="10"/>
        <v>15.400398645024035</v>
      </c>
      <c r="AN36" s="2">
        <f t="shared" si="11"/>
        <v>-0.65079670005247292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2735.8398415381089</v>
      </c>
      <c r="AH37" s="2">
        <v>-3.9243345166673862</v>
      </c>
      <c r="AI37" s="2">
        <f t="shared" si="14"/>
        <v>2735.83984375</v>
      </c>
      <c r="AJ37" s="2">
        <v>0.16583622360803929</v>
      </c>
      <c r="AK37" s="2">
        <f t="shared" si="9"/>
        <v>2735.8398426440544</v>
      </c>
      <c r="AL37" s="2">
        <v>-3.9243341658193458</v>
      </c>
      <c r="AM37" s="2">
        <f t="shared" si="10"/>
        <v>15.400400021861973</v>
      </c>
      <c r="AN37" s="2">
        <f t="shared" si="11"/>
        <v>-0.65079675823548533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2735.8398426440544</v>
      </c>
      <c r="AH38" s="2">
        <v>-3.9243345166673862</v>
      </c>
      <c r="AI38" s="2">
        <f t="shared" si="14"/>
        <v>2735.83984375</v>
      </c>
      <c r="AJ38" s="2">
        <v>0.16583622360803929</v>
      </c>
      <c r="AK38" s="2">
        <f t="shared" si="9"/>
        <v>2735.8398431970272</v>
      </c>
      <c r="AL38" s="2">
        <v>-3.9243343412426839</v>
      </c>
      <c r="AM38" s="2">
        <f t="shared" si="10"/>
        <v>15.400400710281833</v>
      </c>
      <c r="AN38" s="2">
        <f t="shared" si="11"/>
        <v>-0.65079678732702928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21.93</v>
      </c>
      <c r="L39" s="6" t="s">
        <v>58</v>
      </c>
      <c r="AF39" s="2">
        <v>35</v>
      </c>
      <c r="AG39" s="2">
        <f t="shared" si="13"/>
        <v>2735.8398431970272</v>
      </c>
      <c r="AH39" s="2">
        <v>-3.9243345166673862</v>
      </c>
      <c r="AI39" s="2">
        <f t="shared" si="14"/>
        <v>2735.83984375</v>
      </c>
      <c r="AJ39" s="2">
        <v>0.16583622360803929</v>
      </c>
      <c r="AK39" s="2">
        <f t="shared" si="9"/>
        <v>2735.8398434735136</v>
      </c>
      <c r="AL39" s="2">
        <v>-3.9243344289548077</v>
      </c>
      <c r="AM39" s="2">
        <f t="shared" si="10"/>
        <v>15.400401054493548</v>
      </c>
      <c r="AN39" s="2">
        <f t="shared" si="11"/>
        <v>-0.6507968018728767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43.44</v>
      </c>
      <c r="L40" s="6" t="s">
        <v>58</v>
      </c>
      <c r="AF40" s="2">
        <v>36</v>
      </c>
      <c r="AG40" s="2">
        <f t="shared" si="13"/>
        <v>2735.8398434735136</v>
      </c>
      <c r="AH40" s="2">
        <v>-3.9243345166673862</v>
      </c>
      <c r="AI40" s="2">
        <f t="shared" si="14"/>
        <v>2735.83984375</v>
      </c>
      <c r="AJ40" s="2">
        <v>0.16583622360803929</v>
      </c>
      <c r="AK40" s="2">
        <f t="shared" si="9"/>
        <v>2735.8398436117568</v>
      </c>
      <c r="AL40" s="2">
        <v>-3.9243344728101874</v>
      </c>
      <c r="AM40" s="2">
        <f t="shared" si="10"/>
        <v>15.400401226596729</v>
      </c>
      <c r="AN40" s="2">
        <f t="shared" si="11"/>
        <v>-0.65079680914568727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22.78</v>
      </c>
      <c r="L41" s="6" t="s">
        <v>58</v>
      </c>
      <c r="AF41" s="2">
        <v>37</v>
      </c>
      <c r="AG41" s="2">
        <f t="shared" si="13"/>
        <v>2735.8398436117568</v>
      </c>
      <c r="AH41" s="2">
        <v>-3.9243345166673862</v>
      </c>
      <c r="AI41" s="2">
        <f t="shared" si="14"/>
        <v>2735.83984375</v>
      </c>
      <c r="AJ41" s="2">
        <v>0.16583622360803929</v>
      </c>
      <c r="AK41" s="2">
        <f t="shared" si="9"/>
        <v>2735.8398436808784</v>
      </c>
      <c r="AL41" s="2">
        <v>-3.9243344947376499</v>
      </c>
      <c r="AM41" s="2">
        <f t="shared" si="10"/>
        <v>15.400401312647427</v>
      </c>
      <c r="AN41" s="2">
        <f t="shared" si="11"/>
        <v>-0.65079681278205481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6.97</v>
      </c>
      <c r="L42" s="6" t="s">
        <v>58</v>
      </c>
      <c r="AF42" s="2">
        <v>38</v>
      </c>
      <c r="AG42" s="2">
        <f t="shared" si="13"/>
        <v>2735.8398436808784</v>
      </c>
      <c r="AH42" s="2">
        <v>-3.9243345166673862</v>
      </c>
      <c r="AI42" s="2">
        <f t="shared" si="14"/>
        <v>2735.83984375</v>
      </c>
      <c r="AJ42" s="2">
        <v>0.16583622360803929</v>
      </c>
      <c r="AK42" s="2">
        <f t="shared" si="9"/>
        <v>2735.8398437154392</v>
      </c>
      <c r="AL42" s="2">
        <v>-3.9243345057020633</v>
      </c>
      <c r="AM42" s="2">
        <f t="shared" si="10"/>
        <v>15.400401355675452</v>
      </c>
      <c r="AN42" s="2">
        <f t="shared" si="11"/>
        <v>-0.65079681460035166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4.88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2735.8398437154392</v>
      </c>
      <c r="AH43" s="2">
        <v>-3.9243345166673862</v>
      </c>
      <c r="AI43" s="2">
        <f t="shared" si="14"/>
        <v>2735.83984375</v>
      </c>
      <c r="AJ43" s="2">
        <v>0.16583622360803929</v>
      </c>
      <c r="AK43" s="2">
        <f t="shared" si="9"/>
        <v>2735.8398437327196</v>
      </c>
      <c r="AL43" s="2">
        <v>-3.9243345111849521</v>
      </c>
      <c r="AM43" s="2">
        <f t="shared" si="10"/>
        <v>15.400401377192143</v>
      </c>
      <c r="AN43" s="2">
        <f t="shared" si="11"/>
        <v>-0.65079681550961332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2735.8398437327196</v>
      </c>
      <c r="AH44" s="2">
        <v>-3.9243345166673862</v>
      </c>
      <c r="AI44" s="2">
        <f t="shared" si="14"/>
        <v>2735.83984375</v>
      </c>
      <c r="AJ44" s="2">
        <v>0.16583622360803929</v>
      </c>
      <c r="AK44" s="5">
        <f>(AG44+AI44)/2</f>
        <v>2735.8398437413598</v>
      </c>
      <c r="AL44" s="2">
        <v>-3.9243345139238954</v>
      </c>
      <c r="AM44" s="2">
        <f t="shared" si="10"/>
        <v>15.400401387940672</v>
      </c>
      <c r="AN44" s="2">
        <f t="shared" si="11"/>
        <v>-0.65079681596382932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2821.6284083472028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21.93</v>
      </c>
      <c r="L47" s="6" t="s">
        <v>58</v>
      </c>
      <c r="N47" s="6" t="s">
        <v>154</v>
      </c>
      <c r="O47" s="6">
        <f>0.377*O46^0.6945</f>
        <v>93.91035334822665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43.44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34.630000000000003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ABF3-9A7E-3B46-971F-D33B8F00571B}">
  <dimension ref="B1:AO56"/>
  <sheetViews>
    <sheetView tabSelected="1" workbookViewId="0">
      <selection activeCell="E5" sqref="E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1371.2758138225709</v>
      </c>
      <c r="L4" s="6" t="s">
        <v>101</v>
      </c>
      <c r="N4" s="6" t="s">
        <v>22</v>
      </c>
      <c r="O4" s="6">
        <f xml:space="preserve"> 0.5 * $C$47 * $C$8^2</f>
        <v>3984.3733596601678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5.6564719439409966E-2</v>
      </c>
      <c r="X4" s="3">
        <v>1</v>
      </c>
      <c r="Y4" s="2">
        <f t="shared" ref="Y4:Y34" si="1" xml:space="preserve"> $O$20 * TAN($O$17/180*PI()) + $O$21 / (2 * SQRT($O$20^2 + X4^2)) - X4</f>
        <v>-0.94807700555148844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-0.44587517420332973</v>
      </c>
      <c r="AB4" s="2">
        <f>W4*AA4</f>
        <v>-2.522080413380939E-2</v>
      </c>
      <c r="AC4" s="2">
        <f>Y4*AA4</f>
        <v>0.42272400000844113</v>
      </c>
      <c r="AD4" s="2">
        <f>X4-V4</f>
        <v>1</v>
      </c>
      <c r="AF4" s="2">
        <v>0</v>
      </c>
      <c r="AG4" s="2"/>
      <c r="AH4" s="2">
        <f>K27</f>
        <v>-5.9706202719098656E-3</v>
      </c>
      <c r="AI4" s="2"/>
      <c r="AJ4" s="2">
        <f>K27</f>
        <v>-5.9706202719098656E-3</v>
      </c>
      <c r="AK4" s="2"/>
      <c r="AL4" s="2">
        <f>K27</f>
        <v>-5.9706202719098656E-3</v>
      </c>
      <c r="AM4" s="2"/>
      <c r="AN4" s="2"/>
      <c r="AO4" s="2"/>
    </row>
    <row r="5" spans="2:41" x14ac:dyDescent="0.2">
      <c r="B5" s="10" t="s">
        <v>37</v>
      </c>
      <c r="C5" s="10">
        <v>5559.1237788067901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342.81895345564271</v>
      </c>
      <c r="L5" s="6" t="s">
        <v>101</v>
      </c>
      <c r="N5" s="6" t="s">
        <v>114</v>
      </c>
      <c r="O5" s="6">
        <f xml:space="preserve"> $C$18 * 0.85 * ($C$5/$C$18 *2.20462/1000)^(2/3) * 0.3048^2</f>
        <v>0.66633952185695944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5.6564719439409966E-2</v>
      </c>
      <c r="X5" s="2">
        <f>IF(AC4&gt;0, Z4, X4)</f>
        <v>0.5</v>
      </c>
      <c r="Y5" s="2">
        <f t="shared" si="1"/>
        <v>-0.44587517420332973</v>
      </c>
      <c r="Z5" s="2">
        <f t="shared" ref="Z5:Z34" si="3" xml:space="preserve"> (V5 + X5)/2</f>
        <v>0.25</v>
      </c>
      <c r="AA5" s="2">
        <f t="shared" si="2"/>
        <v>-0.19430870214407597</v>
      </c>
      <c r="AB5" s="2">
        <f t="shared" ref="AB5:AB34" si="4">W5*AA5</f>
        <v>-1.0991017221415536E-2</v>
      </c>
      <c r="AC5" s="2">
        <f t="shared" ref="AC5:AC34" si="5">Y5*AA5</f>
        <v>8.6637426417712785E-2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-2141.8615260933393</v>
      </c>
      <c r="AI5" s="3">
        <v>10000</v>
      </c>
      <c r="AJ5" s="2">
        <f t="dataTable" ref="AJ5:AJ44" dt2D="0" dtr="0" r1="C5"/>
        <v>1143.1112505342826</v>
      </c>
      <c r="AK5" s="2">
        <f>(AG5+AI5)/2</f>
        <v>5250</v>
      </c>
      <c r="AL5" s="2">
        <f t="dataTable" ref="AL5:AL44" dt2D="0" dtr="0" r1="C5" ca="1"/>
        <v>-108.12961027549954</v>
      </c>
      <c r="AM5" s="2">
        <f>AH5*AL5</f>
        <v>231598.65208055949</v>
      </c>
      <c r="AN5" s="2">
        <f>AJ5*AL5</f>
        <v>-123604.17402181089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5.6564719439409966E-2</v>
      </c>
      <c r="X6" s="2">
        <f t="shared" ref="X6:X34" si="8">IF(AC5&gt;0, Z5, X5)</f>
        <v>0.25</v>
      </c>
      <c r="Y6" s="2">
        <f t="shared" si="1"/>
        <v>-0.19430870214407597</v>
      </c>
      <c r="Z6" s="2">
        <f t="shared" si="3"/>
        <v>0.125</v>
      </c>
      <c r="AA6" s="2">
        <f t="shared" si="2"/>
        <v>-6.8681545232169905E-2</v>
      </c>
      <c r="AB6" s="2">
        <f t="shared" si="4"/>
        <v>-3.8849523367228359E-3</v>
      </c>
      <c r="AC6" s="2">
        <f t="shared" si="5"/>
        <v>1.3345421915312584E-2</v>
      </c>
      <c r="AD6" s="2">
        <f t="shared" si="6"/>
        <v>0.25</v>
      </c>
      <c r="AF6" s="2">
        <v>2</v>
      </c>
      <c r="AG6" s="2">
        <f>IF(AM5&gt;0, AK5, AG5)</f>
        <v>5250</v>
      </c>
      <c r="AH6" s="2">
        <v>-108.12961027549954</v>
      </c>
      <c r="AI6" s="2">
        <f>IF(AN5&gt;0, AK5, AI5)</f>
        <v>10000</v>
      </c>
      <c r="AJ6" s="2">
        <v>1143.1112505342826</v>
      </c>
      <c r="AK6" s="2">
        <f t="shared" ref="AK6:AK43" si="9">(AG6+AI6)/2</f>
        <v>7625</v>
      </c>
      <c r="AL6" s="2">
        <v>628.5014544117239</v>
      </c>
      <c r="AM6" s="2">
        <f t="shared" ref="AM6:AM44" si="10">AH6*AL6</f>
        <v>-67959.617323124345</v>
      </c>
      <c r="AN6" s="2">
        <f t="shared" ref="AN6:AN44" si="11">AJ6*AL6</f>
        <v>718447.08351520111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410.21537968614098</v>
      </c>
      <c r="D7" s="6" t="s">
        <v>125</v>
      </c>
      <c r="F7" t="s">
        <v>121</v>
      </c>
      <c r="G7" s="8">
        <f>$C$6*2*PI()/60*$C$9</f>
        <v>170.14323029157543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1.2966161451920555</v>
      </c>
      <c r="P7" s="6" t="s">
        <v>115</v>
      </c>
      <c r="U7" s="2">
        <v>3</v>
      </c>
      <c r="V7" s="2">
        <f t="shared" si="7"/>
        <v>0</v>
      </c>
      <c r="W7" s="2">
        <f t="shared" si="0"/>
        <v>5.6564719439409966E-2</v>
      </c>
      <c r="X7" s="2">
        <f t="shared" si="8"/>
        <v>0.125</v>
      </c>
      <c r="Y7" s="2">
        <f t="shared" si="1"/>
        <v>-6.8681545232169905E-2</v>
      </c>
      <c r="Z7" s="2">
        <f t="shared" si="3"/>
        <v>6.25E-2</v>
      </c>
      <c r="AA7" s="2">
        <f t="shared" si="2"/>
        <v>-5.9989141337614404E-3</v>
      </c>
      <c r="AB7" s="2">
        <f t="shared" si="4"/>
        <v>-3.3932689491732697E-4</v>
      </c>
      <c r="AC7" s="2">
        <f t="shared" si="5"/>
        <v>4.1201469242183969E-4</v>
      </c>
      <c r="AD7" s="2">
        <f t="shared" si="6"/>
        <v>0.125</v>
      </c>
      <c r="AF7" s="2">
        <v>3</v>
      </c>
      <c r="AG7" s="2">
        <f t="shared" ref="AG7:AG44" si="13">IF(AM6&gt;0, AK6, AG6)</f>
        <v>5250</v>
      </c>
      <c r="AH7" s="2">
        <v>-108.12961027549954</v>
      </c>
      <c r="AI7" s="2">
        <f t="shared" ref="AI7:AI44" si="14">IF(AN6&gt;0, AK6, AI6)</f>
        <v>7625</v>
      </c>
      <c r="AJ7" s="2">
        <v>628.5014544117239</v>
      </c>
      <c r="AK7" s="2">
        <f t="shared" si="9"/>
        <v>6437.5</v>
      </c>
      <c r="AL7" s="2">
        <v>288.02429446922542</v>
      </c>
      <c r="AM7" s="2">
        <f t="shared" si="10"/>
        <v>-31143.954710833063</v>
      </c>
      <c r="AN7" s="2">
        <f t="shared" si="11"/>
        <v>181023.68797981882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320 * 1000/3600</f>
        <v>88.888888888888886</v>
      </c>
      <c r="D8" s="6" t="s">
        <v>10</v>
      </c>
      <c r="F8" t="s">
        <v>124</v>
      </c>
      <c r="G8" s="8">
        <f>G7/$C$43</f>
        <v>0.50953757529582699</v>
      </c>
      <c r="H8" s="6" t="s">
        <v>122</v>
      </c>
      <c r="J8" s="6" t="s">
        <v>96</v>
      </c>
      <c r="K8" s="6">
        <f xml:space="preserve"> $C$15 * (G12*G6 + G22*G15 + G31*G27 +G35*G34)/3600</f>
        <v>532.19705004008324</v>
      </c>
      <c r="L8" s="6" t="s">
        <v>102</v>
      </c>
      <c r="N8" s="6" t="s">
        <v>38</v>
      </c>
      <c r="O8" s="6">
        <f xml:space="preserve"> O4 *O7</f>
        <v>5166.2028266084862</v>
      </c>
      <c r="P8" s="6" t="s">
        <v>20</v>
      </c>
      <c r="U8" s="2">
        <v>4</v>
      </c>
      <c r="V8" s="2">
        <f t="shared" si="7"/>
        <v>0</v>
      </c>
      <c r="W8" s="2">
        <f t="shared" si="0"/>
        <v>5.6564719439409966E-2</v>
      </c>
      <c r="X8" s="2">
        <f t="shared" si="8"/>
        <v>6.25E-2</v>
      </c>
      <c r="Y8" s="2">
        <f t="shared" si="1"/>
        <v>-5.9989141337614404E-3</v>
      </c>
      <c r="Z8" s="2">
        <f t="shared" si="3"/>
        <v>3.125E-2</v>
      </c>
      <c r="AA8" s="2">
        <f t="shared" si="2"/>
        <v>2.5298675739854268E-2</v>
      </c>
      <c r="AB8" s="2">
        <f t="shared" si="4"/>
        <v>1.4310124954134641E-3</v>
      </c>
      <c r="AC8" s="2">
        <f t="shared" si="5"/>
        <v>-1.5176458346125943E-4</v>
      </c>
      <c r="AD8" s="2">
        <f t="shared" si="6"/>
        <v>6.25E-2</v>
      </c>
      <c r="AF8" s="2">
        <v>4</v>
      </c>
      <c r="AG8" s="2">
        <f t="shared" si="13"/>
        <v>5250</v>
      </c>
      <c r="AH8" s="2">
        <v>-108.12961027549954</v>
      </c>
      <c r="AI8" s="2">
        <f t="shared" si="14"/>
        <v>6437.5</v>
      </c>
      <c r="AJ8" s="2">
        <v>288.02429446922542</v>
      </c>
      <c r="AK8" s="2">
        <f t="shared" si="9"/>
        <v>5843.75</v>
      </c>
      <c r="AL8" s="2">
        <v>96.533389340087524</v>
      </c>
      <c r="AM8" s="2">
        <f t="shared" si="10"/>
        <v>-10438.117767916727</v>
      </c>
      <c r="AN8" s="2">
        <f t="shared" si="11"/>
        <v>27803.961357401757</v>
      </c>
      <c r="AO8" s="2">
        <f t="shared" si="12"/>
        <v>1187.5</v>
      </c>
    </row>
    <row r="9" spans="2:41" x14ac:dyDescent="0.2">
      <c r="B9" s="6" t="s">
        <v>95</v>
      </c>
      <c r="C9" s="17">
        <v>4.0618704201790399</v>
      </c>
      <c r="D9" s="6" t="s">
        <v>8</v>
      </c>
      <c r="F9" t="s">
        <v>19</v>
      </c>
      <c r="G9" s="6">
        <f xml:space="preserve"> $C$5 * $C$44 / $C$18</f>
        <v>13621.925688860347</v>
      </c>
      <c r="H9" s="6" t="s">
        <v>20</v>
      </c>
      <c r="J9" s="6" t="s">
        <v>138</v>
      </c>
      <c r="K9" s="6">
        <f xml:space="preserve"> $C$15 * (G6 + G15 + G27 + G34)/60</f>
        <v>43.438453333333335</v>
      </c>
      <c r="L9" s="6" t="s">
        <v>103</v>
      </c>
      <c r="N9" s="6" t="s">
        <v>39</v>
      </c>
      <c r="O9" s="6">
        <f xml:space="preserve"> O8</f>
        <v>5166.2028266084862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2.5298675739854268E-2</v>
      </c>
      <c r="X9" s="2">
        <f t="shared" si="8"/>
        <v>6.25E-2</v>
      </c>
      <c r="Y9" s="2">
        <f t="shared" si="1"/>
        <v>-5.9989141337614404E-3</v>
      </c>
      <c r="Z9" s="2">
        <f t="shared" si="3"/>
        <v>4.6875E-2</v>
      </c>
      <c r="AA9" s="2">
        <f t="shared" si="2"/>
        <v>9.6537486616547347E-3</v>
      </c>
      <c r="AB9" s="2">
        <f t="shared" si="4"/>
        <v>2.4422705706525526E-4</v>
      </c>
      <c r="AC9" s="2">
        <f t="shared" si="5"/>
        <v>-5.7912009290181177E-5</v>
      </c>
      <c r="AD9" s="2">
        <f t="shared" si="6"/>
        <v>3.125E-2</v>
      </c>
      <c r="AF9" s="2">
        <v>5</v>
      </c>
      <c r="AG9" s="2">
        <f t="shared" si="13"/>
        <v>5250</v>
      </c>
      <c r="AH9" s="2">
        <v>-108.12961027549954</v>
      </c>
      <c r="AI9" s="2">
        <f t="shared" si="14"/>
        <v>5843.75</v>
      </c>
      <c r="AJ9" s="2">
        <v>96.533389340087524</v>
      </c>
      <c r="AK9" s="2">
        <f t="shared" si="9"/>
        <v>5546.875</v>
      </c>
      <c r="AL9" s="2">
        <v>-4.2264335725603814</v>
      </c>
      <c r="AM9" s="2">
        <f t="shared" si="10"/>
        <v>457.00261505624127</v>
      </c>
      <c r="AN9" s="2">
        <f t="shared" si="11"/>
        <v>-407.99195757998837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228.54596897042848</v>
      </c>
      <c r="H10" s="6" t="s">
        <v>101</v>
      </c>
      <c r="N10" s="6" t="s">
        <v>113</v>
      </c>
      <c r="O10" s="6">
        <f>O7/(0.3048^2)/($C$5*2.20462/1000)^(2/3)</f>
        <v>2.6255569429076404</v>
      </c>
      <c r="U10" s="2">
        <v>6</v>
      </c>
      <c r="V10" s="2">
        <f t="shared" si="7"/>
        <v>4.6875E-2</v>
      </c>
      <c r="W10" s="2">
        <f t="shared" si="0"/>
        <v>9.6537486616547347E-3</v>
      </c>
      <c r="X10" s="2">
        <f t="shared" si="8"/>
        <v>6.25E-2</v>
      </c>
      <c r="Y10" s="2">
        <f t="shared" si="1"/>
        <v>-5.9989141337614404E-3</v>
      </c>
      <c r="Z10" s="2">
        <f t="shared" si="3"/>
        <v>5.46875E-2</v>
      </c>
      <c r="AA10" s="2">
        <f t="shared" si="2"/>
        <v>1.8283713285166606E-3</v>
      </c>
      <c r="AB10" s="2">
        <f t="shared" si="4"/>
        <v>1.7650637265675602E-5</v>
      </c>
      <c r="AC10" s="2">
        <f t="shared" si="5"/>
        <v>-1.0968242604402776E-5</v>
      </c>
      <c r="AD10" s="2">
        <f t="shared" si="6"/>
        <v>1.5625E-2</v>
      </c>
      <c r="AF10" s="2">
        <v>6</v>
      </c>
      <c r="AG10" s="2">
        <f t="shared" si="13"/>
        <v>5546.875</v>
      </c>
      <c r="AH10" s="2">
        <v>-4.2264335725603814</v>
      </c>
      <c r="AI10" s="2">
        <f t="shared" si="14"/>
        <v>5843.75</v>
      </c>
      <c r="AJ10" s="2">
        <v>96.533389340087524</v>
      </c>
      <c r="AK10" s="2">
        <f t="shared" si="9"/>
        <v>5695.3125</v>
      </c>
      <c r="AL10" s="2">
        <v>46.556060180750137</v>
      </c>
      <c r="AM10" s="2">
        <f t="shared" si="10"/>
        <v>-196.76609575406391</v>
      </c>
      <c r="AN10" s="2">
        <f t="shared" si="11"/>
        <v>4494.2142835688983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6.0809689663855808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5.46875E-2</v>
      </c>
      <c r="W11" s="2">
        <f t="shared" si="0"/>
        <v>1.8283713285166606E-3</v>
      </c>
      <c r="X11" s="2">
        <f t="shared" si="8"/>
        <v>6.25E-2</v>
      </c>
      <c r="Y11" s="2">
        <f t="shared" si="1"/>
        <v>-5.9989141337614404E-3</v>
      </c>
      <c r="Z11" s="2">
        <f t="shared" si="3"/>
        <v>5.859375E-2</v>
      </c>
      <c r="AA11" s="2">
        <f t="shared" si="2"/>
        <v>-2.085034705445063E-3</v>
      </c>
      <c r="AB11" s="2">
        <f t="shared" si="4"/>
        <v>-3.812217674397934E-6</v>
      </c>
      <c r="AC11" s="2">
        <f t="shared" si="5"/>
        <v>1.250794416387751E-5</v>
      </c>
      <c r="AD11" s="2">
        <f t="shared" si="6"/>
        <v>7.8125E-3</v>
      </c>
      <c r="AF11" s="2">
        <v>7</v>
      </c>
      <c r="AG11" s="2">
        <f t="shared" si="13"/>
        <v>5546.875</v>
      </c>
      <c r="AH11" s="2">
        <v>-4.2264335725603814</v>
      </c>
      <c r="AI11" s="2">
        <f t="shared" si="14"/>
        <v>5695.3125</v>
      </c>
      <c r="AJ11" s="2">
        <v>46.556060180750137</v>
      </c>
      <c r="AK11" s="2">
        <f t="shared" si="9"/>
        <v>5621.09375</v>
      </c>
      <c r="AL11" s="2">
        <v>21.264258990152484</v>
      </c>
      <c r="AM11" s="2">
        <f t="shared" si="10"/>
        <v>-89.871978091599374</v>
      </c>
      <c r="AN11" s="2">
        <f t="shared" si="11"/>
        <v>989.98012124459615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914.1838758817139</v>
      </c>
      <c r="H12" s="25" t="s">
        <v>101</v>
      </c>
      <c r="J12" s="10" t="s">
        <v>79</v>
      </c>
      <c r="K12" s="6">
        <f>C5</f>
        <v>5559.1237788067901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5.46875E-2</v>
      </c>
      <c r="W12" s="2">
        <f t="shared" si="0"/>
        <v>1.8283713285166606E-3</v>
      </c>
      <c r="X12" s="2">
        <f t="shared" si="8"/>
        <v>5.859375E-2</v>
      </c>
      <c r="Y12" s="2">
        <f t="shared" si="1"/>
        <v>-2.085034705445063E-3</v>
      </c>
      <c r="Z12" s="2">
        <f t="shared" si="3"/>
        <v>5.6640625E-2</v>
      </c>
      <c r="AA12" s="2">
        <f t="shared" si="2"/>
        <v>-1.2827227782820361E-4</v>
      </c>
      <c r="AB12" s="2">
        <f t="shared" si="4"/>
        <v>-2.3452935502461082E-7</v>
      </c>
      <c r="AC12" s="2">
        <f t="shared" si="5"/>
        <v>2.674521510182958E-7</v>
      </c>
      <c r="AD12" s="2">
        <f t="shared" si="6"/>
        <v>3.90625E-3</v>
      </c>
      <c r="AF12" s="2">
        <v>8</v>
      </c>
      <c r="AG12" s="2">
        <f t="shared" si="13"/>
        <v>5546.875</v>
      </c>
      <c r="AH12" s="2">
        <v>-4.2264335725603814</v>
      </c>
      <c r="AI12" s="2">
        <f t="shared" si="14"/>
        <v>5621.09375</v>
      </c>
      <c r="AJ12" s="2">
        <v>21.264258990152484</v>
      </c>
      <c r="AK12" s="2">
        <f t="shared" si="9"/>
        <v>5583.984375</v>
      </c>
      <c r="AL12" s="2">
        <v>8.5436186147771878</v>
      </c>
      <c r="AM12" s="2">
        <f t="shared" si="10"/>
        <v>-36.109036544646123</v>
      </c>
      <c r="AN12" s="2">
        <f t="shared" si="11"/>
        <v>181.67371893770994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3130.570882588725</v>
      </c>
      <c r="L13" s="6" t="s">
        <v>7</v>
      </c>
      <c r="N13" s="6" t="s">
        <v>74</v>
      </c>
      <c r="O13" s="6">
        <f xml:space="preserve"> SQRT( ($C$5*$C$50)^2 + O9^2)</f>
        <v>54726.880678833601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1.8283713285166606E-3</v>
      </c>
      <c r="X13" s="2">
        <f t="shared" si="8"/>
        <v>5.6640625E-2</v>
      </c>
      <c r="Y13" s="2">
        <f t="shared" si="1"/>
        <v>-1.2827227782820361E-4</v>
      </c>
      <c r="Z13" s="2">
        <f t="shared" si="3"/>
        <v>5.56640625E-2</v>
      </c>
      <c r="AA13" s="2">
        <f t="shared" si="2"/>
        <v>8.5006440676889394E-4</v>
      </c>
      <c r="AB13" s="2">
        <f t="shared" si="4"/>
        <v>1.5542333887287696E-6</v>
      </c>
      <c r="AC13" s="2">
        <f t="shared" si="5"/>
        <v>-1.0903969775692664E-7</v>
      </c>
      <c r="AD13" s="2">
        <f t="shared" si="6"/>
        <v>1.953125E-3</v>
      </c>
      <c r="AF13" s="2">
        <v>9</v>
      </c>
      <c r="AG13" s="2">
        <f t="shared" si="13"/>
        <v>5546.875</v>
      </c>
      <c r="AH13" s="2">
        <v>-4.2264335725603814</v>
      </c>
      <c r="AI13" s="2">
        <f t="shared" si="14"/>
        <v>5583.984375</v>
      </c>
      <c r="AJ13" s="2">
        <v>8.5436186147771878</v>
      </c>
      <c r="AK13" s="2">
        <f t="shared" si="9"/>
        <v>5565.4296875</v>
      </c>
      <c r="AL13" s="2">
        <v>2.1647529473702889</v>
      </c>
      <c r="AM13" s="2">
        <f t="shared" si="10"/>
        <v>-9.149184533064826</v>
      </c>
      <c r="AN13" s="2">
        <f t="shared" si="11"/>
        <v>18.494823577546583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409.75629315913534</v>
      </c>
      <c r="L14" s="6" t="s">
        <v>7</v>
      </c>
      <c r="N14" s="6" t="s">
        <v>75</v>
      </c>
      <c r="O14" s="6">
        <f>$C$5*$C$50/O13</f>
        <v>0.99553437446706539</v>
      </c>
      <c r="U14" s="2">
        <v>10</v>
      </c>
      <c r="V14" s="2">
        <f t="shared" si="7"/>
        <v>5.56640625E-2</v>
      </c>
      <c r="W14" s="2">
        <f t="shared" si="0"/>
        <v>8.5006440676889394E-4</v>
      </c>
      <c r="X14" s="2">
        <f t="shared" si="8"/>
        <v>5.6640625E-2</v>
      </c>
      <c r="Y14" s="2">
        <f t="shared" si="1"/>
        <v>-1.2827227782820361E-4</v>
      </c>
      <c r="Z14" s="2">
        <f t="shared" si="3"/>
        <v>5.615234375E-2</v>
      </c>
      <c r="AA14" s="2">
        <f t="shared" si="2"/>
        <v>3.6089978126575828E-4</v>
      </c>
      <c r="AB14" s="2">
        <f t="shared" si="4"/>
        <v>3.0678805846470039E-7</v>
      </c>
      <c r="AC14" s="2">
        <f t="shared" si="5"/>
        <v>-4.6293437010659255E-8</v>
      </c>
      <c r="AD14" s="2">
        <f t="shared" si="6"/>
        <v>9.765625E-4</v>
      </c>
      <c r="AF14" s="2">
        <v>10</v>
      </c>
      <c r="AG14" s="2">
        <f t="shared" si="13"/>
        <v>5546.875</v>
      </c>
      <c r="AH14" s="2">
        <v>-4.2264335725603814</v>
      </c>
      <c r="AI14" s="2">
        <f t="shared" si="14"/>
        <v>5565.4296875</v>
      </c>
      <c r="AJ14" s="2">
        <v>2.1647529473702889</v>
      </c>
      <c r="AK14" s="2">
        <f t="shared" si="9"/>
        <v>5556.15234375</v>
      </c>
      <c r="AL14" s="2">
        <v>-1.0293179311784115</v>
      </c>
      <c r="AM14" s="2">
        <f t="shared" si="10"/>
        <v>4.3503438611708347</v>
      </c>
      <c r="AN14" s="2">
        <f t="shared" si="11"/>
        <v>-2.2282190252995546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1086.3072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494.29383856937625</v>
      </c>
      <c r="L15" s="6" t="s">
        <v>7</v>
      </c>
      <c r="U15" s="2">
        <v>11</v>
      </c>
      <c r="V15" s="2">
        <f t="shared" si="7"/>
        <v>5.615234375E-2</v>
      </c>
      <c r="W15" s="2">
        <f t="shared" si="0"/>
        <v>3.6089978126575828E-4</v>
      </c>
      <c r="X15" s="2">
        <f t="shared" si="8"/>
        <v>5.6640625E-2</v>
      </c>
      <c r="Y15" s="2">
        <f t="shared" si="1"/>
        <v>-1.2827227782820361E-4</v>
      </c>
      <c r="Z15" s="2">
        <f t="shared" si="3"/>
        <v>5.6396484375E-2</v>
      </c>
      <c r="AA15" s="2">
        <f t="shared" si="2"/>
        <v>1.163146804694648E-4</v>
      </c>
      <c r="AB15" s="2">
        <f t="shared" si="4"/>
        <v>4.1977942739426413E-8</v>
      </c>
      <c r="AC15" s="2">
        <f t="shared" si="5"/>
        <v>-1.4919949008677916E-8</v>
      </c>
      <c r="AD15" s="2">
        <f t="shared" si="6"/>
        <v>4.8828125E-4</v>
      </c>
      <c r="AF15" s="2">
        <v>11</v>
      </c>
      <c r="AG15" s="2">
        <f t="shared" si="13"/>
        <v>5556.15234375</v>
      </c>
      <c r="AH15" s="2">
        <v>-1.0293179311784115</v>
      </c>
      <c r="AI15" s="2">
        <f t="shared" si="14"/>
        <v>5565.4296875</v>
      </c>
      <c r="AJ15" s="2">
        <v>2.1647529473702889</v>
      </c>
      <c r="AK15" s="2">
        <f t="shared" si="9"/>
        <v>5560.791015625</v>
      </c>
      <c r="AL15" s="2">
        <v>0.56809552986578638</v>
      </c>
      <c r="AM15" s="2">
        <f t="shared" si="10"/>
        <v>-0.58475091551315472</v>
      </c>
      <c r="AN15" s="2">
        <f t="shared" si="11"/>
        <v>1.2297864726648471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174.48842453771286</v>
      </c>
      <c r="H16" s="6" t="s">
        <v>10</v>
      </c>
      <c r="J16" s="13" t="s">
        <v>53</v>
      </c>
      <c r="K16" s="6">
        <f xml:space="preserve"> $C$54 * 0.2138 * K4</f>
        <v>234.54301519621251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5.6396484375E-2</v>
      </c>
      <c r="W16" s="2">
        <f t="shared" si="0"/>
        <v>1.163146804694648E-4</v>
      </c>
      <c r="X16" s="2">
        <f t="shared" si="8"/>
        <v>5.6640625E-2</v>
      </c>
      <c r="Y16" s="2">
        <f t="shared" si="1"/>
        <v>-1.2827227782820361E-4</v>
      </c>
      <c r="Z16" s="2">
        <f t="shared" si="3"/>
        <v>5.65185546875E-2</v>
      </c>
      <c r="AA16" s="2">
        <f t="shared" si="2"/>
        <v>-5.9785665479025751E-6</v>
      </c>
      <c r="AB16" s="2">
        <f t="shared" si="4"/>
        <v>-6.9539505768471931E-10</v>
      </c>
      <c r="AC16" s="2">
        <f t="shared" si="5"/>
        <v>7.6688434924696329E-10</v>
      </c>
      <c r="AD16" s="2">
        <f t="shared" si="6"/>
        <v>2.44140625E-4</v>
      </c>
      <c r="AF16" s="2">
        <v>12</v>
      </c>
      <c r="AG16" s="2">
        <f t="shared" si="13"/>
        <v>5556.15234375</v>
      </c>
      <c r="AH16" s="2">
        <v>-1.0293179311784115</v>
      </c>
      <c r="AI16" s="2">
        <f t="shared" si="14"/>
        <v>5560.791015625</v>
      </c>
      <c r="AJ16" s="2">
        <v>0.56809552986578638</v>
      </c>
      <c r="AK16" s="2">
        <f t="shared" si="9"/>
        <v>5558.4716796875</v>
      </c>
      <c r="AL16" s="2">
        <v>-0.23052654347611679</v>
      </c>
      <c r="AM16" s="2">
        <f t="shared" si="10"/>
        <v>0.23728510481254667</v>
      </c>
      <c r="AN16" s="2">
        <f t="shared" si="11"/>
        <v>-0.1309610988641928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0.5244274635222792</v>
      </c>
      <c r="H17" s="6" t="s">
        <v>122</v>
      </c>
      <c r="J17" s="13" t="s">
        <v>77</v>
      </c>
      <c r="K17" s="6">
        <f xml:space="preserve"> $C$54 * 0.1149 * K4</f>
        <v>126.04767280657072</v>
      </c>
      <c r="L17" s="6" t="s">
        <v>7</v>
      </c>
      <c r="N17" s="6" t="s">
        <v>25</v>
      </c>
      <c r="O17" s="6">
        <f xml:space="preserve"> ACOS(O14)/PI()*180</f>
        <v>5.4167716804066348</v>
      </c>
      <c r="P17" s="6" t="s">
        <v>40</v>
      </c>
      <c r="U17" s="2">
        <v>13</v>
      </c>
      <c r="V17" s="2">
        <f t="shared" si="7"/>
        <v>5.6396484375E-2</v>
      </c>
      <c r="W17" s="2">
        <f t="shared" si="0"/>
        <v>1.163146804694648E-4</v>
      </c>
      <c r="X17" s="2">
        <f t="shared" si="8"/>
        <v>5.65185546875E-2</v>
      </c>
      <c r="Y17" s="2">
        <f t="shared" si="1"/>
        <v>-5.9785665479025751E-6</v>
      </c>
      <c r="Z17" s="2">
        <f t="shared" si="3"/>
        <v>5.645751953125E-2</v>
      </c>
      <c r="AA17" s="2">
        <f t="shared" si="2"/>
        <v>5.5168115000683859E-5</v>
      </c>
      <c r="AB17" s="2">
        <f t="shared" si="4"/>
        <v>6.4168616684072314E-9</v>
      </c>
      <c r="AC17" s="2">
        <f t="shared" si="5"/>
        <v>-3.2982624685393076E-10</v>
      </c>
      <c r="AD17" s="2">
        <f t="shared" si="6"/>
        <v>1.220703125E-4</v>
      </c>
      <c r="AF17" s="2">
        <v>13</v>
      </c>
      <c r="AG17" s="2">
        <f t="shared" si="13"/>
        <v>5558.4716796875</v>
      </c>
      <c r="AH17" s="2">
        <v>-0.23052654347611679</v>
      </c>
      <c r="AI17" s="2">
        <f t="shared" si="14"/>
        <v>5560.791015625</v>
      </c>
      <c r="AJ17" s="2">
        <v>0.56809552986578638</v>
      </c>
      <c r="AK17" s="2">
        <f t="shared" si="9"/>
        <v>5559.63134765625</v>
      </c>
      <c r="AL17" s="2">
        <v>0.1687961154648292</v>
      </c>
      <c r="AM17" s="2">
        <f t="shared" si="10"/>
        <v>-3.8911985050302578E-2</v>
      </c>
      <c r="AN17" s="2">
        <f t="shared" si="11"/>
        <v>9.5892318654278608E-2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13681.7201697084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150.62427643054386</v>
      </c>
      <c r="L18" s="6" t="s">
        <v>7</v>
      </c>
      <c r="N18" s="6" t="s">
        <v>19</v>
      </c>
      <c r="O18" s="6">
        <f xml:space="preserve"> O13 / $C$18</f>
        <v>13681.7201697084</v>
      </c>
      <c r="P18" s="6" t="s">
        <v>20</v>
      </c>
      <c r="U18" s="2">
        <v>14</v>
      </c>
      <c r="V18" s="2">
        <f t="shared" si="7"/>
        <v>5.645751953125E-2</v>
      </c>
      <c r="W18" s="2">
        <f t="shared" si="0"/>
        <v>5.5168115000683859E-5</v>
      </c>
      <c r="X18" s="2">
        <f t="shared" si="8"/>
        <v>5.65185546875E-2</v>
      </c>
      <c r="Y18" s="2">
        <f t="shared" si="1"/>
        <v>-5.9785665479025751E-6</v>
      </c>
      <c r="Z18" s="2">
        <f t="shared" si="3"/>
        <v>5.6488037109375E-2</v>
      </c>
      <c r="AA18" s="2">
        <f t="shared" si="2"/>
        <v>2.4594788735482487E-5</v>
      </c>
      <c r="AB18" s="2">
        <f t="shared" si="4"/>
        <v>1.3568481333766218E-9</v>
      </c>
      <c r="AC18" s="2">
        <f t="shared" si="5"/>
        <v>-1.4704158118668667E-10</v>
      </c>
      <c r="AD18" s="2">
        <f t="shared" si="6"/>
        <v>6.103515625E-5</v>
      </c>
      <c r="AF18" s="2">
        <v>14</v>
      </c>
      <c r="AG18" s="2">
        <f t="shared" si="13"/>
        <v>5558.4716796875</v>
      </c>
      <c r="AH18" s="2">
        <v>-0.23052654347611679</v>
      </c>
      <c r="AI18" s="2">
        <f t="shared" si="14"/>
        <v>5559.63134765625</v>
      </c>
      <c r="AJ18" s="2">
        <v>0.1687961154648292</v>
      </c>
      <c r="AK18" s="2">
        <f t="shared" si="9"/>
        <v>5559.051513671875</v>
      </c>
      <c r="AL18" s="2">
        <v>-3.0833590085421747E-2</v>
      </c>
      <c r="AM18" s="2">
        <f t="shared" si="10"/>
        <v>7.1079609453517396E-3</v>
      </c>
      <c r="AN18" s="2">
        <f t="shared" si="11"/>
        <v>-5.2045902322540617E-3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179.64151302473329</v>
      </c>
      <c r="H19" s="6" t="s">
        <v>101</v>
      </c>
      <c r="J19" s="14" t="s">
        <v>61</v>
      </c>
      <c r="K19" s="6">
        <f xml:space="preserve"> $C$55 * C31 * $C$5</f>
        <v>62.262186322636062</v>
      </c>
      <c r="L19" s="6" t="s">
        <v>7</v>
      </c>
      <c r="N19" s="6" t="s">
        <v>26</v>
      </c>
      <c r="O19" s="6">
        <f>$C$7*2*PI()/60</f>
        <v>42.957654107050942</v>
      </c>
      <c r="P19" s="6" t="s">
        <v>27</v>
      </c>
      <c r="U19" s="2">
        <v>15</v>
      </c>
      <c r="V19" s="2">
        <f t="shared" si="7"/>
        <v>5.6488037109375E-2</v>
      </c>
      <c r="W19" s="2">
        <f t="shared" si="0"/>
        <v>2.4594788735482487E-5</v>
      </c>
      <c r="X19" s="2">
        <f t="shared" si="8"/>
        <v>5.65185546875E-2</v>
      </c>
      <c r="Y19" s="2">
        <f t="shared" si="1"/>
        <v>-5.9785665479025751E-6</v>
      </c>
      <c r="Z19" s="2">
        <f t="shared" si="3"/>
        <v>5.65032958984375E-2</v>
      </c>
      <c r="AA19" s="2">
        <f t="shared" si="2"/>
        <v>9.3081147209544968E-6</v>
      </c>
      <c r="AB19" s="2">
        <f t="shared" si="4"/>
        <v>2.2893111508751037E-10</v>
      </c>
      <c r="AC19" s="2">
        <f t="shared" si="5"/>
        <v>-5.5649183294738065E-11</v>
      </c>
      <c r="AD19" s="2">
        <f t="shared" si="6"/>
        <v>3.0517578125E-5</v>
      </c>
      <c r="AF19" s="2">
        <v>15</v>
      </c>
      <c r="AG19" s="2">
        <f t="shared" si="13"/>
        <v>5559.051513671875</v>
      </c>
      <c r="AH19" s="2">
        <v>-3.0833590085421747E-2</v>
      </c>
      <c r="AI19" s="2">
        <f t="shared" si="14"/>
        <v>5559.63134765625</v>
      </c>
      <c r="AJ19" s="2">
        <v>0.1687961154648292</v>
      </c>
      <c r="AK19" s="2">
        <f t="shared" si="9"/>
        <v>5559.3414306640625</v>
      </c>
      <c r="AL19" s="2">
        <v>6.8998744646705745E-2</v>
      </c>
      <c r="AM19" s="2">
        <f t="shared" si="10"/>
        <v>-2.127479008845213E-3</v>
      </c>
      <c r="AN19" s="2">
        <f t="shared" si="11"/>
        <v>1.1646720068313609E-2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7.7711159382724624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0.50715080173095584</v>
      </c>
      <c r="U20" s="2">
        <v>16</v>
      </c>
      <c r="V20" s="2">
        <f t="shared" si="7"/>
        <v>5.65032958984375E-2</v>
      </c>
      <c r="W20" s="2">
        <f t="shared" si="0"/>
        <v>9.3081147209544968E-6</v>
      </c>
      <c r="X20" s="2">
        <f t="shared" si="8"/>
        <v>5.65185546875E-2</v>
      </c>
      <c r="Y20" s="2">
        <f t="shared" si="1"/>
        <v>-5.9785665479025751E-6</v>
      </c>
      <c r="Z20" s="2">
        <f t="shared" si="3"/>
        <v>5.651092529296875E-2</v>
      </c>
      <c r="AA20" s="2">
        <f t="shared" si="2"/>
        <v>1.6647749933040856E-6</v>
      </c>
      <c r="AB20" s="2">
        <f t="shared" si="4"/>
        <v>1.5495916622250683E-11</v>
      </c>
      <c r="AC20" s="2">
        <f t="shared" si="5"/>
        <v>-9.9529680847525405E-12</v>
      </c>
      <c r="AD20" s="2">
        <f t="shared" si="6"/>
        <v>1.52587890625E-5</v>
      </c>
      <c r="AF20" s="2">
        <v>16</v>
      </c>
      <c r="AG20" s="2">
        <f t="shared" si="13"/>
        <v>5559.051513671875</v>
      </c>
      <c r="AH20" s="2">
        <v>-3.0833590085421747E-2</v>
      </c>
      <c r="AI20" s="2">
        <f t="shared" si="14"/>
        <v>5559.3414306640625</v>
      </c>
      <c r="AJ20" s="2">
        <v>6.8998744646705745E-2</v>
      </c>
      <c r="AK20" s="2">
        <f t="shared" si="9"/>
        <v>5559.1964721679688</v>
      </c>
      <c r="AL20" s="2">
        <v>1.9082160303696583E-2</v>
      </c>
      <c r="AM20" s="2">
        <f t="shared" si="10"/>
        <v>-5.8837150874848742E-4</v>
      </c>
      <c r="AN20" s="2">
        <f t="shared" si="11"/>
        <v>1.3166451061022654E-3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0.13999999999959289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8.5962767862544521E-3</v>
      </c>
      <c r="U21" s="2">
        <v>17</v>
      </c>
      <c r="V21" s="2">
        <f t="shared" si="7"/>
        <v>5.651092529296875E-2</v>
      </c>
      <c r="W21" s="2">
        <f t="shared" si="0"/>
        <v>1.6647749933040856E-6</v>
      </c>
      <c r="X21" s="2">
        <f t="shared" si="8"/>
        <v>5.65185546875E-2</v>
      </c>
      <c r="Y21" s="2">
        <f t="shared" si="1"/>
        <v>-5.9785665479025751E-6</v>
      </c>
      <c r="Z21" s="2">
        <f t="shared" si="3"/>
        <v>5.6514739990234375E-2</v>
      </c>
      <c r="AA21" s="2">
        <f t="shared" si="2"/>
        <v>-2.1568955506090504E-6</v>
      </c>
      <c r="AB21" s="2">
        <f t="shared" si="4"/>
        <v>-3.5907457758227937E-12</v>
      </c>
      <c r="AC21" s="2">
        <f t="shared" si="5"/>
        <v>1.2895143586191174E-11</v>
      </c>
      <c r="AD21" s="2">
        <f t="shared" si="6"/>
        <v>7.62939453125E-6</v>
      </c>
      <c r="AF21" s="2">
        <v>17</v>
      </c>
      <c r="AG21" s="2">
        <f t="shared" si="13"/>
        <v>5559.051513671875</v>
      </c>
      <c r="AH21" s="2">
        <v>-3.0833590085421747E-2</v>
      </c>
      <c r="AI21" s="2">
        <f t="shared" si="14"/>
        <v>5559.1964721679688</v>
      </c>
      <c r="AJ21" s="2">
        <v>1.9082160303696583E-2</v>
      </c>
      <c r="AK21" s="2">
        <f t="shared" si="9"/>
        <v>5559.1239929199219</v>
      </c>
      <c r="AL21" s="2">
        <v>-5.8949671929440228E-3</v>
      </c>
      <c r="AM21" s="2">
        <f t="shared" si="10"/>
        <v>1.8176300199424528E-4</v>
      </c>
      <c r="AN21" s="2">
        <f t="shared" si="11"/>
        <v>-1.1248870896079011E-4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718.56605209893314</v>
      </c>
      <c r="H22" s="25" t="s">
        <v>101</v>
      </c>
      <c r="J22" s="14" t="s">
        <v>112</v>
      </c>
      <c r="K22" s="6">
        <f>$C$55*(0.14*$G$12*1000/745.7)*0.453592</f>
        <v>62.280605034787584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5.651092529296875E-2</v>
      </c>
      <c r="W22" s="2">
        <f t="shared" si="0"/>
        <v>1.6647749933040856E-6</v>
      </c>
      <c r="X22" s="2">
        <f t="shared" si="8"/>
        <v>5.6514739990234375E-2</v>
      </c>
      <c r="Y22" s="2">
        <f t="shared" si="1"/>
        <v>-2.1568955506090504E-6</v>
      </c>
      <c r="Z22" s="2">
        <f t="shared" si="3"/>
        <v>5.6512832641601562E-2</v>
      </c>
      <c r="AA22" s="2">
        <f t="shared" si="2"/>
        <v>-2.4606022198253585E-7</v>
      </c>
      <c r="AB22" s="2">
        <f t="shared" si="4"/>
        <v>-4.0963490440337795E-13</v>
      </c>
      <c r="AC22" s="2">
        <f t="shared" si="5"/>
        <v>5.3072619797600681E-13</v>
      </c>
      <c r="AD22" s="2">
        <f t="shared" si="6"/>
        <v>3.814697265625E-6</v>
      </c>
      <c r="AF22" s="2">
        <v>18</v>
      </c>
      <c r="AG22" s="2">
        <f t="shared" si="13"/>
        <v>5559.1239929199219</v>
      </c>
      <c r="AH22" s="2">
        <v>-5.8949671929440228E-3</v>
      </c>
      <c r="AI22" s="2">
        <f t="shared" si="14"/>
        <v>5559.1964721679688</v>
      </c>
      <c r="AJ22" s="2">
        <v>1.9082160303696583E-2</v>
      </c>
      <c r="AK22" s="2">
        <f t="shared" si="9"/>
        <v>5559.1602325439453</v>
      </c>
      <c r="AL22" s="2">
        <v>6.5935704278672347E-3</v>
      </c>
      <c r="AM22" s="2">
        <f t="shared" si="10"/>
        <v>-3.8868881356643234E-5</v>
      </c>
      <c r="AN22" s="2">
        <f t="shared" si="11"/>
        <v>1.2581956787827584E-4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119.18761381761759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41659.060315144896</v>
      </c>
      <c r="P23" s="6" t="s">
        <v>18</v>
      </c>
      <c r="U23" s="2">
        <v>19</v>
      </c>
      <c r="V23" s="2">
        <f t="shared" si="7"/>
        <v>5.651092529296875E-2</v>
      </c>
      <c r="W23" s="2">
        <f t="shared" si="0"/>
        <v>1.6647749933040856E-6</v>
      </c>
      <c r="X23" s="2">
        <f t="shared" si="8"/>
        <v>5.6512832641601562E-2</v>
      </c>
      <c r="Y23" s="2">
        <f t="shared" si="1"/>
        <v>-2.4606022198253585E-7</v>
      </c>
      <c r="Z23" s="2">
        <f t="shared" si="3"/>
        <v>5.6511878967285156E-2</v>
      </c>
      <c r="AA23" s="2">
        <f t="shared" si="2"/>
        <v>7.0935739983346568E-7</v>
      </c>
      <c r="AB23" s="2">
        <f t="shared" si="4"/>
        <v>1.1809204605579615E-12</v>
      </c>
      <c r="AC23" s="2">
        <f t="shared" si="5"/>
        <v>-1.7454463926797702E-13</v>
      </c>
      <c r="AD23" s="2">
        <f t="shared" si="6"/>
        <v>1.9073486328125E-6</v>
      </c>
      <c r="AF23" s="2">
        <v>19</v>
      </c>
      <c r="AG23" s="2">
        <f t="shared" si="13"/>
        <v>5559.1239929199219</v>
      </c>
      <c r="AH23" s="2">
        <v>-5.8949671929440228E-3</v>
      </c>
      <c r="AI23" s="2">
        <f t="shared" si="14"/>
        <v>5559.1602325439453</v>
      </c>
      <c r="AJ23" s="2">
        <v>6.5935704278672347E-3</v>
      </c>
      <c r="AK23" s="2">
        <f t="shared" si="9"/>
        <v>5559.1421127319336</v>
      </c>
      <c r="AL23" s="2">
        <v>3.6844320948148379E-4</v>
      </c>
      <c r="AM23" s="2">
        <f t="shared" si="10"/>
        <v>-2.1719606323563489E-6</v>
      </c>
      <c r="AN23" s="2">
        <f t="shared" si="11"/>
        <v>2.4293562503856044E-6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11.370753595646331</v>
      </c>
      <c r="L24" s="6" t="s">
        <v>7</v>
      </c>
      <c r="N24" s="6" t="s">
        <v>31</v>
      </c>
      <c r="O24" s="18">
        <f>Z34</f>
        <v>5.6512587238103151E-2</v>
      </c>
      <c r="U24" s="2">
        <v>20</v>
      </c>
      <c r="V24" s="2">
        <f t="shared" si="7"/>
        <v>5.6511878967285156E-2</v>
      </c>
      <c r="W24" s="2">
        <f t="shared" si="0"/>
        <v>7.0935739983346568E-7</v>
      </c>
      <c r="X24" s="2">
        <f t="shared" si="8"/>
        <v>5.6512832641601562E-2</v>
      </c>
      <c r="Y24" s="2">
        <f t="shared" si="1"/>
        <v>-2.4606022198253585E-7</v>
      </c>
      <c r="Z24" s="2">
        <f t="shared" si="3"/>
        <v>5.6512355804443359E-2</v>
      </c>
      <c r="AA24" s="2">
        <f t="shared" si="2"/>
        <v>2.3164859246777025E-7</v>
      </c>
      <c r="AB24" s="2">
        <f t="shared" si="4"/>
        <v>1.6432164322801964E-13</v>
      </c>
      <c r="AC24" s="2">
        <f t="shared" si="5"/>
        <v>-5.6999504084561532E-14</v>
      </c>
      <c r="AD24" s="2">
        <f t="shared" si="6"/>
        <v>9.5367431640625E-7</v>
      </c>
      <c r="AF24" s="2">
        <v>20</v>
      </c>
      <c r="AG24" s="2">
        <f t="shared" si="13"/>
        <v>5559.1239929199219</v>
      </c>
      <c r="AH24" s="2">
        <v>-5.8949671929440228E-3</v>
      </c>
      <c r="AI24" s="2">
        <f t="shared" si="14"/>
        <v>5559.1421127319336</v>
      </c>
      <c r="AJ24" s="2">
        <v>3.6844320948148379E-4</v>
      </c>
      <c r="AK24" s="2">
        <f t="shared" si="9"/>
        <v>5559.1330528259277</v>
      </c>
      <c r="AL24" s="2">
        <v>-2.7824117287309491E-3</v>
      </c>
      <c r="AM24" s="2">
        <f t="shared" si="10"/>
        <v>1.6402225858131608E-5</v>
      </c>
      <c r="AN24" s="2">
        <f t="shared" si="11"/>
        <v>-1.0251607074325546E-6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35.578392184363459</v>
      </c>
      <c r="L25" s="6" t="s">
        <v>7</v>
      </c>
      <c r="N25" s="6" t="s">
        <v>32</v>
      </c>
      <c r="O25" s="6">
        <f xml:space="preserve"> O19 * $C$9 * O24 - $C$8 * SIN(O17/180*PI())</f>
        <v>1.4697050941425935</v>
      </c>
      <c r="P25" s="6" t="s">
        <v>10</v>
      </c>
      <c r="U25" s="2">
        <v>21</v>
      </c>
      <c r="V25" s="2">
        <f t="shared" si="7"/>
        <v>5.6512355804443359E-2</v>
      </c>
      <c r="W25" s="2">
        <f t="shared" si="0"/>
        <v>2.3164859246777025E-7</v>
      </c>
      <c r="X25" s="2">
        <f t="shared" si="8"/>
        <v>5.6512832641601562E-2</v>
      </c>
      <c r="Y25" s="2">
        <f t="shared" si="1"/>
        <v>-2.4606022198253585E-7</v>
      </c>
      <c r="Z25" s="2">
        <f t="shared" si="3"/>
        <v>5.6512594223022461E-2</v>
      </c>
      <c r="AA25" s="2">
        <f t="shared" si="2"/>
        <v>-7.2058138692043805E-9</v>
      </c>
      <c r="AB25" s="2">
        <f t="shared" si="4"/>
        <v>-1.6692166403859322E-15</v>
      </c>
      <c r="AC25" s="2">
        <f t="shared" si="5"/>
        <v>1.7730641602212655E-15</v>
      </c>
      <c r="AD25" s="2">
        <f t="shared" si="6"/>
        <v>4.76837158203125E-7</v>
      </c>
      <c r="AF25" s="2">
        <v>21</v>
      </c>
      <c r="AG25" s="2">
        <f t="shared" si="13"/>
        <v>5559.1330528259277</v>
      </c>
      <c r="AH25" s="2">
        <v>-2.7824117287309491E-3</v>
      </c>
      <c r="AI25" s="2">
        <f t="shared" si="14"/>
        <v>5559.1421127319336</v>
      </c>
      <c r="AJ25" s="2">
        <v>3.6844320948148379E-4</v>
      </c>
      <c r="AK25" s="2">
        <f t="shared" si="9"/>
        <v>5559.1375827789307</v>
      </c>
      <c r="AL25" s="2">
        <v>-1.2261327856322168E-3</v>
      </c>
      <c r="AM25" s="2">
        <f t="shared" si="10"/>
        <v>3.4116062437246307E-6</v>
      </c>
      <c r="AN25" s="2">
        <f t="shared" si="11"/>
        <v>-4.5176029878880614E-7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122.61421972144831</v>
      </c>
      <c r="L26" s="6" t="s">
        <v>7</v>
      </c>
      <c r="N26" s="6" t="s">
        <v>33</v>
      </c>
      <c r="O26" s="6">
        <f xml:space="preserve"> 1/$C$21 - O23 * SQRT( (2*$C$47*PI()*$C$9^2) / O18^3 )</f>
        <v>1.0671615912585839</v>
      </c>
      <c r="U26" s="2">
        <v>22</v>
      </c>
      <c r="V26" s="2">
        <f t="shared" si="7"/>
        <v>5.6512355804443359E-2</v>
      </c>
      <c r="W26" s="2">
        <f t="shared" si="0"/>
        <v>2.3164859246777025E-7</v>
      </c>
      <c r="X26" s="2">
        <f t="shared" si="8"/>
        <v>5.6512594223022461E-2</v>
      </c>
      <c r="Y26" s="2">
        <f t="shared" si="1"/>
        <v>-7.2058138692043805E-9</v>
      </c>
      <c r="Z26" s="2">
        <f t="shared" si="3"/>
        <v>5.651247501373291E-2</v>
      </c>
      <c r="AA26" s="2">
        <f t="shared" si="2"/>
        <v>1.1222138951438865E-7</v>
      </c>
      <c r="AB26" s="2">
        <f t="shared" si="4"/>
        <v>2.5995926925785523E-14</v>
      </c>
      <c r="AC26" s="2">
        <f t="shared" si="5"/>
        <v>-8.0864644498416873E-16</v>
      </c>
      <c r="AD26" s="2">
        <f t="shared" si="6"/>
        <v>2.384185791015625E-7</v>
      </c>
      <c r="AF26" s="2">
        <v>22</v>
      </c>
      <c r="AG26" s="2">
        <f t="shared" si="13"/>
        <v>5559.1375827789307</v>
      </c>
      <c r="AH26" s="2">
        <v>-1.2261327856322168E-3</v>
      </c>
      <c r="AI26" s="2">
        <f t="shared" si="14"/>
        <v>5559.1421127319336</v>
      </c>
      <c r="AJ26" s="2">
        <v>3.6844320948148379E-4</v>
      </c>
      <c r="AK26" s="2">
        <f t="shared" si="9"/>
        <v>5559.1398477554321</v>
      </c>
      <c r="AL26" s="2">
        <v>-4.0969678957480937E-4</v>
      </c>
      <c r="AM26" s="2">
        <f t="shared" si="10"/>
        <v>5.0234266586593715E-7</v>
      </c>
      <c r="AN26" s="2">
        <f t="shared" si="11"/>
        <v>-1.5095000006520286E-7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-5.9706202719098656E-3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5.651247501373291E-2</v>
      </c>
      <c r="W27" s="2">
        <f t="shared" si="0"/>
        <v>1.1222138951438865E-7</v>
      </c>
      <c r="X27" s="2">
        <f t="shared" si="8"/>
        <v>5.6512594223022461E-2</v>
      </c>
      <c r="Y27" s="2">
        <f t="shared" si="1"/>
        <v>-7.2058138692043805E-9</v>
      </c>
      <c r="Z27" s="2">
        <f t="shared" si="3"/>
        <v>5.6512534618377686E-2</v>
      </c>
      <c r="AA27" s="2">
        <f t="shared" si="2"/>
        <v>5.2507787881572732E-8</v>
      </c>
      <c r="AB27" s="2">
        <f t="shared" si="4"/>
        <v>5.8924969163968691E-15</v>
      </c>
      <c r="AC27" s="2">
        <f t="shared" si="5"/>
        <v>-3.783613461582785E-16</v>
      </c>
      <c r="AD27" s="2">
        <f t="shared" si="6"/>
        <v>1.1920928955078125E-7</v>
      </c>
      <c r="AF27" s="2">
        <v>23</v>
      </c>
      <c r="AG27" s="2">
        <f t="shared" si="13"/>
        <v>5559.1398477554321</v>
      </c>
      <c r="AH27" s="2">
        <v>-4.0969678957480937E-4</v>
      </c>
      <c r="AI27" s="2">
        <f t="shared" si="14"/>
        <v>5559.1421127319336</v>
      </c>
      <c r="AJ27" s="2">
        <v>3.6844320948148379E-4</v>
      </c>
      <c r="AK27" s="2">
        <f t="shared" si="9"/>
        <v>5559.1409802436829</v>
      </c>
      <c r="AL27" s="2">
        <v>-2.0626817786251195E-5</v>
      </c>
      <c r="AM27" s="2">
        <f t="shared" si="10"/>
        <v>8.450741026171691E-9</v>
      </c>
      <c r="AN27" s="2">
        <f t="shared" si="11"/>
        <v>-7.5998109465561447E-9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13621.925688860347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1.1526674605516465</v>
      </c>
      <c r="U28" s="2">
        <v>24</v>
      </c>
      <c r="V28" s="2">
        <f t="shared" si="7"/>
        <v>5.6512534618377686E-2</v>
      </c>
      <c r="W28" s="2">
        <f t="shared" si="0"/>
        <v>5.2507787881572732E-8</v>
      </c>
      <c r="X28" s="2">
        <f t="shared" si="8"/>
        <v>5.6512594223022461E-2</v>
      </c>
      <c r="Y28" s="2">
        <f t="shared" si="1"/>
        <v>-7.2058138692043805E-9</v>
      </c>
      <c r="Z28" s="2">
        <f t="shared" si="3"/>
        <v>5.6512564420700073E-2</v>
      </c>
      <c r="AA28" s="2">
        <f t="shared" si="2"/>
        <v>2.2650987016592516E-8</v>
      </c>
      <c r="AB28" s="2">
        <f t="shared" si="4"/>
        <v>1.1893532215754979E-15</v>
      </c>
      <c r="AC28" s="2">
        <f t="shared" si="5"/>
        <v>-1.632187963953307E-16</v>
      </c>
      <c r="AD28" s="2">
        <f t="shared" si="6"/>
        <v>5.9604644775390625E-8</v>
      </c>
      <c r="AF28" s="2">
        <v>24</v>
      </c>
      <c r="AG28" s="2">
        <f t="shared" si="13"/>
        <v>5559.1409802436829</v>
      </c>
      <c r="AH28" s="2">
        <v>-2.0626817786251195E-5</v>
      </c>
      <c r="AI28" s="2">
        <f t="shared" si="14"/>
        <v>5559.1421127319336</v>
      </c>
      <c r="AJ28" s="2">
        <v>3.6844320948148379E-4</v>
      </c>
      <c r="AK28" s="2">
        <f t="shared" si="9"/>
        <v>5559.1415464878082</v>
      </c>
      <c r="AL28" s="2">
        <v>1.5476006956305355E-4</v>
      </c>
      <c r="AM28" s="2">
        <f t="shared" si="10"/>
        <v>-3.1922077554646651E-9</v>
      </c>
      <c r="AN28" s="2">
        <f t="shared" si="11"/>
        <v>5.7020296729389142E-8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204.18072056141023</v>
      </c>
      <c r="H29" t="s">
        <v>18</v>
      </c>
      <c r="U29" s="2">
        <v>25</v>
      </c>
      <c r="V29" s="2">
        <f t="shared" si="7"/>
        <v>5.6512564420700073E-2</v>
      </c>
      <c r="W29" s="2">
        <f t="shared" si="0"/>
        <v>2.2650987016592516E-8</v>
      </c>
      <c r="X29" s="2">
        <f t="shared" si="8"/>
        <v>5.6512594223022461E-2</v>
      </c>
      <c r="Y29" s="2">
        <f t="shared" si="1"/>
        <v>-7.2058138692043805E-9</v>
      </c>
      <c r="Z29" s="2">
        <f t="shared" si="3"/>
        <v>5.6512579321861267E-2</v>
      </c>
      <c r="AA29" s="2">
        <f t="shared" si="2"/>
        <v>7.7225865771635149E-9</v>
      </c>
      <c r="AB29" s="2">
        <f t="shared" si="4"/>
        <v>1.7492420829384241E-16</v>
      </c>
      <c r="AC29" s="2">
        <f t="shared" si="5"/>
        <v>-5.5647521463856437E-17</v>
      </c>
      <c r="AD29" s="2">
        <f t="shared" si="6"/>
        <v>2.9802322387695312E-8</v>
      </c>
      <c r="AF29" s="2">
        <v>25</v>
      </c>
      <c r="AG29" s="2">
        <f t="shared" si="13"/>
        <v>5559.1409802436829</v>
      </c>
      <c r="AH29" s="2">
        <v>-2.0626817786251195E-5</v>
      </c>
      <c r="AI29" s="2">
        <f t="shared" si="14"/>
        <v>5559.1415464878082</v>
      </c>
      <c r="AJ29" s="2">
        <v>1.5476006956305355E-4</v>
      </c>
      <c r="AK29" s="2">
        <f t="shared" si="9"/>
        <v>5559.1412633657455</v>
      </c>
      <c r="AL29" s="2">
        <v>6.7066625888401177E-5</v>
      </c>
      <c r="AM29" s="2">
        <f t="shared" si="10"/>
        <v>-1.3833710717387282E-9</v>
      </c>
      <c r="AN29" s="2">
        <f t="shared" si="11"/>
        <v>1.0379235687848254E-8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6.8066218048422513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5.6512579321861267E-2</v>
      </c>
      <c r="W30" s="2">
        <f t="shared" si="0"/>
        <v>7.7225865771635149E-9</v>
      </c>
      <c r="X30" s="2">
        <f t="shared" si="8"/>
        <v>5.6512594223022461E-2</v>
      </c>
      <c r="Y30" s="2">
        <f t="shared" si="1"/>
        <v>-7.2058138692043805E-9</v>
      </c>
      <c r="Z30" s="2">
        <f t="shared" si="3"/>
        <v>5.6512586772441864E-2</v>
      </c>
      <c r="AA30" s="2">
        <f t="shared" si="2"/>
        <v>2.5838635397956722E-10</v>
      </c>
      <c r="AB30" s="2">
        <f t="shared" si="4"/>
        <v>1.9954109889648265E-18</v>
      </c>
      <c r="AC30" s="2">
        <f t="shared" si="5"/>
        <v>-1.861883973119118E-18</v>
      </c>
      <c r="AD30" s="2">
        <f t="shared" si="6"/>
        <v>1.4901161193847656E-8</v>
      </c>
      <c r="AF30" s="2">
        <v>26</v>
      </c>
      <c r="AG30" s="2">
        <f t="shared" si="13"/>
        <v>5559.1409802436829</v>
      </c>
      <c r="AH30" s="2">
        <v>-2.0626817786251195E-5</v>
      </c>
      <c r="AI30" s="2">
        <f t="shared" si="14"/>
        <v>5559.1412633657455</v>
      </c>
      <c r="AJ30" s="2">
        <v>6.7066625888401177E-5</v>
      </c>
      <c r="AK30" s="2">
        <f t="shared" si="9"/>
        <v>5559.1411218047142</v>
      </c>
      <c r="AL30" s="2">
        <v>4.0717914089327678E-6</v>
      </c>
      <c r="AM30" s="2">
        <f t="shared" si="10"/>
        <v>-8.3988099455679227E-11</v>
      </c>
      <c r="AN30" s="2">
        <f t="shared" si="11"/>
        <v>2.7308131111849987E-10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816.7228822456409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5.6512586772441864E-2</v>
      </c>
      <c r="W31" s="2">
        <f t="shared" si="0"/>
        <v>2.5838635397956722E-10</v>
      </c>
      <c r="X31" s="2">
        <f t="shared" si="8"/>
        <v>5.6512594223022461E-2</v>
      </c>
      <c r="Y31" s="2">
        <f t="shared" si="1"/>
        <v>-7.2058138692043805E-9</v>
      </c>
      <c r="Z31" s="2">
        <f t="shared" si="3"/>
        <v>5.6512590497732162E-2</v>
      </c>
      <c r="AA31" s="2">
        <f t="shared" si="2"/>
        <v>-3.4737137610818536E-9</v>
      </c>
      <c r="AB31" s="2">
        <f t="shared" si="4"/>
        <v>-8.9756023349458961E-19</v>
      </c>
      <c r="AC31" s="2">
        <f t="shared" si="5"/>
        <v>2.5030934797249732E-17</v>
      </c>
      <c r="AD31" s="2">
        <f t="shared" si="6"/>
        <v>7.4505805969238281E-9</v>
      </c>
      <c r="AF31" s="2">
        <v>27</v>
      </c>
      <c r="AG31" s="2">
        <f t="shared" si="13"/>
        <v>5559.1409802436829</v>
      </c>
      <c r="AH31" s="2">
        <v>-2.0626817786251195E-5</v>
      </c>
      <c r="AI31" s="2">
        <f t="shared" si="14"/>
        <v>5559.1411218047142</v>
      </c>
      <c r="AJ31" s="2">
        <v>4.0717914089327678E-6</v>
      </c>
      <c r="AK31" s="2">
        <f t="shared" si="9"/>
        <v>5559.1410510241985</v>
      </c>
      <c r="AL31" s="2">
        <v>-8.2775140981539153E-6</v>
      </c>
      <c r="AM31" s="2">
        <f t="shared" si="10"/>
        <v>1.707387750257462E-10</v>
      </c>
      <c r="AN31" s="2">
        <f t="shared" si="11"/>
        <v>-3.3704310792182979E-11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3130.57</v>
      </c>
      <c r="L32" s="6" t="s">
        <v>7</v>
      </c>
      <c r="U32" s="2">
        <v>28</v>
      </c>
      <c r="V32" s="2">
        <f t="shared" si="7"/>
        <v>5.6512586772441864E-2</v>
      </c>
      <c r="W32" s="2">
        <f t="shared" si="0"/>
        <v>2.5838635397956722E-10</v>
      </c>
      <c r="X32" s="2">
        <f t="shared" si="8"/>
        <v>5.6512590497732162E-2</v>
      </c>
      <c r="Y32" s="2">
        <f t="shared" si="1"/>
        <v>-3.4737137610818536E-9</v>
      </c>
      <c r="Z32" s="2">
        <f t="shared" si="3"/>
        <v>5.6512588635087013E-2</v>
      </c>
      <c r="AA32" s="2">
        <f t="shared" si="2"/>
        <v>-1.6076637035511432E-9</v>
      </c>
      <c r="AB32" s="2">
        <f t="shared" si="4"/>
        <v>-4.153983627858677E-19</v>
      </c>
      <c r="AC32" s="2">
        <f t="shared" si="5"/>
        <v>5.5845635302174237E-18</v>
      </c>
      <c r="AD32" s="2">
        <f t="shared" si="6"/>
        <v>3.7252902984619141E-9</v>
      </c>
      <c r="AF32" s="2">
        <v>28</v>
      </c>
      <c r="AG32" s="2">
        <f t="shared" si="13"/>
        <v>5559.1410510241985</v>
      </c>
      <c r="AH32" s="2">
        <v>-8.2775140981539153E-6</v>
      </c>
      <c r="AI32" s="2">
        <f t="shared" si="14"/>
        <v>5559.1411218047142</v>
      </c>
      <c r="AJ32" s="2">
        <v>4.0717914089327678E-6</v>
      </c>
      <c r="AK32" s="2">
        <f t="shared" si="9"/>
        <v>5559.1410864144564</v>
      </c>
      <c r="AL32" s="2">
        <v>-2.1028608898632228E-6</v>
      </c>
      <c r="AM32" s="2">
        <f t="shared" si="10"/>
        <v>1.7406460662299315E-11</v>
      </c>
      <c r="AN32" s="2">
        <f t="shared" si="11"/>
        <v>-8.562410905525786E-12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1264.6400000000001</v>
      </c>
      <c r="L33" s="6" t="s">
        <v>7</v>
      </c>
      <c r="U33" s="2">
        <v>29</v>
      </c>
      <c r="V33" s="2">
        <f t="shared" si="7"/>
        <v>5.6512586772441864E-2</v>
      </c>
      <c r="W33" s="2">
        <f t="shared" si="0"/>
        <v>2.5838635397956722E-10</v>
      </c>
      <c r="X33" s="2">
        <f t="shared" si="8"/>
        <v>5.6512588635087013E-2</v>
      </c>
      <c r="Y33" s="2">
        <f t="shared" si="1"/>
        <v>-1.6076637035511432E-9</v>
      </c>
      <c r="Z33" s="2">
        <f t="shared" si="3"/>
        <v>5.6512587703764439E-2</v>
      </c>
      <c r="AA33" s="2">
        <f t="shared" si="2"/>
        <v>-6.7463867825523494E-10</v>
      </c>
      <c r="AB33" s="2">
        <f t="shared" si="4"/>
        <v>-1.7431742832796449E-19</v>
      </c>
      <c r="AC33" s="2">
        <f t="shared" si="5"/>
        <v>1.0845921160426591E-18</v>
      </c>
      <c r="AD33" s="2">
        <f t="shared" si="6"/>
        <v>1.862645149230957E-9</v>
      </c>
      <c r="AF33" s="2">
        <v>29</v>
      </c>
      <c r="AG33" s="2">
        <f t="shared" si="13"/>
        <v>5559.1410864144564</v>
      </c>
      <c r="AH33" s="2">
        <v>-2.1028608898632228E-6</v>
      </c>
      <c r="AI33" s="2">
        <f t="shared" si="14"/>
        <v>5559.1411218047142</v>
      </c>
      <c r="AJ33" s="2">
        <v>4.0717914089327678E-6</v>
      </c>
      <c r="AK33" s="2">
        <f t="shared" si="9"/>
        <v>5559.1411041095853</v>
      </c>
      <c r="AL33" s="2">
        <v>9.8446253105066717E-7</v>
      </c>
      <c r="AM33" s="2">
        <f t="shared" si="10"/>
        <v>-2.0701877540822066E-12</v>
      </c>
      <c r="AN33" s="2">
        <f t="shared" si="11"/>
        <v>4.0085260763483147E-12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275.17</v>
      </c>
      <c r="L34" s="6" t="s">
        <v>7</v>
      </c>
      <c r="U34" s="2">
        <v>30</v>
      </c>
      <c r="V34" s="2">
        <f t="shared" si="7"/>
        <v>5.6512586772441864E-2</v>
      </c>
      <c r="W34" s="2">
        <f t="shared" si="0"/>
        <v>2.5838635397956722E-10</v>
      </c>
      <c r="X34" s="2">
        <f t="shared" si="8"/>
        <v>5.6512587703764439E-2</v>
      </c>
      <c r="Y34" s="2">
        <f t="shared" si="1"/>
        <v>-6.7463867825523494E-10</v>
      </c>
      <c r="Z34" s="2">
        <f t="shared" si="3"/>
        <v>5.6512587238103151E-2</v>
      </c>
      <c r="AA34" s="2">
        <f t="shared" si="2"/>
        <v>-2.0812616213783386E-10</v>
      </c>
      <c r="AB34" s="2">
        <f t="shared" si="4"/>
        <v>-5.377696020255514E-20</v>
      </c>
      <c r="AC34" s="2">
        <f t="shared" si="5"/>
        <v>1.4040995893500296E-19</v>
      </c>
      <c r="AD34" s="2">
        <f>X34-V34</f>
        <v>9.3132257461547852E-10</v>
      </c>
      <c r="AF34" s="2">
        <v>30</v>
      </c>
      <c r="AG34" s="2">
        <f t="shared" si="13"/>
        <v>5559.1410864144564</v>
      </c>
      <c r="AH34" s="2">
        <v>-2.1028608898632228E-6</v>
      </c>
      <c r="AI34" s="2">
        <f t="shared" si="14"/>
        <v>5559.1411041095853</v>
      </c>
      <c r="AJ34" s="2">
        <v>9.8446253105066717E-7</v>
      </c>
      <c r="AK34" s="2">
        <f t="shared" si="9"/>
        <v>5559.1410952620208</v>
      </c>
      <c r="AL34" s="2">
        <v>-5.5919826991157606E-7</v>
      </c>
      <c r="AM34" s="2">
        <f t="shared" si="10"/>
        <v>1.1759161714762315E-12</v>
      </c>
      <c r="AN34" s="2">
        <f t="shared" si="11"/>
        <v>-5.5050974415630431E-13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718.56605209893314</v>
      </c>
      <c r="H35" s="25" t="s">
        <v>101</v>
      </c>
      <c r="J35" s="15" t="s">
        <v>70</v>
      </c>
      <c r="K35" s="6">
        <f>ROUND(SUM(K23:K26),2)</f>
        <v>288.75</v>
      </c>
      <c r="L35" s="6" t="s">
        <v>7</v>
      </c>
      <c r="AF35" s="2">
        <v>31</v>
      </c>
      <c r="AG35" s="2">
        <f t="shared" si="13"/>
        <v>5559.1410952620208</v>
      </c>
      <c r="AH35" s="2">
        <v>-5.5919826991157606E-7</v>
      </c>
      <c r="AI35" s="2">
        <f t="shared" si="14"/>
        <v>5559.1411041095853</v>
      </c>
      <c r="AJ35" s="2">
        <v>9.8446253105066717E-7</v>
      </c>
      <c r="AK35" s="2">
        <f t="shared" si="9"/>
        <v>5559.1410996858031</v>
      </c>
      <c r="AL35" s="2">
        <v>2.1263349481159821E-7</v>
      </c>
      <c r="AM35" s="2">
        <f t="shared" si="10"/>
        <v>-1.189042824238978E-13</v>
      </c>
      <c r="AN35" s="2">
        <f t="shared" si="11"/>
        <v>2.0932970848837488E-13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5559.13</v>
      </c>
      <c r="L36" s="6" t="s">
        <v>7</v>
      </c>
      <c r="AF36" s="2">
        <v>32</v>
      </c>
      <c r="AG36" s="2">
        <f t="shared" si="13"/>
        <v>5559.1410952620208</v>
      </c>
      <c r="AH36" s="2">
        <v>-5.5919826991157606E-7</v>
      </c>
      <c r="AI36" s="2">
        <f t="shared" si="14"/>
        <v>5559.1410996858031</v>
      </c>
      <c r="AJ36" s="2">
        <v>2.1263349481159821E-7</v>
      </c>
      <c r="AK36" s="2">
        <f t="shared" si="9"/>
        <v>5559.1410974739119</v>
      </c>
      <c r="AL36" s="2">
        <v>-1.7328238754998893E-7</v>
      </c>
      <c r="AM36" s="2">
        <f t="shared" si="10"/>
        <v>9.6899211324101035E-14</v>
      </c>
      <c r="AN36" s="2">
        <f t="shared" si="11"/>
        <v>-3.6845639654051921E-14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5559.1410974739119</v>
      </c>
      <c r="AH37" s="2">
        <v>-1.7328238754998893E-7</v>
      </c>
      <c r="AI37" s="2">
        <f t="shared" si="14"/>
        <v>5559.1410996858031</v>
      </c>
      <c r="AJ37" s="2">
        <v>2.1263349481159821E-7</v>
      </c>
      <c r="AK37" s="2">
        <f t="shared" si="9"/>
        <v>5559.1410985798575</v>
      </c>
      <c r="AL37" s="2">
        <v>1.9676008378155529E-8</v>
      </c>
      <c r="AM37" s="2">
        <f t="shared" si="10"/>
        <v>-3.4095057092203755E-15</v>
      </c>
      <c r="AN37" s="2">
        <f t="shared" si="11"/>
        <v>4.1837784253894967E-15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5559.1410974739119</v>
      </c>
      <c r="AH38" s="2">
        <v>-1.7328238754998893E-7</v>
      </c>
      <c r="AI38" s="2">
        <f t="shared" si="14"/>
        <v>5559.1410985798575</v>
      </c>
      <c r="AJ38" s="2">
        <v>1.9676008378155529E-8</v>
      </c>
      <c r="AK38" s="2">
        <f t="shared" si="9"/>
        <v>5559.1410980268847</v>
      </c>
      <c r="AL38" s="2">
        <v>-7.6802280091214925E-8</v>
      </c>
      <c r="AM38" s="2">
        <f t="shared" si="10"/>
        <v>1.3308482463488703E-14</v>
      </c>
      <c r="AN38" s="2">
        <f t="shared" si="11"/>
        <v>-1.5111623065361925E-15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10.79</v>
      </c>
      <c r="L39" s="6" t="s">
        <v>58</v>
      </c>
      <c r="AF39" s="2">
        <v>35</v>
      </c>
      <c r="AG39" s="2">
        <f t="shared" si="13"/>
        <v>5559.1410980268847</v>
      </c>
      <c r="AH39" s="2">
        <v>-7.6802280091214925E-8</v>
      </c>
      <c r="AI39" s="2">
        <f t="shared" si="14"/>
        <v>5559.1410985798575</v>
      </c>
      <c r="AJ39" s="2">
        <v>1.9676008378155529E-8</v>
      </c>
      <c r="AK39" s="2">
        <f t="shared" si="9"/>
        <v>5559.1410983033711</v>
      </c>
      <c r="AL39" s="2">
        <v>-2.8563590603880584E-8</v>
      </c>
      <c r="AM39" s="2">
        <f t="shared" si="10"/>
        <v>2.1937488859700315E-15</v>
      </c>
      <c r="AN39" s="2">
        <f t="shared" si="11"/>
        <v>-5.6201744803215894E-16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56.31</v>
      </c>
      <c r="L40" s="6" t="s">
        <v>58</v>
      </c>
      <c r="AF40" s="2">
        <v>36</v>
      </c>
      <c r="AG40" s="2">
        <f t="shared" si="13"/>
        <v>5559.1410983033711</v>
      </c>
      <c r="AH40" s="2">
        <v>-2.8563590603880584E-8</v>
      </c>
      <c r="AI40" s="2">
        <f t="shared" si="14"/>
        <v>5559.1410985798575</v>
      </c>
      <c r="AJ40" s="2">
        <v>1.9676008378155529E-8</v>
      </c>
      <c r="AK40" s="2">
        <f t="shared" si="9"/>
        <v>5559.1410984416143</v>
      </c>
      <c r="AL40" s="2">
        <v>-4.4437911128625274E-9</v>
      </c>
      <c r="AM40" s="2">
        <f t="shared" si="10"/>
        <v>1.2693063007696813E-16</v>
      </c>
      <c r="AN40" s="2">
        <f t="shared" si="11"/>
        <v>-8.7436071167456173E-17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22.75</v>
      </c>
      <c r="L41" s="6" t="s">
        <v>58</v>
      </c>
      <c r="AF41" s="2">
        <v>37</v>
      </c>
      <c r="AG41" s="2">
        <f t="shared" si="13"/>
        <v>5559.1410984416143</v>
      </c>
      <c r="AH41" s="2">
        <v>-4.4437911128625274E-9</v>
      </c>
      <c r="AI41" s="2">
        <f t="shared" si="14"/>
        <v>5559.1410985798575</v>
      </c>
      <c r="AJ41" s="2">
        <v>1.9676008378155529E-8</v>
      </c>
      <c r="AK41" s="2">
        <f t="shared" si="9"/>
        <v>5559.1410985107359</v>
      </c>
      <c r="AL41" s="2">
        <v>7.6179276220500469E-9</v>
      </c>
      <c r="AM41" s="2">
        <f t="shared" si="10"/>
        <v>-3.3852479065295965E-17</v>
      </c>
      <c r="AN41" s="2">
        <f t="shared" si="11"/>
        <v>1.4989040771563915E-16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4.95</v>
      </c>
      <c r="L42" s="6" t="s">
        <v>58</v>
      </c>
      <c r="AF42" s="2">
        <v>38</v>
      </c>
      <c r="AG42" s="2">
        <f t="shared" si="13"/>
        <v>5559.1410984416143</v>
      </c>
      <c r="AH42" s="2">
        <v>-4.4437911128625274E-9</v>
      </c>
      <c r="AI42" s="2">
        <f t="shared" si="14"/>
        <v>5559.1410985107359</v>
      </c>
      <c r="AJ42" s="2">
        <v>7.6179276220500469E-9</v>
      </c>
      <c r="AK42" s="2">
        <f t="shared" si="9"/>
        <v>5559.1410984761751</v>
      </c>
      <c r="AL42" s="2">
        <v>1.5834302757866681E-9</v>
      </c>
      <c r="AM42" s="2">
        <f t="shared" si="10"/>
        <v>-7.0364333873782563E-18</v>
      </c>
      <c r="AN42" s="2">
        <f t="shared" si="11"/>
        <v>1.2062457235505582E-17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5.19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5559.1410984416143</v>
      </c>
      <c r="AH43" s="2">
        <v>-4.4437911128625274E-9</v>
      </c>
      <c r="AI43" s="2">
        <f t="shared" si="14"/>
        <v>5559.1410984761751</v>
      </c>
      <c r="AJ43" s="2">
        <v>1.5834302757866681E-9</v>
      </c>
      <c r="AK43" s="2">
        <f t="shared" si="9"/>
        <v>5559.1410984588947</v>
      </c>
      <c r="AL43" s="2">
        <v>-1.4269971870817244E-9</v>
      </c>
      <c r="AM43" s="2">
        <f t="shared" si="10"/>
        <v>6.3412774180335923E-18</v>
      </c>
      <c r="AN43" s="2">
        <f t="shared" si="11"/>
        <v>-2.2595505494876144E-18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5559.1410984588947</v>
      </c>
      <c r="AH44" s="2">
        <v>-1.4269971870817244E-9</v>
      </c>
      <c r="AI44" s="2">
        <f t="shared" si="14"/>
        <v>5559.1410984761751</v>
      </c>
      <c r="AJ44" s="2">
        <v>1.5834302757866681E-9</v>
      </c>
      <c r="AK44" s="5">
        <f>(AG44+AI44)/2</f>
        <v>5559.1410984675349</v>
      </c>
      <c r="AL44" s="2">
        <v>8.1854523159563541E-11</v>
      </c>
      <c r="AM44" s="2">
        <f t="shared" si="10"/>
        <v>-1.1680617429861304E-19</v>
      </c>
      <c r="AN44" s="2">
        <f t="shared" si="11"/>
        <v>1.2961093018093391E-19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7274.8441370741248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10.79</v>
      </c>
      <c r="L47" s="6" t="s">
        <v>58</v>
      </c>
      <c r="N47" s="6" t="s">
        <v>154</v>
      </c>
      <c r="O47" s="6">
        <f>0.377*O46^0.6945</f>
        <v>181.29169314790835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56.31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32.89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multirotor_ref</vt:lpstr>
      <vt:lpstr>multirotor_opt_weight</vt:lpstr>
      <vt:lpstr>multirotor_opt_energy</vt:lpstr>
      <vt:lpstr>multirotor_opt_time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2025-06-30T13:34:07Z</dcterms:modified>
</cp:coreProperties>
</file>