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EAEEE4C1-E34C-8F4A-AD49-D219D2E9B508}" xr6:coauthVersionLast="47" xr6:coauthVersionMax="47" xr10:uidLastSave="{00000000-0000-0000-0000-000000000000}"/>
  <bookViews>
    <workbookView xWindow="0" yWindow="760" windowWidth="30240" windowHeight="17260" activeTab="1" xr2:uid="{843CD013-835A-1741-B375-CD508AE79BD2}"/>
  </bookViews>
  <sheets>
    <sheet name="multirotor_aerofidelity1" sheetId="6" r:id="rId1"/>
    <sheet name="lift+cruise_wisk_cora" sheetId="5" r:id="rId2"/>
    <sheet name="published_dat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5" l="1"/>
  <c r="C65" i="5" s="1"/>
  <c r="C70" i="5"/>
  <c r="C22" i="5"/>
  <c r="C61" i="5"/>
  <c r="C59" i="5"/>
  <c r="C56" i="5" s="1"/>
  <c r="C14" i="5"/>
  <c r="N5" i="7"/>
  <c r="G5" i="7"/>
  <c r="I5" i="7"/>
  <c r="AF4" i="7"/>
  <c r="G4" i="7"/>
  <c r="K30" i="6"/>
  <c r="O16" i="5"/>
  <c r="S4" i="6" l="1"/>
  <c r="S7" i="6" s="1"/>
  <c r="AK74" i="6"/>
  <c r="AG74" i="6"/>
  <c r="AU44" i="6"/>
  <c r="AT44" i="6"/>
  <c r="AU43" i="6"/>
  <c r="AT43" i="6"/>
  <c r="AU42" i="6"/>
  <c r="AT42" i="6"/>
  <c r="G42" i="6"/>
  <c r="AU41" i="6"/>
  <c r="AT41" i="6"/>
  <c r="AU40" i="6"/>
  <c r="AT40" i="6"/>
  <c r="AU39" i="6"/>
  <c r="AT39" i="6"/>
  <c r="AK39" i="6"/>
  <c r="AG39" i="6"/>
  <c r="AU38" i="6"/>
  <c r="AT38" i="6"/>
  <c r="AU37" i="6"/>
  <c r="AT37" i="6"/>
  <c r="AU36" i="6"/>
  <c r="AT36" i="6"/>
  <c r="AU35" i="6"/>
  <c r="AT35" i="6"/>
  <c r="G35" i="6"/>
  <c r="AU34" i="6"/>
  <c r="AT34" i="6"/>
  <c r="AU33" i="6"/>
  <c r="AT33" i="6"/>
  <c r="AU32" i="6"/>
  <c r="AT32" i="6"/>
  <c r="AU31" i="6"/>
  <c r="AT31" i="6"/>
  <c r="AU30" i="6"/>
  <c r="AT30" i="6"/>
  <c r="AU29" i="6"/>
  <c r="AT29" i="6"/>
  <c r="AU28" i="6"/>
  <c r="AT28" i="6"/>
  <c r="AU27" i="6"/>
  <c r="AT27" i="6"/>
  <c r="G27" i="6"/>
  <c r="G30" i="6" s="1"/>
  <c r="AU26" i="6"/>
  <c r="AT26" i="6"/>
  <c r="AU25" i="6"/>
  <c r="AT25" i="6"/>
  <c r="AU24" i="6"/>
  <c r="AT24" i="6"/>
  <c r="AU23" i="6"/>
  <c r="AT23" i="6"/>
  <c r="AU22" i="6"/>
  <c r="AT22" i="6"/>
  <c r="AU21" i="6"/>
  <c r="AT21" i="6"/>
  <c r="K20" i="6"/>
  <c r="AU20" i="6"/>
  <c r="AT20" i="6"/>
  <c r="K19" i="6"/>
  <c r="AU19" i="6"/>
  <c r="AT19" i="6"/>
  <c r="G19" i="6"/>
  <c r="AU18" i="6"/>
  <c r="AT18" i="6"/>
  <c r="AU17" i="6"/>
  <c r="AT17" i="6"/>
  <c r="AU16" i="6"/>
  <c r="AT16" i="6"/>
  <c r="AU15" i="6"/>
  <c r="AT15" i="6"/>
  <c r="AU14" i="6"/>
  <c r="AT14" i="6"/>
  <c r="AU13" i="6"/>
  <c r="AT13" i="6"/>
  <c r="AU12" i="6"/>
  <c r="AT12" i="6"/>
  <c r="AU11" i="6"/>
  <c r="AT11" i="6"/>
  <c r="G11" i="6"/>
  <c r="G14" i="6" s="1"/>
  <c r="AU10" i="6"/>
  <c r="AT10" i="6"/>
  <c r="AU9" i="6"/>
  <c r="AT9" i="6"/>
  <c r="AU8" i="6"/>
  <c r="AT8" i="6"/>
  <c r="G8" i="6"/>
  <c r="AU7" i="6"/>
  <c r="AT7" i="6"/>
  <c r="AU6" i="6"/>
  <c r="AT6" i="6"/>
  <c r="AV5" i="6"/>
  <c r="AU5" i="6"/>
  <c r="AT5" i="6"/>
  <c r="AR5" i="6"/>
  <c r="AK4" i="6"/>
  <c r="AG4" i="6"/>
  <c r="AK75" i="5"/>
  <c r="AG75" i="5"/>
  <c r="AU44" i="5"/>
  <c r="AT44" i="5"/>
  <c r="AU43" i="5"/>
  <c r="AT43" i="5"/>
  <c r="AU42" i="5"/>
  <c r="AT42" i="5"/>
  <c r="G42" i="5"/>
  <c r="AU41" i="5"/>
  <c r="AT41" i="5"/>
  <c r="AU40" i="5"/>
  <c r="AT40" i="5"/>
  <c r="AU39" i="5"/>
  <c r="AT39" i="5"/>
  <c r="AK39" i="5"/>
  <c r="AG39" i="5"/>
  <c r="AU38" i="5"/>
  <c r="AT38" i="5"/>
  <c r="AU37" i="5"/>
  <c r="AT37" i="5"/>
  <c r="AU36" i="5"/>
  <c r="AT36" i="5"/>
  <c r="AU35" i="5"/>
  <c r="AT35" i="5"/>
  <c r="G35" i="5"/>
  <c r="AU34" i="5"/>
  <c r="AT34" i="5"/>
  <c r="AU33" i="5"/>
  <c r="AT33" i="5"/>
  <c r="AU32" i="5"/>
  <c r="AT32" i="5"/>
  <c r="AU31" i="5"/>
  <c r="AT31" i="5"/>
  <c r="AU30" i="5"/>
  <c r="AT30" i="5"/>
  <c r="AU29" i="5"/>
  <c r="AT29" i="5"/>
  <c r="AU28" i="5"/>
  <c r="AT28" i="5"/>
  <c r="AU27" i="5"/>
  <c r="AT27" i="5"/>
  <c r="G27" i="5"/>
  <c r="AU26" i="5"/>
  <c r="AT26" i="5"/>
  <c r="K43" i="5"/>
  <c r="AU25" i="5"/>
  <c r="AT25" i="5"/>
  <c r="AU24" i="5"/>
  <c r="AT24" i="5"/>
  <c r="AU23" i="5"/>
  <c r="AT23" i="5"/>
  <c r="AU22" i="5"/>
  <c r="AT22" i="5"/>
  <c r="AU21" i="5"/>
  <c r="AT21" i="5"/>
  <c r="AU20" i="5"/>
  <c r="AT20" i="5"/>
  <c r="AU19" i="5"/>
  <c r="AT19" i="5"/>
  <c r="G19" i="5"/>
  <c r="AU18" i="5"/>
  <c r="AT18" i="5"/>
  <c r="S18" i="5"/>
  <c r="S19" i="5" s="1"/>
  <c r="AU17" i="5"/>
  <c r="AT17" i="5"/>
  <c r="AU16" i="5"/>
  <c r="AT16" i="5"/>
  <c r="W16" i="5"/>
  <c r="S16" i="5"/>
  <c r="AU15" i="5"/>
  <c r="AT15" i="5"/>
  <c r="AU14" i="5"/>
  <c r="AT14" i="5"/>
  <c r="AU13" i="5"/>
  <c r="AT13" i="5"/>
  <c r="AU12" i="5"/>
  <c r="AT12" i="5"/>
  <c r="AU11" i="5"/>
  <c r="AT11" i="5"/>
  <c r="G11" i="5"/>
  <c r="O18" i="5" s="1"/>
  <c r="AU10" i="5"/>
  <c r="AT10" i="5"/>
  <c r="AU9" i="5"/>
  <c r="AT9" i="5"/>
  <c r="W9" i="5"/>
  <c r="S9" i="5"/>
  <c r="O9" i="5"/>
  <c r="AU8" i="5"/>
  <c r="AT8" i="5"/>
  <c r="G8" i="5"/>
  <c r="AU7" i="5"/>
  <c r="AT7" i="5"/>
  <c r="AU6" i="5"/>
  <c r="AT6" i="5"/>
  <c r="AV5" i="5"/>
  <c r="AU5" i="5"/>
  <c r="AT5" i="5"/>
  <c r="AR5" i="5"/>
  <c r="S5" i="5"/>
  <c r="AK4" i="5"/>
  <c r="AG4" i="5"/>
  <c r="AN6" i="5" l="1"/>
  <c r="S20" i="5"/>
  <c r="S23" i="5" s="1"/>
  <c r="AN6" i="6"/>
  <c r="G16" i="6"/>
  <c r="G15" i="6"/>
  <c r="O4" i="6"/>
  <c r="O7" i="6" s="1"/>
  <c r="W4" i="6"/>
  <c r="W7" i="6" s="1"/>
  <c r="AP6" i="6"/>
  <c r="AP6" i="5"/>
  <c r="G32" i="6"/>
  <c r="G31" i="6"/>
  <c r="G24" i="6" s="1"/>
  <c r="K9" i="6" s="1"/>
  <c r="G14" i="5"/>
  <c r="O5" i="5"/>
  <c r="W18" i="5"/>
  <c r="W19" i="5" s="1"/>
  <c r="W5" i="5"/>
  <c r="G30" i="5"/>
  <c r="O20" i="5" l="1"/>
  <c r="O23" i="5" s="1"/>
  <c r="O19" i="5"/>
  <c r="AR6" i="5"/>
  <c r="AN7" i="5" s="1"/>
  <c r="AV6" i="5"/>
  <c r="AV6" i="6"/>
  <c r="AR6" i="6"/>
  <c r="G31" i="5"/>
  <c r="G32" i="5"/>
  <c r="G15" i="5"/>
  <c r="G24" i="5" s="1"/>
  <c r="K12" i="5" s="1"/>
  <c r="G16" i="5"/>
  <c r="W20" i="5"/>
  <c r="AP7" i="5" l="1"/>
  <c r="AR7" i="5" s="1"/>
  <c r="AP8" i="5" s="1"/>
  <c r="AP7" i="6"/>
  <c r="AN7" i="6"/>
  <c r="W23" i="5"/>
  <c r="AV7" i="5" l="1"/>
  <c r="AN8" i="5"/>
  <c r="AR8" i="5" s="1"/>
  <c r="AV7" i="6"/>
  <c r="AR7" i="6"/>
  <c r="AN8" i="6" s="1"/>
  <c r="AV8" i="5" l="1"/>
  <c r="AN9" i="5"/>
  <c r="AP9" i="5"/>
  <c r="AP8" i="6"/>
  <c r="AV8" i="6" s="1"/>
  <c r="AR9" i="5" l="1"/>
  <c r="AN10" i="5" s="1"/>
  <c r="AV9" i="5"/>
  <c r="AR8" i="6"/>
  <c r="AN9" i="6" s="1"/>
  <c r="AP10" i="5" l="1"/>
  <c r="AV10" i="5" s="1"/>
  <c r="AP9" i="6"/>
  <c r="AV9" i="6" s="1"/>
  <c r="AR10" i="5" l="1"/>
  <c r="AN11" i="5" s="1"/>
  <c r="AR9" i="6"/>
  <c r="AN10" i="6" s="1"/>
  <c r="AP11" i="5" l="1"/>
  <c r="AR11" i="5" s="1"/>
  <c r="AP12" i="5" s="1"/>
  <c r="AP10" i="6"/>
  <c r="AV10" i="6" s="1"/>
  <c r="AV11" i="5" l="1"/>
  <c r="AN12" i="5"/>
  <c r="AR12" i="5" s="1"/>
  <c r="AP13" i="5" s="1"/>
  <c r="AR10" i="6"/>
  <c r="AN11" i="6" s="1"/>
  <c r="AN13" i="5" l="1"/>
  <c r="AR13" i="5" s="1"/>
  <c r="AN14" i="5" s="1"/>
  <c r="AV12" i="5"/>
  <c r="AP11" i="6"/>
  <c r="AR11" i="6" s="1"/>
  <c r="AP12" i="6" s="1"/>
  <c r="AV13" i="5" l="1"/>
  <c r="AP14" i="5"/>
  <c r="AR14" i="5" s="1"/>
  <c r="AV11" i="6"/>
  <c r="AN12" i="6"/>
  <c r="AV14" i="5" l="1"/>
  <c r="AV12" i="6"/>
  <c r="AR12" i="6"/>
  <c r="AP13" i="6" s="1"/>
  <c r="AN15" i="5"/>
  <c r="AP15" i="5"/>
  <c r="AN13" i="6" l="1"/>
  <c r="AV15" i="5"/>
  <c r="AR15" i="5"/>
  <c r="AN16" i="5" s="1"/>
  <c r="AP16" i="5" l="1"/>
  <c r="AV16" i="5" s="1"/>
  <c r="AR13" i="6"/>
  <c r="AP14" i="6" s="1"/>
  <c r="AV13" i="6"/>
  <c r="AR16" i="5" l="1"/>
  <c r="AP17" i="5" s="1"/>
  <c r="AN14" i="6"/>
  <c r="AR14" i="6" s="1"/>
  <c r="AN17" i="5" l="1"/>
  <c r="AV17" i="5" s="1"/>
  <c r="AN15" i="6"/>
  <c r="AP15" i="6"/>
  <c r="AV14" i="6"/>
  <c r="AR17" i="5" l="1"/>
  <c r="AP18" i="5" s="1"/>
  <c r="AR15" i="6"/>
  <c r="AV15" i="6"/>
  <c r="AN18" i="5" l="1"/>
  <c r="AR18" i="5" s="1"/>
  <c r="AP19" i="5" s="1"/>
  <c r="AN16" i="6"/>
  <c r="AP16" i="6"/>
  <c r="AV18" i="5" l="1"/>
  <c r="AN19" i="5"/>
  <c r="AV19" i="5" s="1"/>
  <c r="AR16" i="6"/>
  <c r="AP17" i="6" s="1"/>
  <c r="AV16" i="6"/>
  <c r="AR19" i="5" l="1"/>
  <c r="AN20" i="5" s="1"/>
  <c r="AN17" i="6"/>
  <c r="AP20" i="5" l="1"/>
  <c r="AV20" i="5" s="1"/>
  <c r="AR17" i="6"/>
  <c r="AV17" i="6"/>
  <c r="AR20" i="5" l="1"/>
  <c r="AN21" i="5" s="1"/>
  <c r="AN18" i="6"/>
  <c r="AP18" i="6"/>
  <c r="AP21" i="5" l="1"/>
  <c r="AR21" i="5" s="1"/>
  <c r="AP22" i="5" s="1"/>
  <c r="AV18" i="6"/>
  <c r="AR18" i="6"/>
  <c r="AV21" i="5" l="1"/>
  <c r="AN22" i="5"/>
  <c r="AR22" i="5" s="1"/>
  <c r="AN23" i="5" s="1"/>
  <c r="AN19" i="6"/>
  <c r="AP19" i="6"/>
  <c r="AV22" i="5" l="1"/>
  <c r="AP23" i="5"/>
  <c r="AR23" i="5" s="1"/>
  <c r="AP24" i="5" s="1"/>
  <c r="AV19" i="6"/>
  <c r="AR19" i="6"/>
  <c r="AV23" i="5" l="1"/>
  <c r="AN24" i="5"/>
  <c r="AV24" i="5" s="1"/>
  <c r="AN20" i="6"/>
  <c r="AP20" i="6"/>
  <c r="AR24" i="5" l="1"/>
  <c r="AN25" i="5" s="1"/>
  <c r="AV20" i="6"/>
  <c r="AR20" i="6"/>
  <c r="AP25" i="5" l="1"/>
  <c r="AR25" i="5" s="1"/>
  <c r="AN26" i="5" s="1"/>
  <c r="AN21" i="6"/>
  <c r="AP21" i="6"/>
  <c r="AV25" i="5" l="1"/>
  <c r="AP26" i="5"/>
  <c r="AR26" i="5" s="1"/>
  <c r="AN27" i="5" s="1"/>
  <c r="AV21" i="6"/>
  <c r="AR21" i="6"/>
  <c r="AP27" i="5" l="1"/>
  <c r="AV27" i="5" s="1"/>
  <c r="AV26" i="5"/>
  <c r="AP22" i="6"/>
  <c r="AN22" i="6"/>
  <c r="AR27" i="5" l="1"/>
  <c r="AP28" i="5" s="1"/>
  <c r="AR22" i="6"/>
  <c r="AN23" i="6" s="1"/>
  <c r="AV22" i="6"/>
  <c r="AN28" i="5" l="1"/>
  <c r="AV28" i="5" s="1"/>
  <c r="AP23" i="6"/>
  <c r="AV23" i="6" s="1"/>
  <c r="AR28" i="5" l="1"/>
  <c r="AP29" i="5" s="1"/>
  <c r="AR23" i="6"/>
  <c r="AP24" i="6" s="1"/>
  <c r="AN29" i="5" l="1"/>
  <c r="AV29" i="5" s="1"/>
  <c r="AN24" i="6"/>
  <c r="AR24" i="6" s="1"/>
  <c r="AN25" i="6" s="1"/>
  <c r="AR29" i="5" l="1"/>
  <c r="AP30" i="5" s="1"/>
  <c r="AV24" i="6"/>
  <c r="AP25" i="6"/>
  <c r="AV25" i="6" s="1"/>
  <c r="AN30" i="5" l="1"/>
  <c r="AV30" i="5" s="1"/>
  <c r="AR25" i="6"/>
  <c r="AN26" i="6" s="1"/>
  <c r="AR30" i="5" l="1"/>
  <c r="AP26" i="6"/>
  <c r="AR26" i="6" s="1"/>
  <c r="AN27" i="6" s="1"/>
  <c r="AN31" i="5" l="1"/>
  <c r="AP31" i="5"/>
  <c r="AV26" i="6"/>
  <c r="AP27" i="6"/>
  <c r="AV27" i="6" s="1"/>
  <c r="O8" i="5"/>
  <c r="AR31" i="5" l="1"/>
  <c r="AP32" i="5" s="1"/>
  <c r="AV31" i="5"/>
  <c r="AR27" i="6"/>
  <c r="AN28" i="6" s="1"/>
  <c r="S8" i="6"/>
  <c r="O8" i="6"/>
  <c r="W8" i="6"/>
  <c r="AN32" i="5" l="1"/>
  <c r="AR32" i="5" s="1"/>
  <c r="AP33" i="5" s="1"/>
  <c r="AP28" i="6"/>
  <c r="AV28" i="6" s="1"/>
  <c r="AV32" i="5" l="1"/>
  <c r="AN33" i="5"/>
  <c r="AR33" i="5" s="1"/>
  <c r="AR28" i="6"/>
  <c r="AP29" i="6" s="1"/>
  <c r="AV33" i="5" l="1"/>
  <c r="AP34" i="5"/>
  <c r="AN34" i="5"/>
  <c r="AN29" i="6"/>
  <c r="AR29" i="6" s="1"/>
  <c r="AN30" i="6" s="1"/>
  <c r="AR34" i="5" l="1"/>
  <c r="AN35" i="5" s="1"/>
  <c r="AV34" i="5"/>
  <c r="AV29" i="6"/>
  <c r="AP30" i="6"/>
  <c r="AR30" i="6" s="1"/>
  <c r="AN31" i="6" s="1"/>
  <c r="AP35" i="5" l="1"/>
  <c r="AV30" i="6"/>
  <c r="AP31" i="6"/>
  <c r="AV31" i="6" s="1"/>
  <c r="AR35" i="5" l="1"/>
  <c r="AV35" i="5"/>
  <c r="AR31" i="6"/>
  <c r="AP32" i="6" s="1"/>
  <c r="AP36" i="5" l="1"/>
  <c r="AN36" i="5"/>
  <c r="AN32" i="6"/>
  <c r="AR32" i="6" s="1"/>
  <c r="AN33" i="6" s="1"/>
  <c r="AR36" i="5" l="1"/>
  <c r="AV36" i="5"/>
  <c r="AV32" i="6"/>
  <c r="AP33" i="6"/>
  <c r="AV33" i="6" s="1"/>
  <c r="AP37" i="5" l="1"/>
  <c r="AN37" i="5"/>
  <c r="AR33" i="6"/>
  <c r="AN34" i="6" s="1"/>
  <c r="AR37" i="5" l="1"/>
  <c r="AN38" i="5" s="1"/>
  <c r="AV37" i="5"/>
  <c r="AP34" i="6"/>
  <c r="AR34" i="6" s="1"/>
  <c r="AP35" i="6" s="1"/>
  <c r="AP38" i="5" l="1"/>
  <c r="AV38" i="5" s="1"/>
  <c r="AV34" i="6"/>
  <c r="AN35" i="6"/>
  <c r="AV35" i="6" s="1"/>
  <c r="S8" i="5"/>
  <c r="AR38" i="5" l="1"/>
  <c r="AR35" i="6"/>
  <c r="AP36" i="6" s="1"/>
  <c r="AP39" i="5" l="1"/>
  <c r="AN39" i="5"/>
  <c r="AN36" i="6"/>
  <c r="AV36" i="6" s="1"/>
  <c r="AV39" i="5" l="1"/>
  <c r="AR39" i="5"/>
  <c r="AR36" i="6"/>
  <c r="AN37" i="6" s="1"/>
  <c r="AP40" i="5" l="1"/>
  <c r="AN40" i="5"/>
  <c r="AP37" i="6"/>
  <c r="AV37" i="6" s="1"/>
  <c r="W8" i="5"/>
  <c r="AR40" i="5" l="1"/>
  <c r="AN41" i="5" s="1"/>
  <c r="AV40" i="5"/>
  <c r="AR37" i="6"/>
  <c r="AN38" i="6" s="1"/>
  <c r="AP41" i="5" l="1"/>
  <c r="AR41" i="5" s="1"/>
  <c r="AN42" i="5" s="1"/>
  <c r="AP38" i="6"/>
  <c r="AV38" i="6" s="1"/>
  <c r="AP42" i="5" l="1"/>
  <c r="AR42" i="5" s="1"/>
  <c r="AV41" i="5"/>
  <c r="AR38" i="6"/>
  <c r="AP39" i="6" s="1"/>
  <c r="AV42" i="5" l="1"/>
  <c r="AN43" i="5"/>
  <c r="AP43" i="5"/>
  <c r="AN39" i="6"/>
  <c r="AV39" i="6" s="1"/>
  <c r="AV43" i="5" l="1"/>
  <c r="AR43" i="5"/>
  <c r="AR39" i="6"/>
  <c r="AP40" i="6" s="1"/>
  <c r="AN44" i="5" l="1"/>
  <c r="AP44" i="5"/>
  <c r="AN40" i="6"/>
  <c r="AV40" i="6" s="1"/>
  <c r="AV44" i="5" l="1"/>
  <c r="AR44" i="5"/>
  <c r="C17" i="5" s="1"/>
  <c r="AR40" i="6"/>
  <c r="AN41" i="6" s="1"/>
  <c r="G6" i="5" l="1"/>
  <c r="K26" i="5" s="1"/>
  <c r="G40" i="5"/>
  <c r="K27" i="5"/>
  <c r="K52" i="5"/>
  <c r="K53" i="5" s="1"/>
  <c r="G7" i="5"/>
  <c r="W7" i="5"/>
  <c r="K25" i="5"/>
  <c r="O7" i="5"/>
  <c r="S7" i="5"/>
  <c r="S4" i="5"/>
  <c r="S10" i="5" s="1"/>
  <c r="W4" i="5"/>
  <c r="K22" i="5"/>
  <c r="K30" i="5"/>
  <c r="K24" i="5"/>
  <c r="G41" i="5"/>
  <c r="K29" i="5"/>
  <c r="O4" i="5"/>
  <c r="K23" i="5"/>
  <c r="K16" i="5"/>
  <c r="K35" i="5"/>
  <c r="K28" i="5"/>
  <c r="K21" i="5"/>
  <c r="AP41" i="6"/>
  <c r="AR41" i="6" s="1"/>
  <c r="AN42" i="6" s="1"/>
  <c r="K47" i="5" l="1"/>
  <c r="K46" i="5"/>
  <c r="K38" i="5"/>
  <c r="K4" i="5"/>
  <c r="K5" i="5" s="1"/>
  <c r="K39" i="5"/>
  <c r="O10" i="5"/>
  <c r="O11" i="5" s="1"/>
  <c r="O12" i="5" s="1"/>
  <c r="O17" i="5" s="1"/>
  <c r="W10" i="5"/>
  <c r="W11" i="5" s="1"/>
  <c r="W12" i="5" s="1"/>
  <c r="W17" i="5" s="1"/>
  <c r="S11" i="5"/>
  <c r="S12" i="5" s="1"/>
  <c r="S17" i="5" s="1"/>
  <c r="AV41" i="6"/>
  <c r="AP42" i="6"/>
  <c r="AR42" i="6" s="1"/>
  <c r="AN43" i="6" s="1"/>
  <c r="S13" i="5" l="1"/>
  <c r="O13" i="5"/>
  <c r="S26" i="5"/>
  <c r="S28" i="5" s="1"/>
  <c r="S21" i="5"/>
  <c r="W13" i="5"/>
  <c r="W26" i="5"/>
  <c r="W28" i="5" s="1"/>
  <c r="W21" i="5"/>
  <c r="O26" i="5"/>
  <c r="O28" i="5" s="1"/>
  <c r="O21" i="5"/>
  <c r="AP43" i="6"/>
  <c r="AR43" i="6" s="1"/>
  <c r="AN44" i="6" s="1"/>
  <c r="AV42" i="6"/>
  <c r="AF39" i="5" l="1"/>
  <c r="AH39" i="5"/>
  <c r="AD39" i="5"/>
  <c r="AD75" i="5"/>
  <c r="AF75" i="5"/>
  <c r="AH75" i="5"/>
  <c r="AH4" i="5"/>
  <c r="AD4" i="5"/>
  <c r="AF4" i="5"/>
  <c r="AV43" i="6"/>
  <c r="AP44" i="6"/>
  <c r="AV44" i="6" s="1"/>
  <c r="AJ4" i="5" l="1"/>
  <c r="AE5" i="5" s="1"/>
  <c r="AF5" i="5" s="1"/>
  <c r="AI39" i="5"/>
  <c r="AC40" i="5" s="1"/>
  <c r="AD40" i="5" s="1"/>
  <c r="AI4" i="5"/>
  <c r="AC5" i="5" s="1"/>
  <c r="AJ75" i="5"/>
  <c r="AE76" i="5" s="1"/>
  <c r="AF76" i="5" s="1"/>
  <c r="AI75" i="5"/>
  <c r="AC76" i="5" s="1"/>
  <c r="AJ39" i="5"/>
  <c r="AE40" i="5" s="1"/>
  <c r="AR44" i="6"/>
  <c r="C15" i="6" s="1"/>
  <c r="G6" i="6" l="1"/>
  <c r="G40" i="6"/>
  <c r="K38" i="6"/>
  <c r="W6" i="6"/>
  <c r="O6" i="6"/>
  <c r="S6" i="6"/>
  <c r="AG5" i="5"/>
  <c r="AH5" i="5" s="1"/>
  <c r="AJ5" i="5" s="1"/>
  <c r="AE6" i="5" s="1"/>
  <c r="AD5" i="5"/>
  <c r="AK5" i="5"/>
  <c r="AK76" i="5"/>
  <c r="AK40" i="5"/>
  <c r="AF40" i="5"/>
  <c r="AG40" i="5"/>
  <c r="AH40" i="5" s="1"/>
  <c r="AI40" i="5" s="1"/>
  <c r="AC41" i="5" s="1"/>
  <c r="AG76" i="5"/>
  <c r="AH76" i="5" s="1"/>
  <c r="AJ76" i="5" s="1"/>
  <c r="AE77" i="5" s="1"/>
  <c r="AD76" i="5"/>
  <c r="K17" i="6"/>
  <c r="K18" i="6"/>
  <c r="K24" i="6"/>
  <c r="W12" i="6"/>
  <c r="K23" i="6"/>
  <c r="O12" i="6"/>
  <c r="S12" i="6"/>
  <c r="S13" i="6" s="1"/>
  <c r="K25" i="6"/>
  <c r="K12" i="6"/>
  <c r="G41" i="6"/>
  <c r="K22" i="6"/>
  <c r="G7" i="6"/>
  <c r="K21" i="6" l="1"/>
  <c r="K33" i="6" s="1"/>
  <c r="K34" i="6"/>
  <c r="AI5" i="5"/>
  <c r="AC6" i="5" s="1"/>
  <c r="AD6" i="5" s="1"/>
  <c r="AI76" i="5"/>
  <c r="AC77" i="5" s="1"/>
  <c r="AD77" i="5" s="1"/>
  <c r="AF77" i="5"/>
  <c r="AJ40" i="5"/>
  <c r="AE41" i="5" s="1"/>
  <c r="AG41" i="5" s="1"/>
  <c r="AH41" i="5" s="1"/>
  <c r="AF6" i="5"/>
  <c r="AD41" i="5"/>
  <c r="K42" i="6"/>
  <c r="O18" i="6"/>
  <c r="O13" i="6"/>
  <c r="O17" i="6" s="1"/>
  <c r="O19" i="6" s="1"/>
  <c r="S18" i="6"/>
  <c r="S17" i="6"/>
  <c r="S19" i="6" s="1"/>
  <c r="S22" i="6" s="1"/>
  <c r="W13" i="6"/>
  <c r="W17" i="6" s="1"/>
  <c r="W19" i="6" s="1"/>
  <c r="W22" i="6" s="1"/>
  <c r="W18" i="6"/>
  <c r="K41" i="6" l="1"/>
  <c r="AK6" i="5"/>
  <c r="AG6" i="5"/>
  <c r="AH6" i="5" s="1"/>
  <c r="AI6" i="5" s="1"/>
  <c r="AC7" i="5" s="1"/>
  <c r="AD7" i="5" s="1"/>
  <c r="AK77" i="5"/>
  <c r="AG77" i="5"/>
  <c r="AH77" i="5" s="1"/>
  <c r="AJ77" i="5" s="1"/>
  <c r="AE78" i="5" s="1"/>
  <c r="AF78" i="5" s="1"/>
  <c r="AI41" i="5"/>
  <c r="AC42" i="5" s="1"/>
  <c r="AD42" i="5" s="1"/>
  <c r="AF41" i="5"/>
  <c r="AJ41" i="5" s="1"/>
  <c r="AE42" i="5" s="1"/>
  <c r="AK41" i="5"/>
  <c r="S25" i="6"/>
  <c r="S27" i="6" s="1"/>
  <c r="O22" i="6"/>
  <c r="W25" i="6"/>
  <c r="W27" i="6" s="1"/>
  <c r="W20" i="6"/>
  <c r="AD74" i="6" s="1"/>
  <c r="S20" i="6"/>
  <c r="AD4" i="6" s="1"/>
  <c r="O20" i="6"/>
  <c r="AD39" i="6" s="1"/>
  <c r="O25" i="6" l="1"/>
  <c r="O27" i="6" s="1"/>
  <c r="AJ6" i="5"/>
  <c r="AE7" i="5" s="1"/>
  <c r="AK7" i="5" s="1"/>
  <c r="AI77" i="5"/>
  <c r="AC78" i="5" s="1"/>
  <c r="AD78" i="5" s="1"/>
  <c r="AK42" i="5"/>
  <c r="AF42" i="5"/>
  <c r="AG42" i="5"/>
  <c r="AH42" i="5" s="1"/>
  <c r="AI42" i="5" s="1"/>
  <c r="AC43" i="5" s="1"/>
  <c r="AF74" i="6"/>
  <c r="AH74" i="6"/>
  <c r="AF39" i="6"/>
  <c r="AH4" i="6"/>
  <c r="AI4" i="6" s="1"/>
  <c r="AC5" i="6" s="1"/>
  <c r="AH39" i="6"/>
  <c r="AF4" i="6"/>
  <c r="AG7" i="5" l="1"/>
  <c r="AH7" i="5" s="1"/>
  <c r="AI7" i="5" s="1"/>
  <c r="AC8" i="5" s="1"/>
  <c r="AD8" i="5" s="1"/>
  <c r="AF7" i="5"/>
  <c r="AG78" i="5"/>
  <c r="AH78" i="5" s="1"/>
  <c r="AJ78" i="5" s="1"/>
  <c r="AE79" i="5" s="1"/>
  <c r="AF79" i="5" s="1"/>
  <c r="AK78" i="5"/>
  <c r="AD43" i="5"/>
  <c r="AJ42" i="5"/>
  <c r="AE43" i="5" s="1"/>
  <c r="AJ74" i="6"/>
  <c r="AE75" i="6" s="1"/>
  <c r="AF75" i="6" s="1"/>
  <c r="AJ4" i="6"/>
  <c r="AE5" i="6" s="1"/>
  <c r="AF5" i="6" s="1"/>
  <c r="AI74" i="6"/>
  <c r="AC75" i="6" s="1"/>
  <c r="AJ39" i="6"/>
  <c r="AE40" i="6" s="1"/>
  <c r="AF40" i="6" s="1"/>
  <c r="AD5" i="6"/>
  <c r="AI39" i="6"/>
  <c r="AC40" i="6" s="1"/>
  <c r="AJ7" i="5" l="1"/>
  <c r="AE8" i="5" s="1"/>
  <c r="AI78" i="5"/>
  <c r="AC79" i="5" s="1"/>
  <c r="AF43" i="5"/>
  <c r="AK43" i="5"/>
  <c r="AG43" i="5"/>
  <c r="AH43" i="5" s="1"/>
  <c r="AI43" i="5" s="1"/>
  <c r="AC44" i="5" s="1"/>
  <c r="AD44" i="5" s="1"/>
  <c r="AK75" i="6"/>
  <c r="AG5" i="6"/>
  <c r="AH5" i="6" s="1"/>
  <c r="AJ5" i="6" s="1"/>
  <c r="AE6" i="6" s="1"/>
  <c r="AF6" i="6" s="1"/>
  <c r="AK5" i="6"/>
  <c r="AD75" i="6"/>
  <c r="AG75" i="6"/>
  <c r="AH75" i="6" s="1"/>
  <c r="AJ75" i="6" s="1"/>
  <c r="AE76" i="6" s="1"/>
  <c r="AF76" i="6" s="1"/>
  <c r="AD40" i="6"/>
  <c r="AG40" i="6"/>
  <c r="AH40" i="6" s="1"/>
  <c r="AJ40" i="6" s="1"/>
  <c r="AE41" i="6" s="1"/>
  <c r="AF41" i="6" s="1"/>
  <c r="AK40" i="6"/>
  <c r="AK8" i="5" l="1"/>
  <c r="AG8" i="5"/>
  <c r="AH8" i="5" s="1"/>
  <c r="AI8" i="5" s="1"/>
  <c r="AC9" i="5" s="1"/>
  <c r="AD9" i="5" s="1"/>
  <c r="AF8" i="5"/>
  <c r="AD79" i="5"/>
  <c r="AG79" i="5"/>
  <c r="AH79" i="5" s="1"/>
  <c r="AJ79" i="5" s="1"/>
  <c r="AE80" i="5" s="1"/>
  <c r="AF80" i="5" s="1"/>
  <c r="AK79" i="5"/>
  <c r="AJ43" i="5"/>
  <c r="AE44" i="5" s="1"/>
  <c r="AI5" i="6"/>
  <c r="AC6" i="6" s="1"/>
  <c r="AD6" i="6" s="1"/>
  <c r="AI75" i="6"/>
  <c r="AC76" i="6" s="1"/>
  <c r="AI40" i="6"/>
  <c r="AC41" i="6" s="1"/>
  <c r="AJ8" i="5" l="1"/>
  <c r="AE9" i="5" s="1"/>
  <c r="AK9" i="5" s="1"/>
  <c r="AI79" i="5"/>
  <c r="AC80" i="5" s="1"/>
  <c r="AG44" i="5"/>
  <c r="AH44" i="5" s="1"/>
  <c r="AI44" i="5" s="1"/>
  <c r="AC45" i="5" s="1"/>
  <c r="AK44" i="5"/>
  <c r="AF44" i="5"/>
  <c r="AK6" i="6"/>
  <c r="AG6" i="6"/>
  <c r="AH6" i="6" s="1"/>
  <c r="AI6" i="6" s="1"/>
  <c r="AC7" i="6" s="1"/>
  <c r="AD7" i="6" s="1"/>
  <c r="AD76" i="6"/>
  <c r="AG76" i="6"/>
  <c r="AH76" i="6" s="1"/>
  <c r="AK76" i="6"/>
  <c r="AG41" i="6"/>
  <c r="AH41" i="6" s="1"/>
  <c r="AJ41" i="6" s="1"/>
  <c r="AE42" i="6" s="1"/>
  <c r="AD41" i="6"/>
  <c r="AK41" i="6"/>
  <c r="AG9" i="5" l="1"/>
  <c r="AH9" i="5" s="1"/>
  <c r="AI9" i="5" s="1"/>
  <c r="AC10" i="5" s="1"/>
  <c r="AD10" i="5" s="1"/>
  <c r="AF9" i="5"/>
  <c r="AJ44" i="5"/>
  <c r="AE45" i="5" s="1"/>
  <c r="AF45" i="5" s="1"/>
  <c r="AG80" i="5"/>
  <c r="AH80" i="5" s="1"/>
  <c r="AJ80" i="5" s="1"/>
  <c r="AE81" i="5" s="1"/>
  <c r="AF81" i="5" s="1"/>
  <c r="AD80" i="5"/>
  <c r="AK80" i="5"/>
  <c r="AD45" i="5"/>
  <c r="AJ6" i="6"/>
  <c r="AE7" i="6" s="1"/>
  <c r="AF7" i="6" s="1"/>
  <c r="AI76" i="6"/>
  <c r="AC77" i="6" s="1"/>
  <c r="AJ76" i="6"/>
  <c r="AE77" i="6" s="1"/>
  <c r="AI41" i="6"/>
  <c r="AC42" i="6" s="1"/>
  <c r="AD42" i="6" s="1"/>
  <c r="AF42" i="6"/>
  <c r="AJ9" i="5" l="1"/>
  <c r="AE10" i="5" s="1"/>
  <c r="AG10" i="5" s="1"/>
  <c r="AH10" i="5" s="1"/>
  <c r="AI10" i="5" s="1"/>
  <c r="AC11" i="5" s="1"/>
  <c r="AD11" i="5" s="1"/>
  <c r="AG45" i="5"/>
  <c r="AH45" i="5" s="1"/>
  <c r="AI45" i="5" s="1"/>
  <c r="AC46" i="5" s="1"/>
  <c r="AD46" i="5" s="1"/>
  <c r="AK45" i="5"/>
  <c r="AI80" i="5"/>
  <c r="AC81" i="5" s="1"/>
  <c r="AK81" i="5" s="1"/>
  <c r="AK42" i="6"/>
  <c r="AG7" i="6"/>
  <c r="AH7" i="6" s="1"/>
  <c r="AK7" i="6"/>
  <c r="AG42" i="6"/>
  <c r="AH42" i="6" s="1"/>
  <c r="AI42" i="6" s="1"/>
  <c r="AC43" i="6" s="1"/>
  <c r="AD43" i="6" s="1"/>
  <c r="AK77" i="6"/>
  <c r="AF77" i="6"/>
  <c r="AD77" i="6"/>
  <c r="AG77" i="6"/>
  <c r="AH77" i="6" s="1"/>
  <c r="AF10" i="5" l="1"/>
  <c r="AJ10" i="5" s="1"/>
  <c r="AE11" i="5" s="1"/>
  <c r="AF11" i="5" s="1"/>
  <c r="AK10" i="5"/>
  <c r="AJ45" i="5"/>
  <c r="AE46" i="5" s="1"/>
  <c r="AG46" i="5" s="1"/>
  <c r="AH46" i="5" s="1"/>
  <c r="AI46" i="5" s="1"/>
  <c r="AC47" i="5" s="1"/>
  <c r="AD47" i="5" s="1"/>
  <c r="AD81" i="5"/>
  <c r="AG81" i="5"/>
  <c r="AH81" i="5" s="1"/>
  <c r="AJ42" i="6"/>
  <c r="AE43" i="6" s="1"/>
  <c r="AK43" i="6" s="1"/>
  <c r="AJ7" i="6"/>
  <c r="AE8" i="6" s="1"/>
  <c r="AI7" i="6"/>
  <c r="AC8" i="6" s="1"/>
  <c r="AI77" i="6"/>
  <c r="AC78" i="6" s="1"/>
  <c r="AD78" i="6" s="1"/>
  <c r="AJ77" i="6"/>
  <c r="AE78" i="6" s="1"/>
  <c r="AK11" i="5" l="1"/>
  <c r="AG11" i="5"/>
  <c r="AH11" i="5" s="1"/>
  <c r="AI11" i="5" s="1"/>
  <c r="AC12" i="5" s="1"/>
  <c r="AD12" i="5" s="1"/>
  <c r="AF46" i="5"/>
  <c r="AJ46" i="5" s="1"/>
  <c r="AE47" i="5" s="1"/>
  <c r="AG47" i="5" s="1"/>
  <c r="AH47" i="5" s="1"/>
  <c r="AI47" i="5" s="1"/>
  <c r="AC48" i="5" s="1"/>
  <c r="AK46" i="5"/>
  <c r="AI81" i="5"/>
  <c r="AC82" i="5" s="1"/>
  <c r="AJ81" i="5"/>
  <c r="AE82" i="5" s="1"/>
  <c r="AG43" i="6"/>
  <c r="AH43" i="6" s="1"/>
  <c r="AI43" i="6" s="1"/>
  <c r="AC44" i="6" s="1"/>
  <c r="AD44" i="6" s="1"/>
  <c r="AF43" i="6"/>
  <c r="AD8" i="6"/>
  <c r="AG8" i="6"/>
  <c r="AH8" i="6" s="1"/>
  <c r="AF8" i="6"/>
  <c r="AK8" i="6"/>
  <c r="AF78" i="6"/>
  <c r="AG78" i="6"/>
  <c r="AH78" i="6" s="1"/>
  <c r="AK78" i="6"/>
  <c r="AJ11" i="5" l="1"/>
  <c r="AE12" i="5" s="1"/>
  <c r="AG12" i="5" s="1"/>
  <c r="AH12" i="5" s="1"/>
  <c r="AI12" i="5" s="1"/>
  <c r="AC13" i="5" s="1"/>
  <c r="AD13" i="5" s="1"/>
  <c r="AF47" i="5"/>
  <c r="AJ47" i="5" s="1"/>
  <c r="AE48" i="5" s="1"/>
  <c r="AK47" i="5"/>
  <c r="AF82" i="5"/>
  <c r="AK82" i="5"/>
  <c r="AD82" i="5"/>
  <c r="AG82" i="5"/>
  <c r="AH82" i="5" s="1"/>
  <c r="AD48" i="5"/>
  <c r="AJ43" i="6"/>
  <c r="AE44" i="6" s="1"/>
  <c r="AK44" i="6" s="1"/>
  <c r="AJ8" i="6"/>
  <c r="AE9" i="6" s="1"/>
  <c r="AI8" i="6"/>
  <c r="AC9" i="6" s="1"/>
  <c r="AJ78" i="6"/>
  <c r="AE79" i="6" s="1"/>
  <c r="AF79" i="6" s="1"/>
  <c r="AI78" i="6"/>
  <c r="AC79" i="6" s="1"/>
  <c r="AK12" i="5" l="1"/>
  <c r="AF12" i="5"/>
  <c r="AJ12" i="5" s="1"/>
  <c r="AE13" i="5" s="1"/>
  <c r="AG13" i="5" s="1"/>
  <c r="AH13" i="5" s="1"/>
  <c r="AI13" i="5" s="1"/>
  <c r="AC14" i="5" s="1"/>
  <c r="AD14" i="5" s="1"/>
  <c r="AG48" i="5"/>
  <c r="AH48" i="5" s="1"/>
  <c r="AI48" i="5" s="1"/>
  <c r="AC49" i="5" s="1"/>
  <c r="AD49" i="5" s="1"/>
  <c r="AK48" i="5"/>
  <c r="AF48" i="5"/>
  <c r="AI82" i="5"/>
  <c r="AC83" i="5" s="1"/>
  <c r="AD83" i="5" s="1"/>
  <c r="AJ82" i="5"/>
  <c r="AE83" i="5" s="1"/>
  <c r="AG44" i="6"/>
  <c r="AH44" i="6" s="1"/>
  <c r="AI44" i="6" s="1"/>
  <c r="AC45" i="6" s="1"/>
  <c r="AD45" i="6" s="1"/>
  <c r="AF44" i="6"/>
  <c r="AD9" i="6"/>
  <c r="AG9" i="6"/>
  <c r="AH9" i="6" s="1"/>
  <c r="AF9" i="6"/>
  <c r="AK9" i="6"/>
  <c r="AK79" i="6"/>
  <c r="AG79" i="6"/>
  <c r="AH79" i="6" s="1"/>
  <c r="AJ79" i="6" s="1"/>
  <c r="AE80" i="6" s="1"/>
  <c r="AF80" i="6" s="1"/>
  <c r="AD79" i="6"/>
  <c r="AF13" i="5" l="1"/>
  <c r="AJ13" i="5" s="1"/>
  <c r="AE14" i="5" s="1"/>
  <c r="AG14" i="5" s="1"/>
  <c r="AH14" i="5" s="1"/>
  <c r="AI14" i="5" s="1"/>
  <c r="AC15" i="5" s="1"/>
  <c r="AK13" i="5"/>
  <c r="AJ48" i="5"/>
  <c r="AE49" i="5" s="1"/>
  <c r="AK49" i="5" s="1"/>
  <c r="AK83" i="5"/>
  <c r="AF83" i="5"/>
  <c r="AG83" i="5"/>
  <c r="AH83" i="5" s="1"/>
  <c r="AI83" i="5" s="1"/>
  <c r="AC84" i="5" s="1"/>
  <c r="AJ44" i="6"/>
  <c r="AE45" i="6" s="1"/>
  <c r="AF45" i="6" s="1"/>
  <c r="AI9" i="6"/>
  <c r="AC10" i="6" s="1"/>
  <c r="AD10" i="6" s="1"/>
  <c r="AJ9" i="6"/>
  <c r="AE10" i="6" s="1"/>
  <c r="AI79" i="6"/>
  <c r="AC80" i="6" s="1"/>
  <c r="AG80" i="6" s="1"/>
  <c r="AH80" i="6" s="1"/>
  <c r="AJ80" i="6" s="1"/>
  <c r="AE81" i="6" s="1"/>
  <c r="AF81" i="6" s="1"/>
  <c r="AK14" i="5" l="1"/>
  <c r="AF14" i="5"/>
  <c r="AJ14" i="5" s="1"/>
  <c r="AE15" i="5" s="1"/>
  <c r="AG15" i="5" s="1"/>
  <c r="AH15" i="5" s="1"/>
  <c r="AF49" i="5"/>
  <c r="AG49" i="5"/>
  <c r="AH49" i="5" s="1"/>
  <c r="AI49" i="5" s="1"/>
  <c r="AC50" i="5" s="1"/>
  <c r="AD50" i="5" s="1"/>
  <c r="AD84" i="5"/>
  <c r="AJ83" i="5"/>
  <c r="AE84" i="5" s="1"/>
  <c r="AD15" i="5"/>
  <c r="AK45" i="6"/>
  <c r="AG45" i="6"/>
  <c r="AH45" i="6" s="1"/>
  <c r="AI45" i="6" s="1"/>
  <c r="AC46" i="6" s="1"/>
  <c r="AD46" i="6" s="1"/>
  <c r="AK10" i="6"/>
  <c r="AG10" i="6"/>
  <c r="AH10" i="6" s="1"/>
  <c r="AI10" i="6" s="1"/>
  <c r="AC11" i="6" s="1"/>
  <c r="AD11" i="6" s="1"/>
  <c r="AF10" i="6"/>
  <c r="AD80" i="6"/>
  <c r="AI80" i="6" s="1"/>
  <c r="AC81" i="6" s="1"/>
  <c r="AK80" i="6"/>
  <c r="AJ49" i="5" l="1"/>
  <c r="AE50" i="5" s="1"/>
  <c r="AF50" i="5" s="1"/>
  <c r="AK84" i="5"/>
  <c r="AF84" i="5"/>
  <c r="AG84" i="5"/>
  <c r="AH84" i="5" s="1"/>
  <c r="AI84" i="5" s="1"/>
  <c r="AC85" i="5" s="1"/>
  <c r="AI15" i="5"/>
  <c r="AC16" i="5" s="1"/>
  <c r="AD16" i="5" s="1"/>
  <c r="AF15" i="5"/>
  <c r="AJ15" i="5" s="1"/>
  <c r="AE16" i="5" s="1"/>
  <c r="AK15" i="5"/>
  <c r="AJ45" i="6"/>
  <c r="AE46" i="6" s="1"/>
  <c r="AK46" i="6" s="1"/>
  <c r="AJ10" i="6"/>
  <c r="AE11" i="6" s="1"/>
  <c r="AG81" i="6"/>
  <c r="AH81" i="6" s="1"/>
  <c r="AJ81" i="6" s="1"/>
  <c r="AE82" i="6" s="1"/>
  <c r="AF82" i="6" s="1"/>
  <c r="AD81" i="6"/>
  <c r="AK81" i="6"/>
  <c r="AK50" i="5" l="1"/>
  <c r="AG50" i="5"/>
  <c r="AH50" i="5" s="1"/>
  <c r="AI50" i="5" s="1"/>
  <c r="AC51" i="5" s="1"/>
  <c r="AD51" i="5" s="1"/>
  <c r="AD85" i="5"/>
  <c r="AJ84" i="5"/>
  <c r="AE85" i="5" s="1"/>
  <c r="AG16" i="5"/>
  <c r="AH16" i="5" s="1"/>
  <c r="AI16" i="5" s="1"/>
  <c r="AC17" i="5" s="1"/>
  <c r="AD17" i="5" s="1"/>
  <c r="AF16" i="5"/>
  <c r="AK16" i="5"/>
  <c r="AG46" i="6"/>
  <c r="AH46" i="6" s="1"/>
  <c r="AI46" i="6" s="1"/>
  <c r="AC47" i="6" s="1"/>
  <c r="AD47" i="6" s="1"/>
  <c r="AF46" i="6"/>
  <c r="AG11" i="6"/>
  <c r="AH11" i="6" s="1"/>
  <c r="AI11" i="6" s="1"/>
  <c r="AC12" i="6" s="1"/>
  <c r="AF11" i="6"/>
  <c r="AK11" i="6"/>
  <c r="AI81" i="6"/>
  <c r="AC82" i="6" s="1"/>
  <c r="AK82" i="6" s="1"/>
  <c r="AJ50" i="5" l="1"/>
  <c r="AE51" i="5" s="1"/>
  <c r="AK51" i="5" s="1"/>
  <c r="AK85" i="5"/>
  <c r="AF85" i="5"/>
  <c r="AG85" i="5"/>
  <c r="AH85" i="5" s="1"/>
  <c r="AI85" i="5" s="1"/>
  <c r="AC86" i="5" s="1"/>
  <c r="AD86" i="5" s="1"/>
  <c r="AJ16" i="5"/>
  <c r="AE17" i="5" s="1"/>
  <c r="AG17" i="5" s="1"/>
  <c r="AH17" i="5" s="1"/>
  <c r="AI17" i="5" s="1"/>
  <c r="AC18" i="5" s="1"/>
  <c r="AD18" i="5" s="1"/>
  <c r="AJ46" i="6"/>
  <c r="AE47" i="6" s="1"/>
  <c r="AG47" i="6" s="1"/>
  <c r="AH47" i="6" s="1"/>
  <c r="AI47" i="6" s="1"/>
  <c r="AC48" i="6" s="1"/>
  <c r="AJ11" i="6"/>
  <c r="AE12" i="6" s="1"/>
  <c r="AK12" i="6" s="1"/>
  <c r="AG82" i="6"/>
  <c r="AH82" i="6" s="1"/>
  <c r="AJ82" i="6" s="1"/>
  <c r="AE83" i="6" s="1"/>
  <c r="AF83" i="6" s="1"/>
  <c r="AD12" i="6"/>
  <c r="AD82" i="6"/>
  <c r="AG51" i="5" l="1"/>
  <c r="AH51" i="5" s="1"/>
  <c r="AI51" i="5" s="1"/>
  <c r="AC52" i="5" s="1"/>
  <c r="AD52" i="5" s="1"/>
  <c r="AF51" i="5"/>
  <c r="AJ85" i="5"/>
  <c r="AE86" i="5" s="1"/>
  <c r="AF17" i="5"/>
  <c r="AJ17" i="5" s="1"/>
  <c r="AE18" i="5" s="1"/>
  <c r="AK17" i="5"/>
  <c r="AF47" i="6"/>
  <c r="AJ47" i="6" s="1"/>
  <c r="AE48" i="6" s="1"/>
  <c r="AG48" i="6" s="1"/>
  <c r="AH48" i="6" s="1"/>
  <c r="AK47" i="6"/>
  <c r="AI82" i="6"/>
  <c r="AC83" i="6" s="1"/>
  <c r="AD83" i="6" s="1"/>
  <c r="AG12" i="6"/>
  <c r="AH12" i="6" s="1"/>
  <c r="AI12" i="6" s="1"/>
  <c r="AC13" i="6" s="1"/>
  <c r="AD13" i="6" s="1"/>
  <c r="AF12" i="6"/>
  <c r="AD48" i="6"/>
  <c r="AJ51" i="5" l="1"/>
  <c r="AE52" i="5" s="1"/>
  <c r="AG52" i="5" s="1"/>
  <c r="AH52" i="5" s="1"/>
  <c r="AI52" i="5" s="1"/>
  <c r="AC53" i="5" s="1"/>
  <c r="AD53" i="5" s="1"/>
  <c r="AG18" i="5"/>
  <c r="AH18" i="5" s="1"/>
  <c r="AI18" i="5" s="1"/>
  <c r="AC19" i="5" s="1"/>
  <c r="AD19" i="5" s="1"/>
  <c r="AF18" i="5"/>
  <c r="AK18" i="5"/>
  <c r="AG86" i="5"/>
  <c r="AH86" i="5" s="1"/>
  <c r="AI86" i="5" s="1"/>
  <c r="AC87" i="5" s="1"/>
  <c r="AK86" i="5"/>
  <c r="AF86" i="5"/>
  <c r="AJ12" i="6"/>
  <c r="AE13" i="6" s="1"/>
  <c r="AK13" i="6" s="1"/>
  <c r="AG83" i="6"/>
  <c r="AH83" i="6" s="1"/>
  <c r="AI83" i="6" s="1"/>
  <c r="AC84" i="6" s="1"/>
  <c r="AK83" i="6"/>
  <c r="AK48" i="6"/>
  <c r="AI48" i="6"/>
  <c r="AC49" i="6" s="1"/>
  <c r="AD49" i="6" s="1"/>
  <c r="AF48" i="6"/>
  <c r="AJ48" i="6" s="1"/>
  <c r="AE49" i="6" s="1"/>
  <c r="AK52" i="5" l="1"/>
  <c r="AF52" i="5"/>
  <c r="AJ52" i="5" s="1"/>
  <c r="AE53" i="5" s="1"/>
  <c r="AJ18" i="5"/>
  <c r="AE19" i="5" s="1"/>
  <c r="AG19" i="5" s="1"/>
  <c r="AH19" i="5" s="1"/>
  <c r="AI19" i="5" s="1"/>
  <c r="AC20" i="5" s="1"/>
  <c r="AD20" i="5" s="1"/>
  <c r="AJ86" i="5"/>
  <c r="AE87" i="5" s="1"/>
  <c r="AK87" i="5" s="1"/>
  <c r="AD87" i="5"/>
  <c r="AF13" i="6"/>
  <c r="AG13" i="6"/>
  <c r="AH13" i="6" s="1"/>
  <c r="AI13" i="6" s="1"/>
  <c r="AC14" i="6" s="1"/>
  <c r="AD14" i="6" s="1"/>
  <c r="AJ83" i="6"/>
  <c r="AE84" i="6" s="1"/>
  <c r="AF84" i="6" s="1"/>
  <c r="AD84" i="6"/>
  <c r="AG49" i="6"/>
  <c r="AH49" i="6" s="1"/>
  <c r="AI49" i="6" s="1"/>
  <c r="AC50" i="6" s="1"/>
  <c r="AD50" i="6" s="1"/>
  <c r="AK49" i="6"/>
  <c r="AF49" i="6"/>
  <c r="AG87" i="5" l="1"/>
  <c r="AH87" i="5" s="1"/>
  <c r="AI87" i="5" s="1"/>
  <c r="AC88" i="5" s="1"/>
  <c r="AD88" i="5" s="1"/>
  <c r="AF87" i="5"/>
  <c r="AK19" i="5"/>
  <c r="AF19" i="5"/>
  <c r="AJ19" i="5" s="1"/>
  <c r="AE20" i="5" s="1"/>
  <c r="AG20" i="5" s="1"/>
  <c r="AH20" i="5" s="1"/>
  <c r="AI20" i="5" s="1"/>
  <c r="AC21" i="5" s="1"/>
  <c r="AD21" i="5" s="1"/>
  <c r="AK53" i="5"/>
  <c r="AF53" i="5"/>
  <c r="AG53" i="5"/>
  <c r="AH53" i="5" s="1"/>
  <c r="AI53" i="5" s="1"/>
  <c r="AC54" i="5" s="1"/>
  <c r="AD54" i="5" s="1"/>
  <c r="AJ13" i="6"/>
  <c r="AE14" i="6" s="1"/>
  <c r="AK14" i="6" s="1"/>
  <c r="AG84" i="6"/>
  <c r="AH84" i="6" s="1"/>
  <c r="AI84" i="6" s="1"/>
  <c r="AC85" i="6" s="1"/>
  <c r="AD85" i="6" s="1"/>
  <c r="AK84" i="6"/>
  <c r="AJ49" i="6"/>
  <c r="AE50" i="6" s="1"/>
  <c r="AG50" i="6" s="1"/>
  <c r="AH50" i="6" s="1"/>
  <c r="AI50" i="6" s="1"/>
  <c r="AC51" i="6" s="1"/>
  <c r="AD51" i="6" s="1"/>
  <c r="AJ87" i="5" l="1"/>
  <c r="AE88" i="5" s="1"/>
  <c r="AG88" i="5" s="1"/>
  <c r="AH88" i="5" s="1"/>
  <c r="AI88" i="5" s="1"/>
  <c r="AC89" i="5" s="1"/>
  <c r="AF20" i="5"/>
  <c r="AJ20" i="5" s="1"/>
  <c r="AE21" i="5" s="1"/>
  <c r="AK20" i="5"/>
  <c r="AJ53" i="5"/>
  <c r="AE54" i="5" s="1"/>
  <c r="AJ84" i="6"/>
  <c r="AE85" i="6" s="1"/>
  <c r="AF85" i="6" s="1"/>
  <c r="AF14" i="6"/>
  <c r="AG14" i="6"/>
  <c r="AH14" i="6" s="1"/>
  <c r="AI14" i="6" s="1"/>
  <c r="AC15" i="6" s="1"/>
  <c r="AD15" i="6" s="1"/>
  <c r="AF50" i="6"/>
  <c r="AJ50" i="6" s="1"/>
  <c r="AE51" i="6" s="1"/>
  <c r="AF51" i="6" s="1"/>
  <c r="AK50" i="6"/>
  <c r="AK88" i="5" l="1"/>
  <c r="AF88" i="5"/>
  <c r="AJ88" i="5" s="1"/>
  <c r="AE89" i="5" s="1"/>
  <c r="AK21" i="5"/>
  <c r="AF21" i="5"/>
  <c r="AG21" i="5"/>
  <c r="AH21" i="5" s="1"/>
  <c r="AI21" i="5" s="1"/>
  <c r="AC22" i="5" s="1"/>
  <c r="AD22" i="5" s="1"/>
  <c r="AD89" i="5"/>
  <c r="AG54" i="5"/>
  <c r="AH54" i="5" s="1"/>
  <c r="AI54" i="5" s="1"/>
  <c r="AC55" i="5" s="1"/>
  <c r="AF54" i="5"/>
  <c r="AK54" i="5"/>
  <c r="AK85" i="6"/>
  <c r="AG85" i="6"/>
  <c r="AH85" i="6" s="1"/>
  <c r="AI85" i="6" s="1"/>
  <c r="AC86" i="6" s="1"/>
  <c r="AD86" i="6" s="1"/>
  <c r="AJ14" i="6"/>
  <c r="AE15" i="6" s="1"/>
  <c r="AF15" i="6" s="1"/>
  <c r="AK51" i="6"/>
  <c r="AG51" i="6"/>
  <c r="AH51" i="6" s="1"/>
  <c r="AI51" i="6" s="1"/>
  <c r="AC52" i="6" s="1"/>
  <c r="AD52" i="6" s="1"/>
  <c r="AJ21" i="5" l="1"/>
  <c r="AE22" i="5" s="1"/>
  <c r="AK89" i="5"/>
  <c r="AF89" i="5"/>
  <c r="AG89" i="5"/>
  <c r="AH89" i="5" s="1"/>
  <c r="AI89" i="5" s="1"/>
  <c r="AC90" i="5" s="1"/>
  <c r="AJ54" i="5"/>
  <c r="AE55" i="5" s="1"/>
  <c r="AF55" i="5" s="1"/>
  <c r="AD55" i="5"/>
  <c r="AJ85" i="6"/>
  <c r="AE86" i="6" s="1"/>
  <c r="AK86" i="6" s="1"/>
  <c r="AG15" i="6"/>
  <c r="AH15" i="6" s="1"/>
  <c r="AI15" i="6" s="1"/>
  <c r="AC16" i="6" s="1"/>
  <c r="AK15" i="6"/>
  <c r="AJ51" i="6"/>
  <c r="AE52" i="6" s="1"/>
  <c r="AK52" i="6" s="1"/>
  <c r="AG22" i="5" l="1"/>
  <c r="AH22" i="5" s="1"/>
  <c r="AI22" i="5" s="1"/>
  <c r="AC23" i="5" s="1"/>
  <c r="AK22" i="5"/>
  <c r="AF22" i="5"/>
  <c r="AD90" i="5"/>
  <c r="AJ89" i="5"/>
  <c r="AE90" i="5" s="1"/>
  <c r="AG55" i="5"/>
  <c r="AH55" i="5" s="1"/>
  <c r="AI55" i="5" s="1"/>
  <c r="AC56" i="5" s="1"/>
  <c r="AD56" i="5" s="1"/>
  <c r="AK55" i="5"/>
  <c r="AG86" i="6"/>
  <c r="AH86" i="6" s="1"/>
  <c r="AI86" i="6" s="1"/>
  <c r="AC87" i="6" s="1"/>
  <c r="AD87" i="6" s="1"/>
  <c r="AF86" i="6"/>
  <c r="AJ15" i="6"/>
  <c r="AE16" i="6" s="1"/>
  <c r="AF16" i="6" s="1"/>
  <c r="AD16" i="6"/>
  <c r="AG52" i="6"/>
  <c r="AH52" i="6" s="1"/>
  <c r="AI52" i="6" s="1"/>
  <c r="AC53" i="6" s="1"/>
  <c r="AD53" i="6" s="1"/>
  <c r="AF52" i="6"/>
  <c r="AD23" i="5" l="1"/>
  <c r="AJ22" i="5"/>
  <c r="AE23" i="5" s="1"/>
  <c r="AK90" i="5"/>
  <c r="AF90" i="5"/>
  <c r="AG90" i="5"/>
  <c r="AH90" i="5" s="1"/>
  <c r="AI90" i="5" s="1"/>
  <c r="AC91" i="5" s="1"/>
  <c r="AJ55" i="5"/>
  <c r="AE56" i="5" s="1"/>
  <c r="AG56" i="5" s="1"/>
  <c r="AH56" i="5" s="1"/>
  <c r="AI56" i="5" s="1"/>
  <c r="AC57" i="5" s="1"/>
  <c r="AD57" i="5" s="1"/>
  <c r="AJ86" i="6"/>
  <c r="AE87" i="6" s="1"/>
  <c r="AF87" i="6" s="1"/>
  <c r="AG16" i="6"/>
  <c r="AH16" i="6" s="1"/>
  <c r="AJ16" i="6" s="1"/>
  <c r="AE17" i="6" s="1"/>
  <c r="AK16" i="6"/>
  <c r="AJ52" i="6"/>
  <c r="AE53" i="6" s="1"/>
  <c r="AF53" i="6" s="1"/>
  <c r="AF23" i="5" l="1"/>
  <c r="AK23" i="5"/>
  <c r="AG23" i="5"/>
  <c r="AH23" i="5" s="1"/>
  <c r="AI23" i="5" s="1"/>
  <c r="AC24" i="5" s="1"/>
  <c r="AD24" i="5" s="1"/>
  <c r="AD91" i="5"/>
  <c r="AJ90" i="5"/>
  <c r="AE91" i="5" s="1"/>
  <c r="AF56" i="5"/>
  <c r="AJ56" i="5" s="1"/>
  <c r="AE57" i="5" s="1"/>
  <c r="AK56" i="5"/>
  <c r="AK87" i="6"/>
  <c r="AG87" i="6"/>
  <c r="AH87" i="6" s="1"/>
  <c r="AI87" i="6" s="1"/>
  <c r="AC88" i="6" s="1"/>
  <c r="AD88" i="6" s="1"/>
  <c r="AI16" i="6"/>
  <c r="AC17" i="6" s="1"/>
  <c r="AD17" i="6" s="1"/>
  <c r="AK53" i="6"/>
  <c r="AG53" i="6"/>
  <c r="AH53" i="6" s="1"/>
  <c r="AI53" i="6" s="1"/>
  <c r="AC54" i="6" s="1"/>
  <c r="AD54" i="6" s="1"/>
  <c r="AF17" i="6"/>
  <c r="AJ23" i="5" l="1"/>
  <c r="AE24" i="5" s="1"/>
  <c r="AF57" i="5"/>
  <c r="AG57" i="5"/>
  <c r="AH57" i="5" s="1"/>
  <c r="AI57" i="5" s="1"/>
  <c r="AC58" i="5" s="1"/>
  <c r="AD58" i="5" s="1"/>
  <c r="AK57" i="5"/>
  <c r="AF91" i="5"/>
  <c r="AK91" i="5"/>
  <c r="AG91" i="5"/>
  <c r="AH91" i="5" s="1"/>
  <c r="AI91" i="5" s="1"/>
  <c r="AC92" i="5" s="1"/>
  <c r="AJ87" i="6"/>
  <c r="AE88" i="6" s="1"/>
  <c r="AG88" i="6" s="1"/>
  <c r="AH88" i="6" s="1"/>
  <c r="AI88" i="6" s="1"/>
  <c r="AC89" i="6" s="1"/>
  <c r="AD89" i="6" s="1"/>
  <c r="AG17" i="6"/>
  <c r="AH17" i="6" s="1"/>
  <c r="AI17" i="6" s="1"/>
  <c r="AC18" i="6" s="1"/>
  <c r="AD18" i="6" s="1"/>
  <c r="AK17" i="6"/>
  <c r="AJ53" i="6"/>
  <c r="AE54" i="6" s="1"/>
  <c r="AK54" i="6" s="1"/>
  <c r="AF24" i="5" l="1"/>
  <c r="AK24" i="5"/>
  <c r="AG24" i="5"/>
  <c r="AH24" i="5" s="1"/>
  <c r="AI24" i="5" s="1"/>
  <c r="AC25" i="5" s="1"/>
  <c r="AD25" i="5" s="1"/>
  <c r="AJ57" i="5"/>
  <c r="AE58" i="5" s="1"/>
  <c r="AF58" i="5" s="1"/>
  <c r="AJ91" i="5"/>
  <c r="AE92" i="5" s="1"/>
  <c r="AG92" i="5" s="1"/>
  <c r="AH92" i="5" s="1"/>
  <c r="AD92" i="5"/>
  <c r="AF88" i="6"/>
  <c r="AJ88" i="6" s="1"/>
  <c r="AE89" i="6" s="1"/>
  <c r="AK88" i="6"/>
  <c r="AJ17" i="6"/>
  <c r="AE18" i="6" s="1"/>
  <c r="AF18" i="6" s="1"/>
  <c r="AF54" i="6"/>
  <c r="AG54" i="6"/>
  <c r="AH54" i="6" s="1"/>
  <c r="AI54" i="6" s="1"/>
  <c r="AC55" i="6" s="1"/>
  <c r="AD55" i="6" s="1"/>
  <c r="AK58" i="5" l="1"/>
  <c r="AG58" i="5"/>
  <c r="AH58" i="5" s="1"/>
  <c r="AI58" i="5" s="1"/>
  <c r="AC59" i="5" s="1"/>
  <c r="AD59" i="5" s="1"/>
  <c r="AJ24" i="5"/>
  <c r="AE25" i="5" s="1"/>
  <c r="AI92" i="5"/>
  <c r="AC93" i="5" s="1"/>
  <c r="AF92" i="5"/>
  <c r="AJ92" i="5" s="1"/>
  <c r="AE93" i="5" s="1"/>
  <c r="AF93" i="5" s="1"/>
  <c r="AK92" i="5"/>
  <c r="AG18" i="6"/>
  <c r="AH18" i="6" s="1"/>
  <c r="AI18" i="6" s="1"/>
  <c r="AC19" i="6" s="1"/>
  <c r="AD19" i="6" s="1"/>
  <c r="AK18" i="6"/>
  <c r="AJ54" i="6"/>
  <c r="AE55" i="6" s="1"/>
  <c r="AG55" i="6" s="1"/>
  <c r="AH55" i="6" s="1"/>
  <c r="AI55" i="6" s="1"/>
  <c r="AC56" i="6" s="1"/>
  <c r="AD56" i="6" s="1"/>
  <c r="AF89" i="6"/>
  <c r="AG89" i="6"/>
  <c r="AH89" i="6" s="1"/>
  <c r="AI89" i="6" s="1"/>
  <c r="AC90" i="6" s="1"/>
  <c r="AD90" i="6" s="1"/>
  <c r="AK89" i="6"/>
  <c r="AJ58" i="5" l="1"/>
  <c r="AE59" i="5" s="1"/>
  <c r="AF59" i="5" s="1"/>
  <c r="AK25" i="5"/>
  <c r="AF25" i="5"/>
  <c r="AG25" i="5"/>
  <c r="AH25" i="5" s="1"/>
  <c r="AI25" i="5" s="1"/>
  <c r="AC26" i="5" s="1"/>
  <c r="AD26" i="5" s="1"/>
  <c r="AK93" i="5"/>
  <c r="AG93" i="5"/>
  <c r="AH93" i="5" s="1"/>
  <c r="AJ93" i="5" s="1"/>
  <c r="AE94" i="5" s="1"/>
  <c r="AF94" i="5" s="1"/>
  <c r="AD93" i="5"/>
  <c r="AJ18" i="6"/>
  <c r="AE19" i="6" s="1"/>
  <c r="AG19" i="6" s="1"/>
  <c r="AH19" i="6" s="1"/>
  <c r="AI19" i="6" s="1"/>
  <c r="AC20" i="6" s="1"/>
  <c r="AK55" i="6"/>
  <c r="AF55" i="6"/>
  <c r="AJ55" i="6" s="1"/>
  <c r="AE56" i="6" s="1"/>
  <c r="AJ89" i="6"/>
  <c r="AE90" i="6" s="1"/>
  <c r="AG59" i="5" l="1"/>
  <c r="AH59" i="5" s="1"/>
  <c r="AI59" i="5" s="1"/>
  <c r="AC60" i="5" s="1"/>
  <c r="AD60" i="5" s="1"/>
  <c r="AK59" i="5"/>
  <c r="AJ25" i="5"/>
  <c r="AE26" i="5" s="1"/>
  <c r="AI93" i="5"/>
  <c r="AC94" i="5" s="1"/>
  <c r="AK19" i="6"/>
  <c r="AF19" i="6"/>
  <c r="AJ19" i="6" s="1"/>
  <c r="AE20" i="6" s="1"/>
  <c r="AK20" i="6" s="1"/>
  <c r="AD20" i="6"/>
  <c r="AK90" i="6"/>
  <c r="AF90" i="6"/>
  <c r="AG90" i="6"/>
  <c r="AH90" i="6" s="1"/>
  <c r="AI90" i="6" s="1"/>
  <c r="AC91" i="6" s="1"/>
  <c r="AD91" i="6" s="1"/>
  <c r="AK56" i="6"/>
  <c r="AG56" i="6"/>
  <c r="AH56" i="6" s="1"/>
  <c r="AI56" i="6" s="1"/>
  <c r="AC57" i="6" s="1"/>
  <c r="AD57" i="6" s="1"/>
  <c r="AF56" i="6"/>
  <c r="AJ59" i="5" l="1"/>
  <c r="AE60" i="5" s="1"/>
  <c r="AK60" i="5" s="1"/>
  <c r="AG26" i="5"/>
  <c r="AH26" i="5" s="1"/>
  <c r="AI26" i="5" s="1"/>
  <c r="AC27" i="5" s="1"/>
  <c r="AD27" i="5" s="1"/>
  <c r="AF26" i="5"/>
  <c r="AK26" i="5"/>
  <c r="AD94" i="5"/>
  <c r="AK94" i="5"/>
  <c r="AG94" i="5"/>
  <c r="AH94" i="5" s="1"/>
  <c r="AJ94" i="5" s="1"/>
  <c r="AE95" i="5" s="1"/>
  <c r="AF95" i="5" s="1"/>
  <c r="AG20" i="6"/>
  <c r="AH20" i="6" s="1"/>
  <c r="AI20" i="6" s="1"/>
  <c r="AC21" i="6" s="1"/>
  <c r="AD21" i="6" s="1"/>
  <c r="AF20" i="6"/>
  <c r="AJ90" i="6"/>
  <c r="AE91" i="6" s="1"/>
  <c r="AJ56" i="6"/>
  <c r="AE57" i="6" s="1"/>
  <c r="AG60" i="5" l="1"/>
  <c r="AH60" i="5" s="1"/>
  <c r="AI60" i="5" s="1"/>
  <c r="AC61" i="5" s="1"/>
  <c r="AD61" i="5" s="1"/>
  <c r="AF60" i="5"/>
  <c r="AJ26" i="5"/>
  <c r="AE27" i="5" s="1"/>
  <c r="AG27" i="5" s="1"/>
  <c r="AH27" i="5" s="1"/>
  <c r="AI27" i="5" s="1"/>
  <c r="AC28" i="5" s="1"/>
  <c r="AI94" i="5"/>
  <c r="AC95" i="5" s="1"/>
  <c r="AJ20" i="6"/>
  <c r="AE21" i="6" s="1"/>
  <c r="AK21" i="6" s="1"/>
  <c r="AK91" i="6"/>
  <c r="AG91" i="6"/>
  <c r="AH91" i="6" s="1"/>
  <c r="AI91" i="6" s="1"/>
  <c r="AC92" i="6" s="1"/>
  <c r="AD92" i="6" s="1"/>
  <c r="AF91" i="6"/>
  <c r="AK57" i="6"/>
  <c r="AG57" i="6"/>
  <c r="AH57" i="6" s="1"/>
  <c r="AI57" i="6" s="1"/>
  <c r="AC58" i="6" s="1"/>
  <c r="AD58" i="6" s="1"/>
  <c r="AF57" i="6"/>
  <c r="AJ60" i="5" l="1"/>
  <c r="AE61" i="5" s="1"/>
  <c r="AK61" i="5" s="1"/>
  <c r="AK27" i="5"/>
  <c r="AF27" i="5"/>
  <c r="AJ27" i="5" s="1"/>
  <c r="AE28" i="5" s="1"/>
  <c r="AF28" i="5" s="1"/>
  <c r="AD28" i="5"/>
  <c r="AD95" i="5"/>
  <c r="AK95" i="5"/>
  <c r="AG95" i="5"/>
  <c r="AH95" i="5" s="1"/>
  <c r="AG21" i="6"/>
  <c r="AH21" i="6" s="1"/>
  <c r="AI21" i="6" s="1"/>
  <c r="AC22" i="6" s="1"/>
  <c r="AD22" i="6" s="1"/>
  <c r="AF21" i="6"/>
  <c r="AJ91" i="6"/>
  <c r="AE92" i="6" s="1"/>
  <c r="AJ57" i="6"/>
  <c r="AE58" i="6" s="1"/>
  <c r="AK58" i="6" s="1"/>
  <c r="AG61" i="5" l="1"/>
  <c r="AH61" i="5" s="1"/>
  <c r="AI61" i="5" s="1"/>
  <c r="AC62" i="5" s="1"/>
  <c r="AD62" i="5" s="1"/>
  <c r="AF61" i="5"/>
  <c r="AK28" i="5"/>
  <c r="AG28" i="5"/>
  <c r="AH28" i="5" s="1"/>
  <c r="AI28" i="5" s="1"/>
  <c r="AC29" i="5" s="1"/>
  <c r="AD29" i="5" s="1"/>
  <c r="AI95" i="5"/>
  <c r="AC96" i="5" s="1"/>
  <c r="AD96" i="5" s="1"/>
  <c r="AJ95" i="5"/>
  <c r="AE96" i="5" s="1"/>
  <c r="AJ21" i="6"/>
  <c r="AE22" i="6" s="1"/>
  <c r="AF22" i="6" s="1"/>
  <c r="AG92" i="6"/>
  <c r="AH92" i="6" s="1"/>
  <c r="AI92" i="6" s="1"/>
  <c r="AC93" i="6" s="1"/>
  <c r="AD93" i="6" s="1"/>
  <c r="AF92" i="6"/>
  <c r="AK92" i="6"/>
  <c r="AF58" i="6"/>
  <c r="AG58" i="6"/>
  <c r="AH58" i="6" s="1"/>
  <c r="AI58" i="6" s="1"/>
  <c r="AC59" i="6" s="1"/>
  <c r="AD59" i="6" s="1"/>
  <c r="AJ61" i="5" l="1"/>
  <c r="AE62" i="5" s="1"/>
  <c r="AK62" i="5" s="1"/>
  <c r="AJ28" i="5"/>
  <c r="AE29" i="5" s="1"/>
  <c r="AG96" i="5"/>
  <c r="AH96" i="5" s="1"/>
  <c r="AI96" i="5" s="1"/>
  <c r="AC97" i="5" s="1"/>
  <c r="AF96" i="5"/>
  <c r="AK96" i="5"/>
  <c r="AK22" i="6"/>
  <c r="AG22" i="6"/>
  <c r="AH22" i="6" s="1"/>
  <c r="AI22" i="6" s="1"/>
  <c r="AC23" i="6" s="1"/>
  <c r="AD23" i="6" s="1"/>
  <c r="AJ92" i="6"/>
  <c r="AE93" i="6" s="1"/>
  <c r="AJ58" i="6"/>
  <c r="AE59" i="6" s="1"/>
  <c r="AG59" i="6" s="1"/>
  <c r="AH59" i="6" s="1"/>
  <c r="AI59" i="6" s="1"/>
  <c r="AC60" i="6" s="1"/>
  <c r="AF62" i="5" l="1"/>
  <c r="AG62" i="5"/>
  <c r="AH62" i="5" s="1"/>
  <c r="AI62" i="5" s="1"/>
  <c r="AC63" i="5" s="1"/>
  <c r="AD63" i="5" s="1"/>
  <c r="AF29" i="5"/>
  <c r="AK29" i="5"/>
  <c r="AG29" i="5"/>
  <c r="AH29" i="5" s="1"/>
  <c r="AI29" i="5" s="1"/>
  <c r="AC30" i="5" s="1"/>
  <c r="AJ96" i="5"/>
  <c r="AE97" i="5" s="1"/>
  <c r="AG97" i="5" s="1"/>
  <c r="AH97" i="5" s="1"/>
  <c r="AD97" i="5"/>
  <c r="AJ22" i="6"/>
  <c r="AE23" i="6" s="1"/>
  <c r="AK23" i="6" s="1"/>
  <c r="AF93" i="6"/>
  <c r="AK93" i="6"/>
  <c r="AG93" i="6"/>
  <c r="AH93" i="6" s="1"/>
  <c r="AI93" i="6" s="1"/>
  <c r="AC94" i="6" s="1"/>
  <c r="AK59" i="6"/>
  <c r="AF59" i="6"/>
  <c r="AJ59" i="6" s="1"/>
  <c r="AE60" i="6" s="1"/>
  <c r="AD60" i="6"/>
  <c r="AF97" i="5" l="1"/>
  <c r="AJ97" i="5" s="1"/>
  <c r="AE98" i="5" s="1"/>
  <c r="AJ62" i="5"/>
  <c r="AE63" i="5" s="1"/>
  <c r="AF63" i="5" s="1"/>
  <c r="AD30" i="5"/>
  <c r="AJ29" i="5"/>
  <c r="AE30" i="5" s="1"/>
  <c r="AG30" i="5" s="1"/>
  <c r="AH30" i="5" s="1"/>
  <c r="AK97" i="5"/>
  <c r="AI97" i="5"/>
  <c r="AC98" i="5" s="1"/>
  <c r="AD98" i="5" s="1"/>
  <c r="AF23" i="6"/>
  <c r="AG23" i="6"/>
  <c r="AH23" i="6" s="1"/>
  <c r="AI23" i="6" s="1"/>
  <c r="AC24" i="6" s="1"/>
  <c r="AD24" i="6" s="1"/>
  <c r="AD94" i="6"/>
  <c r="AJ93" i="6"/>
  <c r="AE94" i="6" s="1"/>
  <c r="AG94" i="6" s="1"/>
  <c r="AH94" i="6" s="1"/>
  <c r="AK60" i="6"/>
  <c r="AF60" i="6"/>
  <c r="AG60" i="6"/>
  <c r="AH60" i="6" s="1"/>
  <c r="AI60" i="6" s="1"/>
  <c r="AC61" i="6" s="1"/>
  <c r="AG63" i="5" l="1"/>
  <c r="AH63" i="5" s="1"/>
  <c r="AK63" i="5"/>
  <c r="AI30" i="5"/>
  <c r="AC31" i="5" s="1"/>
  <c r="AD31" i="5" s="1"/>
  <c r="AF30" i="5"/>
  <c r="AJ30" i="5" s="1"/>
  <c r="AE31" i="5" s="1"/>
  <c r="AK30" i="5"/>
  <c r="AK98" i="5"/>
  <c r="AF98" i="5"/>
  <c r="AG98" i="5"/>
  <c r="AH98" i="5" s="1"/>
  <c r="AI98" i="5" s="1"/>
  <c r="AC99" i="5" s="1"/>
  <c r="AD99" i="5" s="1"/>
  <c r="AJ23" i="6"/>
  <c r="AE24" i="6" s="1"/>
  <c r="AI94" i="6"/>
  <c r="AC95" i="6" s="1"/>
  <c r="AD95" i="6" s="1"/>
  <c r="AF94" i="6"/>
  <c r="AJ94" i="6" s="1"/>
  <c r="AE95" i="6" s="1"/>
  <c r="AK94" i="6"/>
  <c r="AJ60" i="6"/>
  <c r="AE61" i="6" s="1"/>
  <c r="AF61" i="6" s="1"/>
  <c r="AD61" i="6"/>
  <c r="AI63" i="5" l="1"/>
  <c r="AC64" i="5" s="1"/>
  <c r="AJ63" i="5"/>
  <c r="AE64" i="5" s="1"/>
  <c r="AG31" i="5"/>
  <c r="AH31" i="5" s="1"/>
  <c r="AI31" i="5" s="1"/>
  <c r="AC32" i="5" s="1"/>
  <c r="AF31" i="5"/>
  <c r="AK31" i="5"/>
  <c r="AJ98" i="5"/>
  <c r="AE99" i="5" s="1"/>
  <c r="AK24" i="6"/>
  <c r="AG24" i="6"/>
  <c r="AH24" i="6" s="1"/>
  <c r="AI24" i="6" s="1"/>
  <c r="AC25" i="6" s="1"/>
  <c r="AD25" i="6" s="1"/>
  <c r="AF24" i="6"/>
  <c r="AF95" i="6"/>
  <c r="AK95" i="6"/>
  <c r="AG95" i="6"/>
  <c r="AH95" i="6" s="1"/>
  <c r="AI95" i="6" s="1"/>
  <c r="AC96" i="6" s="1"/>
  <c r="AK61" i="6"/>
  <c r="AG61" i="6"/>
  <c r="AH61" i="6" s="1"/>
  <c r="AI61" i="6" s="1"/>
  <c r="AC62" i="6" s="1"/>
  <c r="AD62" i="6" s="1"/>
  <c r="AK64" i="5" l="1"/>
  <c r="AF64" i="5"/>
  <c r="AD64" i="5"/>
  <c r="AG64" i="5"/>
  <c r="AH64" i="5" s="1"/>
  <c r="AJ31" i="5"/>
  <c r="AE32" i="5" s="1"/>
  <c r="AF32" i="5" s="1"/>
  <c r="AD32" i="5"/>
  <c r="AG99" i="5"/>
  <c r="AH99" i="5" s="1"/>
  <c r="AI99" i="5" s="1"/>
  <c r="AC100" i="5" s="1"/>
  <c r="AD100" i="5" s="1"/>
  <c r="AF99" i="5"/>
  <c r="AK99" i="5"/>
  <c r="AJ24" i="6"/>
  <c r="AE25" i="6" s="1"/>
  <c r="AD96" i="6"/>
  <c r="AJ95" i="6"/>
  <c r="AE96" i="6" s="1"/>
  <c r="AG96" i="6" s="1"/>
  <c r="AH96" i="6" s="1"/>
  <c r="AJ61" i="6"/>
  <c r="AE62" i="6" s="1"/>
  <c r="AF62" i="6" s="1"/>
  <c r="AI64" i="5" l="1"/>
  <c r="AC65" i="5" s="1"/>
  <c r="AD65" i="5" s="1"/>
  <c r="AJ64" i="5"/>
  <c r="AE65" i="5" s="1"/>
  <c r="AK32" i="5"/>
  <c r="AG32" i="5"/>
  <c r="AH32" i="5" s="1"/>
  <c r="AI32" i="5" s="1"/>
  <c r="AC33" i="5" s="1"/>
  <c r="AD33" i="5" s="1"/>
  <c r="AJ99" i="5"/>
  <c r="AE100" i="5" s="1"/>
  <c r="AK25" i="6"/>
  <c r="AF25" i="6"/>
  <c r="AG25" i="6"/>
  <c r="AH25" i="6" s="1"/>
  <c r="AI25" i="6" s="1"/>
  <c r="AC26" i="6" s="1"/>
  <c r="AD26" i="6" s="1"/>
  <c r="AK62" i="6"/>
  <c r="AG62" i="6"/>
  <c r="AH62" i="6" s="1"/>
  <c r="AI62" i="6" s="1"/>
  <c r="AC63" i="6" s="1"/>
  <c r="AD63" i="6" s="1"/>
  <c r="AI96" i="6"/>
  <c r="AC97" i="6" s="1"/>
  <c r="AD97" i="6" s="1"/>
  <c r="AK96" i="6"/>
  <c r="AF96" i="6"/>
  <c r="AJ96" i="6" s="1"/>
  <c r="AE97" i="6" s="1"/>
  <c r="AG65" i="5" l="1"/>
  <c r="AH65" i="5" s="1"/>
  <c r="AI65" i="5" s="1"/>
  <c r="AC66" i="5" s="1"/>
  <c r="AF65" i="5"/>
  <c r="AK65" i="5"/>
  <c r="AJ32" i="5"/>
  <c r="AE33" i="5" s="1"/>
  <c r="AG33" i="5" s="1"/>
  <c r="AH33" i="5" s="1"/>
  <c r="AI33" i="5" s="1"/>
  <c r="AC34" i="5" s="1"/>
  <c r="AG100" i="5"/>
  <c r="AH100" i="5" s="1"/>
  <c r="AI100" i="5" s="1"/>
  <c r="AC101" i="5" s="1"/>
  <c r="AD101" i="5" s="1"/>
  <c r="AF100" i="5"/>
  <c r="AK100" i="5"/>
  <c r="AJ25" i="6"/>
  <c r="AE26" i="6" s="1"/>
  <c r="AJ62" i="6"/>
  <c r="AE63" i="6" s="1"/>
  <c r="AK63" i="6" s="1"/>
  <c r="AG97" i="6"/>
  <c r="AH97" i="6" s="1"/>
  <c r="AI97" i="6" s="1"/>
  <c r="AC98" i="6" s="1"/>
  <c r="AK97" i="6"/>
  <c r="AF97" i="6"/>
  <c r="AJ65" i="5" l="1"/>
  <c r="AE66" i="5" s="1"/>
  <c r="AF66" i="5" s="1"/>
  <c r="AD66" i="5"/>
  <c r="AK33" i="5"/>
  <c r="AF33" i="5"/>
  <c r="AJ33" i="5" s="1"/>
  <c r="AE34" i="5" s="1"/>
  <c r="AF34" i="5" s="1"/>
  <c r="AD34" i="5"/>
  <c r="AJ100" i="5"/>
  <c r="AE101" i="5" s="1"/>
  <c r="AG26" i="6"/>
  <c r="AH26" i="6" s="1"/>
  <c r="AI26" i="6" s="1"/>
  <c r="AC27" i="6" s="1"/>
  <c r="AD27" i="6" s="1"/>
  <c r="AF26" i="6"/>
  <c r="AK26" i="6"/>
  <c r="AG63" i="6"/>
  <c r="AH63" i="6" s="1"/>
  <c r="AI63" i="6" s="1"/>
  <c r="AC64" i="6" s="1"/>
  <c r="AD64" i="6" s="1"/>
  <c r="AF63" i="6"/>
  <c r="AJ97" i="6"/>
  <c r="AE98" i="6" s="1"/>
  <c r="AK98" i="6" s="1"/>
  <c r="AD98" i="6"/>
  <c r="AG66" i="5" l="1"/>
  <c r="AH66" i="5" s="1"/>
  <c r="AJ66" i="5" s="1"/>
  <c r="AE67" i="5" s="1"/>
  <c r="AF67" i="5" s="1"/>
  <c r="AK66" i="5"/>
  <c r="AG34" i="5"/>
  <c r="S24" i="5" s="1"/>
  <c r="S25" i="5" s="1"/>
  <c r="G22" i="5" s="1"/>
  <c r="G23" i="5" s="1"/>
  <c r="AK34" i="5"/>
  <c r="AF101" i="5"/>
  <c r="AK101" i="5"/>
  <c r="AG101" i="5"/>
  <c r="AH101" i="5" s="1"/>
  <c r="AI101" i="5" s="1"/>
  <c r="AC102" i="5" s="1"/>
  <c r="AD102" i="5" s="1"/>
  <c r="AJ26" i="6"/>
  <c r="AE27" i="6" s="1"/>
  <c r="AJ63" i="6"/>
  <c r="AE64" i="6" s="1"/>
  <c r="AK64" i="6" s="1"/>
  <c r="AG98" i="6"/>
  <c r="AH98" i="6" s="1"/>
  <c r="AI98" i="6" s="1"/>
  <c r="AC99" i="6" s="1"/>
  <c r="AD99" i="6" s="1"/>
  <c r="AF98" i="6"/>
  <c r="AI66" i="5" l="1"/>
  <c r="AC67" i="5" s="1"/>
  <c r="AD67" i="5" s="1"/>
  <c r="AH34" i="5"/>
  <c r="AI34" i="5" s="1"/>
  <c r="AJ101" i="5"/>
  <c r="AE102" i="5" s="1"/>
  <c r="AG64" i="6"/>
  <c r="AH64" i="6" s="1"/>
  <c r="AI64" i="6" s="1"/>
  <c r="AC65" i="6" s="1"/>
  <c r="AD65" i="6" s="1"/>
  <c r="AF64" i="6"/>
  <c r="AK27" i="6"/>
  <c r="AF27" i="6"/>
  <c r="AG27" i="6"/>
  <c r="AH27" i="6" s="1"/>
  <c r="AI27" i="6" s="1"/>
  <c r="AC28" i="6" s="1"/>
  <c r="AD28" i="6" s="1"/>
  <c r="AJ98" i="6"/>
  <c r="AE99" i="6" s="1"/>
  <c r="AK99" i="6" s="1"/>
  <c r="AK67" i="5" l="1"/>
  <c r="AG67" i="5"/>
  <c r="AH67" i="5" s="1"/>
  <c r="AI67" i="5" s="1"/>
  <c r="AC68" i="5" s="1"/>
  <c r="AD68" i="5" s="1"/>
  <c r="AJ34" i="5"/>
  <c r="AG102" i="5"/>
  <c r="AH102" i="5" s="1"/>
  <c r="AI102" i="5" s="1"/>
  <c r="AC103" i="5" s="1"/>
  <c r="AF102" i="5"/>
  <c r="AK102" i="5"/>
  <c r="AJ64" i="6"/>
  <c r="AE65" i="6" s="1"/>
  <c r="AK65" i="6" s="1"/>
  <c r="AJ27" i="6"/>
  <c r="AE28" i="6" s="1"/>
  <c r="AF99" i="6"/>
  <c r="AG99" i="6"/>
  <c r="AH99" i="6" s="1"/>
  <c r="AI99" i="6" s="1"/>
  <c r="AC100" i="6" s="1"/>
  <c r="AD100" i="6" s="1"/>
  <c r="AJ67" i="5" l="1"/>
  <c r="AE68" i="5" s="1"/>
  <c r="AG68" i="5" s="1"/>
  <c r="AH68" i="5" s="1"/>
  <c r="AI68" i="5" s="1"/>
  <c r="AC70" i="5" s="1"/>
  <c r="AJ102" i="5"/>
  <c r="AE103" i="5" s="1"/>
  <c r="AF103" i="5" s="1"/>
  <c r="AD103" i="5"/>
  <c r="AF65" i="6"/>
  <c r="AG65" i="6"/>
  <c r="AH65" i="6" s="1"/>
  <c r="AI65" i="6" s="1"/>
  <c r="AC66" i="6" s="1"/>
  <c r="AD66" i="6" s="1"/>
  <c r="AG28" i="6"/>
  <c r="AH28" i="6" s="1"/>
  <c r="AI28" i="6" s="1"/>
  <c r="AC29" i="6" s="1"/>
  <c r="AD29" i="6" s="1"/>
  <c r="AF28" i="6"/>
  <c r="AK28" i="6"/>
  <c r="AJ99" i="6"/>
  <c r="AE100" i="6" s="1"/>
  <c r="AF100" i="6" s="1"/>
  <c r="AK68" i="5" l="1"/>
  <c r="AF68" i="5"/>
  <c r="AJ68" i="5" s="1"/>
  <c r="AE70" i="5" s="1"/>
  <c r="AF70" i="5" s="1"/>
  <c r="AD70" i="5"/>
  <c r="AG103" i="5"/>
  <c r="AH103" i="5" s="1"/>
  <c r="AI103" i="5" s="1"/>
  <c r="AC104" i="5" s="1"/>
  <c r="AD104" i="5" s="1"/>
  <c r="AK103" i="5"/>
  <c r="AJ65" i="6"/>
  <c r="AE66" i="6" s="1"/>
  <c r="AF66" i="6" s="1"/>
  <c r="AJ28" i="6"/>
  <c r="AE29" i="6" s="1"/>
  <c r="AF29" i="6" s="1"/>
  <c r="AG100" i="6"/>
  <c r="AH100" i="6" s="1"/>
  <c r="AI100" i="6" s="1"/>
  <c r="AC101" i="6" s="1"/>
  <c r="AD101" i="6" s="1"/>
  <c r="AK100" i="6"/>
  <c r="AG70" i="5" l="1"/>
  <c r="AH70" i="5" s="1"/>
  <c r="AI70" i="5" s="1"/>
  <c r="AK70" i="5"/>
  <c r="AJ103" i="5"/>
  <c r="AE104" i="5" s="1"/>
  <c r="AK104" i="5" s="1"/>
  <c r="AG66" i="6"/>
  <c r="AH66" i="6" s="1"/>
  <c r="AI66" i="6" s="1"/>
  <c r="AC67" i="6" s="1"/>
  <c r="AD67" i="6" s="1"/>
  <c r="AK66" i="6"/>
  <c r="AJ100" i="6"/>
  <c r="AE101" i="6" s="1"/>
  <c r="AK101" i="6" s="1"/>
  <c r="AG29" i="6"/>
  <c r="AH29" i="6" s="1"/>
  <c r="AI29" i="6" s="1"/>
  <c r="AC30" i="6" s="1"/>
  <c r="AD30" i="6" s="1"/>
  <c r="AK29" i="6"/>
  <c r="O24" i="5" l="1"/>
  <c r="O25" i="5" s="1"/>
  <c r="G17" i="5" s="1"/>
  <c r="G18" i="5" s="1"/>
  <c r="AJ70" i="5"/>
  <c r="AG104" i="5"/>
  <c r="AH104" i="5" s="1"/>
  <c r="AI104" i="5" s="1"/>
  <c r="AC105" i="5" s="1"/>
  <c r="AD105" i="5" s="1"/>
  <c r="AF104" i="5"/>
  <c r="AJ66" i="6"/>
  <c r="AE67" i="6" s="1"/>
  <c r="AF67" i="6" s="1"/>
  <c r="AF101" i="6"/>
  <c r="AG101" i="6"/>
  <c r="AH101" i="6" s="1"/>
  <c r="AI101" i="6" s="1"/>
  <c r="AC102" i="6" s="1"/>
  <c r="AD102" i="6" s="1"/>
  <c r="AJ29" i="6"/>
  <c r="AE30" i="6" s="1"/>
  <c r="AF30" i="6" s="1"/>
  <c r="AJ104" i="5" l="1"/>
  <c r="AE105" i="5" s="1"/>
  <c r="AF105" i="5" s="1"/>
  <c r="AK67" i="6"/>
  <c r="AG67" i="6"/>
  <c r="AH67" i="6" s="1"/>
  <c r="AI67" i="6" s="1"/>
  <c r="AC68" i="6" s="1"/>
  <c r="AD68" i="6" s="1"/>
  <c r="AG30" i="6"/>
  <c r="AH30" i="6" s="1"/>
  <c r="AI30" i="6" s="1"/>
  <c r="AC31" i="6" s="1"/>
  <c r="AD31" i="6" s="1"/>
  <c r="AK30" i="6"/>
  <c r="AJ101" i="6"/>
  <c r="AE102" i="6" s="1"/>
  <c r="AG102" i="6" s="1"/>
  <c r="AH102" i="6" s="1"/>
  <c r="AI102" i="6" s="1"/>
  <c r="AC103" i="6" s="1"/>
  <c r="AD103" i="6" s="1"/>
  <c r="AG105" i="5" l="1"/>
  <c r="W24" i="5" s="1"/>
  <c r="W25" i="5" s="1"/>
  <c r="G33" i="5" s="1"/>
  <c r="G34" i="5" s="1"/>
  <c r="AK105" i="5"/>
  <c r="AJ67" i="6"/>
  <c r="AE68" i="6" s="1"/>
  <c r="AK68" i="6" s="1"/>
  <c r="AJ30" i="6"/>
  <c r="AE31" i="6" s="1"/>
  <c r="AK31" i="6" s="1"/>
  <c r="AF102" i="6"/>
  <c r="AJ102" i="6" s="1"/>
  <c r="AE103" i="6" s="1"/>
  <c r="AK102" i="6"/>
  <c r="AH105" i="5" l="1"/>
  <c r="AI105" i="5" s="1"/>
  <c r="K11" i="5"/>
  <c r="K17" i="5" s="1"/>
  <c r="K6" i="5"/>
  <c r="AF68" i="6"/>
  <c r="AG68" i="6"/>
  <c r="AH68" i="6" s="1"/>
  <c r="AI68" i="6" s="1"/>
  <c r="AC69" i="6" s="1"/>
  <c r="AD69" i="6" s="1"/>
  <c r="AF31" i="6"/>
  <c r="AG31" i="6"/>
  <c r="AH31" i="6" s="1"/>
  <c r="AI31" i="6" s="1"/>
  <c r="AC32" i="6" s="1"/>
  <c r="AD32" i="6" s="1"/>
  <c r="AK103" i="6"/>
  <c r="AF103" i="6"/>
  <c r="AG103" i="6"/>
  <c r="AH103" i="6" s="1"/>
  <c r="AI103" i="6" s="1"/>
  <c r="AC104" i="6" s="1"/>
  <c r="AD104" i="6" s="1"/>
  <c r="K44" i="5" l="1"/>
  <c r="K55" i="5"/>
  <c r="K56" i="5" s="1"/>
  <c r="AJ105" i="5"/>
  <c r="K19" i="5"/>
  <c r="K7" i="5"/>
  <c r="K36" i="5"/>
  <c r="AJ68" i="6"/>
  <c r="AE69" i="6" s="1"/>
  <c r="AG69" i="6" s="1"/>
  <c r="O23" i="6" s="1"/>
  <c r="O24" i="6" s="1"/>
  <c r="G17" i="6" s="1"/>
  <c r="AJ31" i="6"/>
  <c r="AE32" i="6" s="1"/>
  <c r="AF32" i="6" s="1"/>
  <c r="AJ103" i="6"/>
  <c r="AE104" i="6" s="1"/>
  <c r="G18" i="6" l="1"/>
  <c r="K20" i="5"/>
  <c r="K18" i="5"/>
  <c r="AK69" i="6"/>
  <c r="AH69" i="6"/>
  <c r="AI69" i="6" s="1"/>
  <c r="AF69" i="6"/>
  <c r="AK32" i="6"/>
  <c r="AG32" i="6"/>
  <c r="AH32" i="6" s="1"/>
  <c r="AI32" i="6" s="1"/>
  <c r="AC33" i="6" s="1"/>
  <c r="AD33" i="6" s="1"/>
  <c r="AF104" i="6"/>
  <c r="AG104" i="6"/>
  <c r="AK104" i="6"/>
  <c r="K45" i="5" l="1"/>
  <c r="K48" i="5" s="1"/>
  <c r="K31" i="5"/>
  <c r="K37" i="5"/>
  <c r="K40" i="5" s="1"/>
  <c r="AJ69" i="6"/>
  <c r="AJ32" i="6"/>
  <c r="AE33" i="6" s="1"/>
  <c r="AG33" i="6" s="1"/>
  <c r="AH33" i="6" s="1"/>
  <c r="AI33" i="6" s="1"/>
  <c r="AC34" i="6" s="1"/>
  <c r="AD34" i="6" s="1"/>
  <c r="AH104" i="6"/>
  <c r="W23" i="6"/>
  <c r="W24" i="6" s="1"/>
  <c r="G33" i="6" s="1"/>
  <c r="G34" i="6" l="1"/>
  <c r="K4" i="6" s="1"/>
  <c r="AS4" i="5"/>
  <c r="AQ4" i="5"/>
  <c r="AO4" i="5"/>
  <c r="K32" i="5"/>
  <c r="AF33" i="6"/>
  <c r="AJ33" i="6" s="1"/>
  <c r="AE34" i="6" s="1"/>
  <c r="AK34" i="6" s="1"/>
  <c r="AK33" i="6"/>
  <c r="AI104" i="6"/>
  <c r="AJ104" i="6"/>
  <c r="AF34" i="6" l="1"/>
  <c r="AG34" i="6"/>
  <c r="K5" i="6"/>
  <c r="K14" i="6" s="1"/>
  <c r="K15" i="6"/>
  <c r="S23" i="6" l="1"/>
  <c r="S24" i="6" s="1"/>
  <c r="G22" i="6" s="1"/>
  <c r="AH34" i="6"/>
  <c r="K16" i="6"/>
  <c r="K40" i="6" s="1"/>
  <c r="K32" i="6" l="1"/>
  <c r="G23" i="6"/>
  <c r="AJ34" i="6"/>
  <c r="AI34" i="6"/>
  <c r="K8" i="6" l="1"/>
  <c r="K13" i="6" l="1"/>
  <c r="K31" i="6" s="1"/>
  <c r="K35" i="6" s="1"/>
  <c r="K39" i="6" l="1"/>
  <c r="K43" i="6" s="1"/>
  <c r="K26" i="6"/>
  <c r="AO4" i="6" s="1"/>
  <c r="AS4" i="6" l="1"/>
  <c r="AQ4" i="6"/>
  <c r="K27" i="6"/>
</calcChain>
</file>

<file path=xl/sharedStrings.xml><?xml version="1.0" encoding="utf-8"?>
<sst xmlns="http://schemas.openxmlformats.org/spreadsheetml/2006/main" count="758" uniqueCount="235">
  <si>
    <t>!!! Press F9 to recalculate !!!</t>
  </si>
  <si>
    <t>lift+cruise</t>
  </si>
  <si>
    <t>rotor_lift_solidity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</si>
  <si>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</si>
  <si>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</si>
  <si>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</si>
  <si>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</si>
  <si>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</si>
  <si>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</si>
  <si>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</si>
  <si>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</si>
  <si>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</si>
  <si>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</si>
  <si>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</si>
  <si>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</si>
  <si>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</si>
  <si>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</si>
  <si>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</si>
  <si>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</si>
  <si>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</si>
  <si>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</si>
  <si>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</si>
  <si>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</si>
  <si>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</si>
  <si>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</si>
  <si>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</si>
  <si>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</si>
  <si>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Softmax</t>
  </si>
  <si>
    <t>rho</t>
  </si>
  <si>
    <t>W</t>
  </si>
  <si>
    <t>thrust_each</t>
  </si>
  <si>
    <t>N</t>
  </si>
  <si>
    <t>power_fwd_each</t>
  </si>
  <si>
    <t>power_forward</t>
  </si>
  <si>
    <t>Energy and time</t>
  </si>
  <si>
    <t>flight_time</t>
  </si>
  <si>
    <t>lift</t>
  </si>
  <si>
    <t>dyn_pressure</t>
  </si>
  <si>
    <t>N/m^2</t>
  </si>
  <si>
    <t>CL_cruise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</si>
  <si>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</si>
  <si>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</si>
  <si>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</si>
  <si>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</si>
  <si>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</si>
  <si>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</si>
  <si>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</si>
  <si>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</si>
  <si>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</si>
  <si>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</si>
  <si>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</si>
  <si>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</si>
  <si>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</si>
  <si>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evtol_config</t>
  </si>
  <si>
    <t>W_total_takeoff</t>
  </si>
  <si>
    <t>CD0</t>
  </si>
  <si>
    <t>Parasite_drag</t>
  </si>
  <si>
    <t>Oswald_e</t>
  </si>
  <si>
    <t>CD_cruise</t>
  </si>
  <si>
    <t>Total_drag</t>
  </si>
  <si>
    <t>AoA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</si>
  <si>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</si>
  <si>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</si>
  <si>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</si>
  <si>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</si>
  <si>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</si>
  <si>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</si>
  <si>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</si>
  <si>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</si>
  <si>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</si>
  <si>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</si>
  <si>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</si>
  <si>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</si>
  <si>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</si>
  <si>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</si>
  <si>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</si>
  <si>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</si>
  <si>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</si>
  <si>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</si>
  <si>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</si>
  <si>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</si>
  <si>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</si>
  <si>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</si>
  <si>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</si>
  <si>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</si>
  <si>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</si>
  <si>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</si>
  <si>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</si>
  <si>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</si>
  <si>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</si>
  <si>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</si>
  <si>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</si>
  <si>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</si>
  <si>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</si>
  <si>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</si>
  <si>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</si>
  <si>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</si>
  <si>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</si>
  <si>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</si>
  <si>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</si>
  <si>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</si>
  <si>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</si>
  <si>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</si>
  <si>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</si>
  <si>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technology_factor</t>
  </si>
  <si>
    <t>L/D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</si>
  <si>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</si>
  <si>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</si>
  <si>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</si>
  <si>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</si>
  <si>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</si>
  <si>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</si>
  <si>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power_cruise</t>
  </si>
  <si>
    <t>power_each_motor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</si>
  <si>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</si>
  <si>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</si>
  <si>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</si>
  <si>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</si>
  <si>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</si>
  <si>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</si>
  <si>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</si>
  <si>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</si>
  <si>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</si>
  <si>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Climb segment</t>
  </si>
  <si>
    <t>distance_Y</t>
  </si>
  <si>
    <t>speed_Y</t>
  </si>
  <si>
    <t>speed_X</t>
  </si>
  <si>
    <t>distance_X</t>
  </si>
  <si>
    <t>power_climb</t>
  </si>
  <si>
    <t>climb duration</t>
  </si>
  <si>
    <t>Descent segment</t>
  </si>
  <si>
    <t>descent duration</t>
  </si>
  <si>
    <t>power_descent</t>
  </si>
  <si>
    <t>Aerodynamics in cruise</t>
  </si>
  <si>
    <t>Propeller performance in cruise</t>
  </si>
  <si>
    <t>Aerodynamics in climb</t>
  </si>
  <si>
    <t>CD</t>
  </si>
  <si>
    <t>CL</t>
  </si>
  <si>
    <t>Total drag</t>
  </si>
  <si>
    <t>Propeller performance in climb</t>
  </si>
  <si>
    <t>Bisection method for solving RotorInflow lambda in cruise</t>
  </si>
  <si>
    <t>Bisection method for solving RotorInflow lambda in climb</t>
  </si>
  <si>
    <t>power_propeller</t>
  </si>
  <si>
    <t>N_lift_rotor</t>
  </si>
  <si>
    <t>N_propeller</t>
  </si>
  <si>
    <t>r_propeller</t>
  </si>
  <si>
    <t>r_lift_rotor</t>
  </si>
  <si>
    <t>Aerodynamics in descent</t>
  </si>
  <si>
    <t>Propeller performance in descent</t>
  </si>
  <si>
    <t>Bisection method for solving RotorInflow lambda in descent</t>
  </si>
  <si>
    <t>propeller_solidity</t>
  </si>
  <si>
    <t>flight_path_gamma</t>
  </si>
  <si>
    <t>energy_consumption</t>
  </si>
  <si>
    <t>speed</t>
  </si>
  <si>
    <t>power_each</t>
  </si>
  <si>
    <t>delta</t>
  </si>
  <si>
    <t>Power maximum for design</t>
  </si>
  <si>
    <t>p_max_liftrotor</t>
  </si>
  <si>
    <t>p_max_liftrotor_each</t>
  </si>
  <si>
    <t>p_max_prop</t>
  </si>
  <si>
    <t>p_max_prop_each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</si>
  <si>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</si>
  <si>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</si>
  <si>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</si>
  <si>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</si>
  <si>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</si>
  <si>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</si>
  <si>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</si>
  <si>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</si>
  <si>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</si>
  <si>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</si>
  <si>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Horizontal tail parameters</t>
  </si>
  <si>
    <t>htail_AR</t>
  </si>
  <si>
    <t>htail_S</t>
  </si>
  <si>
    <t>Vertical tail parameters</t>
  </si>
  <si>
    <t>vtail_AR</t>
  </si>
  <si>
    <t>vtail_S</t>
  </si>
  <si>
    <t>quarter_chord_sweep</t>
  </si>
  <si>
    <t>Wing parameters</t>
  </si>
  <si>
    <t>N_blade_lift_rotor</t>
  </si>
  <si>
    <t>N_blade_propeller</t>
  </si>
  <si>
    <t>Rotor parameters</t>
  </si>
  <si>
    <t>k_prop</t>
  </si>
  <si>
    <t>Weight breakdown</t>
  </si>
  <si>
    <t>W_booms</t>
  </si>
  <si>
    <t>f/(W/1000)^2/3</t>
  </si>
  <si>
    <t>Weight by subsystems</t>
  </si>
  <si>
    <t>No</t>
  </si>
  <si>
    <t>Aircraft</t>
  </si>
  <si>
    <t>Type</t>
  </si>
  <si>
    <t>Range (m)</t>
  </si>
  <si>
    <t>Payload (kg)</t>
  </si>
  <si>
    <t>Cruise speed (m/s)</t>
  </si>
  <si>
    <t>Mission Requirements</t>
  </si>
  <si>
    <t>Radius (m)</t>
  </si>
  <si>
    <t>Lift Rotor</t>
  </si>
  <si>
    <t>Propeller</t>
  </si>
  <si>
    <t>MTOW</t>
  </si>
  <si>
    <t>Weights (kg)</t>
  </si>
  <si>
    <t>W_empty</t>
  </si>
  <si>
    <t>E-Hang 184</t>
  </si>
  <si>
    <t>Multirotor</t>
  </si>
  <si>
    <t>Fuselage</t>
  </si>
  <si>
    <t>Height (m)</t>
  </si>
  <si>
    <t>Length (m)</t>
  </si>
  <si>
    <t>Max diameter (m)</t>
  </si>
  <si>
    <t>-</t>
  </si>
  <si>
    <t>n_blade</t>
  </si>
  <si>
    <t>Battery</t>
  </si>
  <si>
    <t>Density (Wh/kg)</t>
  </si>
  <si>
    <t>Total energy (kWh)</t>
  </si>
  <si>
    <t>Wisk Cora</t>
  </si>
  <si>
    <t>Lift+Cruise</t>
  </si>
  <si>
    <t>Wing</t>
  </si>
  <si>
    <t>Span (m)</t>
  </si>
  <si>
    <t>Chord (m)</t>
  </si>
  <si>
    <t>Vertical Tail</t>
  </si>
  <si>
    <t>Horizontal Tail</t>
  </si>
  <si>
    <t>Sweep (deg)</t>
  </si>
  <si>
    <t>t/c</t>
  </si>
  <si>
    <t>Landing Gear</t>
  </si>
  <si>
    <t>Width (m)</t>
  </si>
  <si>
    <t>Surface (m2)</t>
  </si>
  <si>
    <t>root_thickness</t>
  </si>
  <si>
    <t>htail_c</t>
  </si>
  <si>
    <t>htail_b</t>
  </si>
  <si>
    <t>vtail_c</t>
  </si>
  <si>
    <t>vtail_b</t>
  </si>
  <si>
    <t>Weight discrepancy</t>
  </si>
  <si>
    <t>Percent difference</t>
  </si>
  <si>
    <t>RPM</t>
  </si>
  <si>
    <t>W_takeoff_published</t>
  </si>
  <si>
    <t>W_battery_published</t>
  </si>
  <si>
    <t>W_takeoff_calc'd</t>
  </si>
  <si>
    <t>W_battery_calc'd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</si>
</sst>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  <font>
      <sz val="12"/>
      <color rgb="FFFFFF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/>
    <xf numFmtId="0" fontId="0" fillId="3" borderId="0" xfId="0" applyFill="1"/>
    <xf numFmtId="0" fontId="0" fillId="0" borderId="0" xfId="0" applyAlignment="1">
      <alignment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5D-014F-88D9-2076AFF020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5D-014F-88D9-2076AFF020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5D-014F-88D9-2076AFF0205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5D-014F-88D9-2076AFF020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5D-014F-88D9-2076AFF020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multirotor_aerofidelity1!$J$38:$J$42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multirotor_aerofidelity1!$K$38:$K$42</c:f>
              <c:numCache>
                <c:formatCode>General</c:formatCode>
                <c:ptCount val="5"/>
                <c:pt idx="0">
                  <c:v>42.15</c:v>
                </c:pt>
                <c:pt idx="1">
                  <c:v>25.75</c:v>
                </c:pt>
                <c:pt idx="2">
                  <c:v>10.99</c:v>
                </c:pt>
                <c:pt idx="3">
                  <c:v>16.12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5D-014F-88D9-2076AFF020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27-1341-B8D5-6C6E74D4F43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27-1341-B8D5-6C6E74D4F43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27-1341-B8D5-6C6E74D4F4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27-1341-B8D5-6C6E74D4F43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27-1341-B8D5-6C6E74D4F4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'lift+cruise_wisk_cora'!$J$43:$J$47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'lift+cruise_wisk_cora'!$K$43:$K$47</c:f>
              <c:numCache>
                <c:formatCode>General</c:formatCode>
                <c:ptCount val="5"/>
                <c:pt idx="0">
                  <c:v>181</c:v>
                </c:pt>
                <c:pt idx="1">
                  <c:v>334.14</c:v>
                </c:pt>
                <c:pt idx="2">
                  <c:v>145.49</c:v>
                </c:pt>
                <c:pt idx="3">
                  <c:v>336.78</c:v>
                </c:pt>
                <c:pt idx="4">
                  <c:v>48.94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27-1341-B8D5-6C6E74D4F4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2C0-A945-8913-3A4E0E513D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2C0-A945-8913-3A4E0E513D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2C0-A945-8913-3A4E0E513D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2C0-A945-8913-3A4E0E513D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2C0-A945-8913-3A4E0E513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'lift+cruise_wisk_cora'!$J$35:$J$39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'lift+cruise_wisk_cora'!$K$35:$K$39</c:f>
              <c:numCache>
                <c:formatCode>General</c:formatCode>
                <c:ptCount val="5"/>
                <c:pt idx="0">
                  <c:v>17.3</c:v>
                </c:pt>
                <c:pt idx="1">
                  <c:v>31.93</c:v>
                </c:pt>
                <c:pt idx="2">
                  <c:v>13.9</c:v>
                </c:pt>
                <c:pt idx="3">
                  <c:v>32.19</c:v>
                </c:pt>
                <c:pt idx="4">
                  <c:v>4.68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2C0-A945-8913-3A4E0E513D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30</xdr:row>
      <xdr:rowOff>0</xdr:rowOff>
    </xdr:from>
    <xdr:to>
      <xdr:col>17</xdr:col>
      <xdr:colOff>292100</xdr:colOff>
      <xdr:row>41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4F577-B9C5-CF47-A5BC-B0AB668D2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43</xdr:row>
      <xdr:rowOff>12700</xdr:rowOff>
    </xdr:from>
    <xdr:to>
      <xdr:col>17</xdr:col>
      <xdr:colOff>393700</xdr:colOff>
      <xdr:row>54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B4BEC7-7CE3-E946-8E51-4A945783D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50800</xdr:colOff>
      <xdr:row>30</xdr:row>
      <xdr:rowOff>0</xdr:rowOff>
    </xdr:from>
    <xdr:to>
      <xdr:col>17</xdr:col>
      <xdr:colOff>368300</xdr:colOff>
      <xdr:row>41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42642-9F27-1E4E-ABDB-16BC76FBE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B79C-1BC3-3C43-BDF1-7040343899A3}">
  <dimension ref="B1:AV104"/>
  <sheetViews>
    <sheetView topLeftCell="A3" zoomScale="91" workbookViewId="0">
      <selection activeCell="F33" sqref="F33"/>
    </sheetView>
  </sheetViews>
  <sheetFormatPr baseColWidth="10" defaultRowHeight="16" x14ac:dyDescent="0.2"/>
  <cols>
    <col min="1" max="1" width="4.1640625" style="20" customWidth="1"/>
    <col min="2" max="2" width="20.5" style="20" customWidth="1"/>
    <col min="3" max="3" width="10.83203125" style="20"/>
    <col min="4" max="4" width="7.1640625" style="20" customWidth="1"/>
    <col min="5" max="5" width="5.6640625" style="20" customWidth="1"/>
    <col min="6" max="6" width="20.6640625" style="20" customWidth="1"/>
    <col min="7" max="7" width="13.1640625" style="20" customWidth="1"/>
    <col min="8" max="8" width="4.1640625" style="20" customWidth="1"/>
    <col min="9" max="9" width="6" style="20" customWidth="1"/>
    <col min="10" max="10" width="18.1640625" style="20" customWidth="1"/>
    <col min="11" max="11" width="13.1640625" style="20" customWidth="1"/>
    <col min="12" max="12" width="4.83203125" style="20" customWidth="1"/>
    <col min="13" max="13" width="6" style="20" customWidth="1"/>
    <col min="14" max="14" width="13.6640625" style="20" customWidth="1"/>
    <col min="15" max="15" width="11.1640625" style="20" customWidth="1"/>
    <col min="16" max="16" width="6.33203125" style="20" customWidth="1"/>
    <col min="17" max="17" width="6" style="20" customWidth="1"/>
    <col min="18" max="18" width="13.33203125" style="20" customWidth="1"/>
    <col min="19" max="19" width="10.83203125" style="20"/>
    <col min="20" max="20" width="6.33203125" style="20" customWidth="1"/>
    <col min="21" max="21" width="6.1640625" style="20" customWidth="1"/>
    <col min="22" max="22" width="13.1640625" style="20" customWidth="1"/>
    <col min="23" max="23" width="11.1640625" style="20" customWidth="1"/>
    <col min="24" max="24" width="6.5" style="20" customWidth="1"/>
    <col min="25" max="27" width="3.83203125" style="20" customWidth="1"/>
    <col min="28" max="28" width="5.5" style="20" customWidth="1"/>
    <col min="29" max="30" width="6.1640625" style="20" customWidth="1"/>
    <col min="31" max="31" width="6.6640625" style="20" customWidth="1"/>
    <col min="32" max="32" width="7" style="20" customWidth="1"/>
    <col min="33" max="33" width="14.6640625" style="20" customWidth="1"/>
    <col min="34" max="34" width="7.83203125" style="20" customWidth="1"/>
    <col min="35" max="35" width="10" style="20" customWidth="1"/>
    <col min="36" max="36" width="9.5" style="20" customWidth="1"/>
    <col min="37" max="37" width="13.6640625" style="20" customWidth="1"/>
    <col min="38" max="38" width="10.83203125" style="20"/>
    <col min="39" max="39" width="5.1640625" style="20" customWidth="1"/>
    <col min="40" max="43" width="10.83203125" style="20"/>
    <col min="44" max="44" width="18.33203125" style="20" customWidth="1"/>
    <col min="45" max="16384" width="10.83203125" style="20"/>
  </cols>
  <sheetData>
    <row r="1" spans="2:48" x14ac:dyDescent="0.2">
      <c r="B1" s="43" t="s">
        <v>0</v>
      </c>
      <c r="C1" s="43"/>
      <c r="D1" s="43"/>
    </row>
    <row r="2" spans="2:48" x14ac:dyDescent="0.2">
      <c r="AB2" s="32" t="s">
        <v>140</v>
      </c>
      <c r="AM2" s="32" t="s">
        <v>103</v>
      </c>
    </row>
    <row r="3" spans="2:48" x14ac:dyDescent="0.2">
      <c r="B3" s="44" t="s">
        <v>97</v>
      </c>
      <c r="C3" s="45"/>
      <c r="D3" s="45"/>
      <c r="F3" s="44" t="s">
        <v>109</v>
      </c>
      <c r="G3" s="45"/>
      <c r="H3" s="45"/>
      <c r="J3" s="46" t="s">
        <v>156</v>
      </c>
      <c r="K3" s="46"/>
      <c r="L3" s="46"/>
      <c r="N3" s="46" t="s">
        <v>135</v>
      </c>
      <c r="O3" s="46"/>
      <c r="P3" s="46"/>
      <c r="R3" s="46" t="s">
        <v>133</v>
      </c>
      <c r="S3" s="46"/>
      <c r="T3" s="46"/>
      <c r="V3" s="46" t="s">
        <v>147</v>
      </c>
      <c r="W3" s="46"/>
      <c r="X3" s="46"/>
      <c r="AB3" s="23" t="s">
        <v>62</v>
      </c>
      <c r="AC3" s="23" t="s">
        <v>63</v>
      </c>
      <c r="AD3" s="23" t="s">
        <v>64</v>
      </c>
      <c r="AE3" s="23" t="s">
        <v>65</v>
      </c>
      <c r="AF3" s="23" t="s">
        <v>66</v>
      </c>
      <c r="AG3" s="23" t="s">
        <v>67</v>
      </c>
      <c r="AH3" s="23" t="s">
        <v>68</v>
      </c>
      <c r="AI3" s="23" t="s">
        <v>69</v>
      </c>
      <c r="AJ3" s="23" t="s">
        <v>70</v>
      </c>
      <c r="AK3" s="23" t="s">
        <v>71</v>
      </c>
      <c r="AM3" s="23" t="s">
        <v>62</v>
      </c>
      <c r="AN3" s="23" t="s">
        <v>63</v>
      </c>
      <c r="AO3" s="23" t="s">
        <v>64</v>
      </c>
      <c r="AP3" s="23" t="s">
        <v>65</v>
      </c>
      <c r="AQ3" s="23" t="s">
        <v>66</v>
      </c>
      <c r="AR3" s="23" t="s">
        <v>67</v>
      </c>
      <c r="AS3" s="23" t="s">
        <v>68</v>
      </c>
      <c r="AT3" s="23" t="s">
        <v>69</v>
      </c>
      <c r="AU3" s="23" t="s">
        <v>70</v>
      </c>
      <c r="AV3" s="23" t="s">
        <v>71</v>
      </c>
    </row>
    <row r="4" spans="2:48" x14ac:dyDescent="0.2">
      <c r="B4" s="20" t="s">
        <v>53</v>
      </c>
      <c r="C4" s="33" t="s">
        <v>98</v>
      </c>
      <c r="F4" t="s">
        <v>115</v>
      </c>
      <c r="G4" s="1">
        <v>2.54</v>
      </c>
      <c r="H4" t="s">
        <v>16</v>
      </c>
      <c r="J4" t="s">
        <v>157</v>
      </c>
      <c r="K4" s="20">
        <f>MAX(G6,G18,G34,G40)*1000</f>
        <v>45824.975305277403</v>
      </c>
      <c r="L4" s="20" t="s">
        <v>29</v>
      </c>
      <c r="N4" s="20" t="s">
        <v>37</v>
      </c>
      <c r="O4" s="20">
        <f xml:space="preserve"> 0.5 * $C$25 * $G$11^2</f>
        <v>798.65841125000009</v>
      </c>
      <c r="P4" s="20" t="s">
        <v>38</v>
      </c>
      <c r="R4" s="20" t="s">
        <v>37</v>
      </c>
      <c r="S4" s="20">
        <f xml:space="preserve"> 0.5 * $C$25 * $C$17^2</f>
        <v>798.65841125000009</v>
      </c>
      <c r="T4" s="20" t="s">
        <v>38</v>
      </c>
      <c r="V4" s="20" t="s">
        <v>37</v>
      </c>
      <c r="W4" s="20">
        <f xml:space="preserve"> 0.5 * $C$25 * $G$27^2</f>
        <v>798.65841125000009</v>
      </c>
      <c r="X4" s="20" t="s">
        <v>38</v>
      </c>
      <c r="AB4" s="8">
        <v>0</v>
      </c>
      <c r="AC4" s="9">
        <v>0</v>
      </c>
      <c r="AD4" s="8">
        <f t="shared" ref="AD4:AD34" si="0" xml:space="preserve"> $C$18 * TAN($S$17/180*PI()) + $S$20 / (2 * SQRT($C$18^2 + AC4^2)) - AC4</f>
        <v>1.7210099758360117E-2</v>
      </c>
      <c r="AE4" s="9">
        <v>1</v>
      </c>
      <c r="AF4" s="8">
        <f t="shared" ref="AF4:AF34" si="1" xml:space="preserve"> $C$18 * TAN($S$17/180*PI()) + $S$20 / (2 * SQRT($C$18^2 + AE4^2)) - AE4</f>
        <v>-0.99436933853002352</v>
      </c>
      <c r="AG4" s="8">
        <f xml:space="preserve"> (AC4 + AE4)/2</f>
        <v>0.5</v>
      </c>
      <c r="AH4" s="8">
        <f t="shared" ref="AH4:AH34" si="2" xml:space="preserve"> $C$18 * TAN($S$17/180*PI()) + $S$20 / (2 * SQRT($C$18^2 + AG4^2)) - AG4</f>
        <v>-0.49247934857643877</v>
      </c>
      <c r="AI4" s="8">
        <f>AD4*AH4</f>
        <v>-8.4756187179327175E-3</v>
      </c>
      <c r="AJ4" s="8">
        <f>AF4*AH4</f>
        <v>0.48970636408365031</v>
      </c>
      <c r="AK4" s="8">
        <f>AE4-AC4</f>
        <v>1</v>
      </c>
      <c r="AM4" s="8">
        <v>0</v>
      </c>
      <c r="AN4" s="8"/>
      <c r="AO4" s="8">
        <f>K26</f>
        <v>-3.5356606531422585E-11</v>
      </c>
      <c r="AP4" s="8"/>
      <c r="AQ4" s="8">
        <f>K26</f>
        <v>-3.5356606531422585E-11</v>
      </c>
      <c r="AR4" s="8"/>
      <c r="AS4" s="8">
        <f>K26</f>
        <v>-3.5356606531422585E-11</v>
      </c>
      <c r="AT4" s="8"/>
      <c r="AU4" s="8"/>
      <c r="AV4" s="8"/>
    </row>
    <row r="5" spans="2:48" x14ac:dyDescent="0.2">
      <c r="B5" s="20" t="s">
        <v>52</v>
      </c>
      <c r="C5" s="33">
        <v>4</v>
      </c>
      <c r="F5" t="s">
        <v>118</v>
      </c>
      <c r="G5" s="1">
        <v>152.4</v>
      </c>
      <c r="H5" t="s">
        <v>14</v>
      </c>
      <c r="J5" t="s">
        <v>158</v>
      </c>
      <c r="K5" s="20">
        <f>K4/$C$5</f>
        <v>11456.243826319351</v>
      </c>
      <c r="L5" s="20" t="s">
        <v>29</v>
      </c>
      <c r="N5" s="20" t="s">
        <v>55</v>
      </c>
      <c r="O5" s="33">
        <v>3.4909389999999998E-2</v>
      </c>
      <c r="R5" s="20" t="s">
        <v>55</v>
      </c>
      <c r="S5" s="33">
        <v>3.4909389999999998E-2</v>
      </c>
      <c r="V5" s="20" t="s">
        <v>55</v>
      </c>
      <c r="W5" s="33">
        <v>3.4909389999999998E-2</v>
      </c>
      <c r="AB5" s="8">
        <v>1</v>
      </c>
      <c r="AC5" s="8">
        <f>IF(AI4&gt;0, AG4, AC4)</f>
        <v>0</v>
      </c>
      <c r="AD5" s="8">
        <f t="shared" si="0"/>
        <v>1.7210099758360117E-2</v>
      </c>
      <c r="AE5" s="8">
        <f>IF(AJ4&gt;0, AG4, AE4)</f>
        <v>0.5</v>
      </c>
      <c r="AF5" s="8">
        <f t="shared" si="1"/>
        <v>-0.49247934857643877</v>
      </c>
      <c r="AG5" s="8">
        <f t="shared" ref="AG5:AG34" si="3" xml:space="preserve"> (AC5 + AE5)/2</f>
        <v>0.25</v>
      </c>
      <c r="AH5" s="8">
        <f t="shared" si="2"/>
        <v>-0.23939097276894028</v>
      </c>
      <c r="AI5" s="8">
        <f t="shared" ref="AI5:AI34" si="4">AD5*AH5</f>
        <v>-4.1199425226043328E-3</v>
      </c>
      <c r="AJ5" s="8">
        <f t="shared" ref="AJ5:AJ34" si="5">AF5*AH5</f>
        <v>0.1178951103243277</v>
      </c>
      <c r="AK5" s="8">
        <f t="shared" ref="AK5:AK34" si="6">AE5-AC5</f>
        <v>0.5</v>
      </c>
      <c r="AM5" s="8">
        <v>1</v>
      </c>
      <c r="AN5" s="9">
        <v>100</v>
      </c>
      <c r="AO5" s="8">
        <f t="dataTable" ref="AO5:AO44" dt2D="0" dtr="0" r1="C15" ca="1"/>
        <v>-98.863851484655001</v>
      </c>
      <c r="AP5" s="9">
        <v>600</v>
      </c>
      <c r="AQ5" s="8">
        <f t="dataTable" ref="AQ5:AQ44" dt2D="0" dtr="0" r1="C15" ca="1"/>
        <v>183.84844963736873</v>
      </c>
      <c r="AR5" s="8">
        <f>(AN5+AP5)/2</f>
        <v>350</v>
      </c>
      <c r="AS5" s="8">
        <f t="dataTable" ref="AS5:AS44" dt2D="0" dtr="0" r1="C15"/>
        <v>68.667925890061554</v>
      </c>
      <c r="AT5" s="8">
        <f>AO5*AS5</f>
        <v>-6788.7756269543415</v>
      </c>
      <c r="AU5" s="8">
        <f>AQ5*AS5</f>
        <v>12624.491714701549</v>
      </c>
      <c r="AV5" s="8">
        <f>AP5-AN5</f>
        <v>500</v>
      </c>
    </row>
    <row r="6" spans="2:48" x14ac:dyDescent="0.2">
      <c r="B6" s="20" t="s">
        <v>2</v>
      </c>
      <c r="C6" s="33">
        <v>0.13</v>
      </c>
      <c r="F6" t="s">
        <v>111</v>
      </c>
      <c r="G6" s="20">
        <f xml:space="preserve"> 1/1000 * ($C$15*$C$26)/$C$7 * ( ($G$4/2) + SQRT( ($G$4/2)^2 + ($C$15*$C$26)/(2*$C$25*$C$5*PI()*$C$16*$C$16 ) ) )</f>
        <v>37.883166037725772</v>
      </c>
      <c r="H6" s="20" t="s">
        <v>161</v>
      </c>
      <c r="N6" s="20" t="s">
        <v>185</v>
      </c>
      <c r="O6" s="20">
        <f>($O$5*PI()*$C$16^2)/(0.3048^2)/($C$15*2.20462/1000)^(2/3)</f>
        <v>1.163745620537316</v>
      </c>
      <c r="R6" s="20" t="s">
        <v>185</v>
      </c>
      <c r="S6" s="20">
        <f>($O$5*PI()*$C$16^2)/(0.3048^2)/($C$15*2.20462/1000)^(2/3)</f>
        <v>1.163745620537316</v>
      </c>
      <c r="V6" s="20" t="s">
        <v>185</v>
      </c>
      <c r="W6" s="20">
        <f>($O$5*PI()*$C$16^2)/(0.3048^2)/($C$15*2.20462/1000)^(2/3)</f>
        <v>1.163745620537316</v>
      </c>
      <c r="AB6" s="8">
        <v>2</v>
      </c>
      <c r="AC6" s="8">
        <f t="shared" ref="AC6:AC34" si="7">IF(AI5&gt;0, AG5, AC5)</f>
        <v>0</v>
      </c>
      <c r="AD6" s="8">
        <f t="shared" si="0"/>
        <v>1.7210099758360117E-2</v>
      </c>
      <c r="AE6" s="8">
        <f t="shared" ref="AE6:AE34" si="8">IF(AJ5&gt;0, AG5, AE5)</f>
        <v>0.25</v>
      </c>
      <c r="AF6" s="8">
        <f t="shared" si="1"/>
        <v>-0.23939097276894028</v>
      </c>
      <c r="AG6" s="8">
        <f t="shared" si="3"/>
        <v>0.125</v>
      </c>
      <c r="AH6" s="8">
        <f t="shared" si="2"/>
        <v>-0.11094123858886666</v>
      </c>
      <c r="AI6" s="8">
        <f t="shared" si="4"/>
        <v>-1.9093097834304263E-3</v>
      </c>
      <c r="AJ6" s="8">
        <f t="shared" si="5"/>
        <v>2.6558331025979886E-2</v>
      </c>
      <c r="AK6" s="8">
        <f t="shared" si="6"/>
        <v>0.25</v>
      </c>
      <c r="AM6" s="8">
        <v>2</v>
      </c>
      <c r="AN6" s="8">
        <f>IF(AT5&gt;0, AR5, AN5)</f>
        <v>100</v>
      </c>
      <c r="AO6" s="8">
        <v>-98.863851484655001</v>
      </c>
      <c r="AP6" s="8">
        <f>IF(AU5&gt;0, AR5, AP5)</f>
        <v>350</v>
      </c>
      <c r="AQ6" s="8">
        <v>68.667925890061554</v>
      </c>
      <c r="AR6" s="8">
        <f t="shared" ref="AR6:AR44" si="9">(AN6+AP6)/2</f>
        <v>225</v>
      </c>
      <c r="AS6" s="8">
        <v>-8.3884558279507928</v>
      </c>
      <c r="AT6" s="8">
        <f t="shared" ref="AT6:AT44" si="10">AO6*AS6</f>
        <v>829.3150511601159</v>
      </c>
      <c r="AU6" s="8">
        <f t="shared" ref="AU6:AU44" si="11">AQ6*AS6</f>
        <v>-576.01786312577997</v>
      </c>
      <c r="AV6" s="8">
        <f t="shared" ref="AV6:AV44" si="12">AP6-AN6</f>
        <v>250</v>
      </c>
    </row>
    <row r="7" spans="2:48" x14ac:dyDescent="0.2">
      <c r="B7" s="20" t="s">
        <v>3</v>
      </c>
      <c r="C7" s="33">
        <v>0.75</v>
      </c>
      <c r="F7" t="s">
        <v>30</v>
      </c>
      <c r="G7" s="20">
        <f xml:space="preserve"> $C$15 * $C$26 / $C$5</f>
        <v>581.70543832951614</v>
      </c>
      <c r="H7" s="20" t="s">
        <v>31</v>
      </c>
      <c r="J7" s="46" t="s">
        <v>34</v>
      </c>
      <c r="K7" s="46"/>
      <c r="L7" s="46"/>
      <c r="N7" s="20" t="s">
        <v>56</v>
      </c>
      <c r="O7" s="20">
        <f xml:space="preserve"> O4 *$O$5 * PI() * $C$16 * $C$16</f>
        <v>56.057429146154192</v>
      </c>
      <c r="P7" s="20" t="s">
        <v>31</v>
      </c>
      <c r="R7" s="20" t="s">
        <v>56</v>
      </c>
      <c r="S7" s="20">
        <f xml:space="preserve"> S4 *$O$5 * PI() * $C$16 * $C$16</f>
        <v>56.057429146154192</v>
      </c>
      <c r="T7" s="20" t="s">
        <v>31</v>
      </c>
      <c r="V7" s="20" t="s">
        <v>56</v>
      </c>
      <c r="W7" s="20">
        <f xml:space="preserve"> W4 *$O$5 * PI() * $C$16 * $C$16</f>
        <v>56.057429146154192</v>
      </c>
      <c r="X7" s="20" t="s">
        <v>31</v>
      </c>
      <c r="AB7" s="8">
        <v>3</v>
      </c>
      <c r="AC7" s="8">
        <f t="shared" si="7"/>
        <v>0</v>
      </c>
      <c r="AD7" s="8">
        <f t="shared" si="0"/>
        <v>1.7210099758360117E-2</v>
      </c>
      <c r="AE7" s="8">
        <f t="shared" si="8"/>
        <v>0.125</v>
      </c>
      <c r="AF7" s="8">
        <f t="shared" si="1"/>
        <v>-0.11094123858886666</v>
      </c>
      <c r="AG7" s="8">
        <f t="shared" si="3"/>
        <v>6.25E-2</v>
      </c>
      <c r="AH7" s="8">
        <f t="shared" si="2"/>
        <v>-4.6335771241675067E-2</v>
      </c>
      <c r="AI7" s="8">
        <f t="shared" si="4"/>
        <v>-7.974432454497817E-4</v>
      </c>
      <c r="AJ7" s="8">
        <f t="shared" si="5"/>
        <v>5.1405478525218202E-3</v>
      </c>
      <c r="AK7" s="8">
        <f t="shared" si="6"/>
        <v>0.125</v>
      </c>
      <c r="AM7" s="8">
        <v>3</v>
      </c>
      <c r="AN7" s="8">
        <f t="shared" ref="AN7:AN44" si="13">IF(AT6&gt;0, AR6, AN6)</f>
        <v>225</v>
      </c>
      <c r="AO7" s="8">
        <v>-8.3884558279507928</v>
      </c>
      <c r="AP7" s="8">
        <f t="shared" ref="AP7:AP44" si="14">IF(AU6&gt;0, AR6, AP6)</f>
        <v>350</v>
      </c>
      <c r="AQ7" s="8">
        <v>68.667925890061554</v>
      </c>
      <c r="AR7" s="8">
        <f t="shared" si="9"/>
        <v>287.5</v>
      </c>
      <c r="AS7" s="8">
        <v>33.361017006006705</v>
      </c>
      <c r="AT7" s="8">
        <f t="shared" si="10"/>
        <v>-279.84741753040242</v>
      </c>
      <c r="AU7" s="8">
        <f t="shared" si="11"/>
        <v>2290.8318433855516</v>
      </c>
      <c r="AV7" s="8">
        <f t="shared" si="12"/>
        <v>125</v>
      </c>
    </row>
    <row r="8" spans="2:48" x14ac:dyDescent="0.2">
      <c r="F8" t="s">
        <v>119</v>
      </c>
      <c r="G8" s="24">
        <f>$G$5/$G$4</f>
        <v>60</v>
      </c>
      <c r="H8" s="20" t="s">
        <v>22</v>
      </c>
      <c r="J8" s="20" t="s">
        <v>152</v>
      </c>
      <c r="K8" s="20">
        <f xml:space="preserve"> (G6*G8 + G18*G19 + G23*G24 + G34*G35 + G40*G42)/3600</f>
        <v>6.5225506616331801</v>
      </c>
      <c r="L8" s="20" t="s">
        <v>162</v>
      </c>
      <c r="N8" s="20" t="s">
        <v>59</v>
      </c>
      <c r="O8" s="20">
        <f xml:space="preserve"> O7</f>
        <v>56.057429146154192</v>
      </c>
      <c r="P8" s="20" t="s">
        <v>31</v>
      </c>
      <c r="R8" s="20" t="s">
        <v>59</v>
      </c>
      <c r="S8" s="20">
        <f xml:space="preserve"> S7</f>
        <v>56.057429146154192</v>
      </c>
      <c r="T8" s="20" t="s">
        <v>31</v>
      </c>
      <c r="V8" s="20" t="s">
        <v>59</v>
      </c>
      <c r="W8" s="20">
        <f xml:space="preserve"> W7</f>
        <v>56.057429146154192</v>
      </c>
      <c r="X8" s="20" t="s">
        <v>31</v>
      </c>
      <c r="AB8" s="8">
        <v>4</v>
      </c>
      <c r="AC8" s="8">
        <f t="shared" si="7"/>
        <v>0</v>
      </c>
      <c r="AD8" s="8">
        <f t="shared" si="0"/>
        <v>1.7210099758360117E-2</v>
      </c>
      <c r="AE8" s="8">
        <f t="shared" si="8"/>
        <v>6.25E-2</v>
      </c>
      <c r="AF8" s="8">
        <f t="shared" si="1"/>
        <v>-4.6335771241675067E-2</v>
      </c>
      <c r="AG8" s="8">
        <f t="shared" si="3"/>
        <v>3.125E-2</v>
      </c>
      <c r="AH8" s="8">
        <f t="shared" si="2"/>
        <v>-1.4325689244221444E-2</v>
      </c>
      <c r="AI8" s="8">
        <f t="shared" si="4"/>
        <v>-2.4654654100031762E-4</v>
      </c>
      <c r="AJ8" s="8">
        <f t="shared" si="5"/>
        <v>6.6379185969956983E-4</v>
      </c>
      <c r="AK8" s="8">
        <f t="shared" si="6"/>
        <v>6.25E-2</v>
      </c>
      <c r="AM8" s="8">
        <v>4</v>
      </c>
      <c r="AN8" s="8">
        <f t="shared" si="13"/>
        <v>225</v>
      </c>
      <c r="AO8" s="8">
        <v>-8.3884558279507928</v>
      </c>
      <c r="AP8" s="8">
        <f t="shared" si="14"/>
        <v>287.5</v>
      </c>
      <c r="AQ8" s="8">
        <v>33.361017006006705</v>
      </c>
      <c r="AR8" s="8">
        <f t="shared" si="9"/>
        <v>256.25</v>
      </c>
      <c r="AS8" s="8">
        <v>12.791306210833085</v>
      </c>
      <c r="AT8" s="8">
        <f t="shared" si="10"/>
        <v>-107.29930713136596</v>
      </c>
      <c r="AU8" s="8">
        <f t="shared" si="11"/>
        <v>426.73098402864173</v>
      </c>
      <c r="AV8" s="8">
        <f t="shared" si="12"/>
        <v>62.5</v>
      </c>
    </row>
    <row r="9" spans="2:48" x14ac:dyDescent="0.2">
      <c r="B9" s="44" t="s">
        <v>6</v>
      </c>
      <c r="C9" s="45"/>
      <c r="D9" s="45"/>
      <c r="F9"/>
      <c r="G9" s="24"/>
      <c r="J9" s="20" t="s">
        <v>35</v>
      </c>
      <c r="K9" s="20">
        <f xml:space="preserve"> (G8 + G19 + G24 + G35 + G42)/60</f>
        <v>10.059433221561665</v>
      </c>
      <c r="L9" s="20" t="s">
        <v>163</v>
      </c>
      <c r="AB9" s="8">
        <v>5</v>
      </c>
      <c r="AC9" s="8">
        <f t="shared" si="7"/>
        <v>0</v>
      </c>
      <c r="AD9" s="8">
        <f t="shared" si="0"/>
        <v>1.7210099758360117E-2</v>
      </c>
      <c r="AE9" s="8">
        <f t="shared" si="8"/>
        <v>3.125E-2</v>
      </c>
      <c r="AF9" s="8">
        <f t="shared" si="1"/>
        <v>-1.4325689244221444E-2</v>
      </c>
      <c r="AG9" s="8">
        <f t="shared" si="3"/>
        <v>1.5625E-2</v>
      </c>
      <c r="AH9" s="8">
        <f t="shared" si="2"/>
        <v>1.5119299073827405E-3</v>
      </c>
      <c r="AI9" s="8">
        <f t="shared" si="4"/>
        <v>2.6020464533705137E-5</v>
      </c>
      <c r="AJ9" s="8">
        <f t="shared" si="5"/>
        <v>-2.165943801220965E-5</v>
      </c>
      <c r="AK9" s="8">
        <f t="shared" si="6"/>
        <v>3.125E-2</v>
      </c>
      <c r="AM9" s="8">
        <v>5</v>
      </c>
      <c r="AN9" s="8">
        <f t="shared" si="13"/>
        <v>225</v>
      </c>
      <c r="AO9" s="8">
        <v>-8.3884558279507928</v>
      </c>
      <c r="AP9" s="8">
        <f t="shared" si="14"/>
        <v>256.25</v>
      </c>
      <c r="AQ9" s="8">
        <v>12.791306210833085</v>
      </c>
      <c r="AR9" s="8">
        <f t="shared" si="9"/>
        <v>240.625</v>
      </c>
      <c r="AS9" s="8">
        <v>2.2775332873625587</v>
      </c>
      <c r="AT9" s="8">
        <f t="shared" si="10"/>
        <v>-19.104987377728381</v>
      </c>
      <c r="AU9" s="8">
        <f t="shared" si="11"/>
        <v>29.132625684019789</v>
      </c>
      <c r="AV9" s="8">
        <f t="shared" si="12"/>
        <v>31.25</v>
      </c>
    </row>
    <row r="10" spans="2:48" x14ac:dyDescent="0.2">
      <c r="B10" s="20" t="s">
        <v>7</v>
      </c>
      <c r="C10" s="33">
        <v>157</v>
      </c>
      <c r="D10" s="20" t="s">
        <v>8</v>
      </c>
      <c r="F10" s="48" t="s">
        <v>123</v>
      </c>
      <c r="G10" s="49"/>
      <c r="H10" s="49"/>
      <c r="AB10" s="8">
        <v>6</v>
      </c>
      <c r="AC10" s="8">
        <f t="shared" si="7"/>
        <v>1.5625E-2</v>
      </c>
      <c r="AD10" s="8">
        <f t="shared" si="0"/>
        <v>1.5119299073827405E-3</v>
      </c>
      <c r="AE10" s="8">
        <f t="shared" si="8"/>
        <v>3.125E-2</v>
      </c>
      <c r="AF10" s="8">
        <f t="shared" si="1"/>
        <v>-1.4325689244221444E-2</v>
      </c>
      <c r="AG10" s="8">
        <f t="shared" si="3"/>
        <v>2.34375E-2</v>
      </c>
      <c r="AH10" s="8">
        <f t="shared" si="2"/>
        <v>-6.3903925028784905E-3</v>
      </c>
      <c r="AI10" s="8">
        <f t="shared" si="4"/>
        <v>-9.661825545016436E-6</v>
      </c>
      <c r="AJ10" s="8">
        <f t="shared" si="5"/>
        <v>9.154677714483974E-5</v>
      </c>
      <c r="AK10" s="8">
        <f t="shared" si="6"/>
        <v>1.5625E-2</v>
      </c>
      <c r="AM10" s="8">
        <v>6</v>
      </c>
      <c r="AN10" s="8">
        <f t="shared" si="13"/>
        <v>225</v>
      </c>
      <c r="AO10" s="8">
        <v>-8.3884558279507928</v>
      </c>
      <c r="AP10" s="8">
        <f t="shared" si="14"/>
        <v>240.625</v>
      </c>
      <c r="AQ10" s="8">
        <v>2.2775332873625587</v>
      </c>
      <c r="AR10" s="8">
        <f t="shared" si="9"/>
        <v>232.8125</v>
      </c>
      <c r="AS10" s="8">
        <v>-3.0364732408996531</v>
      </c>
      <c r="AT10" s="8">
        <f t="shared" si="10"/>
        <v>25.471321654041326</v>
      </c>
      <c r="AU10" s="8">
        <f t="shared" si="11"/>
        <v>-6.9156688823346295</v>
      </c>
      <c r="AV10" s="8">
        <f t="shared" si="12"/>
        <v>15.625</v>
      </c>
    </row>
    <row r="11" spans="2:48" x14ac:dyDescent="0.2">
      <c r="B11" s="20" t="s">
        <v>9</v>
      </c>
      <c r="C11" s="33">
        <v>0.85</v>
      </c>
      <c r="F11" s="4" t="s">
        <v>153</v>
      </c>
      <c r="G11" s="1">
        <f>$C$17</f>
        <v>36.11</v>
      </c>
      <c r="H11" t="s">
        <v>16</v>
      </c>
      <c r="J11" s="44" t="s">
        <v>72</v>
      </c>
      <c r="K11" s="44"/>
      <c r="L11" s="44"/>
      <c r="N11" s="44" t="s">
        <v>100</v>
      </c>
      <c r="O11" s="50"/>
      <c r="P11" s="50"/>
      <c r="R11" s="44" t="s">
        <v>100</v>
      </c>
      <c r="S11" s="50"/>
      <c r="T11" s="50"/>
      <c r="V11" s="44" t="s">
        <v>100</v>
      </c>
      <c r="W11" s="50"/>
      <c r="X11" s="50"/>
      <c r="AB11" s="8">
        <v>7</v>
      </c>
      <c r="AC11" s="8">
        <f t="shared" si="7"/>
        <v>1.5625E-2</v>
      </c>
      <c r="AD11" s="8">
        <f t="shared" si="0"/>
        <v>1.5119299073827405E-3</v>
      </c>
      <c r="AE11" s="8">
        <f t="shared" si="8"/>
        <v>2.34375E-2</v>
      </c>
      <c r="AF11" s="8">
        <f t="shared" si="1"/>
        <v>-6.3903925028784905E-3</v>
      </c>
      <c r="AG11" s="8">
        <f t="shared" si="3"/>
        <v>1.953125E-2</v>
      </c>
      <c r="AH11" s="8">
        <f t="shared" si="2"/>
        <v>-2.4349625292499066E-3</v>
      </c>
      <c r="AI11" s="8">
        <f t="shared" si="4"/>
        <v>-3.6814926713292549E-6</v>
      </c>
      <c r="AJ11" s="8">
        <f t="shared" si="5"/>
        <v>1.5560366291708651E-5</v>
      </c>
      <c r="AK11" s="8">
        <f t="shared" si="6"/>
        <v>7.8125E-3</v>
      </c>
      <c r="AM11" s="8">
        <v>7</v>
      </c>
      <c r="AN11" s="8">
        <f t="shared" si="13"/>
        <v>232.8125</v>
      </c>
      <c r="AO11" s="8">
        <v>-3.0364732408996531</v>
      </c>
      <c r="AP11" s="8">
        <f t="shared" si="14"/>
        <v>240.625</v>
      </c>
      <c r="AQ11" s="8">
        <v>2.2775332873625587</v>
      </c>
      <c r="AR11" s="8">
        <f t="shared" si="9"/>
        <v>236.71875</v>
      </c>
      <c r="AS11" s="8">
        <v>-0.37471649892464143</v>
      </c>
      <c r="AT11" s="8">
        <f t="shared" si="10"/>
        <v>1.1378166219082773</v>
      </c>
      <c r="AU11" s="8">
        <f t="shared" si="11"/>
        <v>-0.85342929962482728</v>
      </c>
      <c r="AV11" s="8">
        <f t="shared" si="12"/>
        <v>7.8125</v>
      </c>
    </row>
    <row r="12" spans="2:48" x14ac:dyDescent="0.2">
      <c r="B12" s="20" t="s">
        <v>10</v>
      </c>
      <c r="C12" s="33">
        <v>0.8</v>
      </c>
      <c r="F12" t="s">
        <v>125</v>
      </c>
      <c r="G12" s="1">
        <v>2.54</v>
      </c>
      <c r="H12" t="s">
        <v>16</v>
      </c>
      <c r="J12" s="26" t="s">
        <v>108</v>
      </c>
      <c r="K12" s="20">
        <f>C15</f>
        <v>237.269786656816</v>
      </c>
      <c r="L12" s="20" t="s">
        <v>12</v>
      </c>
      <c r="N12" s="20" t="s">
        <v>101</v>
      </c>
      <c r="O12" s="20">
        <f>SQRT((O8*COS(G16/180*PI()))^2 + (O8*SIN(G16/180*PI())+$C$15*$C$26)^2)</f>
        <v>2331.4355571119836</v>
      </c>
      <c r="P12" s="20" t="s">
        <v>31</v>
      </c>
      <c r="R12" s="20" t="s">
        <v>101</v>
      </c>
      <c r="S12" s="20">
        <f xml:space="preserve"> SQRT( ($C$15*$C$26)^2 + S8^2)</f>
        <v>2327.4969188114146</v>
      </c>
      <c r="T12" s="20" t="s">
        <v>31</v>
      </c>
      <c r="V12" s="20" t="s">
        <v>101</v>
      </c>
      <c r="W12" s="20">
        <f xml:space="preserve"> SQRT( (W8*COS(G32/180*PI()))^2 + ($C$15*$C$26 - W8*SIN(G32/180*PI()))^2 )</f>
        <v>2325.1305333557007</v>
      </c>
      <c r="X12" s="20" t="s">
        <v>31</v>
      </c>
      <c r="AB12" s="8">
        <v>8</v>
      </c>
      <c r="AC12" s="8">
        <f t="shared" si="7"/>
        <v>1.5625E-2</v>
      </c>
      <c r="AD12" s="8">
        <f t="shared" si="0"/>
        <v>1.5119299073827405E-3</v>
      </c>
      <c r="AE12" s="8">
        <f t="shared" si="8"/>
        <v>1.953125E-2</v>
      </c>
      <c r="AF12" s="8">
        <f t="shared" si="1"/>
        <v>-2.4349625292499066E-3</v>
      </c>
      <c r="AG12" s="8">
        <f t="shared" si="3"/>
        <v>1.7578125E-2</v>
      </c>
      <c r="AH12" s="8">
        <f t="shared" si="2"/>
        <v>-4.6043309301036645E-4</v>
      </c>
      <c r="AI12" s="8">
        <f t="shared" si="4"/>
        <v>-6.9614256367111206E-7</v>
      </c>
      <c r="AJ12" s="8">
        <f t="shared" si="5"/>
        <v>1.1211373287068793E-6</v>
      </c>
      <c r="AK12" s="8">
        <f t="shared" si="6"/>
        <v>3.90625E-3</v>
      </c>
      <c r="AM12" s="8">
        <v>8</v>
      </c>
      <c r="AN12" s="8">
        <f t="shared" si="13"/>
        <v>236.71875</v>
      </c>
      <c r="AO12" s="8">
        <v>-0.37471649892464143</v>
      </c>
      <c r="AP12" s="8">
        <f t="shared" si="14"/>
        <v>240.625</v>
      </c>
      <c r="AQ12" s="8">
        <v>2.2775332873625587</v>
      </c>
      <c r="AR12" s="8">
        <f t="shared" si="9"/>
        <v>238.671875</v>
      </c>
      <c r="AS12" s="8">
        <v>0.95259741480822413</v>
      </c>
      <c r="AT12" s="8">
        <f t="shared" si="10"/>
        <v>-0.35695396816160213</v>
      </c>
      <c r="AU12" s="8">
        <f t="shared" si="11"/>
        <v>2.1695723216812497</v>
      </c>
      <c r="AV12" s="8">
        <f t="shared" si="12"/>
        <v>3.90625</v>
      </c>
    </row>
    <row r="13" spans="2:48" x14ac:dyDescent="0.2">
      <c r="F13" t="s">
        <v>124</v>
      </c>
      <c r="G13" s="1">
        <v>304.8</v>
      </c>
      <c r="H13" t="s">
        <v>14</v>
      </c>
      <c r="J13" s="27" t="s">
        <v>73</v>
      </c>
      <c r="K13" s="20">
        <f xml:space="preserve"> K8 * 1000 / ($C$10 * $C$11 * $C$12)</f>
        <v>61.09545393062178</v>
      </c>
      <c r="L13" s="20" t="s">
        <v>12</v>
      </c>
      <c r="N13" s="20" t="s">
        <v>155</v>
      </c>
      <c r="O13" s="20">
        <f>ACOS(O8*COS(G16/180*PI())/O12) /PI() *180</f>
        <v>88.625651184965761</v>
      </c>
      <c r="P13" s="20" t="s">
        <v>61</v>
      </c>
      <c r="R13" s="20" t="s">
        <v>102</v>
      </c>
      <c r="S13" s="20">
        <f>$C$15*$C$26/S12</f>
        <v>0.99970991777136498</v>
      </c>
      <c r="V13" s="20" t="s">
        <v>155</v>
      </c>
      <c r="W13" s="20">
        <f xml:space="preserve"> ACOS(W8*COS(G32/180*PI())/W12) /PI() * 180</f>
        <v>88.619732229251753</v>
      </c>
      <c r="X13" s="20" t="s">
        <v>61</v>
      </c>
      <c r="AB13" s="8">
        <v>9</v>
      </c>
      <c r="AC13" s="8">
        <f t="shared" si="7"/>
        <v>1.5625E-2</v>
      </c>
      <c r="AD13" s="8">
        <f t="shared" si="0"/>
        <v>1.5119299073827405E-3</v>
      </c>
      <c r="AE13" s="8">
        <f t="shared" si="8"/>
        <v>1.7578125E-2</v>
      </c>
      <c r="AF13" s="8">
        <f t="shared" si="1"/>
        <v>-4.6043309301036645E-4</v>
      </c>
      <c r="AG13" s="8">
        <f t="shared" si="3"/>
        <v>1.66015625E-2</v>
      </c>
      <c r="AH13" s="8">
        <f t="shared" si="2"/>
        <v>5.2602105720836456E-4</v>
      </c>
      <c r="AI13" s="8">
        <f t="shared" si="4"/>
        <v>7.9530696830641386E-7</v>
      </c>
      <c r="AJ13" s="8">
        <f t="shared" si="5"/>
        <v>-2.4219750235903019E-7</v>
      </c>
      <c r="AK13" s="8">
        <f t="shared" si="6"/>
        <v>1.953125E-3</v>
      </c>
      <c r="AM13" s="8">
        <v>9</v>
      </c>
      <c r="AN13" s="8">
        <f t="shared" si="13"/>
        <v>236.71875</v>
      </c>
      <c r="AO13" s="8">
        <v>-0.37471649892464143</v>
      </c>
      <c r="AP13" s="8">
        <f t="shared" si="14"/>
        <v>238.671875</v>
      </c>
      <c r="AQ13" s="8">
        <v>0.95259741480822413</v>
      </c>
      <c r="AR13" s="8">
        <f t="shared" si="9"/>
        <v>237.6953125</v>
      </c>
      <c r="AS13" s="8">
        <v>0.28923704788257965</v>
      </c>
      <c r="AT13" s="8">
        <f t="shared" si="10"/>
        <v>-0.10838189394185911</v>
      </c>
      <c r="AU13" s="8">
        <f t="shared" si="11"/>
        <v>0.27552646407970793</v>
      </c>
      <c r="AV13" s="8">
        <f t="shared" si="12"/>
        <v>1.953125</v>
      </c>
    </row>
    <row r="14" spans="2:48" x14ac:dyDescent="0.2">
      <c r="B14" s="46" t="s">
        <v>11</v>
      </c>
      <c r="C14" s="46"/>
      <c r="D14" s="46"/>
      <c r="F14" t="s">
        <v>126</v>
      </c>
      <c r="G14" s="24">
        <f>SQRT($G$11^2-$G$12^2)</f>
        <v>36.020556630901751</v>
      </c>
      <c r="H14" t="s">
        <v>16</v>
      </c>
      <c r="J14" s="28" t="s">
        <v>74</v>
      </c>
      <c r="K14" s="20">
        <f xml:space="preserve"> $C$27 * ($C$5 * $C$34 * (2*$C$16*3.28084 * (K5*0.00134102) * $C$33^0.5)^0.782 * 0.453592)</f>
        <v>11.130914770396288</v>
      </c>
      <c r="L14" s="20" t="s">
        <v>12</v>
      </c>
      <c r="AB14" s="8">
        <v>10</v>
      </c>
      <c r="AC14" s="8">
        <f t="shared" si="7"/>
        <v>1.66015625E-2</v>
      </c>
      <c r="AD14" s="8">
        <f t="shared" si="0"/>
        <v>5.2602105720836456E-4</v>
      </c>
      <c r="AE14" s="8">
        <f t="shared" si="8"/>
        <v>1.7578125E-2</v>
      </c>
      <c r="AF14" s="8">
        <f t="shared" si="1"/>
        <v>-4.6043309301036645E-4</v>
      </c>
      <c r="AG14" s="8">
        <f t="shared" si="3"/>
        <v>1.708984375E-2</v>
      </c>
      <c r="AH14" s="8">
        <f t="shared" si="2"/>
        <v>3.28619211474937E-5</v>
      </c>
      <c r="AI14" s="8">
        <f t="shared" si="4"/>
        <v>1.7286062503902547E-8</v>
      </c>
      <c r="AJ14" s="8">
        <f t="shared" si="5"/>
        <v>-1.5130715996203294E-8</v>
      </c>
      <c r="AK14" s="8">
        <f t="shared" si="6"/>
        <v>9.765625E-4</v>
      </c>
      <c r="AM14" s="8">
        <v>10</v>
      </c>
      <c r="AN14" s="8">
        <f t="shared" si="13"/>
        <v>236.71875</v>
      </c>
      <c r="AO14" s="8">
        <v>-0.37471649892464143</v>
      </c>
      <c r="AP14" s="8">
        <f t="shared" si="14"/>
        <v>237.6953125</v>
      </c>
      <c r="AQ14" s="8">
        <v>0.28923704788257965</v>
      </c>
      <c r="AR14" s="8">
        <f t="shared" si="9"/>
        <v>237.20703125</v>
      </c>
      <c r="AS14" s="8">
        <v>-4.2665486656261464E-2</v>
      </c>
      <c r="AT14" s="8">
        <f t="shared" si="10"/>
        <v>1.5987461784750301E-2</v>
      </c>
      <c r="AU14" s="8">
        <f t="shared" si="11"/>
        <v>-1.2340439406930659E-2</v>
      </c>
      <c r="AV14" s="8">
        <f t="shared" si="12"/>
        <v>0.9765625</v>
      </c>
    </row>
    <row r="15" spans="2:48" x14ac:dyDescent="0.2">
      <c r="B15" s="26" t="s">
        <v>54</v>
      </c>
      <c r="C15" s="26">
        <f>AR44</f>
        <v>237.269786656816</v>
      </c>
      <c r="D15" s="26" t="s">
        <v>12</v>
      </c>
      <c r="F15" t="s">
        <v>127</v>
      </c>
      <c r="G15" s="24">
        <f>$G$14*($G$13/$G$12)</f>
        <v>4322.4667957082102</v>
      </c>
      <c r="H15" t="s">
        <v>14</v>
      </c>
      <c r="J15" s="29" t="s">
        <v>75</v>
      </c>
      <c r="K15" s="20">
        <f xml:space="preserve"> 0.2138 * (K4/1000)</f>
        <v>9.7973797202683084</v>
      </c>
      <c r="L15" s="20" t="s">
        <v>12</v>
      </c>
      <c r="AB15" s="8">
        <v>11</v>
      </c>
      <c r="AC15" s="8">
        <f t="shared" si="7"/>
        <v>1.708984375E-2</v>
      </c>
      <c r="AD15" s="8">
        <f t="shared" si="0"/>
        <v>3.28619211474937E-5</v>
      </c>
      <c r="AE15" s="8">
        <f t="shared" si="8"/>
        <v>1.7578125E-2</v>
      </c>
      <c r="AF15" s="8">
        <f t="shared" si="1"/>
        <v>-4.6043309301036645E-4</v>
      </c>
      <c r="AG15" s="8">
        <f t="shared" si="3"/>
        <v>1.7333984375E-2</v>
      </c>
      <c r="AH15" s="8">
        <f t="shared" si="2"/>
        <v>-2.137686297402526E-4</v>
      </c>
      <c r="AI15" s="8">
        <f t="shared" si="4"/>
        <v>-7.0248478543319576E-9</v>
      </c>
      <c r="AJ15" s="8">
        <f t="shared" si="5"/>
        <v>9.8426151379892307E-8</v>
      </c>
      <c r="AK15" s="8">
        <f t="shared" si="6"/>
        <v>4.8828125E-4</v>
      </c>
      <c r="AM15" s="8">
        <v>11</v>
      </c>
      <c r="AN15" s="8">
        <f t="shared" si="13"/>
        <v>237.20703125</v>
      </c>
      <c r="AO15" s="8">
        <v>-4.2665486656261464E-2</v>
      </c>
      <c r="AP15" s="8">
        <f t="shared" si="14"/>
        <v>237.6953125</v>
      </c>
      <c r="AQ15" s="8">
        <v>0.28923704788257965</v>
      </c>
      <c r="AR15" s="8">
        <f t="shared" si="9"/>
        <v>237.451171875</v>
      </c>
      <c r="AS15" s="8">
        <v>0.12330494619030219</v>
      </c>
      <c r="AT15" s="8">
        <f t="shared" si="10"/>
        <v>-5.2608655363333761E-3</v>
      </c>
      <c r="AU15" s="8">
        <f t="shared" si="11"/>
        <v>3.566435862540334E-2</v>
      </c>
      <c r="AV15" s="8">
        <f t="shared" si="12"/>
        <v>0.48828125</v>
      </c>
    </row>
    <row r="16" spans="2:48" x14ac:dyDescent="0.2">
      <c r="B16" s="20" t="s">
        <v>13</v>
      </c>
      <c r="C16" s="33">
        <v>0.8</v>
      </c>
      <c r="D16" s="20" t="s">
        <v>14</v>
      </c>
      <c r="F16" t="s">
        <v>151</v>
      </c>
      <c r="G16" s="24">
        <f>ATAN(G12/G14)/PI()*180</f>
        <v>4.0335518689984484</v>
      </c>
      <c r="H16" t="s">
        <v>61</v>
      </c>
      <c r="J16" s="29" t="s">
        <v>106</v>
      </c>
      <c r="K16" s="20">
        <f xml:space="preserve"> 2.20462 * (49.9/398 * (K5/1000 - 2) + 0.1) * 0.453592 * $C$5</f>
        <v>5.1423672468576438</v>
      </c>
      <c r="L16" s="20" t="s">
        <v>12</v>
      </c>
      <c r="N16" s="44" t="s">
        <v>40</v>
      </c>
      <c r="O16" s="50"/>
      <c r="P16" s="50"/>
      <c r="R16" s="44" t="s">
        <v>40</v>
      </c>
      <c r="S16" s="50"/>
      <c r="T16" s="50"/>
      <c r="V16" s="44" t="s">
        <v>40</v>
      </c>
      <c r="W16" s="50"/>
      <c r="X16" s="50"/>
      <c r="AB16" s="8">
        <v>12</v>
      </c>
      <c r="AC16" s="8">
        <f t="shared" si="7"/>
        <v>1.708984375E-2</v>
      </c>
      <c r="AD16" s="8">
        <f t="shared" si="0"/>
        <v>3.28619211474937E-5</v>
      </c>
      <c r="AE16" s="8">
        <f t="shared" si="8"/>
        <v>1.7333984375E-2</v>
      </c>
      <c r="AF16" s="8">
        <f t="shared" si="1"/>
        <v>-2.137686297402526E-4</v>
      </c>
      <c r="AG16" s="8">
        <f t="shared" si="3"/>
        <v>1.72119140625E-2</v>
      </c>
      <c r="AH16" s="8">
        <f t="shared" si="2"/>
        <v>-9.0449111648877034E-5</v>
      </c>
      <c r="AI16" s="8">
        <f t="shared" si="4"/>
        <v>-2.972331574866251E-9</v>
      </c>
      <c r="AJ16" s="8">
        <f t="shared" si="5"/>
        <v>1.9335182658403563E-8</v>
      </c>
      <c r="AK16" s="8">
        <f t="shared" si="6"/>
        <v>2.44140625E-4</v>
      </c>
      <c r="AM16" s="8">
        <v>12</v>
      </c>
      <c r="AN16" s="8">
        <f t="shared" si="13"/>
        <v>237.20703125</v>
      </c>
      <c r="AO16" s="8">
        <v>-4.2665486656261464E-2</v>
      </c>
      <c r="AP16" s="8">
        <f t="shared" si="14"/>
        <v>237.451171875</v>
      </c>
      <c r="AQ16" s="8">
        <v>0.12330494619030219</v>
      </c>
      <c r="AR16" s="8">
        <f t="shared" si="9"/>
        <v>237.3291015625</v>
      </c>
      <c r="AS16" s="8">
        <v>4.0324141281871562E-2</v>
      </c>
      <c r="AT16" s="8">
        <f t="shared" si="10"/>
        <v>-1.7204491117868931E-3</v>
      </c>
      <c r="AU16" s="8">
        <f t="shared" si="11"/>
        <v>4.9721660709313165E-3</v>
      </c>
      <c r="AV16" s="8">
        <f t="shared" si="12"/>
        <v>0.244140625</v>
      </c>
    </row>
    <row r="17" spans="2:48" x14ac:dyDescent="0.2">
      <c r="B17" s="20" t="s">
        <v>15</v>
      </c>
      <c r="C17" s="33">
        <v>36.11</v>
      </c>
      <c r="D17" s="20" t="s">
        <v>16</v>
      </c>
      <c r="F17" t="s">
        <v>154</v>
      </c>
      <c r="G17" s="20">
        <f xml:space="preserve"> 1/1000 * (O22 + O18 * (O27 * O24 + $G$11 * SIN(O17/180*PI())))</f>
        <v>11.456243826319351</v>
      </c>
      <c r="H17" t="s">
        <v>161</v>
      </c>
      <c r="J17" s="30" t="s">
        <v>83</v>
      </c>
      <c r="K17" s="20">
        <f xml:space="preserve"> $C$27 * (14.86 * ($C$15*2.20462)^0.144 * ($C$38/(PI()*$C$39))^0.778 * ($C$38*3.28084)^0.383 * $C$37^0.455 * 0.453592)</f>
        <v>31.039210669367563</v>
      </c>
      <c r="L17" s="20" t="s">
        <v>12</v>
      </c>
      <c r="N17" s="20" t="s">
        <v>41</v>
      </c>
      <c r="O17" s="20">
        <f xml:space="preserve"> 90 + G16 - O13</f>
        <v>5.4079006840326826</v>
      </c>
      <c r="P17" s="20" t="s">
        <v>61</v>
      </c>
      <c r="R17" s="20" t="s">
        <v>41</v>
      </c>
      <c r="S17" s="20">
        <f xml:space="preserve"> ACOS(S13)/PI()*180</f>
        <v>1.3800940734969378</v>
      </c>
      <c r="T17" s="20" t="s">
        <v>61</v>
      </c>
      <c r="V17" s="20" t="s">
        <v>41</v>
      </c>
      <c r="W17" s="20">
        <f>90-G32-W13</f>
        <v>-1.0385832662186942</v>
      </c>
      <c r="X17" s="20" t="s">
        <v>61</v>
      </c>
      <c r="AB17" s="8">
        <v>13</v>
      </c>
      <c r="AC17" s="8">
        <f t="shared" si="7"/>
        <v>1.708984375E-2</v>
      </c>
      <c r="AD17" s="8">
        <f t="shared" si="0"/>
        <v>3.28619211474937E-5</v>
      </c>
      <c r="AE17" s="8">
        <f t="shared" si="8"/>
        <v>1.72119140625E-2</v>
      </c>
      <c r="AF17" s="8">
        <f t="shared" si="1"/>
        <v>-9.0449111648877034E-5</v>
      </c>
      <c r="AG17" s="8">
        <f t="shared" si="3"/>
        <v>1.715087890625E-2</v>
      </c>
      <c r="AH17" s="8">
        <f t="shared" si="2"/>
        <v>-2.8792534141328097E-5</v>
      </c>
      <c r="AI17" s="8">
        <f t="shared" si="4"/>
        <v>-9.4617798658884413E-10</v>
      </c>
      <c r="AJ17" s="8">
        <f t="shared" si="5"/>
        <v>2.6042591352030888E-9</v>
      </c>
      <c r="AK17" s="8">
        <f t="shared" si="6"/>
        <v>1.220703125E-4</v>
      </c>
      <c r="AM17" s="8">
        <v>13</v>
      </c>
      <c r="AN17" s="8">
        <f t="shared" si="13"/>
        <v>237.20703125</v>
      </c>
      <c r="AO17" s="8">
        <v>-4.2665486656261464E-2</v>
      </c>
      <c r="AP17" s="8">
        <f t="shared" si="14"/>
        <v>237.3291015625</v>
      </c>
      <c r="AQ17" s="8">
        <v>4.0324141281871562E-2</v>
      </c>
      <c r="AR17" s="8">
        <f t="shared" si="9"/>
        <v>237.26806640625</v>
      </c>
      <c r="AS17" s="8">
        <v>-1.1693144956552715E-3</v>
      </c>
      <c r="AT17" s="8">
        <f t="shared" si="10"/>
        <v>4.9889372011353088E-5</v>
      </c>
      <c r="AU17" s="8">
        <f t="shared" si="11"/>
        <v>-4.7151602925743555E-5</v>
      </c>
      <c r="AV17" s="8">
        <f t="shared" si="12"/>
        <v>0.1220703125</v>
      </c>
    </row>
    <row r="18" spans="2:48" x14ac:dyDescent="0.2">
      <c r="B18" s="20" t="s">
        <v>99</v>
      </c>
      <c r="C18" s="33">
        <v>0.15</v>
      </c>
      <c r="F18" t="s">
        <v>128</v>
      </c>
      <c r="G18" s="24">
        <f>$C$5*G17</f>
        <v>45.824975305277405</v>
      </c>
      <c r="H18" t="s">
        <v>161</v>
      </c>
      <c r="J18" s="30" t="s">
        <v>84</v>
      </c>
      <c r="K18" s="20">
        <f xml:space="preserve"> $C$27 * (0.054 * ($C$42*3.28084)^0.501 * ($C$15*2.20462*$C$43)^0.684 * 0.453592)</f>
        <v>4.6261520480504146</v>
      </c>
      <c r="L18" s="20" t="s">
        <v>12</v>
      </c>
      <c r="N18" s="20" t="s">
        <v>30</v>
      </c>
      <c r="O18" s="20">
        <f xml:space="preserve"> O12 / $C$5</f>
        <v>582.8588892779959</v>
      </c>
      <c r="P18" s="20" t="s">
        <v>31</v>
      </c>
      <c r="R18" s="20" t="s">
        <v>30</v>
      </c>
      <c r="S18" s="20">
        <f xml:space="preserve"> S12 / $C$5</f>
        <v>581.87422970285365</v>
      </c>
      <c r="T18" s="20" t="s">
        <v>31</v>
      </c>
      <c r="V18" s="20" t="s">
        <v>30</v>
      </c>
      <c r="W18" s="20">
        <f xml:space="preserve"> W12 / $C$5</f>
        <v>581.28263333892517</v>
      </c>
      <c r="X18" s="20" t="s">
        <v>31</v>
      </c>
      <c r="AB18" s="8">
        <v>14</v>
      </c>
      <c r="AC18" s="8">
        <f t="shared" si="7"/>
        <v>1.708984375E-2</v>
      </c>
      <c r="AD18" s="8">
        <f t="shared" si="0"/>
        <v>3.28619211474937E-5</v>
      </c>
      <c r="AE18" s="8">
        <f t="shared" si="8"/>
        <v>1.715087890625E-2</v>
      </c>
      <c r="AF18" s="8">
        <f t="shared" si="1"/>
        <v>-2.8792534141328097E-5</v>
      </c>
      <c r="AG18" s="8">
        <f t="shared" si="3"/>
        <v>1.7120361328125E-2</v>
      </c>
      <c r="AH18" s="8">
        <f t="shared" si="2"/>
        <v>2.0349588362063298E-6</v>
      </c>
      <c r="AI18" s="8">
        <f t="shared" si="4"/>
        <v>6.6872656813807951E-11</v>
      </c>
      <c r="AJ18" s="8">
        <f t="shared" si="5"/>
        <v>-5.8591621767668044E-11</v>
      </c>
      <c r="AK18" s="8">
        <f t="shared" si="6"/>
        <v>6.103515625E-5</v>
      </c>
      <c r="AM18" s="8">
        <v>14</v>
      </c>
      <c r="AN18" s="8">
        <f t="shared" si="13"/>
        <v>237.26806640625</v>
      </c>
      <c r="AO18" s="8">
        <v>-1.1693144956552715E-3</v>
      </c>
      <c r="AP18" s="8">
        <f t="shared" si="14"/>
        <v>237.3291015625</v>
      </c>
      <c r="AQ18" s="8">
        <v>4.0324141281871562E-2</v>
      </c>
      <c r="AR18" s="8">
        <f t="shared" si="9"/>
        <v>237.298583984375</v>
      </c>
      <c r="AS18" s="8">
        <v>1.9577485843370823E-2</v>
      </c>
      <c r="AT18" s="8">
        <f t="shared" si="10"/>
        <v>-2.2892237985139371E-5</v>
      </c>
      <c r="AU18" s="8">
        <f t="shared" si="11"/>
        <v>7.8944530509192552E-4</v>
      </c>
      <c r="AV18" s="8">
        <f t="shared" si="12"/>
        <v>6.103515625E-2</v>
      </c>
    </row>
    <row r="19" spans="2:48" x14ac:dyDescent="0.2">
      <c r="F19" t="s">
        <v>129</v>
      </c>
      <c r="G19" s="24">
        <f>$G$13/$G$12</f>
        <v>120</v>
      </c>
      <c r="H19" t="s">
        <v>22</v>
      </c>
      <c r="J19" s="30" t="s">
        <v>85</v>
      </c>
      <c r="K19" s="20">
        <f xml:space="preserve"> $C$27 * 0</f>
        <v>0</v>
      </c>
      <c r="L19" s="20" t="s">
        <v>12</v>
      </c>
      <c r="N19" s="20" t="s">
        <v>42</v>
      </c>
      <c r="O19" s="20">
        <f xml:space="preserve"> $G$11 * COS(O17/180*PI()) / ($C$18 * $C$16)</f>
        <v>299.57728004296467</v>
      </c>
      <c r="P19" s="20" t="s">
        <v>43</v>
      </c>
      <c r="R19" s="20" t="s">
        <v>42</v>
      </c>
      <c r="S19" s="20">
        <f xml:space="preserve"> $C$17 * COS(S17/180*PI()) / ($C$18 * $C$16)</f>
        <v>300.82937608936658</v>
      </c>
      <c r="T19" s="20" t="s">
        <v>43</v>
      </c>
      <c r="V19" s="20" t="s">
        <v>42</v>
      </c>
      <c r="W19" s="20">
        <f xml:space="preserve"> $G$27 * COS(W17/180*PI()) / ($C$18 * $C$16)</f>
        <v>300.86723084782619</v>
      </c>
      <c r="X19" s="20" t="s">
        <v>43</v>
      </c>
      <c r="AB19" s="8">
        <v>15</v>
      </c>
      <c r="AC19" s="8">
        <f t="shared" si="7"/>
        <v>1.7120361328125E-2</v>
      </c>
      <c r="AD19" s="8">
        <f t="shared" si="0"/>
        <v>2.0349588362063298E-6</v>
      </c>
      <c r="AE19" s="8">
        <f t="shared" si="8"/>
        <v>1.715087890625E-2</v>
      </c>
      <c r="AF19" s="8">
        <f t="shared" si="1"/>
        <v>-2.8792534141328097E-5</v>
      </c>
      <c r="AG19" s="8">
        <f t="shared" si="3"/>
        <v>1.71356201171875E-2</v>
      </c>
      <c r="AH19" s="8">
        <f t="shared" si="2"/>
        <v>-1.3378721326246651E-5</v>
      </c>
      <c r="AI19" s="8">
        <f t="shared" si="4"/>
        <v>-2.7225147179987689E-11</v>
      </c>
      <c r="AJ19" s="8">
        <f t="shared" si="5"/>
        <v>3.85207290553271E-10</v>
      </c>
      <c r="AK19" s="8">
        <f t="shared" si="6"/>
        <v>3.0517578125E-5</v>
      </c>
      <c r="AM19" s="8">
        <v>15</v>
      </c>
      <c r="AN19" s="8">
        <f t="shared" si="13"/>
        <v>237.26806640625</v>
      </c>
      <c r="AO19" s="8">
        <v>-1.1693144956552715E-3</v>
      </c>
      <c r="AP19" s="8">
        <f t="shared" si="14"/>
        <v>237.298583984375</v>
      </c>
      <c r="AQ19" s="8">
        <v>1.9577485843370823E-2</v>
      </c>
      <c r="AR19" s="8">
        <f t="shared" si="9"/>
        <v>237.2833251953125</v>
      </c>
      <c r="AS19" s="8">
        <v>9.2045505112707815E-3</v>
      </c>
      <c r="AT19" s="8">
        <f t="shared" si="10"/>
        <v>-1.0763014338820065E-5</v>
      </c>
      <c r="AU19" s="8">
        <f t="shared" si="11"/>
        <v>1.8020195732899541E-4</v>
      </c>
      <c r="AV19" s="8">
        <f t="shared" si="12"/>
        <v>3.0517578125E-2</v>
      </c>
    </row>
    <row r="20" spans="2:48" x14ac:dyDescent="0.2">
      <c r="B20" s="46" t="s">
        <v>20</v>
      </c>
      <c r="C20" s="46"/>
      <c r="D20" s="46"/>
      <c r="J20" s="30" t="s">
        <v>86</v>
      </c>
      <c r="K20" s="20">
        <f xml:space="preserve"> $C$27 * 0</f>
        <v>0</v>
      </c>
      <c r="L20" s="20" t="s">
        <v>12</v>
      </c>
      <c r="N20" s="20" t="s">
        <v>45</v>
      </c>
      <c r="O20" s="20">
        <f xml:space="preserve"> O18 / ($C$25 * PI() * $C$16^2 * O19^2 * $C$16^2)</f>
        <v>4.1200242122819185E-3</v>
      </c>
      <c r="R20" s="20" t="s">
        <v>45</v>
      </c>
      <c r="S20" s="20">
        <f xml:space="preserve"> S18 / ($C$25 * PI() * $C$16^2 * S19^2 * $C$16^2)</f>
        <v>4.0788969001372159E-3</v>
      </c>
      <c r="V20" s="20" t="s">
        <v>45</v>
      </c>
      <c r="W20" s="20">
        <f xml:space="preserve"> W18 / ($C$25 * PI() * $C$16^2 * W19^2 * $C$16^2)</f>
        <v>4.0737245558779365E-3</v>
      </c>
      <c r="AB20" s="8">
        <v>16</v>
      </c>
      <c r="AC20" s="8">
        <f t="shared" si="7"/>
        <v>1.7120361328125E-2</v>
      </c>
      <c r="AD20" s="8">
        <f t="shared" si="0"/>
        <v>2.0349588362063298E-6</v>
      </c>
      <c r="AE20" s="8">
        <f t="shared" si="8"/>
        <v>1.71356201171875E-2</v>
      </c>
      <c r="AF20" s="8">
        <f t="shared" si="1"/>
        <v>-1.3378721326246651E-5</v>
      </c>
      <c r="AG20" s="8">
        <f t="shared" si="3"/>
        <v>1.712799072265625E-2</v>
      </c>
      <c r="AH20" s="8">
        <f t="shared" si="2"/>
        <v>-5.6718646625694702E-6</v>
      </c>
      <c r="AI20" s="8">
        <f t="shared" si="4"/>
        <v>-1.1542011112862176E-11</v>
      </c>
      <c r="AJ20" s="8">
        <f t="shared" si="5"/>
        <v>7.5882296720702933E-11</v>
      </c>
      <c r="AK20" s="8">
        <f t="shared" si="6"/>
        <v>1.52587890625E-5</v>
      </c>
      <c r="AM20" s="8">
        <v>16</v>
      </c>
      <c r="AN20" s="8">
        <f t="shared" si="13"/>
        <v>237.26806640625</v>
      </c>
      <c r="AO20" s="8">
        <v>-1.1693144956552715E-3</v>
      </c>
      <c r="AP20" s="8">
        <f t="shared" si="14"/>
        <v>237.2833251953125</v>
      </c>
      <c r="AQ20" s="8">
        <v>9.2045505112707815E-3</v>
      </c>
      <c r="AR20" s="8">
        <f t="shared" si="9"/>
        <v>237.27569580078125</v>
      </c>
      <c r="AS20" s="8">
        <v>4.0172840818115674E-3</v>
      </c>
      <c r="AT20" s="8">
        <f t="shared" si="10"/>
        <v>-4.6974685100274428E-6</v>
      </c>
      <c r="AU20" s="8">
        <f t="shared" si="11"/>
        <v>3.6977294249158637E-5</v>
      </c>
      <c r="AV20" s="8">
        <f t="shared" si="12"/>
        <v>1.52587890625E-2</v>
      </c>
    </row>
    <row r="21" spans="2:48" x14ac:dyDescent="0.2">
      <c r="B21" s="20" t="s">
        <v>91</v>
      </c>
      <c r="C21" s="33">
        <v>100</v>
      </c>
      <c r="D21" s="20" t="s">
        <v>12</v>
      </c>
      <c r="F21" s="44" t="s">
        <v>117</v>
      </c>
      <c r="G21" s="45"/>
      <c r="H21" s="45"/>
      <c r="J21" s="30" t="s">
        <v>184</v>
      </c>
      <c r="K21" s="20">
        <f>$C$27*(0.14*$G$6*1000/745.7)*0.453592</f>
        <v>2.5808664577323595</v>
      </c>
      <c r="L21" s="20" t="s">
        <v>12</v>
      </c>
      <c r="N21" s="20" t="s">
        <v>4</v>
      </c>
      <c r="O21" s="33">
        <v>1.2E-2</v>
      </c>
      <c r="R21" s="20" t="s">
        <v>4</v>
      </c>
      <c r="S21" s="33">
        <v>1.2E-2</v>
      </c>
      <c r="V21" s="20" t="s">
        <v>4</v>
      </c>
      <c r="W21" s="33">
        <v>1.2E-2</v>
      </c>
      <c r="AB21" s="8">
        <v>17</v>
      </c>
      <c r="AC21" s="8">
        <f t="shared" si="7"/>
        <v>1.7120361328125E-2</v>
      </c>
      <c r="AD21" s="8">
        <f t="shared" si="0"/>
        <v>2.0349588362063298E-6</v>
      </c>
      <c r="AE21" s="8">
        <f t="shared" si="8"/>
        <v>1.712799072265625E-2</v>
      </c>
      <c r="AF21" s="8">
        <f t="shared" si="1"/>
        <v>-5.6718646625694702E-6</v>
      </c>
      <c r="AG21" s="8">
        <f t="shared" si="3"/>
        <v>1.7124176025390625E-2</v>
      </c>
      <c r="AH21" s="8">
        <f t="shared" si="2"/>
        <v>-1.8184487674613448E-6</v>
      </c>
      <c r="AI21" s="8">
        <f t="shared" si="4"/>
        <v>-3.7004683875339727E-12</v>
      </c>
      <c r="AJ21" s="8">
        <f t="shared" si="5"/>
        <v>1.0313995304857009E-11</v>
      </c>
      <c r="AK21" s="8">
        <f t="shared" si="6"/>
        <v>7.62939453125E-6</v>
      </c>
      <c r="AM21" s="8">
        <v>17</v>
      </c>
      <c r="AN21" s="8">
        <f t="shared" si="13"/>
        <v>237.26806640625</v>
      </c>
      <c r="AO21" s="8">
        <v>-1.1693144956552715E-3</v>
      </c>
      <c r="AP21" s="8">
        <f t="shared" si="14"/>
        <v>237.27569580078125</v>
      </c>
      <c r="AQ21" s="8">
        <v>4.0172840818115674E-3</v>
      </c>
      <c r="AR21" s="8">
        <f t="shared" si="9"/>
        <v>237.27188110351562</v>
      </c>
      <c r="AS21" s="8">
        <v>1.4240841585149155E-3</v>
      </c>
      <c r="AT21" s="8">
        <f t="shared" si="10"/>
        <v>-1.6652022495845302E-6</v>
      </c>
      <c r="AU21" s="8">
        <f t="shared" si="11"/>
        <v>5.7209506211619911E-6</v>
      </c>
      <c r="AV21" s="8">
        <f t="shared" si="12"/>
        <v>7.62939453125E-3</v>
      </c>
    </row>
    <row r="22" spans="2:48" x14ac:dyDescent="0.2">
      <c r="B22" s="20" t="s">
        <v>21</v>
      </c>
      <c r="C22" s="33">
        <v>16000</v>
      </c>
      <c r="D22" s="20" t="s">
        <v>14</v>
      </c>
      <c r="F22" s="25" t="s">
        <v>32</v>
      </c>
      <c r="G22" s="20">
        <f xml:space="preserve"> 1/1000 * (S22 + S18 * (S24 * S27 + $C$17 * SIN(S17/180*PI())))</f>
        <v>10.076635461795515</v>
      </c>
      <c r="H22" s="20" t="s">
        <v>161</v>
      </c>
      <c r="J22" s="31" t="s">
        <v>87</v>
      </c>
      <c r="K22" s="20">
        <f xml:space="preserve"> $C$27 * (0.0268 * $C$15)</f>
        <v>5.087064225922135</v>
      </c>
      <c r="L22" s="20" t="s">
        <v>12</v>
      </c>
      <c r="N22" s="20" t="s">
        <v>46</v>
      </c>
      <c r="O22" s="20">
        <f xml:space="preserve"> ($C$6 * O21 / 8) * (1 + 4.65 *$C$18^ 2) * ( PI() * $C$25 * O19^3 *$C$16^ 5)</f>
        <v>7303.179849583229</v>
      </c>
      <c r="P22" s="20" t="s">
        <v>29</v>
      </c>
      <c r="R22" s="20" t="s">
        <v>46</v>
      </c>
      <c r="S22" s="20">
        <f xml:space="preserve"> ($C$6 * S21 / 8) * (1 + 4.65 *$C$18^ 2) * ( PI() * $C$25 * S19^3 *$C$16^ 5)</f>
        <v>7395.1349682799528</v>
      </c>
      <c r="T22" s="20" t="s">
        <v>29</v>
      </c>
      <c r="V22" s="20" t="s">
        <v>46</v>
      </c>
      <c r="W22" s="20">
        <f xml:space="preserve"> ($C$6 * W21 / 8) * (1 + 4.65 *$C$18^ 2) * ( PI() * $C$25 * W19^3 *$C$16^ 5)</f>
        <v>7397.9270121893678</v>
      </c>
      <c r="X22" s="20" t="s">
        <v>29</v>
      </c>
      <c r="AB22" s="8">
        <v>18</v>
      </c>
      <c r="AC22" s="8">
        <f t="shared" si="7"/>
        <v>1.7120361328125E-2</v>
      </c>
      <c r="AD22" s="8">
        <f t="shared" si="0"/>
        <v>2.0349588362063298E-6</v>
      </c>
      <c r="AE22" s="8">
        <f t="shared" si="8"/>
        <v>1.7124176025390625E-2</v>
      </c>
      <c r="AF22" s="8">
        <f t="shared" si="1"/>
        <v>-1.8184487674613448E-6</v>
      </c>
      <c r="AG22" s="8">
        <f t="shared" si="3"/>
        <v>1.7122268676757812E-2</v>
      </c>
      <c r="AH22" s="8">
        <f t="shared" si="2"/>
        <v>1.0825607081599298E-7</v>
      </c>
      <c r="AI22" s="8">
        <f t="shared" si="4"/>
        <v>2.2029664787998308E-13</v>
      </c>
      <c r="AJ22" s="8">
        <f t="shared" si="5"/>
        <v>-1.9685811854555048E-13</v>
      </c>
      <c r="AK22" s="8">
        <f t="shared" si="6"/>
        <v>3.814697265625E-6</v>
      </c>
      <c r="AM22" s="8">
        <v>18</v>
      </c>
      <c r="AN22" s="8">
        <f t="shared" si="13"/>
        <v>237.26806640625</v>
      </c>
      <c r="AO22" s="8">
        <v>-1.1693144956552715E-3</v>
      </c>
      <c r="AP22" s="8">
        <f t="shared" si="14"/>
        <v>237.27188110351562</v>
      </c>
      <c r="AQ22" s="8">
        <v>1.4240841585149155E-3</v>
      </c>
      <c r="AR22" s="8">
        <f t="shared" si="9"/>
        <v>237.26997375488281</v>
      </c>
      <c r="AS22" s="8">
        <v>1.2744523917262995E-4</v>
      </c>
      <c r="AT22" s="8">
        <f t="shared" si="10"/>
        <v>-1.4902356556680923E-7</v>
      </c>
      <c r="AU22" s="8">
        <f t="shared" si="11"/>
        <v>1.8149274618388688E-7</v>
      </c>
      <c r="AV22" s="8">
        <f t="shared" si="12"/>
        <v>3.814697265625E-3</v>
      </c>
    </row>
    <row r="23" spans="2:48" x14ac:dyDescent="0.2">
      <c r="F23" s="25" t="s">
        <v>33</v>
      </c>
      <c r="G23" s="20">
        <f>$C$5 * G22</f>
        <v>40.306541847182061</v>
      </c>
      <c r="H23" s="20" t="s">
        <v>161</v>
      </c>
      <c r="J23" s="31" t="s">
        <v>88</v>
      </c>
      <c r="K23" s="20">
        <f xml:space="preserve"> $C$27 * (11.5 * ($C$15*2.20462/1000)^0.4 * 0.453592)</f>
        <v>3.2202062363099233</v>
      </c>
      <c r="L23" s="20" t="s">
        <v>12</v>
      </c>
      <c r="N23" s="20" t="s">
        <v>47</v>
      </c>
      <c r="O23" s="34">
        <f>AG69</f>
        <v>2.7705033775418997E-2</v>
      </c>
      <c r="R23" s="20" t="s">
        <v>47</v>
      </c>
      <c r="S23" s="34">
        <f>AG34</f>
        <v>1.7122376244515181E-2</v>
      </c>
      <c r="V23" s="20" t="s">
        <v>47</v>
      </c>
      <c r="W23" s="34">
        <f>AG104</f>
        <v>1.0824559722095728E-2</v>
      </c>
      <c r="AB23" s="8">
        <v>19</v>
      </c>
      <c r="AC23" s="8">
        <f t="shared" si="7"/>
        <v>1.7122268676757812E-2</v>
      </c>
      <c r="AD23" s="8">
        <f t="shared" si="0"/>
        <v>1.0825607081599298E-7</v>
      </c>
      <c r="AE23" s="8">
        <f t="shared" si="8"/>
        <v>1.7124176025390625E-2</v>
      </c>
      <c r="AF23" s="8">
        <f t="shared" si="1"/>
        <v>-1.8184487674613448E-6</v>
      </c>
      <c r="AG23" s="8">
        <f t="shared" si="3"/>
        <v>1.7123222351074219E-2</v>
      </c>
      <c r="AH23" s="8">
        <f t="shared" si="2"/>
        <v>-8.5509608921396918E-7</v>
      </c>
      <c r="AI23" s="8">
        <f t="shared" si="4"/>
        <v>-9.2569342788426093E-14</v>
      </c>
      <c r="AJ23" s="8">
        <f t="shared" si="5"/>
        <v>1.5549484294921583E-12</v>
      </c>
      <c r="AK23" s="8">
        <f t="shared" si="6"/>
        <v>1.9073486328125E-6</v>
      </c>
      <c r="AM23" s="8">
        <v>19</v>
      </c>
      <c r="AN23" s="8">
        <f t="shared" si="13"/>
        <v>237.26806640625</v>
      </c>
      <c r="AO23" s="8">
        <v>-1.1693144956552715E-3</v>
      </c>
      <c r="AP23" s="8">
        <f t="shared" si="14"/>
        <v>237.26997375488281</v>
      </c>
      <c r="AQ23" s="8">
        <v>1.2744523917262995E-4</v>
      </c>
      <c r="AR23" s="8">
        <f t="shared" si="9"/>
        <v>237.26902008056641</v>
      </c>
      <c r="AS23" s="8">
        <v>-5.2143854719588489E-4</v>
      </c>
      <c r="AT23" s="8">
        <f t="shared" si="10"/>
        <v>6.0972565182957363E-7</v>
      </c>
      <c r="AU23" s="8">
        <f t="shared" si="11"/>
        <v>-6.6454860361208244E-8</v>
      </c>
      <c r="AV23" s="8">
        <f t="shared" si="12"/>
        <v>1.9073486328125E-3</v>
      </c>
    </row>
    <row r="24" spans="2:48" x14ac:dyDescent="0.2">
      <c r="B24" s="46" t="s">
        <v>96</v>
      </c>
      <c r="C24" s="47"/>
      <c r="D24" s="47"/>
      <c r="F24" s="25" t="s">
        <v>120</v>
      </c>
      <c r="G24" s="20">
        <f xml:space="preserve"> ($C$22-G15-G31)/$C$17</f>
        <v>123.56599329369983</v>
      </c>
      <c r="H24" s="20" t="s">
        <v>22</v>
      </c>
      <c r="J24" s="31" t="s">
        <v>89</v>
      </c>
      <c r="K24" s="20">
        <f xml:space="preserve"> $C$27 * (8 * ($C$15/1000))</f>
        <v>1.5185266346036226</v>
      </c>
      <c r="L24" s="20" t="s">
        <v>12</v>
      </c>
      <c r="N24" s="20" t="s">
        <v>48</v>
      </c>
      <c r="O24" s="20">
        <f xml:space="preserve"> O19 * $C$16 * O23 - $C$17 * SIN(O17/180*PI())</f>
        <v>3.2366305519089793</v>
      </c>
      <c r="P24" s="20" t="s">
        <v>16</v>
      </c>
      <c r="R24" s="20" t="s">
        <v>48</v>
      </c>
      <c r="S24" s="20">
        <f xml:space="preserve"> S19 * $C$16 * S23 - $C$17 * SIN(S17/180*PI())</f>
        <v>3.2510268443190098</v>
      </c>
      <c r="T24" s="20" t="s">
        <v>16</v>
      </c>
      <c r="V24" s="20" t="s">
        <v>48</v>
      </c>
      <c r="W24" s="20">
        <f xml:space="preserve"> W19 * $C$16 * W23 - $C$17 * SIN(W17/180*PI())</f>
        <v>3.2599234508585075</v>
      </c>
      <c r="X24" s="20" t="s">
        <v>16</v>
      </c>
      <c r="AB24" s="8">
        <v>20</v>
      </c>
      <c r="AC24" s="8">
        <f t="shared" si="7"/>
        <v>1.7122268676757812E-2</v>
      </c>
      <c r="AD24" s="8">
        <f t="shared" si="0"/>
        <v>1.0825607081599298E-7</v>
      </c>
      <c r="AE24" s="8">
        <f t="shared" si="8"/>
        <v>1.7123222351074219E-2</v>
      </c>
      <c r="AF24" s="8">
        <f t="shared" si="1"/>
        <v>-8.5509608921396918E-7</v>
      </c>
      <c r="AG24" s="8">
        <f t="shared" si="3"/>
        <v>1.7122745513916016E-2</v>
      </c>
      <c r="AH24" s="8">
        <f t="shared" si="2"/>
        <v>-3.7341994442094406E-7</v>
      </c>
      <c r="AI24" s="8">
        <f t="shared" si="4"/>
        <v>-4.042497594733788E-14</v>
      </c>
      <c r="AJ24" s="8">
        <f t="shared" si="5"/>
        <v>3.1930993410884701E-13</v>
      </c>
      <c r="AK24" s="8">
        <f t="shared" si="6"/>
        <v>9.5367431640625E-7</v>
      </c>
      <c r="AM24" s="8">
        <v>20</v>
      </c>
      <c r="AN24" s="8">
        <f t="shared" si="13"/>
        <v>237.26902008056641</v>
      </c>
      <c r="AO24" s="8">
        <v>-5.2143854719588489E-4</v>
      </c>
      <c r="AP24" s="8">
        <f t="shared" si="14"/>
        <v>237.26997375488281</v>
      </c>
      <c r="AQ24" s="8">
        <v>1.2744523917262995E-4</v>
      </c>
      <c r="AR24" s="8">
        <f t="shared" si="9"/>
        <v>237.26949691772461</v>
      </c>
      <c r="AS24" s="8">
        <v>-1.9674485002951769E-4</v>
      </c>
      <c r="AT24" s="8">
        <f t="shared" si="10"/>
        <v>1.0259034876766396E-7</v>
      </c>
      <c r="AU24" s="8">
        <f t="shared" si="11"/>
        <v>-2.5074194467995093E-8</v>
      </c>
      <c r="AV24" s="8">
        <f t="shared" si="12"/>
        <v>9.5367431640625E-4</v>
      </c>
    </row>
    <row r="25" spans="2:48" x14ac:dyDescent="0.2">
      <c r="B25" s="20" t="s">
        <v>23</v>
      </c>
      <c r="C25" s="33">
        <v>1.2250000000000001</v>
      </c>
      <c r="D25" s="20" t="s">
        <v>24</v>
      </c>
      <c r="F25" s="25"/>
      <c r="J25" s="31" t="s">
        <v>90</v>
      </c>
      <c r="K25" s="20">
        <f xml:space="preserve"> $C$27 * (13 * ($C$15*2.20462/1000)^1.3 * 0.453592)</f>
        <v>2.0316447167212894</v>
      </c>
      <c r="L25" s="20" t="s">
        <v>12</v>
      </c>
      <c r="N25" s="20" t="s">
        <v>49</v>
      </c>
      <c r="O25" s="20">
        <f xml:space="preserve"> 1/$C$7 - O22 * SQRT( (2*$C$25*PI()*$C$16^2) / O18^3 )</f>
        <v>0.18143320997529089</v>
      </c>
      <c r="R25" s="20" t="s">
        <v>49</v>
      </c>
      <c r="S25" s="20">
        <f xml:space="preserve"> 1/$C$7 - S22 * SQRT( (2*$C$25*PI()*$C$16^2) / S18^3 )</f>
        <v>0.16396754119862855</v>
      </c>
      <c r="V25" s="20" t="s">
        <v>49</v>
      </c>
      <c r="W25" s="20">
        <f xml:space="preserve"> 1/$C$7 - W22 * SQRT( (2*$C$25*PI()*$C$16^2) / W18^3 )</f>
        <v>0.16173974627878085</v>
      </c>
      <c r="AB25" s="8">
        <v>21</v>
      </c>
      <c r="AC25" s="8">
        <f t="shared" si="7"/>
        <v>1.7122268676757812E-2</v>
      </c>
      <c r="AD25" s="8">
        <f t="shared" si="0"/>
        <v>1.0825607081599298E-7</v>
      </c>
      <c r="AE25" s="8">
        <f t="shared" si="8"/>
        <v>1.7122745513916016E-2</v>
      </c>
      <c r="AF25" s="8">
        <f t="shared" si="1"/>
        <v>-3.7341994442094406E-7</v>
      </c>
      <c r="AG25" s="8">
        <f t="shared" si="3"/>
        <v>1.7122507095336914E-2</v>
      </c>
      <c r="AH25" s="8">
        <f t="shared" si="2"/>
        <v>-1.3258192060883189E-7</v>
      </c>
      <c r="AI25" s="8">
        <f t="shared" si="4"/>
        <v>-1.4352797786350063E-14</v>
      </c>
      <c r="AJ25" s="8">
        <f t="shared" si="5"/>
        <v>4.9508733424972026E-14</v>
      </c>
      <c r="AK25" s="8">
        <f t="shared" si="6"/>
        <v>4.76837158203125E-7</v>
      </c>
      <c r="AM25" s="8">
        <v>21</v>
      </c>
      <c r="AN25" s="8">
        <f t="shared" si="13"/>
        <v>237.26949691772461</v>
      </c>
      <c r="AO25" s="8">
        <v>-1.9674485002951769E-4</v>
      </c>
      <c r="AP25" s="8">
        <f t="shared" si="14"/>
        <v>237.26997375488281</v>
      </c>
      <c r="AQ25" s="8">
        <v>1.2744523917262995E-4</v>
      </c>
      <c r="AR25" s="8">
        <f t="shared" si="9"/>
        <v>237.26973533630371</v>
      </c>
      <c r="AS25" s="8">
        <v>-3.4961055888516057E-5</v>
      </c>
      <c r="AT25" s="8">
        <f t="shared" si="10"/>
        <v>6.8784076976596783E-9</v>
      </c>
      <c r="AU25" s="8">
        <f t="shared" si="11"/>
        <v>-4.4556201294396119E-9</v>
      </c>
      <c r="AV25" s="8">
        <f t="shared" si="12"/>
        <v>4.76837158203125E-4</v>
      </c>
    </row>
    <row r="26" spans="2:48" x14ac:dyDescent="0.2">
      <c r="B26" s="20" t="s">
        <v>25</v>
      </c>
      <c r="C26" s="1">
        <v>9.8066499999999994</v>
      </c>
      <c r="D26" s="20" t="s">
        <v>26</v>
      </c>
      <c r="F26" s="48" t="s">
        <v>130</v>
      </c>
      <c r="G26" s="49"/>
      <c r="H26" s="49"/>
      <c r="J26" s="26" t="s">
        <v>77</v>
      </c>
      <c r="K26" s="26">
        <f>$C$15 - $C$21 - SUM(K13:K25)</f>
        <v>-3.5356606531422585E-11</v>
      </c>
      <c r="L26" s="26" t="s">
        <v>12</v>
      </c>
      <c r="N26" s="20" t="s">
        <v>50</v>
      </c>
      <c r="O26" s="33">
        <v>1.1499999999999999</v>
      </c>
      <c r="R26" s="20" t="s">
        <v>50</v>
      </c>
      <c r="S26" s="33">
        <v>1.1499999999999999</v>
      </c>
      <c r="V26" s="20" t="s">
        <v>50</v>
      </c>
      <c r="W26" s="33">
        <v>1.1499999999999999</v>
      </c>
      <c r="AB26" s="8">
        <v>22</v>
      </c>
      <c r="AC26" s="8">
        <f t="shared" si="7"/>
        <v>1.7122268676757812E-2</v>
      </c>
      <c r="AD26" s="8">
        <f t="shared" si="0"/>
        <v>1.0825607081599298E-7</v>
      </c>
      <c r="AE26" s="8">
        <f t="shared" si="8"/>
        <v>1.7122507095336914E-2</v>
      </c>
      <c r="AF26" s="8">
        <f t="shared" si="1"/>
        <v>-1.3258192060883189E-7</v>
      </c>
      <c r="AG26" s="8">
        <f t="shared" si="3"/>
        <v>1.7122387886047363E-2</v>
      </c>
      <c r="AH26" s="8">
        <f t="shared" si="2"/>
        <v>-1.2162920847574865E-8</v>
      </c>
      <c r="AI26" s="8">
        <f t="shared" si="4"/>
        <v>-1.3167100206043819E-15</v>
      </c>
      <c r="AJ26" s="8">
        <f t="shared" si="5"/>
        <v>1.612583406184677E-15</v>
      </c>
      <c r="AK26" s="8">
        <f t="shared" si="6"/>
        <v>2.384185791015625E-7</v>
      </c>
      <c r="AM26" s="8">
        <v>22</v>
      </c>
      <c r="AN26" s="8">
        <f t="shared" si="13"/>
        <v>237.26973533630371</v>
      </c>
      <c r="AO26" s="8">
        <v>-3.4961055888516057E-5</v>
      </c>
      <c r="AP26" s="8">
        <f t="shared" si="14"/>
        <v>237.26997375488281</v>
      </c>
      <c r="AQ26" s="8">
        <v>1.2744523917262995E-4</v>
      </c>
      <c r="AR26" s="8">
        <f t="shared" si="9"/>
        <v>237.26985454559326</v>
      </c>
      <c r="AS26" s="8">
        <v>4.614565540350668E-5</v>
      </c>
      <c r="AT26" s="8">
        <f t="shared" si="10"/>
        <v>-1.6133008375742E-9</v>
      </c>
      <c r="AU26" s="8">
        <f t="shared" si="11"/>
        <v>5.8810440896776725E-9</v>
      </c>
      <c r="AV26" s="8">
        <f t="shared" si="12"/>
        <v>2.384185791015625E-4</v>
      </c>
    </row>
    <row r="27" spans="2:48" x14ac:dyDescent="0.2">
      <c r="B27" s="20" t="s">
        <v>104</v>
      </c>
      <c r="C27" s="33">
        <v>0.8</v>
      </c>
      <c r="F27" s="4" t="s">
        <v>153</v>
      </c>
      <c r="G27" s="1">
        <f>$C$17</f>
        <v>36.11</v>
      </c>
      <c r="H27" t="s">
        <v>16</v>
      </c>
      <c r="J27" s="20" t="s">
        <v>78</v>
      </c>
      <c r="K27" s="10" t="str">
        <f>IF(ABS(K26)&lt;0.00001, "TRUE", "FALSE")</f>
        <v>TRUE</v>
      </c>
      <c r="N27" s="20" t="s">
        <v>51</v>
      </c>
      <c r="O27" s="20">
        <f xml:space="preserve"> 1/$C$30 * LN( EXP($C$30 * O25) + EXP($C$30 * O26) )</f>
        <v>1.1500000000000081</v>
      </c>
      <c r="R27" s="20" t="s">
        <v>51</v>
      </c>
      <c r="S27" s="20">
        <f xml:space="preserve"> 1/$C$30 * LN( EXP($C$30 * S25) + EXP($C$30 * S26) )</f>
        <v>1.1500000000000048</v>
      </c>
      <c r="V27" s="20" t="s">
        <v>51</v>
      </c>
      <c r="W27" s="20">
        <f xml:space="preserve"> 1/$C$30 * LN( EXP($C$30 * W25) + EXP($C$30 * W26) )</f>
        <v>1.1500000000000046</v>
      </c>
      <c r="AB27" s="8">
        <v>23</v>
      </c>
      <c r="AC27" s="8">
        <f t="shared" si="7"/>
        <v>1.7122268676757812E-2</v>
      </c>
      <c r="AD27" s="8">
        <f t="shared" si="0"/>
        <v>1.0825607081599298E-7</v>
      </c>
      <c r="AE27" s="8">
        <f t="shared" si="8"/>
        <v>1.7122387886047363E-2</v>
      </c>
      <c r="AF27" s="8">
        <f t="shared" si="1"/>
        <v>-1.2162920847574865E-8</v>
      </c>
      <c r="AG27" s="8">
        <f t="shared" si="3"/>
        <v>1.7122328281402588E-2</v>
      </c>
      <c r="AH27" s="8">
        <f t="shared" si="2"/>
        <v>4.8046575995552843E-8</v>
      </c>
      <c r="AI27" s="8">
        <f t="shared" si="4"/>
        <v>5.2013335334405567E-15</v>
      </c>
      <c r="AJ27" s="8">
        <f t="shared" si="5"/>
        <v>-5.8438670083089972E-16</v>
      </c>
      <c r="AK27" s="8">
        <f t="shared" si="6"/>
        <v>1.1920928955078125E-7</v>
      </c>
      <c r="AM27" s="8">
        <v>23</v>
      </c>
      <c r="AN27" s="8">
        <f t="shared" si="13"/>
        <v>237.26973533630371</v>
      </c>
      <c r="AO27" s="8">
        <v>-3.4961055888516057E-5</v>
      </c>
      <c r="AP27" s="8">
        <f t="shared" si="14"/>
        <v>237.26985454559326</v>
      </c>
      <c r="AQ27" s="8">
        <v>4.614565540350668E-5</v>
      </c>
      <c r="AR27" s="8">
        <f t="shared" si="9"/>
        <v>237.26979494094849</v>
      </c>
      <c r="AS27" s="8">
        <v>6.0000046175900934E-6</v>
      </c>
      <c r="AT27" s="8">
        <f t="shared" si="10"/>
        <v>-2.0976649676692168E-10</v>
      </c>
      <c r="AU27" s="8">
        <f t="shared" si="11"/>
        <v>2.7687414550276131E-10</v>
      </c>
      <c r="AV27" s="8">
        <f t="shared" si="12"/>
        <v>1.1920928955078125E-4</v>
      </c>
    </row>
    <row r="28" spans="2:48" x14ac:dyDescent="0.2">
      <c r="F28" t="s">
        <v>125</v>
      </c>
      <c r="G28" s="1">
        <v>1.524</v>
      </c>
      <c r="H28" t="s">
        <v>16</v>
      </c>
      <c r="AB28" s="8">
        <v>24</v>
      </c>
      <c r="AC28" s="8">
        <f t="shared" si="7"/>
        <v>1.7122328281402588E-2</v>
      </c>
      <c r="AD28" s="8">
        <f t="shared" si="0"/>
        <v>4.8046575995552843E-8</v>
      </c>
      <c r="AE28" s="8">
        <f t="shared" si="8"/>
        <v>1.7122387886047363E-2</v>
      </c>
      <c r="AF28" s="8">
        <f t="shared" si="1"/>
        <v>-1.2162920847574865E-8</v>
      </c>
      <c r="AG28" s="8">
        <f t="shared" si="3"/>
        <v>1.7122358083724976E-2</v>
      </c>
      <c r="AH28" s="8">
        <f t="shared" si="2"/>
        <v>1.794182782899334E-8</v>
      </c>
      <c r="AI28" s="8">
        <f t="shared" si="4"/>
        <v>8.6204339428485339E-16</v>
      </c>
      <c r="AJ28" s="8">
        <f t="shared" si="5"/>
        <v>-2.1822503174486197E-16</v>
      </c>
      <c r="AK28" s="8">
        <f t="shared" si="6"/>
        <v>5.9604644775390625E-8</v>
      </c>
      <c r="AM28" s="8">
        <v>24</v>
      </c>
      <c r="AN28" s="8">
        <f t="shared" si="13"/>
        <v>237.26973533630371</v>
      </c>
      <c r="AO28" s="8">
        <v>-3.4961055888516057E-5</v>
      </c>
      <c r="AP28" s="8">
        <f t="shared" si="14"/>
        <v>237.26979494094849</v>
      </c>
      <c r="AQ28" s="8">
        <v>6.0000046175900934E-6</v>
      </c>
      <c r="AR28" s="8">
        <f t="shared" si="9"/>
        <v>237.2697651386261</v>
      </c>
      <c r="AS28" s="8">
        <v>-1.4576964957768723E-5</v>
      </c>
      <c r="AT28" s="8">
        <f t="shared" si="10"/>
        <v>5.0962608657349249E-10</v>
      </c>
      <c r="AU28" s="8">
        <f t="shared" si="11"/>
        <v>-8.7461857057061316E-11</v>
      </c>
      <c r="AV28" s="8">
        <f t="shared" si="12"/>
        <v>5.9604644775390625E-5</v>
      </c>
    </row>
    <row r="29" spans="2:48" x14ac:dyDescent="0.2">
      <c r="B29" s="46" t="s">
        <v>27</v>
      </c>
      <c r="C29" s="46"/>
      <c r="D29" s="46"/>
      <c r="F29" t="s">
        <v>124</v>
      </c>
      <c r="G29" s="1">
        <v>304.8</v>
      </c>
      <c r="H29" t="s">
        <v>14</v>
      </c>
      <c r="J29" s="46" t="s">
        <v>186</v>
      </c>
      <c r="K29" s="46"/>
      <c r="L29" s="46"/>
      <c r="AB29" s="8">
        <v>25</v>
      </c>
      <c r="AC29" s="8">
        <f t="shared" si="7"/>
        <v>1.7122358083724976E-2</v>
      </c>
      <c r="AD29" s="8">
        <f t="shared" si="0"/>
        <v>1.794182782899334E-8</v>
      </c>
      <c r="AE29" s="8">
        <f t="shared" si="8"/>
        <v>1.7122387886047363E-2</v>
      </c>
      <c r="AF29" s="8">
        <f t="shared" si="1"/>
        <v>-1.2162920847574865E-8</v>
      </c>
      <c r="AG29" s="8">
        <f t="shared" si="3"/>
        <v>1.7122372984886169E-2</v>
      </c>
      <c r="AH29" s="8">
        <f t="shared" si="2"/>
        <v>2.889453551424559E-9</v>
      </c>
      <c r="AI29" s="8">
        <f t="shared" si="4"/>
        <v>5.1842078139532787E-17</v>
      </c>
      <c r="AJ29" s="8">
        <f t="shared" si="5"/>
        <v>-3.5144194838720999E-17</v>
      </c>
      <c r="AK29" s="8">
        <f t="shared" si="6"/>
        <v>2.9802322387695312E-8</v>
      </c>
      <c r="AM29" s="8">
        <v>25</v>
      </c>
      <c r="AN29" s="8">
        <f t="shared" si="13"/>
        <v>237.2697651386261</v>
      </c>
      <c r="AO29" s="8">
        <v>-1.4576964957768723E-5</v>
      </c>
      <c r="AP29" s="8">
        <f t="shared" si="14"/>
        <v>237.26979494094849</v>
      </c>
      <c r="AQ29" s="8">
        <v>6.0000046175900934E-6</v>
      </c>
      <c r="AR29" s="8">
        <f t="shared" si="9"/>
        <v>237.26978003978729</v>
      </c>
      <c r="AS29" s="8">
        <v>-4.5997445567991235E-6</v>
      </c>
      <c r="AT29" s="8">
        <f t="shared" si="10"/>
        <v>6.7050315219148254E-11</v>
      </c>
      <c r="AU29" s="8">
        <f t="shared" si="11"/>
        <v>-2.7598488580529639E-11</v>
      </c>
      <c r="AV29" s="8">
        <f t="shared" si="12"/>
        <v>2.9802322387695312E-5</v>
      </c>
    </row>
    <row r="30" spans="2:48" x14ac:dyDescent="0.2">
      <c r="B30" s="20" t="s">
        <v>28</v>
      </c>
      <c r="C30" s="33">
        <v>30</v>
      </c>
      <c r="F30" t="s">
        <v>126</v>
      </c>
      <c r="G30" s="20">
        <f>SQRT($G$27^2-$G$28^2)</f>
        <v>36.077825932281449</v>
      </c>
      <c r="H30" t="s">
        <v>16</v>
      </c>
      <c r="J30" s="20" t="s">
        <v>80</v>
      </c>
      <c r="K30" s="20">
        <f>$C$21</f>
        <v>100</v>
      </c>
      <c r="L30" s="20" t="s">
        <v>12</v>
      </c>
      <c r="AB30" s="8">
        <v>26</v>
      </c>
      <c r="AC30" s="8">
        <f t="shared" si="7"/>
        <v>1.7122372984886169E-2</v>
      </c>
      <c r="AD30" s="8">
        <f t="shared" si="0"/>
        <v>2.889453551424559E-9</v>
      </c>
      <c r="AE30" s="8">
        <f t="shared" si="8"/>
        <v>1.7122387886047363E-2</v>
      </c>
      <c r="AF30" s="8">
        <f t="shared" si="1"/>
        <v>-1.2162920847574865E-8</v>
      </c>
      <c r="AG30" s="8">
        <f t="shared" si="3"/>
        <v>1.7122380435466766E-2</v>
      </c>
      <c r="AH30" s="8">
        <f t="shared" si="2"/>
        <v>-4.6367336289931949E-9</v>
      </c>
      <c r="AI30" s="8">
        <f t="shared" si="4"/>
        <v>-1.339762645130407E-17</v>
      </c>
      <c r="AJ30" s="8">
        <f t="shared" si="5"/>
        <v>5.6396224120732791E-17</v>
      </c>
      <c r="AK30" s="8">
        <f t="shared" si="6"/>
        <v>1.4901161193847656E-8</v>
      </c>
      <c r="AM30" s="8">
        <v>26</v>
      </c>
      <c r="AN30" s="8">
        <f t="shared" si="13"/>
        <v>237.26978003978729</v>
      </c>
      <c r="AO30" s="8">
        <v>-4.5997445567991235E-6</v>
      </c>
      <c r="AP30" s="8">
        <f t="shared" si="14"/>
        <v>237.26979494094849</v>
      </c>
      <c r="AQ30" s="8">
        <v>6.0000046175900934E-6</v>
      </c>
      <c r="AR30" s="8">
        <f t="shared" si="9"/>
        <v>237.26978749036789</v>
      </c>
      <c r="AS30" s="8">
        <v>6.0369049492692284E-7</v>
      </c>
      <c r="AT30" s="8">
        <f t="shared" si="10"/>
        <v>-2.7768220680314822E-12</v>
      </c>
      <c r="AU30" s="8">
        <f t="shared" si="11"/>
        <v>3.6221457571567859E-12</v>
      </c>
      <c r="AV30" s="8">
        <f t="shared" si="12"/>
        <v>1.4901161193847656E-5</v>
      </c>
    </row>
    <row r="31" spans="2:48" x14ac:dyDescent="0.2">
      <c r="F31" t="s">
        <v>127</v>
      </c>
      <c r="G31" s="20">
        <f>$G$30*($G$29/$G$28)</f>
        <v>7215.5651864562897</v>
      </c>
      <c r="H31" t="s">
        <v>14</v>
      </c>
      <c r="J31" s="27" t="s">
        <v>73</v>
      </c>
      <c r="K31" s="20">
        <f>K13</f>
        <v>61.09545393062178</v>
      </c>
      <c r="L31" s="20" t="s">
        <v>12</v>
      </c>
      <c r="AB31" s="8">
        <v>27</v>
      </c>
      <c r="AC31" s="8">
        <f t="shared" si="7"/>
        <v>1.7122372984886169E-2</v>
      </c>
      <c r="AD31" s="8">
        <f t="shared" si="0"/>
        <v>2.889453551424559E-9</v>
      </c>
      <c r="AE31" s="8">
        <f t="shared" si="8"/>
        <v>1.7122380435466766E-2</v>
      </c>
      <c r="AF31" s="8">
        <f t="shared" si="1"/>
        <v>-4.6367336289931949E-9</v>
      </c>
      <c r="AG31" s="8">
        <f t="shared" si="3"/>
        <v>1.7122376710176468E-2</v>
      </c>
      <c r="AH31" s="8">
        <f t="shared" si="2"/>
        <v>-8.73640035314871E-10</v>
      </c>
      <c r="AI31" s="8">
        <f t="shared" si="4"/>
        <v>-2.5243423027072309E-18</v>
      </c>
      <c r="AJ31" s="8">
        <f t="shared" si="5"/>
        <v>4.050836131379265E-18</v>
      </c>
      <c r="AK31" s="8">
        <f t="shared" si="6"/>
        <v>7.4505805969238281E-9</v>
      </c>
      <c r="AM31" s="8">
        <v>27</v>
      </c>
      <c r="AN31" s="8">
        <f t="shared" si="13"/>
        <v>237.26978003978729</v>
      </c>
      <c r="AO31" s="8">
        <v>-4.5997445567991235E-6</v>
      </c>
      <c r="AP31" s="8">
        <f t="shared" si="14"/>
        <v>237.26978749036789</v>
      </c>
      <c r="AQ31" s="8">
        <v>6.0369049492692284E-7</v>
      </c>
      <c r="AR31" s="8">
        <f t="shared" si="9"/>
        <v>237.26978376507759</v>
      </c>
      <c r="AS31" s="8">
        <v>-1.9015874670458288E-6</v>
      </c>
      <c r="AT31" s="8">
        <f t="shared" si="10"/>
        <v>8.7468166008214838E-12</v>
      </c>
      <c r="AU31" s="8">
        <f t="shared" si="11"/>
        <v>-1.14797027912773E-12</v>
      </c>
      <c r="AV31" s="8">
        <f t="shared" si="12"/>
        <v>7.4505805969238281E-6</v>
      </c>
    </row>
    <row r="32" spans="2:48" x14ac:dyDescent="0.2">
      <c r="B32" s="42" t="s">
        <v>181</v>
      </c>
      <c r="C32" s="42"/>
      <c r="D32" s="42"/>
      <c r="F32" t="s">
        <v>151</v>
      </c>
      <c r="G32" s="20">
        <f>ATAN(G28/G30)/PI()*180</f>
        <v>2.4188510369669358</v>
      </c>
      <c r="H32" t="s">
        <v>61</v>
      </c>
      <c r="J32" s="35" t="s">
        <v>93</v>
      </c>
      <c r="K32" s="20">
        <f>SUM(K14:K16)</f>
        <v>26.070661737522244</v>
      </c>
      <c r="L32" s="20" t="s">
        <v>12</v>
      </c>
      <c r="V32" s="33">
        <v>3.5000000000000003E-2</v>
      </c>
      <c r="AB32" s="8">
        <v>28</v>
      </c>
      <c r="AC32" s="8">
        <f t="shared" si="7"/>
        <v>1.7122372984886169E-2</v>
      </c>
      <c r="AD32" s="8">
        <f t="shared" si="0"/>
        <v>2.889453551424559E-9</v>
      </c>
      <c r="AE32" s="8">
        <f t="shared" si="8"/>
        <v>1.7122376710176468E-2</v>
      </c>
      <c r="AF32" s="8">
        <f t="shared" si="1"/>
        <v>-8.73640035314871E-10</v>
      </c>
      <c r="AG32" s="8">
        <f t="shared" si="3"/>
        <v>1.7122374847531319E-2</v>
      </c>
      <c r="AH32" s="8">
        <f t="shared" si="2"/>
        <v>1.007906758054844E-9</v>
      </c>
      <c r="AI32" s="8">
        <f t="shared" si="4"/>
        <v>2.9122997615663826E-18</v>
      </c>
      <c r="AJ32" s="8">
        <f t="shared" si="5"/>
        <v>-8.8054769570113103E-19</v>
      </c>
      <c r="AK32" s="8">
        <f t="shared" si="6"/>
        <v>3.7252902984619141E-9</v>
      </c>
      <c r="AM32" s="8">
        <v>28</v>
      </c>
      <c r="AN32" s="8">
        <f t="shared" si="13"/>
        <v>237.26978376507759</v>
      </c>
      <c r="AO32" s="8">
        <v>-1.9015874670458288E-6</v>
      </c>
      <c r="AP32" s="8">
        <f t="shared" si="14"/>
        <v>237.26978749036789</v>
      </c>
      <c r="AQ32" s="8">
        <v>6.0369049492692284E-7</v>
      </c>
      <c r="AR32" s="8">
        <f t="shared" si="9"/>
        <v>237.26978562772274</v>
      </c>
      <c r="AS32" s="8">
        <v>-7.4538806416057923E-7</v>
      </c>
      <c r="AT32" s="8">
        <f t="shared" si="10"/>
        <v>1.4174206008933096E-12</v>
      </c>
      <c r="AU32" s="8">
        <f t="shared" si="11"/>
        <v>-4.4998368936572099E-13</v>
      </c>
      <c r="AV32" s="8">
        <f t="shared" si="12"/>
        <v>3.7252902984619141E-6</v>
      </c>
    </row>
    <row r="33" spans="2:48" x14ac:dyDescent="0.2">
      <c r="B33" t="s">
        <v>179</v>
      </c>
      <c r="C33" s="1">
        <v>4</v>
      </c>
      <c r="D33"/>
      <c r="F33" t="s">
        <v>154</v>
      </c>
      <c r="G33" s="20">
        <f xml:space="preserve"> 1/1000 * (W22 + W18 * (W27 * W24 + $G$27 * SIN(W17/180*PI())))</f>
        <v>9.1966437869902027</v>
      </c>
      <c r="H33" t="s">
        <v>161</v>
      </c>
      <c r="J33" s="36" t="s">
        <v>94</v>
      </c>
      <c r="K33" s="20">
        <f>SUM(K17:K21)</f>
        <v>38.24622917515034</v>
      </c>
      <c r="L33" s="20" t="s">
        <v>12</v>
      </c>
      <c r="AB33" s="8">
        <v>29</v>
      </c>
      <c r="AC33" s="8">
        <f t="shared" si="7"/>
        <v>1.7122374847531319E-2</v>
      </c>
      <c r="AD33" s="8">
        <f t="shared" si="0"/>
        <v>1.007906758054844E-9</v>
      </c>
      <c r="AE33" s="8">
        <f t="shared" si="8"/>
        <v>1.7122376710176468E-2</v>
      </c>
      <c r="AF33" s="8">
        <f t="shared" si="1"/>
        <v>-8.73640035314871E-10</v>
      </c>
      <c r="AG33" s="8">
        <f t="shared" si="3"/>
        <v>1.7122375778853893E-2</v>
      </c>
      <c r="AH33" s="8">
        <f t="shared" si="2"/>
        <v>6.7133361369986488E-11</v>
      </c>
      <c r="AI33" s="8">
        <f t="shared" si="4"/>
        <v>6.7664168615747381E-20</v>
      </c>
      <c r="AJ33" s="8">
        <f t="shared" si="5"/>
        <v>-5.8650392198080992E-20</v>
      </c>
      <c r="AK33" s="8">
        <f t="shared" si="6"/>
        <v>1.862645149230957E-9</v>
      </c>
      <c r="AM33" s="8">
        <v>29</v>
      </c>
      <c r="AN33" s="8">
        <f t="shared" si="13"/>
        <v>237.26978562772274</v>
      </c>
      <c r="AO33" s="8">
        <v>-7.4538806416057923E-7</v>
      </c>
      <c r="AP33" s="8">
        <f t="shared" si="14"/>
        <v>237.26978749036789</v>
      </c>
      <c r="AQ33" s="8">
        <v>6.0369049492692284E-7</v>
      </c>
      <c r="AR33" s="8">
        <f t="shared" si="9"/>
        <v>237.26978655904531</v>
      </c>
      <c r="AS33" s="8">
        <v>-7.0848813038537628E-8</v>
      </c>
      <c r="AT33" s="8">
        <f t="shared" si="10"/>
        <v>5.2809859598870368E-14</v>
      </c>
      <c r="AU33" s="8">
        <f t="shared" si="11"/>
        <v>-4.2770755008219805E-14</v>
      </c>
      <c r="AV33" s="8">
        <f t="shared" si="12"/>
        <v>1.862645149230957E-6</v>
      </c>
    </row>
    <row r="34" spans="2:48" x14ac:dyDescent="0.2">
      <c r="B34" t="s">
        <v>182</v>
      </c>
      <c r="C34" s="1">
        <v>0.14399999999999999</v>
      </c>
      <c r="D34"/>
      <c r="F34" t="s">
        <v>132</v>
      </c>
      <c r="G34" s="20">
        <f>$C$5*G33</f>
        <v>36.786575147960811</v>
      </c>
      <c r="H34" t="s">
        <v>161</v>
      </c>
      <c r="J34" s="31" t="s">
        <v>95</v>
      </c>
      <c r="K34" s="20">
        <f>SUM(K22:K25)</f>
        <v>11.857441813556971</v>
      </c>
      <c r="L34" s="20" t="s">
        <v>12</v>
      </c>
      <c r="V34" s="33">
        <v>3.4909389999999998E-2</v>
      </c>
      <c r="AB34" s="8">
        <v>30</v>
      </c>
      <c r="AC34" s="8">
        <f t="shared" si="7"/>
        <v>1.7122375778853893E-2</v>
      </c>
      <c r="AD34" s="8">
        <f t="shared" si="0"/>
        <v>6.7133361369986488E-11</v>
      </c>
      <c r="AE34" s="8">
        <f t="shared" si="8"/>
        <v>1.7122376710176468E-2</v>
      </c>
      <c r="AF34" s="8">
        <f t="shared" si="1"/>
        <v>-8.73640035314871E-10</v>
      </c>
      <c r="AG34" s="8">
        <f t="shared" si="3"/>
        <v>1.7122376244515181E-2</v>
      </c>
      <c r="AH34" s="8">
        <f t="shared" si="2"/>
        <v>-4.0325333697244226E-10</v>
      </c>
      <c r="AI34" s="8">
        <f t="shared" si="4"/>
        <v>-2.7071751994623899E-20</v>
      </c>
      <c r="AJ34" s="8">
        <f t="shared" si="5"/>
        <v>3.5229825955344403E-19</v>
      </c>
      <c r="AK34" s="8">
        <f t="shared" si="6"/>
        <v>9.3132257461547852E-10</v>
      </c>
      <c r="AM34" s="8">
        <v>30</v>
      </c>
      <c r="AN34" s="8">
        <f t="shared" si="13"/>
        <v>237.26978655904531</v>
      </c>
      <c r="AO34" s="8">
        <v>-7.0848813038537628E-8</v>
      </c>
      <c r="AP34" s="8">
        <f t="shared" si="14"/>
        <v>237.26978749036789</v>
      </c>
      <c r="AQ34" s="8">
        <v>6.0369049492692284E-7</v>
      </c>
      <c r="AR34" s="8">
        <f t="shared" si="9"/>
        <v>237.2697870247066</v>
      </c>
      <c r="AS34" s="8">
        <v>2.6642084094419261E-7</v>
      </c>
      <c r="AT34" s="8">
        <f t="shared" si="10"/>
        <v>-1.8875600349625073E-14</v>
      </c>
      <c r="AU34" s="8">
        <f t="shared" si="11"/>
        <v>1.6083572932844662E-13</v>
      </c>
      <c r="AV34" s="8">
        <f t="shared" si="12"/>
        <v>9.3132257461547852E-7</v>
      </c>
    </row>
    <row r="35" spans="2:48" x14ac:dyDescent="0.2">
      <c r="B35"/>
      <c r="C35"/>
      <c r="D35"/>
      <c r="F35" t="s">
        <v>131</v>
      </c>
      <c r="G35" s="20">
        <f>$G$29/$G$28</f>
        <v>200</v>
      </c>
      <c r="H35" t="s">
        <v>22</v>
      </c>
      <c r="J35" s="26" t="s">
        <v>82</v>
      </c>
      <c r="K35" s="26">
        <f>SUM(K30:K34)</f>
        <v>237.26978665685132</v>
      </c>
      <c r="L35" s="20" t="s">
        <v>12</v>
      </c>
      <c r="AM35" s="8">
        <v>31</v>
      </c>
      <c r="AN35" s="8">
        <f t="shared" si="13"/>
        <v>237.26978655904531</v>
      </c>
      <c r="AO35" s="20">
        <v>-7.0848813038537628E-8</v>
      </c>
      <c r="AP35" s="8">
        <f t="shared" si="14"/>
        <v>237.2697870247066</v>
      </c>
      <c r="AQ35" s="20">
        <v>2.6642084094419261E-7</v>
      </c>
      <c r="AR35" s="8">
        <f t="shared" si="9"/>
        <v>237.26978679187596</v>
      </c>
      <c r="AS35" s="20">
        <v>9.7786056585391634E-8</v>
      </c>
      <c r="AT35" s="8">
        <f t="shared" si="10"/>
        <v>-6.9280260407942731E-15</v>
      </c>
      <c r="AU35" s="8">
        <f t="shared" si="11"/>
        <v>2.6052243428096442E-14</v>
      </c>
      <c r="AV35" s="8">
        <f t="shared" si="12"/>
        <v>4.6566128730773926E-7</v>
      </c>
    </row>
    <row r="36" spans="2:48" x14ac:dyDescent="0.2">
      <c r="B36" s="42" t="s">
        <v>164</v>
      </c>
      <c r="C36" s="42"/>
      <c r="D36" s="42"/>
      <c r="AM36" s="8">
        <v>32</v>
      </c>
      <c r="AN36" s="8">
        <f t="shared" si="13"/>
        <v>237.26978655904531</v>
      </c>
      <c r="AO36" s="20">
        <v>-7.0848813038537628E-8</v>
      </c>
      <c r="AP36" s="8">
        <f t="shared" si="14"/>
        <v>237.26978679187596</v>
      </c>
      <c r="AQ36" s="20">
        <v>9.7786056585391634E-8</v>
      </c>
      <c r="AR36" s="8">
        <f t="shared" si="9"/>
        <v>237.26978667546064</v>
      </c>
      <c r="AS36" s="20">
        <v>1.3468621773427003E-8</v>
      </c>
      <c r="AT36" s="8">
        <f t="shared" si="10"/>
        <v>-9.5423586591230684E-16</v>
      </c>
      <c r="AU36" s="8">
        <f t="shared" si="11"/>
        <v>1.3170434108635707E-15</v>
      </c>
      <c r="AV36" s="8">
        <f t="shared" si="12"/>
        <v>2.3283064365386963E-7</v>
      </c>
    </row>
    <row r="37" spans="2:48" x14ac:dyDescent="0.2">
      <c r="B37" t="s">
        <v>165</v>
      </c>
      <c r="C37" s="1">
        <v>1</v>
      </c>
      <c r="D37"/>
      <c r="F37" s="44" t="s">
        <v>110</v>
      </c>
      <c r="G37" s="45"/>
      <c r="H37" s="45"/>
      <c r="J37" s="46" t="s">
        <v>79</v>
      </c>
      <c r="K37" s="46"/>
      <c r="L37" s="46"/>
      <c r="AB37" s="32" t="s">
        <v>141</v>
      </c>
      <c r="AM37" s="8">
        <v>33</v>
      </c>
      <c r="AN37" s="8">
        <f t="shared" si="13"/>
        <v>237.26978655904531</v>
      </c>
      <c r="AO37" s="20">
        <v>-7.0848813038537628E-8</v>
      </c>
      <c r="AP37" s="8">
        <f t="shared" si="14"/>
        <v>237.26978667546064</v>
      </c>
      <c r="AQ37" s="20">
        <v>1.3468621773427003E-8</v>
      </c>
      <c r="AR37" s="8">
        <f t="shared" si="9"/>
        <v>237.26978661725298</v>
      </c>
      <c r="AS37" s="20">
        <v>-2.8690095632555312E-8</v>
      </c>
      <c r="AT37" s="8">
        <f t="shared" si="10"/>
        <v>2.0326592215286763E-15</v>
      </c>
      <c r="AU37" s="8">
        <f t="shared" si="11"/>
        <v>-3.8641604671833745E-16</v>
      </c>
      <c r="AV37" s="8">
        <f t="shared" si="12"/>
        <v>1.1641532182693481E-7</v>
      </c>
    </row>
    <row r="38" spans="2:48" x14ac:dyDescent="0.2">
      <c r="B38" t="s">
        <v>166</v>
      </c>
      <c r="C38" s="1">
        <v>3.86</v>
      </c>
      <c r="D38" t="s">
        <v>14</v>
      </c>
      <c r="F38" t="s">
        <v>116</v>
      </c>
      <c r="G38" s="1">
        <v>1.524</v>
      </c>
      <c r="H38" t="s">
        <v>16</v>
      </c>
      <c r="J38" s="20" t="s">
        <v>80</v>
      </c>
      <c r="K38" s="20">
        <f>ROUND($C$21/$C$15 * 100, 2)</f>
        <v>42.15</v>
      </c>
      <c r="L38" s="20" t="s">
        <v>81</v>
      </c>
      <c r="AB38" s="23" t="s">
        <v>62</v>
      </c>
      <c r="AC38" s="23" t="s">
        <v>63</v>
      </c>
      <c r="AD38" s="23" t="s">
        <v>64</v>
      </c>
      <c r="AE38" s="23" t="s">
        <v>65</v>
      </c>
      <c r="AF38" s="23" t="s">
        <v>66</v>
      </c>
      <c r="AG38" s="23" t="s">
        <v>67</v>
      </c>
      <c r="AH38" s="23" t="s">
        <v>68</v>
      </c>
      <c r="AI38" s="23" t="s">
        <v>69</v>
      </c>
      <c r="AJ38" s="23" t="s">
        <v>70</v>
      </c>
      <c r="AK38" s="23" t="s">
        <v>71</v>
      </c>
      <c r="AM38" s="8">
        <v>34</v>
      </c>
      <c r="AN38" s="8">
        <f t="shared" si="13"/>
        <v>237.26978661725298</v>
      </c>
      <c r="AO38" s="20">
        <v>-2.8690095632555312E-8</v>
      </c>
      <c r="AP38" s="8">
        <f t="shared" si="14"/>
        <v>237.26978667546064</v>
      </c>
      <c r="AQ38" s="20">
        <v>1.3468621773427003E-8</v>
      </c>
      <c r="AR38" s="8">
        <f t="shared" si="9"/>
        <v>237.26978664635681</v>
      </c>
      <c r="AS38" s="20">
        <v>-7.6107085078547243E-9</v>
      </c>
      <c r="AT38" s="8">
        <f t="shared" si="10"/>
        <v>2.1835195492185438E-16</v>
      </c>
      <c r="AU38" s="8">
        <f t="shared" si="11"/>
        <v>-1.0250575432009828E-16</v>
      </c>
      <c r="AV38" s="8">
        <f t="shared" si="12"/>
        <v>5.8207660913467407E-8</v>
      </c>
    </row>
    <row r="39" spans="2:48" x14ac:dyDescent="0.2">
      <c r="B39" t="s">
        <v>167</v>
      </c>
      <c r="C39" s="1">
        <v>1.44</v>
      </c>
      <c r="D39" t="s">
        <v>14</v>
      </c>
      <c r="F39" t="s">
        <v>122</v>
      </c>
      <c r="G39" s="1">
        <v>152.4</v>
      </c>
      <c r="H39" t="s">
        <v>14</v>
      </c>
      <c r="J39" s="27" t="s">
        <v>73</v>
      </c>
      <c r="K39" s="20">
        <f>ROUND(K13/$C$15 * 100, 2)</f>
        <v>25.75</v>
      </c>
      <c r="L39" s="20" t="s">
        <v>81</v>
      </c>
      <c r="AB39" s="8">
        <v>0</v>
      </c>
      <c r="AC39" s="9">
        <v>0</v>
      </c>
      <c r="AD39" s="8">
        <f t="shared" ref="AD39:AD69" si="15" xml:space="preserve"> $C$18 * TAN($O$17/180*PI()) + $O$20 / (2 * SQRT($C$18^2 + AC39^2)) - AC39</f>
        <v>2.7933457754008247E-2</v>
      </c>
      <c r="AE39" s="9">
        <v>1</v>
      </c>
      <c r="AF39" s="8">
        <f t="shared" ref="AF39:AF69" si="16" xml:space="preserve"> $C$18 * TAN($O$17/180*PI()) + $O$20 / (2 * SQRT($C$18^2 + AE39^2)) - AE39</f>
        <v>-0.98376273542781989</v>
      </c>
      <c r="AG39" s="8">
        <f xml:space="preserve"> (AC39 + AE39)/2</f>
        <v>0.5</v>
      </c>
      <c r="AH39" s="8">
        <f t="shared" ref="AH39:AH69" si="17" xml:space="preserve"> $C$18 * TAN($O$17/180*PI()) + $O$20 / (2 * SQRT($C$18^2 + AG39^2)) - AG39</f>
        <v>-0.48185368880066026</v>
      </c>
      <c r="AI39" s="8">
        <f>AD39*AH39</f>
        <v>-1.345983965972628E-2</v>
      </c>
      <c r="AJ39" s="8">
        <f>AF39*AH39</f>
        <v>0.47402970297052299</v>
      </c>
      <c r="AK39" s="8">
        <f>AE39-AC39</f>
        <v>1</v>
      </c>
      <c r="AM39" s="8">
        <v>35</v>
      </c>
      <c r="AN39" s="8">
        <f t="shared" si="13"/>
        <v>237.26978664635681</v>
      </c>
      <c r="AO39" s="20">
        <v>-7.6107085078547243E-9</v>
      </c>
      <c r="AP39" s="8">
        <f t="shared" si="14"/>
        <v>237.26978667546064</v>
      </c>
      <c r="AQ39" s="20">
        <v>1.3468621773427003E-8</v>
      </c>
      <c r="AR39" s="8">
        <f t="shared" si="9"/>
        <v>237.26978666090872</v>
      </c>
      <c r="AS39" s="20">
        <v>2.928999265350285E-9</v>
      </c>
      <c r="AT39" s="8">
        <f t="shared" si="10"/>
        <v>-2.2291759628301651E-17</v>
      </c>
      <c r="AU39" s="8">
        <f t="shared" si="11"/>
        <v>3.9449583279648544E-17</v>
      </c>
      <c r="AV39" s="8">
        <f t="shared" si="12"/>
        <v>2.9103830456733704E-8</v>
      </c>
    </row>
    <row r="40" spans="2:48" x14ac:dyDescent="0.2">
      <c r="B40"/>
      <c r="C40"/>
      <c r="D40"/>
      <c r="F40" t="s">
        <v>114</v>
      </c>
      <c r="G40" s="20">
        <f xml:space="preserve"> 1/1000 * IF($G$38&gt;= 2*SQRT(($C$15*$C$26)/(2*$C$25*$C$5*PI()*$C$16*$C$16)), ($C$15*$C$26)/$C$7 * ( ($G$38/2) - SQRT( ($G$38/2)^2 - ($C$15*$C$26)/(2*$C$25*$C$5*PI()*$C$16*$C$16 ) ) ), 1/$C$7 * SQRT(($C$15*$C$26)^3/(2*$C$25*$C$5*PI()*$C$16*$C$16)) )</f>
        <v>33.713624738093202</v>
      </c>
      <c r="H40" t="s">
        <v>161</v>
      </c>
      <c r="J40" s="35" t="s">
        <v>93</v>
      </c>
      <c r="K40" s="20">
        <f>ROUND(SUM(K14:K16)/$C$15 * 100, 2)</f>
        <v>10.99</v>
      </c>
      <c r="L40" s="20" t="s">
        <v>81</v>
      </c>
      <c r="AB40" s="8">
        <v>1</v>
      </c>
      <c r="AC40" s="8">
        <f>IF(AI39&gt;0, AG39, AC39)</f>
        <v>0</v>
      </c>
      <c r="AD40" s="8">
        <f t="shared" si="15"/>
        <v>2.7933457754008247E-2</v>
      </c>
      <c r="AE40" s="8">
        <f>IF(AJ39&gt;0, AG39, AE39)</f>
        <v>0.5</v>
      </c>
      <c r="AF40" s="8">
        <f t="shared" si="16"/>
        <v>-0.48185368880066026</v>
      </c>
      <c r="AG40" s="8">
        <f t="shared" ref="AG40:AG69" si="18" xml:space="preserve"> (AC40 + AE40)/2</f>
        <v>0.25</v>
      </c>
      <c r="AH40" s="8">
        <f t="shared" si="17"/>
        <v>-0.22873417305533919</v>
      </c>
      <c r="AI40" s="8">
        <f t="shared" ref="AI40:AI69" si="19">AD40*AH40</f>
        <v>-6.389336359939329E-3</v>
      </c>
      <c r="AJ40" s="8">
        <f t="shared" ref="AJ40:AJ69" si="20">AF40*AH40</f>
        <v>0.11021640504148378</v>
      </c>
      <c r="AK40" s="8">
        <f t="shared" ref="AK40:AK69" si="21">AE40-AC40</f>
        <v>0.5</v>
      </c>
      <c r="AM40" s="8">
        <v>36</v>
      </c>
      <c r="AN40" s="8">
        <f t="shared" si="13"/>
        <v>237.26978664635681</v>
      </c>
      <c r="AO40" s="20">
        <v>-7.6107085078547243E-9</v>
      </c>
      <c r="AP40" s="8">
        <f t="shared" si="14"/>
        <v>237.26978666090872</v>
      </c>
      <c r="AQ40" s="20">
        <v>2.928999265350285E-9</v>
      </c>
      <c r="AR40" s="8">
        <f t="shared" si="9"/>
        <v>237.26978665363276</v>
      </c>
      <c r="AS40" s="20">
        <v>-2.3409256755257957E-9</v>
      </c>
      <c r="AT40" s="8">
        <f t="shared" si="10"/>
        <v>1.7816102954979741E-17</v>
      </c>
      <c r="AU40" s="8">
        <f t="shared" si="11"/>
        <v>-6.8565695838546751E-18</v>
      </c>
      <c r="AV40" s="8">
        <f t="shared" si="12"/>
        <v>1.4551915228366852E-8</v>
      </c>
    </row>
    <row r="41" spans="2:48" x14ac:dyDescent="0.2">
      <c r="B41" s="42" t="s">
        <v>168</v>
      </c>
      <c r="C41" s="42"/>
      <c r="D41" s="42"/>
      <c r="F41" t="s">
        <v>30</v>
      </c>
      <c r="G41" s="20">
        <f xml:space="preserve"> $C$15 * $C$26 / $C$5</f>
        <v>581.70543832951614</v>
      </c>
      <c r="H41" t="s">
        <v>31</v>
      </c>
      <c r="J41" s="36" t="s">
        <v>94</v>
      </c>
      <c r="K41" s="20">
        <f>ROUND(SUM(K17:K21)/$C$15 * 100, 2)</f>
        <v>16.12</v>
      </c>
      <c r="L41" s="20" t="s">
        <v>81</v>
      </c>
      <c r="AB41" s="8">
        <v>2</v>
      </c>
      <c r="AC41" s="8">
        <f t="shared" ref="AC41:AC69" si="22">IF(AI40&gt;0, AG40, AC40)</f>
        <v>0</v>
      </c>
      <c r="AD41" s="8">
        <f t="shared" si="15"/>
        <v>2.7933457754008247E-2</v>
      </c>
      <c r="AE41" s="8">
        <f t="shared" ref="AE41:AE69" si="23">IF(AJ40&gt;0, AG40, AE40)</f>
        <v>0.25</v>
      </c>
      <c r="AF41" s="8">
        <f t="shared" si="16"/>
        <v>-0.22873417305533919</v>
      </c>
      <c r="AG41" s="8">
        <f t="shared" si="18"/>
        <v>0.125</v>
      </c>
      <c r="AH41" s="8">
        <f t="shared" si="17"/>
        <v>-0.1002496553791602</v>
      </c>
      <c r="AI41" s="8">
        <f t="shared" si="19"/>
        <v>-2.8003195133876569E-3</v>
      </c>
      <c r="AJ41" s="8">
        <f t="shared" si="20"/>
        <v>2.2930522022234945E-2</v>
      </c>
      <c r="AK41" s="8">
        <f t="shared" si="21"/>
        <v>0.25</v>
      </c>
      <c r="AM41" s="8">
        <v>37</v>
      </c>
      <c r="AN41" s="8">
        <f t="shared" si="13"/>
        <v>237.26978665363276</v>
      </c>
      <c r="AO41" s="20">
        <v>-2.3409256755257957E-9</v>
      </c>
      <c r="AP41" s="8">
        <f t="shared" si="14"/>
        <v>237.26978666090872</v>
      </c>
      <c r="AQ41" s="20">
        <v>2.928999265350285E-9</v>
      </c>
      <c r="AR41" s="8">
        <f t="shared" si="9"/>
        <v>237.26978665727074</v>
      </c>
      <c r="AS41" s="20">
        <v>2.9407942747639026E-10</v>
      </c>
      <c r="AT41" s="8">
        <f t="shared" si="10"/>
        <v>-6.8841808242340812E-19</v>
      </c>
      <c r="AU41" s="8">
        <f t="shared" si="11"/>
        <v>8.613584270329795E-19</v>
      </c>
      <c r="AV41" s="8">
        <f t="shared" si="12"/>
        <v>7.2759576141834259E-9</v>
      </c>
    </row>
    <row r="42" spans="2:48" x14ac:dyDescent="0.2">
      <c r="B42" t="s">
        <v>169</v>
      </c>
      <c r="C42" s="1">
        <v>0.3</v>
      </c>
      <c r="D42" t="s">
        <v>14</v>
      </c>
      <c r="F42" t="s">
        <v>121</v>
      </c>
      <c r="G42" s="24">
        <f>$G$39/$G$38</f>
        <v>100</v>
      </c>
      <c r="H42" t="s">
        <v>22</v>
      </c>
      <c r="J42" s="31" t="s">
        <v>95</v>
      </c>
      <c r="K42" s="20">
        <f>ROUND(SUM(K22:K25)/$C$15*100, 2)</f>
        <v>5</v>
      </c>
      <c r="L42" s="20" t="s">
        <v>81</v>
      </c>
      <c r="AB42" s="8">
        <v>3</v>
      </c>
      <c r="AC42" s="8">
        <f t="shared" si="22"/>
        <v>0</v>
      </c>
      <c r="AD42" s="8">
        <f t="shared" si="15"/>
        <v>2.7933457754008247E-2</v>
      </c>
      <c r="AE42" s="8">
        <f t="shared" si="23"/>
        <v>0.125</v>
      </c>
      <c r="AF42" s="8">
        <f t="shared" si="16"/>
        <v>-0.1002496553791602</v>
      </c>
      <c r="AG42" s="8">
        <f t="shared" si="18"/>
        <v>6.25E-2</v>
      </c>
      <c r="AH42" s="8">
        <f t="shared" si="17"/>
        <v>-3.5622958710679421E-2</v>
      </c>
      <c r="AI42" s="8">
        <f t="shared" si="19"/>
        <v>-9.9507241221754379E-4</v>
      </c>
      <c r="AJ42" s="8">
        <f t="shared" si="20"/>
        <v>3.571189334331665E-3</v>
      </c>
      <c r="AK42" s="8">
        <f t="shared" si="21"/>
        <v>0.125</v>
      </c>
      <c r="AM42" s="8">
        <v>38</v>
      </c>
      <c r="AN42" s="8">
        <f t="shared" si="13"/>
        <v>237.26978665363276</v>
      </c>
      <c r="AO42" s="20">
        <v>-2.3409256755257957E-9</v>
      </c>
      <c r="AP42" s="8">
        <f t="shared" si="14"/>
        <v>237.26978665727074</v>
      </c>
      <c r="AQ42" s="20">
        <v>2.9407942747639026E-10</v>
      </c>
      <c r="AR42" s="8">
        <f t="shared" si="9"/>
        <v>237.26978665545175</v>
      </c>
      <c r="AS42" s="20">
        <v>-1.0234373348794179E-9</v>
      </c>
      <c r="AT42" s="8">
        <f t="shared" si="10"/>
        <v>2.3957907345109213E-18</v>
      </c>
      <c r="AU42" s="8">
        <f t="shared" si="11"/>
        <v>-3.0097186549930191E-19</v>
      </c>
      <c r="AV42" s="8">
        <f t="shared" si="12"/>
        <v>3.637978807091713E-9</v>
      </c>
    </row>
    <row r="43" spans="2:48" x14ac:dyDescent="0.2">
      <c r="B43" t="s">
        <v>170</v>
      </c>
      <c r="C43" s="1">
        <v>5.7</v>
      </c>
      <c r="D43"/>
      <c r="J43" s="26" t="s">
        <v>82</v>
      </c>
      <c r="K43" s="26">
        <f>SUM(K38:K42)</f>
        <v>100.01</v>
      </c>
      <c r="L43" s="26" t="s">
        <v>81</v>
      </c>
      <c r="AB43" s="8">
        <v>4</v>
      </c>
      <c r="AC43" s="8">
        <f t="shared" si="22"/>
        <v>0</v>
      </c>
      <c r="AD43" s="8">
        <f t="shared" si="15"/>
        <v>2.7933457754008247E-2</v>
      </c>
      <c r="AE43" s="8">
        <f t="shared" si="23"/>
        <v>6.25E-2</v>
      </c>
      <c r="AF43" s="8">
        <f t="shared" si="16"/>
        <v>-3.5622958710679421E-2</v>
      </c>
      <c r="AG43" s="8">
        <f t="shared" si="18"/>
        <v>3.125E-2</v>
      </c>
      <c r="AH43" s="8">
        <f t="shared" si="17"/>
        <v>-3.6052128447019854E-3</v>
      </c>
      <c r="AI43" s="8">
        <f t="shared" si="19"/>
        <v>-1.007060606916908E-4</v>
      </c>
      <c r="AJ43" s="8">
        <f t="shared" si="20"/>
        <v>1.2842834831002992E-4</v>
      </c>
      <c r="AK43" s="8">
        <f t="shared" si="21"/>
        <v>6.25E-2</v>
      </c>
      <c r="AM43" s="8">
        <v>39</v>
      </c>
      <c r="AN43" s="8">
        <f t="shared" si="13"/>
        <v>237.26978665545175</v>
      </c>
      <c r="AO43" s="20">
        <v>-1.0234373348794179E-9</v>
      </c>
      <c r="AP43" s="8">
        <f t="shared" si="14"/>
        <v>237.26978665727074</v>
      </c>
      <c r="AQ43" s="20">
        <v>2.9407942747639026E-10</v>
      </c>
      <c r="AR43" s="8">
        <f t="shared" si="9"/>
        <v>237.26978665636125</v>
      </c>
      <c r="AS43" s="20">
        <v>-3.6462211028265301E-10</v>
      </c>
      <c r="AT43" s="8">
        <f t="shared" si="10"/>
        <v>3.731678807857876E-19</v>
      </c>
      <c r="AU43" s="8">
        <f t="shared" si="11"/>
        <v>-1.0722786143715583E-19</v>
      </c>
      <c r="AV43" s="8">
        <f t="shared" si="12"/>
        <v>1.8189894035458565E-9</v>
      </c>
    </row>
    <row r="44" spans="2:48" x14ac:dyDescent="0.2">
      <c r="AB44" s="8">
        <v>5</v>
      </c>
      <c r="AC44" s="8">
        <f t="shared" si="22"/>
        <v>0</v>
      </c>
      <c r="AD44" s="8">
        <f t="shared" si="15"/>
        <v>2.7933457754008247E-2</v>
      </c>
      <c r="AE44" s="8">
        <f t="shared" si="23"/>
        <v>3.125E-2</v>
      </c>
      <c r="AF44" s="8">
        <f t="shared" si="16"/>
        <v>-3.6052128447019854E-3</v>
      </c>
      <c r="AG44" s="8">
        <f t="shared" si="18"/>
        <v>1.5625E-2</v>
      </c>
      <c r="AH44" s="8">
        <f t="shared" si="17"/>
        <v>1.2234550135106263E-2</v>
      </c>
      <c r="AI44" s="8">
        <f t="shared" si="19"/>
        <v>3.4175328933828671E-4</v>
      </c>
      <c r="AJ44" s="8">
        <f t="shared" si="20"/>
        <v>-4.4108157296235511E-5</v>
      </c>
      <c r="AK44" s="8">
        <f t="shared" si="21"/>
        <v>3.125E-2</v>
      </c>
      <c r="AM44" s="8">
        <v>40</v>
      </c>
      <c r="AN44" s="8">
        <f t="shared" si="13"/>
        <v>237.26978665636125</v>
      </c>
      <c r="AO44" s="20">
        <v>-3.6462211028265301E-10</v>
      </c>
      <c r="AP44" s="8">
        <f t="shared" si="14"/>
        <v>237.26978665727074</v>
      </c>
      <c r="AQ44" s="20">
        <v>2.9407942747639026E-10</v>
      </c>
      <c r="AR44" s="11">
        <f t="shared" si="9"/>
        <v>237.269786656816</v>
      </c>
      <c r="AS44" s="20">
        <v>-3.5356606531422585E-11</v>
      </c>
      <c r="AT44" s="8">
        <f t="shared" si="10"/>
        <v>1.2891800485920736E-20</v>
      </c>
      <c r="AU44" s="8">
        <f t="shared" si="11"/>
        <v>-1.0397650606268755E-20</v>
      </c>
      <c r="AV44" s="8">
        <f t="shared" si="12"/>
        <v>9.0949470177292824E-10</v>
      </c>
    </row>
    <row r="45" spans="2:48" x14ac:dyDescent="0.2">
      <c r="AB45" s="8">
        <v>6</v>
      </c>
      <c r="AC45" s="8">
        <f t="shared" si="22"/>
        <v>1.5625E-2</v>
      </c>
      <c r="AD45" s="8">
        <f t="shared" si="15"/>
        <v>1.2234550135106263E-2</v>
      </c>
      <c r="AE45" s="8">
        <f t="shared" si="23"/>
        <v>3.125E-2</v>
      </c>
      <c r="AF45" s="8">
        <f t="shared" si="16"/>
        <v>-3.6052128447019854E-3</v>
      </c>
      <c r="AG45" s="8">
        <f t="shared" si="18"/>
        <v>2.34375E-2</v>
      </c>
      <c r="AH45" s="8">
        <f t="shared" si="17"/>
        <v>4.3313220500033126E-3</v>
      </c>
      <c r="AI45" s="8">
        <f t="shared" si="19"/>
        <v>5.2991776772056766E-5</v>
      </c>
      <c r="AJ45" s="8">
        <f t="shared" si="20"/>
        <v>-1.5615337889212878E-5</v>
      </c>
      <c r="AK45" s="8">
        <f t="shared" si="21"/>
        <v>1.5625E-2</v>
      </c>
    </row>
    <row r="46" spans="2:48" x14ac:dyDescent="0.2">
      <c r="AB46" s="8">
        <v>7</v>
      </c>
      <c r="AC46" s="8">
        <f t="shared" si="22"/>
        <v>2.34375E-2</v>
      </c>
      <c r="AD46" s="8">
        <f t="shared" si="15"/>
        <v>4.3313220500033126E-3</v>
      </c>
      <c r="AE46" s="8">
        <f t="shared" si="23"/>
        <v>3.125E-2</v>
      </c>
      <c r="AF46" s="8">
        <f t="shared" si="16"/>
        <v>-3.6052128447019854E-3</v>
      </c>
      <c r="AG46" s="8">
        <f t="shared" si="18"/>
        <v>2.734375E-2</v>
      </c>
      <c r="AH46" s="8">
        <f t="shared" si="17"/>
        <v>3.6705923478470848E-4</v>
      </c>
      <c r="AI46" s="8">
        <f t="shared" si="19"/>
        <v>1.5898517572803508E-6</v>
      </c>
      <c r="AJ46" s="8">
        <f t="shared" si="20"/>
        <v>-1.3233266680123128E-6</v>
      </c>
      <c r="AK46" s="8">
        <f t="shared" si="21"/>
        <v>7.8125E-3</v>
      </c>
    </row>
    <row r="47" spans="2:48" x14ac:dyDescent="0.2">
      <c r="AB47" s="8">
        <v>8</v>
      </c>
      <c r="AC47" s="8">
        <f t="shared" si="22"/>
        <v>2.734375E-2</v>
      </c>
      <c r="AD47" s="8">
        <f t="shared" si="15"/>
        <v>3.6705923478470848E-4</v>
      </c>
      <c r="AE47" s="8">
        <f t="shared" si="23"/>
        <v>3.125E-2</v>
      </c>
      <c r="AF47" s="8">
        <f t="shared" si="16"/>
        <v>-3.6052128447019854E-3</v>
      </c>
      <c r="AG47" s="8">
        <f t="shared" si="18"/>
        <v>2.9296875E-2</v>
      </c>
      <c r="AH47" s="8">
        <f t="shared" si="17"/>
        <v>-1.6180975990937596E-3</v>
      </c>
      <c r="AI47" s="8">
        <f t="shared" si="19"/>
        <v>-5.9393766653032943E-7</v>
      </c>
      <c r="AJ47" s="8">
        <f t="shared" si="20"/>
        <v>5.833586248234266E-6</v>
      </c>
      <c r="AK47" s="8">
        <f t="shared" si="21"/>
        <v>3.90625E-3</v>
      </c>
    </row>
    <row r="48" spans="2:48" x14ac:dyDescent="0.2">
      <c r="AB48" s="8">
        <v>9</v>
      </c>
      <c r="AC48" s="8">
        <f t="shared" si="22"/>
        <v>2.734375E-2</v>
      </c>
      <c r="AD48" s="8">
        <f t="shared" si="15"/>
        <v>3.6705923478470848E-4</v>
      </c>
      <c r="AE48" s="8">
        <f t="shared" si="23"/>
        <v>2.9296875E-2</v>
      </c>
      <c r="AF48" s="8">
        <f t="shared" si="16"/>
        <v>-1.6180975990937596E-3</v>
      </c>
      <c r="AG48" s="8">
        <f t="shared" si="18"/>
        <v>2.83203125E-2</v>
      </c>
      <c r="AH48" s="8">
        <f t="shared" si="17"/>
        <v>-6.2527155028366255E-4</v>
      </c>
      <c r="AI48" s="8">
        <f t="shared" si="19"/>
        <v>-2.2951169677976954E-7</v>
      </c>
      <c r="AJ48" s="8">
        <f t="shared" si="20"/>
        <v>1.0117503942956272E-6</v>
      </c>
      <c r="AK48" s="8">
        <f t="shared" si="21"/>
        <v>1.953125E-3</v>
      </c>
    </row>
    <row r="49" spans="28:39" x14ac:dyDescent="0.2">
      <c r="AB49" s="8">
        <v>10</v>
      </c>
      <c r="AC49" s="8">
        <f t="shared" si="22"/>
        <v>2.734375E-2</v>
      </c>
      <c r="AD49" s="8">
        <f t="shared" si="15"/>
        <v>3.6705923478470848E-4</v>
      </c>
      <c r="AE49" s="8">
        <f t="shared" si="23"/>
        <v>2.83203125E-2</v>
      </c>
      <c r="AF49" s="8">
        <f t="shared" si="16"/>
        <v>-6.2527155028366255E-4</v>
      </c>
      <c r="AG49" s="8">
        <f t="shared" si="18"/>
        <v>2.783203125E-2</v>
      </c>
      <c r="AH49" s="8">
        <f t="shared" si="17"/>
        <v>-1.2904390329059739E-4</v>
      </c>
      <c r="AI49" s="8">
        <f t="shared" si="19"/>
        <v>-4.7366756395478603E-8</v>
      </c>
      <c r="AJ49" s="8">
        <f t="shared" si="20"/>
        <v>8.0687481465166855E-8</v>
      </c>
      <c r="AK49" s="8">
        <f t="shared" si="21"/>
        <v>9.765625E-4</v>
      </c>
    </row>
    <row r="50" spans="28:39" x14ac:dyDescent="0.2">
      <c r="AB50" s="8">
        <v>11</v>
      </c>
      <c r="AC50" s="8">
        <f t="shared" si="22"/>
        <v>2.734375E-2</v>
      </c>
      <c r="AD50" s="8">
        <f t="shared" si="15"/>
        <v>3.6705923478470848E-4</v>
      </c>
      <c r="AE50" s="8">
        <f t="shared" si="23"/>
        <v>2.783203125E-2</v>
      </c>
      <c r="AF50" s="8">
        <f t="shared" si="16"/>
        <v>-1.2904390329059739E-4</v>
      </c>
      <c r="AG50" s="8">
        <f t="shared" si="18"/>
        <v>2.7587890625E-2</v>
      </c>
      <c r="AH50" s="8">
        <f t="shared" si="17"/>
        <v>1.1902327220322112E-4</v>
      </c>
      <c r="AI50" s="8">
        <f t="shared" si="19"/>
        <v>4.3688591216486408E-8</v>
      </c>
      <c r="AJ50" s="8">
        <f t="shared" si="20"/>
        <v>-1.5359227627522915E-8</v>
      </c>
      <c r="AK50" s="8">
        <f t="shared" si="21"/>
        <v>4.8828125E-4</v>
      </c>
    </row>
    <row r="51" spans="28:39" x14ac:dyDescent="0.2">
      <c r="AB51" s="8">
        <v>12</v>
      </c>
      <c r="AC51" s="8">
        <f t="shared" si="22"/>
        <v>2.7587890625E-2</v>
      </c>
      <c r="AD51" s="8">
        <f t="shared" si="15"/>
        <v>1.1902327220322112E-4</v>
      </c>
      <c r="AE51" s="8">
        <f t="shared" si="23"/>
        <v>2.783203125E-2</v>
      </c>
      <c r="AF51" s="8">
        <f t="shared" si="16"/>
        <v>-1.2904390329059739E-4</v>
      </c>
      <c r="AG51" s="8">
        <f t="shared" si="18"/>
        <v>2.77099609375E-2</v>
      </c>
      <c r="AH51" s="8">
        <f t="shared" si="17"/>
        <v>-5.0064192635979055E-6</v>
      </c>
      <c r="AI51" s="8">
        <f t="shared" si="19"/>
        <v>-5.9588040277466336E-10</v>
      </c>
      <c r="AJ51" s="8">
        <f t="shared" si="20"/>
        <v>6.4604788328391192E-10</v>
      </c>
      <c r="AK51" s="8">
        <f t="shared" si="21"/>
        <v>2.44140625E-4</v>
      </c>
    </row>
    <row r="52" spans="28:39" x14ac:dyDescent="0.2">
      <c r="AB52" s="8">
        <v>13</v>
      </c>
      <c r="AC52" s="8">
        <f t="shared" si="22"/>
        <v>2.7587890625E-2</v>
      </c>
      <c r="AD52" s="8">
        <f t="shared" si="15"/>
        <v>1.1902327220322112E-4</v>
      </c>
      <c r="AE52" s="8">
        <f t="shared" si="23"/>
        <v>2.77099609375E-2</v>
      </c>
      <c r="AF52" s="8">
        <f t="shared" si="16"/>
        <v>-5.0064192635979055E-6</v>
      </c>
      <c r="AG52" s="8">
        <f t="shared" si="18"/>
        <v>2.764892578125E-2</v>
      </c>
      <c r="AH52" s="8">
        <f t="shared" si="17"/>
        <v>5.700940120791087E-5</v>
      </c>
      <c r="AI52" s="8">
        <f t="shared" si="19"/>
        <v>6.7854454781118181E-9</v>
      </c>
      <c r="AJ52" s="8">
        <f t="shared" si="20"/>
        <v>-2.8541296441346667E-10</v>
      </c>
      <c r="AK52" s="8">
        <f t="shared" si="21"/>
        <v>1.220703125E-4</v>
      </c>
    </row>
    <row r="53" spans="28:39" x14ac:dyDescent="0.2">
      <c r="AB53" s="8">
        <v>14</v>
      </c>
      <c r="AC53" s="8">
        <f t="shared" si="22"/>
        <v>2.764892578125E-2</v>
      </c>
      <c r="AD53" s="8">
        <f t="shared" si="15"/>
        <v>5.700940120791087E-5</v>
      </c>
      <c r="AE53" s="8">
        <f t="shared" si="23"/>
        <v>2.77099609375E-2</v>
      </c>
      <c r="AF53" s="8">
        <f t="shared" si="16"/>
        <v>-5.0064192635979055E-6</v>
      </c>
      <c r="AG53" s="8">
        <f t="shared" si="18"/>
        <v>2.7679443359375E-2</v>
      </c>
      <c r="AH53" s="8">
        <f t="shared" si="17"/>
        <v>2.6001734573254109E-5</v>
      </c>
      <c r="AI53" s="8">
        <f t="shared" si="19"/>
        <v>1.4823433183882508E-9</v>
      </c>
      <c r="AJ53" s="8">
        <f t="shared" si="20"/>
        <v>-1.3017558485449905E-10</v>
      </c>
      <c r="AK53" s="8">
        <f t="shared" si="21"/>
        <v>6.103515625E-5</v>
      </c>
    </row>
    <row r="54" spans="28:39" x14ac:dyDescent="0.2">
      <c r="AB54" s="8">
        <v>15</v>
      </c>
      <c r="AC54" s="8">
        <f t="shared" si="22"/>
        <v>2.7679443359375E-2</v>
      </c>
      <c r="AD54" s="8">
        <f t="shared" si="15"/>
        <v>2.6001734573254109E-5</v>
      </c>
      <c r="AE54" s="8">
        <f t="shared" si="23"/>
        <v>2.77099609375E-2</v>
      </c>
      <c r="AF54" s="8">
        <f t="shared" si="16"/>
        <v>-5.0064192635979055E-6</v>
      </c>
      <c r="AG54" s="8">
        <f t="shared" si="18"/>
        <v>2.76947021484375E-2</v>
      </c>
      <c r="AH54" s="8">
        <f t="shared" si="17"/>
        <v>1.0497718544666412E-5</v>
      </c>
      <c r="AI54" s="8">
        <f t="shared" si="19"/>
        <v>2.7295889122314347E-10</v>
      </c>
      <c r="AJ54" s="8">
        <f t="shared" si="20"/>
        <v>-5.2555980345846893E-11</v>
      </c>
      <c r="AK54" s="8">
        <f t="shared" si="21"/>
        <v>3.0517578125E-5</v>
      </c>
    </row>
    <row r="55" spans="28:39" x14ac:dyDescent="0.2">
      <c r="AB55" s="8">
        <v>16</v>
      </c>
      <c r="AC55" s="8">
        <f t="shared" si="22"/>
        <v>2.76947021484375E-2</v>
      </c>
      <c r="AD55" s="8">
        <f t="shared" si="15"/>
        <v>1.0497718544666412E-5</v>
      </c>
      <c r="AE55" s="8">
        <f t="shared" si="23"/>
        <v>2.77099609375E-2</v>
      </c>
      <c r="AF55" s="8">
        <f t="shared" si="16"/>
        <v>-5.0064192635979055E-6</v>
      </c>
      <c r="AG55" s="8">
        <f t="shared" si="18"/>
        <v>2.770233154296875E-2</v>
      </c>
      <c r="AH55" s="8">
        <f t="shared" si="17"/>
        <v>2.745664861691921E-6</v>
      </c>
      <c r="AI55" s="8">
        <f t="shared" si="19"/>
        <v>2.8823216936022219E-11</v>
      </c>
      <c r="AJ55" s="8">
        <f t="shared" si="20"/>
        <v>-1.3745949454958312E-11</v>
      </c>
      <c r="AK55" s="8">
        <f t="shared" si="21"/>
        <v>1.52587890625E-5</v>
      </c>
      <c r="AM55" s="8"/>
    </row>
    <row r="56" spans="28:39" x14ac:dyDescent="0.2">
      <c r="AB56" s="8">
        <v>17</v>
      </c>
      <c r="AC56" s="8">
        <f t="shared" si="22"/>
        <v>2.770233154296875E-2</v>
      </c>
      <c r="AD56" s="8">
        <f t="shared" si="15"/>
        <v>2.745664861691921E-6</v>
      </c>
      <c r="AE56" s="8">
        <f t="shared" si="23"/>
        <v>2.77099609375E-2</v>
      </c>
      <c r="AF56" s="8">
        <f t="shared" si="16"/>
        <v>-5.0064192635979055E-6</v>
      </c>
      <c r="AG56" s="8">
        <f t="shared" si="18"/>
        <v>2.7706146240234375E-2</v>
      </c>
      <c r="AH56" s="8">
        <f t="shared" si="17"/>
        <v>-1.1303733958301088E-6</v>
      </c>
      <c r="AI56" s="8">
        <f t="shared" si="19"/>
        <v>-3.1036265135221026E-12</v>
      </c>
      <c r="AJ56" s="8">
        <f t="shared" si="20"/>
        <v>5.6591231439424368E-12</v>
      </c>
      <c r="AK56" s="8">
        <f t="shared" si="21"/>
        <v>7.62939453125E-6</v>
      </c>
      <c r="AM56" s="8"/>
    </row>
    <row r="57" spans="28:39" x14ac:dyDescent="0.2">
      <c r="AB57" s="8">
        <v>18</v>
      </c>
      <c r="AC57" s="8">
        <f t="shared" si="22"/>
        <v>2.770233154296875E-2</v>
      </c>
      <c r="AD57" s="8">
        <f t="shared" si="15"/>
        <v>2.745664861691921E-6</v>
      </c>
      <c r="AE57" s="8">
        <f t="shared" si="23"/>
        <v>2.7706146240234375E-2</v>
      </c>
      <c r="AF57" s="8">
        <f t="shared" si="16"/>
        <v>-1.1303733958301088E-6</v>
      </c>
      <c r="AG57" s="8">
        <f t="shared" si="18"/>
        <v>2.7704238891601562E-2</v>
      </c>
      <c r="AH57" s="8">
        <f t="shared" si="17"/>
        <v>8.0764668423244368E-7</v>
      </c>
      <c r="AI57" s="8">
        <f t="shared" si="19"/>
        <v>2.2175271215590111E-12</v>
      </c>
      <c r="AJ57" s="8">
        <f t="shared" si="20"/>
        <v>-9.1294232508675488E-13</v>
      </c>
      <c r="AK57" s="8">
        <f t="shared" si="21"/>
        <v>3.814697265625E-6</v>
      </c>
      <c r="AM57" s="8"/>
    </row>
    <row r="58" spans="28:39" x14ac:dyDescent="0.2">
      <c r="AB58" s="8">
        <v>19</v>
      </c>
      <c r="AC58" s="8">
        <f t="shared" si="22"/>
        <v>2.7704238891601562E-2</v>
      </c>
      <c r="AD58" s="8">
        <f t="shared" si="15"/>
        <v>8.0764668423244368E-7</v>
      </c>
      <c r="AE58" s="8">
        <f t="shared" si="23"/>
        <v>2.7706146240234375E-2</v>
      </c>
      <c r="AF58" s="8">
        <f t="shared" si="16"/>
        <v>-1.1303733958301088E-6</v>
      </c>
      <c r="AG58" s="8">
        <f t="shared" si="18"/>
        <v>2.7705192565917969E-2</v>
      </c>
      <c r="AH58" s="8">
        <f t="shared" si="17"/>
        <v>-1.6136311797171343E-7</v>
      </c>
      <c r="AI58" s="8">
        <f t="shared" si="19"/>
        <v>-1.30324387187263E-13</v>
      </c>
      <c r="AJ58" s="8">
        <f t="shared" si="20"/>
        <v>1.8240057562342015E-13</v>
      </c>
      <c r="AK58" s="8">
        <f t="shared" si="21"/>
        <v>1.9073486328125E-6</v>
      </c>
    </row>
    <row r="59" spans="28:39" x14ac:dyDescent="0.2">
      <c r="AB59" s="8">
        <v>20</v>
      </c>
      <c r="AC59" s="8">
        <f t="shared" si="22"/>
        <v>2.7704238891601562E-2</v>
      </c>
      <c r="AD59" s="8">
        <f t="shared" si="15"/>
        <v>8.0764668423244368E-7</v>
      </c>
      <c r="AE59" s="8">
        <f t="shared" si="23"/>
        <v>2.7705192565917969E-2</v>
      </c>
      <c r="AF59" s="8">
        <f t="shared" si="16"/>
        <v>-1.6136311797171343E-7</v>
      </c>
      <c r="AG59" s="8">
        <f t="shared" si="18"/>
        <v>2.7704715728759766E-2</v>
      </c>
      <c r="AH59" s="8">
        <f t="shared" si="17"/>
        <v>3.2314184258627754E-7</v>
      </c>
      <c r="AI59" s="8">
        <f t="shared" si="19"/>
        <v>2.6098443770156934E-13</v>
      </c>
      <c r="AJ59" s="8">
        <f t="shared" si="20"/>
        <v>-5.2143175266846352E-14</v>
      </c>
      <c r="AK59" s="8">
        <f t="shared" si="21"/>
        <v>9.5367431640625E-7</v>
      </c>
    </row>
    <row r="60" spans="28:39" x14ac:dyDescent="0.2">
      <c r="AB60" s="8">
        <v>21</v>
      </c>
      <c r="AC60" s="8">
        <f t="shared" si="22"/>
        <v>2.7704715728759766E-2</v>
      </c>
      <c r="AD60" s="8">
        <f t="shared" si="15"/>
        <v>3.2314184258627754E-7</v>
      </c>
      <c r="AE60" s="8">
        <f t="shared" si="23"/>
        <v>2.7705192565917969E-2</v>
      </c>
      <c r="AF60" s="8">
        <f t="shared" si="16"/>
        <v>-1.6136311797171343E-7</v>
      </c>
      <c r="AG60" s="8">
        <f t="shared" si="18"/>
        <v>2.7704954147338867E-2</v>
      </c>
      <c r="AH60" s="8">
        <f t="shared" si="17"/>
        <v>8.0889377168658072E-8</v>
      </c>
      <c r="AI60" s="8">
        <f t="shared" si="19"/>
        <v>2.6138742383936538E-14</v>
      </c>
      <c r="AJ60" s="8">
        <f t="shared" si="20"/>
        <v>-1.3052562110724595E-14</v>
      </c>
      <c r="AK60" s="8">
        <f t="shared" si="21"/>
        <v>4.76837158203125E-7</v>
      </c>
    </row>
    <row r="61" spans="28:39" x14ac:dyDescent="0.2">
      <c r="AB61" s="8">
        <v>22</v>
      </c>
      <c r="AC61" s="8">
        <f t="shared" si="22"/>
        <v>2.7704954147338867E-2</v>
      </c>
      <c r="AD61" s="8">
        <f t="shared" si="15"/>
        <v>8.0889377168658072E-8</v>
      </c>
      <c r="AE61" s="8">
        <f t="shared" si="23"/>
        <v>2.7705192565917969E-2</v>
      </c>
      <c r="AF61" s="8">
        <f t="shared" si="16"/>
        <v>-1.6136311797171343E-7</v>
      </c>
      <c r="AG61" s="8">
        <f t="shared" si="18"/>
        <v>2.7705073356628418E-2</v>
      </c>
      <c r="AH61" s="8">
        <f t="shared" si="17"/>
        <v>-4.0236866685749995E-8</v>
      </c>
      <c r="AI61" s="8">
        <f t="shared" si="19"/>
        <v>-3.2547350854286443E-15</v>
      </c>
      <c r="AJ61" s="8">
        <f t="shared" si="20"/>
        <v>6.4927462658247828E-15</v>
      </c>
      <c r="AK61" s="8">
        <f t="shared" si="21"/>
        <v>2.384185791015625E-7</v>
      </c>
    </row>
    <row r="62" spans="28:39" x14ac:dyDescent="0.2">
      <c r="AB62" s="8">
        <v>23</v>
      </c>
      <c r="AC62" s="8">
        <f t="shared" si="22"/>
        <v>2.7704954147338867E-2</v>
      </c>
      <c r="AD62" s="8">
        <f t="shared" si="15"/>
        <v>8.0889377168658072E-8</v>
      </c>
      <c r="AE62" s="8">
        <f t="shared" si="23"/>
        <v>2.7705073356628418E-2</v>
      </c>
      <c r="AF62" s="8">
        <f t="shared" si="16"/>
        <v>-4.0236866685749995E-8</v>
      </c>
      <c r="AG62" s="8">
        <f t="shared" si="18"/>
        <v>2.7705013751983643E-2</v>
      </c>
      <c r="AH62" s="8">
        <f t="shared" si="17"/>
        <v>2.0326256171265822E-8</v>
      </c>
      <c r="AI62" s="8">
        <f t="shared" si="19"/>
        <v>1.6441782018642848E-15</v>
      </c>
      <c r="AJ62" s="8">
        <f t="shared" si="20"/>
        <v>-8.1786485978362596E-16</v>
      </c>
      <c r="AK62" s="8">
        <f t="shared" si="21"/>
        <v>1.1920928955078125E-7</v>
      </c>
    </row>
    <row r="63" spans="28:39" x14ac:dyDescent="0.2">
      <c r="AB63" s="8">
        <v>24</v>
      </c>
      <c r="AC63" s="8">
        <f t="shared" si="22"/>
        <v>2.7705013751983643E-2</v>
      </c>
      <c r="AD63" s="8">
        <f t="shared" si="15"/>
        <v>2.0326256171265822E-8</v>
      </c>
      <c r="AE63" s="8">
        <f t="shared" si="23"/>
        <v>2.7705073356628418E-2</v>
      </c>
      <c r="AF63" s="8">
        <f t="shared" si="16"/>
        <v>-4.0236866685749995E-8</v>
      </c>
      <c r="AG63" s="8">
        <f t="shared" si="18"/>
        <v>2.770504355430603E-2</v>
      </c>
      <c r="AH63" s="8">
        <f t="shared" si="17"/>
        <v>-9.9553050247891406E-9</v>
      </c>
      <c r="AI63" s="8">
        <f t="shared" si="19"/>
        <v>-2.0235408019695392E-16</v>
      </c>
      <c r="AJ63" s="8">
        <f t="shared" si="20"/>
        <v>4.0057028109841768E-16</v>
      </c>
      <c r="AK63" s="8">
        <f t="shared" si="21"/>
        <v>5.9604644775390625E-8</v>
      </c>
    </row>
    <row r="64" spans="28:39" x14ac:dyDescent="0.2">
      <c r="AB64" s="8">
        <v>25</v>
      </c>
      <c r="AC64" s="8">
        <f t="shared" si="22"/>
        <v>2.7705013751983643E-2</v>
      </c>
      <c r="AD64" s="8">
        <f t="shared" si="15"/>
        <v>2.0326256171265822E-8</v>
      </c>
      <c r="AE64" s="8">
        <f t="shared" si="23"/>
        <v>2.770504355430603E-2</v>
      </c>
      <c r="AF64" s="8">
        <f t="shared" si="16"/>
        <v>-9.9553050247891406E-9</v>
      </c>
      <c r="AG64" s="8">
        <f t="shared" si="18"/>
        <v>2.7705028653144836E-2</v>
      </c>
      <c r="AH64" s="8">
        <f t="shared" si="17"/>
        <v>5.1854756322189388E-9</v>
      </c>
      <c r="AI64" s="8">
        <f t="shared" si="19"/>
        <v>1.0540130607033875E-16</v>
      </c>
      <c r="AJ64" s="8">
        <f t="shared" si="20"/>
        <v>-5.1622991617350847E-17</v>
      </c>
      <c r="AK64" s="8">
        <f t="shared" si="21"/>
        <v>2.9802322387695312E-8</v>
      </c>
    </row>
    <row r="65" spans="28:37" x14ac:dyDescent="0.2">
      <c r="AB65" s="8">
        <v>26</v>
      </c>
      <c r="AC65" s="8">
        <f t="shared" si="22"/>
        <v>2.7705028653144836E-2</v>
      </c>
      <c r="AD65" s="8">
        <f t="shared" si="15"/>
        <v>5.1854756322189388E-9</v>
      </c>
      <c r="AE65" s="8">
        <f t="shared" si="23"/>
        <v>2.770504355430603E-2</v>
      </c>
      <c r="AF65" s="8">
        <f t="shared" si="16"/>
        <v>-9.9553050247891406E-9</v>
      </c>
      <c r="AG65" s="8">
        <f t="shared" si="18"/>
        <v>2.7705036103725433E-2</v>
      </c>
      <c r="AH65" s="8">
        <f t="shared" si="17"/>
        <v>-2.3849146824073131E-9</v>
      </c>
      <c r="AI65" s="8">
        <f t="shared" si="19"/>
        <v>-1.2366916970544292E-17</v>
      </c>
      <c r="AJ65" s="8">
        <f t="shared" si="20"/>
        <v>2.3742553121462921E-17</v>
      </c>
      <c r="AK65" s="8">
        <f t="shared" si="21"/>
        <v>1.4901161193847656E-8</v>
      </c>
    </row>
    <row r="66" spans="28:37" x14ac:dyDescent="0.2">
      <c r="AB66" s="8">
        <v>27</v>
      </c>
      <c r="AC66" s="8">
        <f t="shared" si="22"/>
        <v>2.7705028653144836E-2</v>
      </c>
      <c r="AD66" s="8">
        <f t="shared" si="15"/>
        <v>5.1854756322189388E-9</v>
      </c>
      <c r="AE66" s="8">
        <f t="shared" si="23"/>
        <v>2.7705036103725433E-2</v>
      </c>
      <c r="AF66" s="8">
        <f t="shared" si="16"/>
        <v>-2.3849146824073131E-9</v>
      </c>
      <c r="AG66" s="8">
        <f t="shared" si="18"/>
        <v>2.7705032378435135E-2</v>
      </c>
      <c r="AH66" s="8">
        <f t="shared" si="17"/>
        <v>1.4002804749058129E-9</v>
      </c>
      <c r="AI66" s="8">
        <f t="shared" si="19"/>
        <v>7.2611202808960551E-18</v>
      </c>
      <c r="AJ66" s="8">
        <f t="shared" si="20"/>
        <v>-3.3395494640911582E-18</v>
      </c>
      <c r="AK66" s="8">
        <f t="shared" si="21"/>
        <v>7.4505805969238281E-9</v>
      </c>
    </row>
    <row r="67" spans="28:37" x14ac:dyDescent="0.2">
      <c r="AB67" s="8">
        <v>28</v>
      </c>
      <c r="AC67" s="8">
        <f t="shared" si="22"/>
        <v>2.7705032378435135E-2</v>
      </c>
      <c r="AD67" s="8">
        <f t="shared" si="15"/>
        <v>1.4002804749058129E-9</v>
      </c>
      <c r="AE67" s="8">
        <f t="shared" si="23"/>
        <v>2.7705036103725433E-2</v>
      </c>
      <c r="AF67" s="8">
        <f t="shared" si="16"/>
        <v>-2.3849146824073131E-9</v>
      </c>
      <c r="AG67" s="8">
        <f t="shared" si="18"/>
        <v>2.7705034241080284E-2</v>
      </c>
      <c r="AH67" s="8">
        <f t="shared" si="17"/>
        <v>-4.9231710375075011E-10</v>
      </c>
      <c r="AI67" s="8">
        <f t="shared" si="19"/>
        <v>-6.893820278443547E-19</v>
      </c>
      <c r="AJ67" s="8">
        <f t="shared" si="20"/>
        <v>1.1741342891354084E-18</v>
      </c>
      <c r="AK67" s="8">
        <f t="shared" si="21"/>
        <v>3.7252902984619141E-9</v>
      </c>
    </row>
    <row r="68" spans="28:37" x14ac:dyDescent="0.2">
      <c r="AB68" s="8">
        <v>29</v>
      </c>
      <c r="AC68" s="8">
        <f t="shared" si="22"/>
        <v>2.7705032378435135E-2</v>
      </c>
      <c r="AD68" s="8">
        <f t="shared" si="15"/>
        <v>1.4002804749058129E-9</v>
      </c>
      <c r="AE68" s="8">
        <f t="shared" si="23"/>
        <v>2.7705034241080284E-2</v>
      </c>
      <c r="AF68" s="8">
        <f t="shared" si="16"/>
        <v>-4.9231710375075011E-10</v>
      </c>
      <c r="AG68" s="8">
        <f t="shared" si="18"/>
        <v>2.770503330975771E-2</v>
      </c>
      <c r="AH68" s="8">
        <f t="shared" si="17"/>
        <v>4.5398168904697833E-10</v>
      </c>
      <c r="AI68" s="8">
        <f t="shared" si="19"/>
        <v>6.3570169513724588E-19</v>
      </c>
      <c r="AJ68" s="8">
        <f t="shared" si="20"/>
        <v>-2.23502950307482E-19</v>
      </c>
      <c r="AK68" s="8">
        <f t="shared" si="21"/>
        <v>1.862645149230957E-9</v>
      </c>
    </row>
    <row r="69" spans="28:37" x14ac:dyDescent="0.2">
      <c r="AB69" s="8">
        <v>30</v>
      </c>
      <c r="AC69" s="8">
        <f t="shared" si="22"/>
        <v>2.770503330975771E-2</v>
      </c>
      <c r="AD69" s="8">
        <f t="shared" si="15"/>
        <v>4.5398168904697833E-10</v>
      </c>
      <c r="AE69" s="8">
        <f t="shared" si="23"/>
        <v>2.7705034241080284E-2</v>
      </c>
      <c r="AF69" s="8">
        <f t="shared" si="16"/>
        <v>-4.9231710375075011E-10</v>
      </c>
      <c r="AG69" s="8">
        <f t="shared" si="18"/>
        <v>2.7705033775418997E-2</v>
      </c>
      <c r="AH69" s="8">
        <f t="shared" si="17"/>
        <v>-1.9167705617162412E-11</v>
      </c>
      <c r="AI69" s="8">
        <f t="shared" si="19"/>
        <v>-8.7017873712346458E-21</v>
      </c>
      <c r="AJ69" s="8">
        <f t="shared" si="20"/>
        <v>9.4365893149883826E-21</v>
      </c>
      <c r="AK69" s="8">
        <f t="shared" si="21"/>
        <v>9.3132257461547852E-10</v>
      </c>
    </row>
    <row r="72" spans="28:37" x14ac:dyDescent="0.2">
      <c r="AB72" s="32" t="s">
        <v>149</v>
      </c>
    </row>
    <row r="73" spans="28:37" x14ac:dyDescent="0.2">
      <c r="AB73" s="23" t="s">
        <v>62</v>
      </c>
      <c r="AC73" s="23" t="s">
        <v>63</v>
      </c>
      <c r="AD73" s="23" t="s">
        <v>64</v>
      </c>
      <c r="AE73" s="23" t="s">
        <v>65</v>
      </c>
      <c r="AF73" s="23" t="s">
        <v>66</v>
      </c>
      <c r="AG73" s="23" t="s">
        <v>67</v>
      </c>
      <c r="AH73" s="23" t="s">
        <v>68</v>
      </c>
      <c r="AI73" s="23" t="s">
        <v>69</v>
      </c>
      <c r="AJ73" s="23" t="s">
        <v>70</v>
      </c>
      <c r="AK73" s="23" t="s">
        <v>71</v>
      </c>
    </row>
    <row r="74" spans="28:37" x14ac:dyDescent="0.2">
      <c r="AB74" s="8">
        <v>0</v>
      </c>
      <c r="AC74" s="9">
        <v>0</v>
      </c>
      <c r="AD74" s="8">
        <f t="shared" ref="AD74:AD104" si="24" xml:space="preserve"> $C$18 * TAN($W$17/180*PI()) + $W$20 / (2 * SQRT($C$18^2 + AC74^2)) - AC74</f>
        <v>1.0859779380092235E-2</v>
      </c>
      <c r="AE74" s="9">
        <v>1</v>
      </c>
      <c r="AF74" s="8">
        <f t="shared" ref="AF74:AF104" si="25" xml:space="preserve"> $C$18 * TAN($W$17/180*PI()) + $W$20 / (2 * SQRT($C$18^2 + AE74^2)) - AE74</f>
        <v>-1.0007049753203943</v>
      </c>
      <c r="AG74" s="8">
        <f xml:space="preserve"> (AC74 + AE74)/2</f>
        <v>0.5</v>
      </c>
      <c r="AH74" s="8">
        <f t="shared" ref="AH74:AH104" si="26" xml:space="preserve"> $C$18 * TAN($W$17/180*PI()) + $W$20 / (2 * SQRT($C$18^2 + AG74^2)) - AG74</f>
        <v>-0.49881738201446346</v>
      </c>
      <c r="AI74" s="8">
        <f>AD74*AH74</f>
        <v>-5.4170467196322618E-3</v>
      </c>
      <c r="AJ74" s="8">
        <f>AF74*AH74</f>
        <v>0.49916903595816736</v>
      </c>
      <c r="AK74" s="8">
        <f>AE74-AC74</f>
        <v>1</v>
      </c>
    </row>
    <row r="75" spans="28:37" x14ac:dyDescent="0.2">
      <c r="AB75" s="8">
        <v>1</v>
      </c>
      <c r="AC75" s="8">
        <f>IF(AI74&gt;0, AG74, AC74)</f>
        <v>0</v>
      </c>
      <c r="AD75" s="8">
        <f t="shared" si="24"/>
        <v>1.0859779380092235E-2</v>
      </c>
      <c r="AE75" s="8">
        <f>IF(AJ74&gt;0, AG74, AE74)</f>
        <v>0.5</v>
      </c>
      <c r="AF75" s="8">
        <f t="shared" si="25"/>
        <v>-0.49881738201446346</v>
      </c>
      <c r="AG75" s="8">
        <f t="shared" ref="AG75:AG104" si="27" xml:space="preserve"> (AC75 + AE75)/2</f>
        <v>0.25</v>
      </c>
      <c r="AH75" s="8">
        <f t="shared" si="26"/>
        <v>-0.2457329224969006</v>
      </c>
      <c r="AI75" s="8">
        <f t="shared" ref="AI75:AI104" si="28">AD75*AH75</f>
        <v>-2.6686053247416447E-3</v>
      </c>
      <c r="AJ75" s="8">
        <f t="shared" ref="AJ75:AJ104" si="29">AF75*AH75</f>
        <v>0.12257585307466701</v>
      </c>
      <c r="AK75" s="8">
        <f t="shared" ref="AK75:AK104" si="30">AE75-AC75</f>
        <v>0.5</v>
      </c>
    </row>
    <row r="76" spans="28:37" x14ac:dyDescent="0.2">
      <c r="AB76" s="8">
        <v>2</v>
      </c>
      <c r="AC76" s="8">
        <f t="shared" ref="AC76:AC104" si="31">IF(AI75&gt;0, AG75, AC75)</f>
        <v>0</v>
      </c>
      <c r="AD76" s="8">
        <f t="shared" si="24"/>
        <v>1.0859779380092235E-2</v>
      </c>
      <c r="AE76" s="8">
        <f t="shared" ref="AE76:AE104" si="32">IF(AJ75&gt;0, AG75, AE75)</f>
        <v>0.25</v>
      </c>
      <c r="AF76" s="8">
        <f t="shared" si="25"/>
        <v>-0.2457329224969006</v>
      </c>
      <c r="AG76" s="8">
        <f t="shared" si="27"/>
        <v>0.125</v>
      </c>
      <c r="AH76" s="8">
        <f t="shared" si="26"/>
        <v>-0.11728756283602156</v>
      </c>
      <c r="AI76" s="8">
        <f t="shared" si="28"/>
        <v>-1.2737170564278992E-3</v>
      </c>
      <c r="AJ76" s="8">
        <f t="shared" si="29"/>
        <v>2.8821415588234443E-2</v>
      </c>
      <c r="AK76" s="8">
        <f t="shared" si="30"/>
        <v>0.25</v>
      </c>
    </row>
    <row r="77" spans="28:37" x14ac:dyDescent="0.2">
      <c r="AB77" s="8">
        <v>3</v>
      </c>
      <c r="AC77" s="8">
        <f t="shared" si="31"/>
        <v>0</v>
      </c>
      <c r="AD77" s="8">
        <f t="shared" si="24"/>
        <v>1.0859779380092235E-2</v>
      </c>
      <c r="AE77" s="8">
        <f t="shared" si="32"/>
        <v>0.125</v>
      </c>
      <c r="AF77" s="8">
        <f t="shared" si="25"/>
        <v>-0.11728756283602156</v>
      </c>
      <c r="AG77" s="8">
        <f t="shared" si="27"/>
        <v>6.25E-2</v>
      </c>
      <c r="AH77" s="8">
        <f t="shared" si="26"/>
        <v>-5.2684765377825182E-2</v>
      </c>
      <c r="AI77" s="8">
        <f t="shared" si="28"/>
        <v>-5.7214492869510326E-4</v>
      </c>
      <c r="AJ77" s="8">
        <f t="shared" si="29"/>
        <v>6.179267729752724E-3</v>
      </c>
      <c r="AK77" s="8">
        <f t="shared" si="30"/>
        <v>0.125</v>
      </c>
    </row>
    <row r="78" spans="28:37" x14ac:dyDescent="0.2">
      <c r="AB78" s="8">
        <v>4</v>
      </c>
      <c r="AC78" s="8">
        <f t="shared" si="31"/>
        <v>0</v>
      </c>
      <c r="AD78" s="8">
        <f t="shared" si="24"/>
        <v>1.0859779380092235E-2</v>
      </c>
      <c r="AE78" s="8">
        <f t="shared" si="32"/>
        <v>6.25E-2</v>
      </c>
      <c r="AF78" s="8">
        <f t="shared" si="25"/>
        <v>-5.2684765377825182E-2</v>
      </c>
      <c r="AG78" s="8">
        <f t="shared" si="27"/>
        <v>3.125E-2</v>
      </c>
      <c r="AH78" s="8">
        <f t="shared" si="26"/>
        <v>-2.0675647220804984E-2</v>
      </c>
      <c r="AI78" s="8">
        <f t="shared" si="28"/>
        <v>-2.245329673585593E-4</v>
      </c>
      <c r="AJ78" s="8">
        <f t="shared" si="29"/>
        <v>1.0892916228627939E-3</v>
      </c>
      <c r="AK78" s="8">
        <f t="shared" si="30"/>
        <v>6.25E-2</v>
      </c>
    </row>
    <row r="79" spans="28:37" x14ac:dyDescent="0.2">
      <c r="AB79" s="8">
        <v>5</v>
      </c>
      <c r="AC79" s="8">
        <f t="shared" si="31"/>
        <v>0</v>
      </c>
      <c r="AD79" s="8">
        <f t="shared" si="24"/>
        <v>1.0859779380092235E-2</v>
      </c>
      <c r="AE79" s="8">
        <f t="shared" si="32"/>
        <v>3.125E-2</v>
      </c>
      <c r="AF79" s="8">
        <f t="shared" si="25"/>
        <v>-2.0675647220804984E-2</v>
      </c>
      <c r="AG79" s="8">
        <f t="shared" si="27"/>
        <v>1.5625E-2</v>
      </c>
      <c r="AH79" s="8">
        <f t="shared" si="26"/>
        <v>-4.8382976860788726E-3</v>
      </c>
      <c r="AI79" s="8">
        <f t="shared" si="28"/>
        <v>-5.2542845446027314E-5</v>
      </c>
      <c r="AJ79" s="8">
        <f t="shared" si="29"/>
        <v>1.0003493610660382E-4</v>
      </c>
      <c r="AK79" s="8">
        <f t="shared" si="30"/>
        <v>3.125E-2</v>
      </c>
    </row>
    <row r="80" spans="28:37" x14ac:dyDescent="0.2">
      <c r="AB80" s="8">
        <v>6</v>
      </c>
      <c r="AC80" s="8">
        <f t="shared" si="31"/>
        <v>0</v>
      </c>
      <c r="AD80" s="8">
        <f t="shared" si="24"/>
        <v>1.0859779380092235E-2</v>
      </c>
      <c r="AE80" s="8">
        <f t="shared" si="32"/>
        <v>1.5625E-2</v>
      </c>
      <c r="AF80" s="8">
        <f t="shared" si="25"/>
        <v>-4.8382976860788726E-3</v>
      </c>
      <c r="AG80" s="8">
        <f t="shared" si="27"/>
        <v>7.8125E-3</v>
      </c>
      <c r="AH80" s="8">
        <f t="shared" si="26"/>
        <v>3.0288989582115712E-3</v>
      </c>
      <c r="AI80" s="8">
        <f t="shared" si="28"/>
        <v>3.2893174450768872E-5</v>
      </c>
      <c r="AJ80" s="8">
        <f t="shared" si="29"/>
        <v>-1.4654714820881752E-5</v>
      </c>
      <c r="AK80" s="8">
        <f t="shared" si="30"/>
        <v>1.5625E-2</v>
      </c>
    </row>
    <row r="81" spans="28:37" x14ac:dyDescent="0.2">
      <c r="AB81" s="8">
        <v>7</v>
      </c>
      <c r="AC81" s="8">
        <f t="shared" si="31"/>
        <v>7.8125E-3</v>
      </c>
      <c r="AD81" s="8">
        <f t="shared" si="24"/>
        <v>3.0288989582115712E-3</v>
      </c>
      <c r="AE81" s="8">
        <f t="shared" si="32"/>
        <v>1.5625E-2</v>
      </c>
      <c r="AF81" s="8">
        <f t="shared" si="25"/>
        <v>-4.8382976860788726E-3</v>
      </c>
      <c r="AG81" s="8">
        <f t="shared" si="27"/>
        <v>1.171875E-2</v>
      </c>
      <c r="AH81" s="8">
        <f t="shared" si="26"/>
        <v>-9.0022195118400622E-4</v>
      </c>
      <c r="AI81" s="8">
        <f t="shared" si="28"/>
        <v>-2.7266813301004246E-6</v>
      </c>
      <c r="AJ81" s="8">
        <f t="shared" si="29"/>
        <v>4.3555417833709849E-6</v>
      </c>
      <c r="AK81" s="8">
        <f t="shared" si="30"/>
        <v>7.8125E-3</v>
      </c>
    </row>
    <row r="82" spans="28:37" x14ac:dyDescent="0.2">
      <c r="AB82" s="8">
        <v>8</v>
      </c>
      <c r="AC82" s="8">
        <f t="shared" si="31"/>
        <v>7.8125E-3</v>
      </c>
      <c r="AD82" s="8">
        <f t="shared" si="24"/>
        <v>3.0288989582115712E-3</v>
      </c>
      <c r="AE82" s="8">
        <f t="shared" si="32"/>
        <v>1.171875E-2</v>
      </c>
      <c r="AF82" s="8">
        <f t="shared" si="25"/>
        <v>-9.0022195118400622E-4</v>
      </c>
      <c r="AG82" s="8">
        <f t="shared" si="27"/>
        <v>9.765625E-3</v>
      </c>
      <c r="AH82" s="8">
        <f t="shared" si="26"/>
        <v>1.065467714618018E-3</v>
      </c>
      <c r="AI82" s="8">
        <f t="shared" si="28"/>
        <v>3.2271940508145785E-6</v>
      </c>
      <c r="AJ82" s="8">
        <f t="shared" si="29"/>
        <v>-9.5915742497699617E-7</v>
      </c>
      <c r="AK82" s="8">
        <f t="shared" si="30"/>
        <v>3.90625E-3</v>
      </c>
    </row>
    <row r="83" spans="28:37" x14ac:dyDescent="0.2">
      <c r="AB83" s="8">
        <v>9</v>
      </c>
      <c r="AC83" s="8">
        <f t="shared" si="31"/>
        <v>9.765625E-3</v>
      </c>
      <c r="AD83" s="8">
        <f t="shared" si="24"/>
        <v>1.065467714618018E-3</v>
      </c>
      <c r="AE83" s="8">
        <f t="shared" si="32"/>
        <v>1.171875E-2</v>
      </c>
      <c r="AF83" s="8">
        <f t="shared" si="25"/>
        <v>-9.0022195118400622E-4</v>
      </c>
      <c r="AG83" s="8">
        <f t="shared" si="27"/>
        <v>1.07421875E-2</v>
      </c>
      <c r="AH83" s="8">
        <f t="shared" si="26"/>
        <v>8.2904080163787031E-5</v>
      </c>
      <c r="AI83" s="8">
        <f t="shared" si="28"/>
        <v>8.833162082461913E-8</v>
      </c>
      <c r="AJ83" s="8">
        <f t="shared" si="29"/>
        <v>-7.4632072806159623E-8</v>
      </c>
      <c r="AK83" s="8">
        <f t="shared" si="30"/>
        <v>1.953125E-3</v>
      </c>
    </row>
    <row r="84" spans="28:37" x14ac:dyDescent="0.2">
      <c r="AB84" s="8">
        <v>10</v>
      </c>
      <c r="AC84" s="8">
        <f t="shared" si="31"/>
        <v>1.07421875E-2</v>
      </c>
      <c r="AD84" s="8">
        <f t="shared" si="24"/>
        <v>8.2904080163787031E-5</v>
      </c>
      <c r="AE84" s="8">
        <f t="shared" si="32"/>
        <v>1.171875E-2</v>
      </c>
      <c r="AF84" s="8">
        <f t="shared" si="25"/>
        <v>-9.0022195118400622E-4</v>
      </c>
      <c r="AG84" s="8">
        <f t="shared" si="27"/>
        <v>1.123046875E-2</v>
      </c>
      <c r="AH84" s="8">
        <f t="shared" si="26"/>
        <v>-4.0858878525658511E-4</v>
      </c>
      <c r="AI84" s="8">
        <f t="shared" si="28"/>
        <v>-3.3873677406936296E-8</v>
      </c>
      <c r="AJ84" s="8">
        <f t="shared" si="29"/>
        <v>3.6782059349558596E-7</v>
      </c>
      <c r="AK84" s="8">
        <f t="shared" si="30"/>
        <v>9.765625E-4</v>
      </c>
    </row>
    <row r="85" spans="28:37" x14ac:dyDescent="0.2">
      <c r="AB85" s="8">
        <v>11</v>
      </c>
      <c r="AC85" s="8">
        <f t="shared" si="31"/>
        <v>1.07421875E-2</v>
      </c>
      <c r="AD85" s="8">
        <f t="shared" si="24"/>
        <v>8.2904080163787031E-5</v>
      </c>
      <c r="AE85" s="8">
        <f t="shared" si="32"/>
        <v>1.123046875E-2</v>
      </c>
      <c r="AF85" s="8">
        <f t="shared" si="25"/>
        <v>-4.0858878525658511E-4</v>
      </c>
      <c r="AG85" s="8">
        <f t="shared" si="27"/>
        <v>1.0986328125E-2</v>
      </c>
      <c r="AH85" s="8">
        <f t="shared" si="26"/>
        <v>-1.6282479581179385E-4</v>
      </c>
      <c r="AI85" s="8">
        <f t="shared" si="28"/>
        <v>-1.3498839924633211E-8</v>
      </c>
      <c r="AJ85" s="8">
        <f t="shared" si="29"/>
        <v>6.6528385530392357E-8</v>
      </c>
      <c r="AK85" s="8">
        <f t="shared" si="30"/>
        <v>4.8828125E-4</v>
      </c>
    </row>
    <row r="86" spans="28:37" x14ac:dyDescent="0.2">
      <c r="AB86" s="8">
        <v>12</v>
      </c>
      <c r="AC86" s="8">
        <f t="shared" si="31"/>
        <v>1.07421875E-2</v>
      </c>
      <c r="AD86" s="8">
        <f t="shared" si="24"/>
        <v>8.2904080163787031E-5</v>
      </c>
      <c r="AE86" s="8">
        <f t="shared" si="32"/>
        <v>1.0986328125E-2</v>
      </c>
      <c r="AF86" s="8">
        <f t="shared" si="25"/>
        <v>-1.6282479581179385E-4</v>
      </c>
      <c r="AG86" s="8">
        <f t="shared" si="27"/>
        <v>1.08642578125E-2</v>
      </c>
      <c r="AH86" s="8">
        <f t="shared" si="26"/>
        <v>-3.995596628770734E-5</v>
      </c>
      <c r="AI86" s="8">
        <f t="shared" si="28"/>
        <v>-3.3125126321376615E-9</v>
      </c>
      <c r="AJ86" s="8">
        <f t="shared" si="29"/>
        <v>6.5058220522588665E-9</v>
      </c>
      <c r="AK86" s="8">
        <f t="shared" si="30"/>
        <v>2.44140625E-4</v>
      </c>
    </row>
    <row r="87" spans="28:37" x14ac:dyDescent="0.2">
      <c r="AB87" s="8">
        <v>13</v>
      </c>
      <c r="AC87" s="8">
        <f t="shared" si="31"/>
        <v>1.07421875E-2</v>
      </c>
      <c r="AD87" s="8">
        <f t="shared" si="24"/>
        <v>8.2904080163787031E-5</v>
      </c>
      <c r="AE87" s="8">
        <f t="shared" si="32"/>
        <v>1.08642578125E-2</v>
      </c>
      <c r="AF87" s="8">
        <f t="shared" si="25"/>
        <v>-3.995596628770734E-5</v>
      </c>
      <c r="AG87" s="8">
        <f t="shared" si="27"/>
        <v>1.080322265625E-2</v>
      </c>
      <c r="AH87" s="8">
        <f t="shared" si="26"/>
        <v>2.1475155113451563E-5</v>
      </c>
      <c r="AI87" s="8">
        <f t="shared" si="28"/>
        <v>1.7803779810553494E-9</v>
      </c>
      <c r="AJ87" s="8">
        <f t="shared" si="29"/>
        <v>-8.5806057373635651E-10</v>
      </c>
      <c r="AK87" s="8">
        <f t="shared" si="30"/>
        <v>1.220703125E-4</v>
      </c>
    </row>
    <row r="88" spans="28:37" x14ac:dyDescent="0.2">
      <c r="AB88" s="8">
        <v>14</v>
      </c>
      <c r="AC88" s="8">
        <f t="shared" si="31"/>
        <v>1.080322265625E-2</v>
      </c>
      <c r="AD88" s="8">
        <f t="shared" si="24"/>
        <v>2.1475155113451563E-5</v>
      </c>
      <c r="AE88" s="8">
        <f t="shared" si="32"/>
        <v>1.08642578125E-2</v>
      </c>
      <c r="AF88" s="8">
        <f t="shared" si="25"/>
        <v>-3.995596628770734E-5</v>
      </c>
      <c r="AG88" s="8">
        <f t="shared" si="27"/>
        <v>1.0833740234375E-2</v>
      </c>
      <c r="AH88" s="8">
        <f t="shared" si="26"/>
        <v>-9.2401310795697106E-6</v>
      </c>
      <c r="AI88" s="8">
        <f t="shared" si="28"/>
        <v>-1.9843324820238418E-10</v>
      </c>
      <c r="AJ88" s="8">
        <f t="shared" si="29"/>
        <v>3.6919836590928416E-10</v>
      </c>
      <c r="AK88" s="8">
        <f t="shared" si="30"/>
        <v>6.103515625E-5</v>
      </c>
    </row>
    <row r="89" spans="28:37" x14ac:dyDescent="0.2">
      <c r="AB89" s="8">
        <v>15</v>
      </c>
      <c r="AC89" s="8">
        <f t="shared" si="31"/>
        <v>1.080322265625E-2</v>
      </c>
      <c r="AD89" s="8">
        <f t="shared" si="24"/>
        <v>2.1475155113451563E-5</v>
      </c>
      <c r="AE89" s="8">
        <f t="shared" si="32"/>
        <v>1.0833740234375E-2</v>
      </c>
      <c r="AF89" s="8">
        <f t="shared" si="25"/>
        <v>-9.2401310795697106E-6</v>
      </c>
      <c r="AG89" s="8">
        <f t="shared" si="27"/>
        <v>1.08184814453125E-2</v>
      </c>
      <c r="AH89" s="8">
        <f t="shared" si="26"/>
        <v>6.1175806483747958E-6</v>
      </c>
      <c r="AI89" s="8">
        <f t="shared" si="28"/>
        <v>1.3137599334289834E-10</v>
      </c>
      <c r="AJ89" s="8">
        <f t="shared" si="29"/>
        <v>-5.6527247080822174E-11</v>
      </c>
      <c r="AK89" s="8">
        <f t="shared" si="30"/>
        <v>3.0517578125E-5</v>
      </c>
    </row>
    <row r="90" spans="28:37" x14ac:dyDescent="0.2">
      <c r="AB90" s="8">
        <v>16</v>
      </c>
      <c r="AC90" s="8">
        <f t="shared" si="31"/>
        <v>1.08184814453125E-2</v>
      </c>
      <c r="AD90" s="8">
        <f t="shared" si="24"/>
        <v>6.1175806483747958E-6</v>
      </c>
      <c r="AE90" s="8">
        <f t="shared" si="32"/>
        <v>1.0833740234375E-2</v>
      </c>
      <c r="AF90" s="8">
        <f t="shared" si="25"/>
        <v>-9.2401310795697106E-6</v>
      </c>
      <c r="AG90" s="8">
        <f t="shared" si="27"/>
        <v>1.082611083984375E-2</v>
      </c>
      <c r="AH90" s="8">
        <f t="shared" si="26"/>
        <v>-1.5612580583062446E-6</v>
      </c>
      <c r="AI90" s="8">
        <f t="shared" si="28"/>
        <v>-9.5511220846134908E-12</v>
      </c>
      <c r="AJ90" s="8">
        <f t="shared" si="29"/>
        <v>1.4426229107784191E-11</v>
      </c>
      <c r="AK90" s="8">
        <f t="shared" si="30"/>
        <v>1.52587890625E-5</v>
      </c>
    </row>
    <row r="91" spans="28:37" x14ac:dyDescent="0.2">
      <c r="AB91" s="8">
        <v>17</v>
      </c>
      <c r="AC91" s="8">
        <f t="shared" si="31"/>
        <v>1.08184814453125E-2</v>
      </c>
      <c r="AD91" s="8">
        <f t="shared" si="24"/>
        <v>6.1175806483747958E-6</v>
      </c>
      <c r="AE91" s="8">
        <f t="shared" si="32"/>
        <v>1.082611083984375E-2</v>
      </c>
      <c r="AF91" s="8">
        <f t="shared" si="25"/>
        <v>-1.5612580583062446E-6</v>
      </c>
      <c r="AG91" s="8">
        <f t="shared" si="27"/>
        <v>1.0822296142578125E-2</v>
      </c>
      <c r="AH91" s="8">
        <f t="shared" si="26"/>
        <v>2.2781655844277687E-6</v>
      </c>
      <c r="AI91" s="8">
        <f t="shared" si="28"/>
        <v>1.3936861693088775E-11</v>
      </c>
      <c r="AJ91" s="8">
        <f t="shared" si="29"/>
        <v>-3.5568043768438091E-12</v>
      </c>
      <c r="AK91" s="8">
        <f t="shared" si="30"/>
        <v>7.62939453125E-6</v>
      </c>
    </row>
    <row r="92" spans="28:37" x14ac:dyDescent="0.2">
      <c r="AB92" s="8">
        <v>18</v>
      </c>
      <c r="AC92" s="8">
        <f t="shared" si="31"/>
        <v>1.0822296142578125E-2</v>
      </c>
      <c r="AD92" s="8">
        <f t="shared" si="24"/>
        <v>2.2781655844277687E-6</v>
      </c>
      <c r="AE92" s="8">
        <f t="shared" si="32"/>
        <v>1.082611083984375E-2</v>
      </c>
      <c r="AF92" s="8">
        <f t="shared" si="25"/>
        <v>-1.5612580583062446E-6</v>
      </c>
      <c r="AG92" s="8">
        <f t="shared" si="27"/>
        <v>1.0824203491210938E-2</v>
      </c>
      <c r="AH92" s="8">
        <f t="shared" si="26"/>
        <v>3.5845483539916068E-7</v>
      </c>
      <c r="AI92" s="8">
        <f t="shared" si="28"/>
        <v>8.1661946957808848E-13</v>
      </c>
      <c r="AJ92" s="8">
        <f t="shared" si="29"/>
        <v>-5.5964050030577815E-13</v>
      </c>
      <c r="AK92" s="8">
        <f t="shared" si="30"/>
        <v>3.814697265625E-6</v>
      </c>
    </row>
    <row r="93" spans="28:37" x14ac:dyDescent="0.2">
      <c r="AB93" s="8">
        <v>19</v>
      </c>
      <c r="AC93" s="8">
        <f t="shared" si="31"/>
        <v>1.0824203491210938E-2</v>
      </c>
      <c r="AD93" s="8">
        <f t="shared" si="24"/>
        <v>3.5845483539916068E-7</v>
      </c>
      <c r="AE93" s="8">
        <f t="shared" si="32"/>
        <v>1.082611083984375E-2</v>
      </c>
      <c r="AF93" s="8">
        <f t="shared" si="25"/>
        <v>-1.5612580583062446E-6</v>
      </c>
      <c r="AG93" s="8">
        <f t="shared" si="27"/>
        <v>1.0825157165527344E-2</v>
      </c>
      <c r="AH93" s="8">
        <f t="shared" si="26"/>
        <v>-6.0140134336937601E-7</v>
      </c>
      <c r="AI93" s="8">
        <f t="shared" si="28"/>
        <v>-2.1557521954630378E-13</v>
      </c>
      <c r="AJ93" s="8">
        <f t="shared" si="29"/>
        <v>9.3894269361163907E-13</v>
      </c>
      <c r="AK93" s="8">
        <f t="shared" si="30"/>
        <v>1.9073486328125E-6</v>
      </c>
    </row>
    <row r="94" spans="28:37" x14ac:dyDescent="0.2">
      <c r="AB94" s="8">
        <v>20</v>
      </c>
      <c r="AC94" s="8">
        <f t="shared" si="31"/>
        <v>1.0824203491210938E-2</v>
      </c>
      <c r="AD94" s="8">
        <f t="shared" si="24"/>
        <v>3.5845483539916068E-7</v>
      </c>
      <c r="AE94" s="8">
        <f t="shared" si="32"/>
        <v>1.0825157165527344E-2</v>
      </c>
      <c r="AF94" s="8">
        <f t="shared" si="25"/>
        <v>-6.0140134336937601E-7</v>
      </c>
      <c r="AG94" s="8">
        <f t="shared" si="27"/>
        <v>1.0824680328369141E-2</v>
      </c>
      <c r="AH94" s="8">
        <f t="shared" si="26"/>
        <v>-1.2147318696406617E-7</v>
      </c>
      <c r="AI94" s="8">
        <f t="shared" si="28"/>
        <v>-4.3542651238615807E-14</v>
      </c>
      <c r="AJ94" s="8">
        <f t="shared" si="29"/>
        <v>7.3054137823548768E-14</v>
      </c>
      <c r="AK94" s="8">
        <f t="shared" si="30"/>
        <v>9.5367431640625E-7</v>
      </c>
    </row>
    <row r="95" spans="28:37" x14ac:dyDescent="0.2">
      <c r="AB95" s="8">
        <v>21</v>
      </c>
      <c r="AC95" s="8">
        <f t="shared" si="31"/>
        <v>1.0824203491210938E-2</v>
      </c>
      <c r="AD95" s="8">
        <f t="shared" si="24"/>
        <v>3.5845483539916068E-7</v>
      </c>
      <c r="AE95" s="8">
        <f t="shared" si="32"/>
        <v>1.0824680328369141E-2</v>
      </c>
      <c r="AF95" s="8">
        <f t="shared" si="25"/>
        <v>-1.2147318696406617E-7</v>
      </c>
      <c r="AG95" s="8">
        <f t="shared" si="27"/>
        <v>1.0824441909790039E-2</v>
      </c>
      <c r="AH95" s="8">
        <f t="shared" si="26"/>
        <v>1.1849084097584339E-7</v>
      </c>
      <c r="AI95" s="8">
        <f t="shared" si="28"/>
        <v>4.2473614898304066E-14</v>
      </c>
      <c r="AJ95" s="8">
        <f t="shared" si="29"/>
        <v>-1.4393460079388056E-14</v>
      </c>
      <c r="AK95" s="8">
        <f t="shared" si="30"/>
        <v>4.76837158203125E-7</v>
      </c>
    </row>
    <row r="96" spans="28:37" x14ac:dyDescent="0.2">
      <c r="AB96" s="8">
        <v>22</v>
      </c>
      <c r="AC96" s="8">
        <f t="shared" si="31"/>
        <v>1.0824441909790039E-2</v>
      </c>
      <c r="AD96" s="8">
        <f t="shared" si="24"/>
        <v>1.1849084097584339E-7</v>
      </c>
      <c r="AE96" s="8">
        <f t="shared" si="32"/>
        <v>1.0824680328369141E-2</v>
      </c>
      <c r="AF96" s="8">
        <f t="shared" si="25"/>
        <v>-1.2147318696406617E-7</v>
      </c>
      <c r="AG96" s="8">
        <f t="shared" si="27"/>
        <v>1.082456111907959E-2</v>
      </c>
      <c r="AH96" s="8">
        <f t="shared" si="26"/>
        <v>-1.4911688047541949E-9</v>
      </c>
      <c r="AI96" s="8">
        <f t="shared" si="28"/>
        <v>-1.7668984571226778E-16</v>
      </c>
      <c r="AJ96" s="8">
        <f t="shared" si="29"/>
        <v>1.8113702701488941E-16</v>
      </c>
      <c r="AK96" s="8">
        <f t="shared" si="30"/>
        <v>2.384185791015625E-7</v>
      </c>
    </row>
    <row r="97" spans="28:37" x14ac:dyDescent="0.2">
      <c r="AB97" s="8">
        <v>23</v>
      </c>
      <c r="AC97" s="8">
        <f t="shared" si="31"/>
        <v>1.0824441909790039E-2</v>
      </c>
      <c r="AD97" s="8">
        <f t="shared" si="24"/>
        <v>1.1849084097584339E-7</v>
      </c>
      <c r="AE97" s="8">
        <f t="shared" si="32"/>
        <v>1.082456111907959E-2</v>
      </c>
      <c r="AF97" s="8">
        <f t="shared" si="25"/>
        <v>-1.4911688047541949E-9</v>
      </c>
      <c r="AG97" s="8">
        <f t="shared" si="27"/>
        <v>1.0824501514434814E-2</v>
      </c>
      <c r="AH97" s="8">
        <f t="shared" si="26"/>
        <v>5.8499837132450216E-8</v>
      </c>
      <c r="AI97" s="8">
        <f t="shared" si="28"/>
        <v>6.9316948987738967E-15</v>
      </c>
      <c r="AJ97" s="8">
        <f t="shared" si="29"/>
        <v>-8.7233132215110852E-17</v>
      </c>
      <c r="AK97" s="8">
        <f t="shared" si="30"/>
        <v>1.1920928955078125E-7</v>
      </c>
    </row>
    <row r="98" spans="28:37" x14ac:dyDescent="0.2">
      <c r="AB98" s="8">
        <v>24</v>
      </c>
      <c r="AC98" s="8">
        <f t="shared" si="31"/>
        <v>1.0824501514434814E-2</v>
      </c>
      <c r="AD98" s="8">
        <f t="shared" si="24"/>
        <v>5.8499837132450216E-8</v>
      </c>
      <c r="AE98" s="8">
        <f t="shared" si="32"/>
        <v>1.082456111907959E-2</v>
      </c>
      <c r="AF98" s="8">
        <f t="shared" si="25"/>
        <v>-1.4911688047541949E-9</v>
      </c>
      <c r="AG98" s="8">
        <f t="shared" si="27"/>
        <v>1.0824531316757202E-2</v>
      </c>
      <c r="AH98" s="8">
        <f t="shared" si="26"/>
        <v>2.8504334424056532E-8</v>
      </c>
      <c r="AI98" s="8">
        <f t="shared" si="28"/>
        <v>1.6674989213762014E-15</v>
      </c>
      <c r="AJ98" s="8">
        <f t="shared" si="29"/>
        <v>-4.2504774293434233E-17</v>
      </c>
      <c r="AK98" s="8">
        <f t="shared" si="30"/>
        <v>5.9604644775390625E-8</v>
      </c>
    </row>
    <row r="99" spans="28:37" x14ac:dyDescent="0.2">
      <c r="AB99" s="8">
        <v>25</v>
      </c>
      <c r="AC99" s="8">
        <f t="shared" si="31"/>
        <v>1.0824531316757202E-2</v>
      </c>
      <c r="AD99" s="8">
        <f t="shared" si="24"/>
        <v>2.8504334424056532E-8</v>
      </c>
      <c r="AE99" s="8">
        <f t="shared" si="32"/>
        <v>1.082456111907959E-2</v>
      </c>
      <c r="AF99" s="8">
        <f t="shared" si="25"/>
        <v>-1.4911688047541949E-9</v>
      </c>
      <c r="AG99" s="8">
        <f t="shared" si="27"/>
        <v>1.0824546217918396E-2</v>
      </c>
      <c r="AH99" s="8">
        <f t="shared" si="26"/>
        <v>1.3506582874703299E-8</v>
      </c>
      <c r="AI99" s="8">
        <f t="shared" si="28"/>
        <v>3.8499615518677766E-16</v>
      </c>
      <c r="AJ99" s="8">
        <f t="shared" si="29"/>
        <v>-2.0140595041584796E-17</v>
      </c>
      <c r="AK99" s="8">
        <f t="shared" si="30"/>
        <v>2.9802322387695312E-8</v>
      </c>
    </row>
    <row r="100" spans="28:37" x14ac:dyDescent="0.2">
      <c r="AB100" s="8">
        <v>26</v>
      </c>
      <c r="AC100" s="8">
        <f t="shared" si="31"/>
        <v>1.0824546217918396E-2</v>
      </c>
      <c r="AD100" s="8">
        <f t="shared" si="24"/>
        <v>1.3506582874703299E-8</v>
      </c>
      <c r="AE100" s="8">
        <f t="shared" si="32"/>
        <v>1.082456111907959E-2</v>
      </c>
      <c r="AF100" s="8">
        <f t="shared" si="25"/>
        <v>-1.4911688047541949E-9</v>
      </c>
      <c r="AG100" s="8">
        <f t="shared" si="27"/>
        <v>1.0824553668498993E-2</v>
      </c>
      <c r="AH100" s="8">
        <f t="shared" si="26"/>
        <v>6.0077070505870633E-9</v>
      </c>
      <c r="AI100" s="8">
        <f t="shared" si="28"/>
        <v>8.1143593165693493E-17</v>
      </c>
      <c r="AJ100" s="8">
        <f t="shared" si="29"/>
        <v>-8.958505341937261E-18</v>
      </c>
      <c r="AK100" s="8">
        <f t="shared" si="30"/>
        <v>1.4901161193847656E-8</v>
      </c>
    </row>
    <row r="101" spans="28:37" x14ac:dyDescent="0.2">
      <c r="AB101" s="8">
        <v>27</v>
      </c>
      <c r="AC101" s="8">
        <f t="shared" si="31"/>
        <v>1.0824553668498993E-2</v>
      </c>
      <c r="AD101" s="8">
        <f t="shared" si="24"/>
        <v>6.0077070505870633E-9</v>
      </c>
      <c r="AE101" s="8">
        <f t="shared" si="32"/>
        <v>1.082456111907959E-2</v>
      </c>
      <c r="AF101" s="8">
        <f t="shared" si="25"/>
        <v>-1.4911688047541949E-9</v>
      </c>
      <c r="AG101" s="8">
        <f t="shared" si="27"/>
        <v>1.0824557393789291E-2</v>
      </c>
      <c r="AH101" s="8">
        <f t="shared" si="26"/>
        <v>2.2582691272532429E-9</v>
      </c>
      <c r="AI101" s="8">
        <f t="shared" si="28"/>
        <v>1.3567019357922402E-17</v>
      </c>
      <c r="AJ101" s="8">
        <f t="shared" si="29"/>
        <v>-3.3674604752995171E-18</v>
      </c>
      <c r="AK101" s="8">
        <f t="shared" si="30"/>
        <v>7.4505805969238281E-9</v>
      </c>
    </row>
    <row r="102" spans="28:37" x14ac:dyDescent="0.2">
      <c r="AB102" s="8">
        <v>28</v>
      </c>
      <c r="AC102" s="8">
        <f t="shared" si="31"/>
        <v>1.0824557393789291E-2</v>
      </c>
      <c r="AD102" s="8">
        <f t="shared" si="24"/>
        <v>2.2582691272532429E-9</v>
      </c>
      <c r="AE102" s="8">
        <f t="shared" si="32"/>
        <v>1.082456111907959E-2</v>
      </c>
      <c r="AF102" s="8">
        <f t="shared" si="25"/>
        <v>-1.4911688047541949E-9</v>
      </c>
      <c r="AG102" s="8">
        <f t="shared" si="27"/>
        <v>1.0824559256434441E-2</v>
      </c>
      <c r="AH102" s="8">
        <f t="shared" si="26"/>
        <v>3.8355016038216228E-10</v>
      </c>
      <c r="AI102" s="8">
        <f t="shared" si="28"/>
        <v>8.6615948594406695E-19</v>
      </c>
      <c r="AJ102" s="8">
        <f t="shared" si="29"/>
        <v>-5.7193803422034864E-19</v>
      </c>
      <c r="AK102" s="8">
        <f t="shared" si="30"/>
        <v>3.7252902984619141E-9</v>
      </c>
    </row>
    <row r="103" spans="28:37" x14ac:dyDescent="0.2">
      <c r="AB103" s="8">
        <v>29</v>
      </c>
      <c r="AC103" s="8">
        <f t="shared" si="31"/>
        <v>1.0824559256434441E-2</v>
      </c>
      <c r="AD103" s="8">
        <f t="shared" si="24"/>
        <v>3.8355016038216228E-10</v>
      </c>
      <c r="AE103" s="8">
        <f t="shared" si="32"/>
        <v>1.082456111907959E-2</v>
      </c>
      <c r="AF103" s="8">
        <f t="shared" si="25"/>
        <v>-1.4911688047541949E-9</v>
      </c>
      <c r="AG103" s="8">
        <f t="shared" si="27"/>
        <v>1.0824560187757015E-2</v>
      </c>
      <c r="AH103" s="8">
        <f t="shared" si="26"/>
        <v>-5.5380932131865457E-10</v>
      </c>
      <c r="AI103" s="8">
        <f t="shared" si="28"/>
        <v>-2.1241365401290641E-19</v>
      </c>
      <c r="AJ103" s="8">
        <f t="shared" si="29"/>
        <v>8.2582318373246995E-19</v>
      </c>
      <c r="AK103" s="8">
        <f t="shared" si="30"/>
        <v>1.862645149230957E-9</v>
      </c>
    </row>
    <row r="104" spans="28:37" x14ac:dyDescent="0.2">
      <c r="AB104" s="8">
        <v>30</v>
      </c>
      <c r="AC104" s="8">
        <f t="shared" si="31"/>
        <v>1.0824559256434441E-2</v>
      </c>
      <c r="AD104" s="8">
        <f t="shared" si="24"/>
        <v>3.8355016038216228E-10</v>
      </c>
      <c r="AE104" s="8">
        <f t="shared" si="32"/>
        <v>1.0824560187757015E-2</v>
      </c>
      <c r="AF104" s="8">
        <f t="shared" si="25"/>
        <v>-5.5380932131865457E-10</v>
      </c>
      <c r="AG104" s="8">
        <f t="shared" si="27"/>
        <v>1.0824559722095728E-2</v>
      </c>
      <c r="AH104" s="8">
        <f t="shared" si="26"/>
        <v>-8.5129580468246147E-11</v>
      </c>
      <c r="AI104" s="8">
        <f t="shared" si="28"/>
        <v>-3.2651464241861999E-20</v>
      </c>
      <c r="AJ104" s="8">
        <f t="shared" si="29"/>
        <v>4.714555518326119E-20</v>
      </c>
      <c r="AK104" s="8">
        <f t="shared" si="30"/>
        <v>9.3132257461547852E-10</v>
      </c>
    </row>
  </sheetData>
  <mergeCells count="29">
    <mergeCell ref="N3:P3"/>
    <mergeCell ref="V16:X16"/>
    <mergeCell ref="B20:D20"/>
    <mergeCell ref="V3:X3"/>
    <mergeCell ref="J7:L7"/>
    <mergeCell ref="B9:D9"/>
    <mergeCell ref="F10:H10"/>
    <mergeCell ref="N11:P11"/>
    <mergeCell ref="R11:T11"/>
    <mergeCell ref="V11:X11"/>
    <mergeCell ref="R3:T3"/>
    <mergeCell ref="J11:L11"/>
    <mergeCell ref="B14:D14"/>
    <mergeCell ref="N16:P16"/>
    <mergeCell ref="R16:T16"/>
    <mergeCell ref="B41:D41"/>
    <mergeCell ref="B1:D1"/>
    <mergeCell ref="B3:D3"/>
    <mergeCell ref="F3:H3"/>
    <mergeCell ref="J3:L3"/>
    <mergeCell ref="F37:H37"/>
    <mergeCell ref="B32:D32"/>
    <mergeCell ref="B36:D36"/>
    <mergeCell ref="F21:H21"/>
    <mergeCell ref="B24:D24"/>
    <mergeCell ref="F26:H26"/>
    <mergeCell ref="B29:D29"/>
    <mergeCell ref="J37:L37"/>
    <mergeCell ref="J29:L29"/>
  </mergeCells>
  <conditionalFormatting sqref="K27">
    <cfRule type="containsText" dxfId="11" priority="1" operator="containsText" text="FALSE">
      <formula>NOT(ISERROR(SEARCH("FALSE",K27)))</formula>
    </cfRule>
    <cfRule type="containsText" dxfId="10" priority="2" operator="containsText" text="TRUE">
      <formula>NOT(ISERROR(SEARCH("TRUE",K27)))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02F2-2FDE-5A44-A0C0-5755377D5D47}">
  <dimension ref="B1:AV105"/>
  <sheetViews>
    <sheetView tabSelected="1" zoomScale="92" workbookViewId="0">
      <selection activeCell="B38" sqref="B38:D38"/>
    </sheetView>
  </sheetViews>
  <sheetFormatPr baseColWidth="10" defaultRowHeight="16" x14ac:dyDescent="0.2"/>
  <cols>
    <col min="1" max="1" width="4.1640625" customWidth="1"/>
    <col min="2" max="2" width="20.5" customWidth="1"/>
    <col min="3" max="3" width="11" bestFit="1" customWidth="1"/>
    <col min="4" max="4" width="7.1640625" customWidth="1"/>
    <col min="5" max="5" width="5.6640625" customWidth="1"/>
    <col min="6" max="6" width="20.33203125" customWidth="1"/>
    <col min="7" max="7" width="13.1640625" customWidth="1"/>
    <col min="8" max="8" width="4.1640625" customWidth="1"/>
    <col min="9" max="9" width="6" customWidth="1"/>
    <col min="10" max="10" width="18.1640625" customWidth="1"/>
    <col min="11" max="11" width="14.33203125" customWidth="1"/>
    <col min="12" max="12" width="5" customWidth="1"/>
    <col min="13" max="13" width="6" customWidth="1"/>
    <col min="14" max="14" width="13.6640625" customWidth="1"/>
    <col min="15" max="15" width="11" customWidth="1"/>
    <col min="16" max="16" width="6.6640625" customWidth="1"/>
    <col min="17" max="17" width="6" customWidth="1"/>
    <col min="18" max="18" width="13.83203125" customWidth="1"/>
    <col min="19" max="19" width="11" bestFit="1" customWidth="1"/>
    <col min="20" max="20" width="6.33203125" customWidth="1"/>
    <col min="21" max="21" width="6.1640625" customWidth="1"/>
    <col min="22" max="22" width="14.1640625" customWidth="1"/>
    <col min="23" max="23" width="11.5" customWidth="1"/>
    <col min="24" max="24" width="6.33203125" customWidth="1"/>
    <col min="25" max="25" width="4" customWidth="1"/>
    <col min="26" max="27" width="3.83203125" customWidth="1"/>
    <col min="28" max="28" width="5.5" customWidth="1"/>
    <col min="29" max="30" width="6.1640625" customWidth="1"/>
    <col min="31" max="31" width="6.6640625" customWidth="1"/>
    <col min="32" max="32" width="7" customWidth="1"/>
    <col min="33" max="33" width="14.6640625" customWidth="1"/>
    <col min="34" max="34" width="7.83203125" customWidth="1"/>
    <col min="35" max="35" width="10" customWidth="1"/>
    <col min="36" max="36" width="9.5" customWidth="1"/>
    <col min="37" max="37" width="13.6640625" customWidth="1"/>
    <col min="39" max="39" width="5.1640625" customWidth="1"/>
    <col min="40" max="40" width="11" bestFit="1" customWidth="1"/>
    <col min="41" max="41" width="13.1640625" bestFit="1" customWidth="1"/>
    <col min="42" max="42" width="11" bestFit="1" customWidth="1"/>
    <col min="43" max="43" width="13.1640625" bestFit="1" customWidth="1"/>
    <col min="44" max="44" width="18.33203125" customWidth="1"/>
    <col min="45" max="48" width="11" bestFit="1" customWidth="1"/>
  </cols>
  <sheetData>
    <row r="1" spans="2:48" x14ac:dyDescent="0.2">
      <c r="B1" s="43" t="s">
        <v>0</v>
      </c>
      <c r="C1" s="43"/>
      <c r="D1" s="43"/>
    </row>
    <row r="2" spans="2:48" x14ac:dyDescent="0.2">
      <c r="AB2" s="6" t="s">
        <v>140</v>
      </c>
      <c r="AM2" s="6" t="s">
        <v>92</v>
      </c>
    </row>
    <row r="3" spans="2:48" x14ac:dyDescent="0.2">
      <c r="B3" s="46" t="s">
        <v>97</v>
      </c>
      <c r="C3" s="47"/>
      <c r="D3" s="47"/>
      <c r="F3" s="48" t="s">
        <v>109</v>
      </c>
      <c r="G3" s="49"/>
      <c r="H3" s="49"/>
      <c r="J3" s="46" t="s">
        <v>156</v>
      </c>
      <c r="K3" s="46"/>
      <c r="L3" s="46"/>
      <c r="N3" s="42" t="s">
        <v>135</v>
      </c>
      <c r="O3" s="42"/>
      <c r="P3" s="42"/>
      <c r="R3" s="42" t="s">
        <v>133</v>
      </c>
      <c r="S3" s="42"/>
      <c r="T3" s="42"/>
      <c r="V3" s="42" t="s">
        <v>147</v>
      </c>
      <c r="W3" s="42"/>
      <c r="X3" s="42"/>
      <c r="AB3" s="7" t="s">
        <v>62</v>
      </c>
      <c r="AC3" s="7" t="s">
        <v>63</v>
      </c>
      <c r="AD3" s="7" t="s">
        <v>64</v>
      </c>
      <c r="AE3" s="7" t="s">
        <v>65</v>
      </c>
      <c r="AF3" s="7" t="s">
        <v>66</v>
      </c>
      <c r="AG3" s="7" t="s">
        <v>67</v>
      </c>
      <c r="AH3" s="7" t="s">
        <v>68</v>
      </c>
      <c r="AI3" s="7" t="s">
        <v>69</v>
      </c>
      <c r="AJ3" s="7" t="s">
        <v>70</v>
      </c>
      <c r="AK3" s="7" t="s">
        <v>71</v>
      </c>
      <c r="AM3" s="7" t="s">
        <v>62</v>
      </c>
      <c r="AN3" s="7" t="s">
        <v>63</v>
      </c>
      <c r="AO3" s="7" t="s">
        <v>64</v>
      </c>
      <c r="AP3" s="7" t="s">
        <v>65</v>
      </c>
      <c r="AQ3" s="7" t="s">
        <v>66</v>
      </c>
      <c r="AR3" s="7" t="s">
        <v>67</v>
      </c>
      <c r="AS3" s="7" t="s">
        <v>68</v>
      </c>
      <c r="AT3" s="7" t="s">
        <v>69</v>
      </c>
      <c r="AU3" s="7" t="s">
        <v>70</v>
      </c>
      <c r="AV3" s="7" t="s">
        <v>71</v>
      </c>
    </row>
    <row r="4" spans="2:48" x14ac:dyDescent="0.2">
      <c r="B4" t="s">
        <v>53</v>
      </c>
      <c r="C4" s="1" t="s">
        <v>1</v>
      </c>
      <c r="F4" t="s">
        <v>115</v>
      </c>
      <c r="G4" s="1">
        <v>2.54</v>
      </c>
      <c r="H4" t="s">
        <v>16</v>
      </c>
      <c r="J4" t="s">
        <v>157</v>
      </c>
      <c r="K4">
        <f>MAX(G6,G40)</f>
        <v>239.91696339350176</v>
      </c>
      <c r="L4" t="s">
        <v>161</v>
      </c>
      <c r="N4" t="s">
        <v>36</v>
      </c>
      <c r="O4">
        <f>$C$17*$C$31*COS(G16/180*PI())</f>
        <v>10248.08297229762</v>
      </c>
      <c r="P4" t="s">
        <v>31</v>
      </c>
      <c r="R4" t="s">
        <v>36</v>
      </c>
      <c r="S4">
        <f xml:space="preserve"> $C$17 * $C$31</f>
        <v>10261.331927327676</v>
      </c>
      <c r="T4" t="s">
        <v>31</v>
      </c>
      <c r="V4" t="s">
        <v>36</v>
      </c>
      <c r="W4">
        <f>$C$17*$C$31*COS(G32/180*PI())</f>
        <v>10256.564275094417</v>
      </c>
      <c r="X4" t="s">
        <v>31</v>
      </c>
      <c r="AB4" s="8">
        <v>0</v>
      </c>
      <c r="AC4" s="9">
        <v>0</v>
      </c>
      <c r="AD4" s="8">
        <f t="shared" ref="AD4:AD34" si="0" xml:space="preserve"> $S$20 * TAN($S$16/180*PI()) + $S$21 / (2 * SQRT($S$20^2 + AC4^2)) - AC4</f>
        <v>0.56924106808157515</v>
      </c>
      <c r="AE4" s="9">
        <v>1</v>
      </c>
      <c r="AF4" s="8">
        <f t="shared" ref="AF4:AF34" si="1" xml:space="preserve"> $S$20 * TAN($S$16/180*PI()) + $S$21 / (2 * SQRT($S$20^2 + AE4^2)) - AE4</f>
        <v>-0.58211275678519814</v>
      </c>
      <c r="AG4" s="8">
        <f xml:space="preserve"> (AC4 + AE4)/2</f>
        <v>0.5</v>
      </c>
      <c r="AH4" s="8">
        <f t="shared" ref="AH4:AH34" si="2" xml:space="preserve"> $S$20 * TAN($S$16/180*PI()) + $S$21 / (2 * SQRT($S$20^2 + AG4^2)) - AG4</f>
        <v>-7.6475710110085693E-2</v>
      </c>
      <c r="AI4" s="8">
        <f>AD4*AH4</f>
        <v>-4.3533114905362096E-2</v>
      </c>
      <c r="AJ4" s="8">
        <f>AF4*AH4</f>
        <v>4.4517486439287629E-2</v>
      </c>
      <c r="AK4" s="8">
        <f>AE4-AC4</f>
        <v>1</v>
      </c>
      <c r="AM4" s="8">
        <v>0</v>
      </c>
      <c r="AN4" s="8"/>
      <c r="AO4" s="8">
        <f>K31</f>
        <v>-5.4581050790147856E-10</v>
      </c>
      <c r="AP4" s="8"/>
      <c r="AQ4" s="8">
        <f>K31</f>
        <v>-5.4581050790147856E-10</v>
      </c>
      <c r="AR4" s="8"/>
      <c r="AS4" s="8">
        <f>K31</f>
        <v>-5.4581050790147856E-10</v>
      </c>
      <c r="AT4" s="8"/>
      <c r="AU4" s="8"/>
      <c r="AV4" s="8"/>
    </row>
    <row r="5" spans="2:48" x14ac:dyDescent="0.2">
      <c r="B5" t="s">
        <v>143</v>
      </c>
      <c r="C5" s="1">
        <v>12</v>
      </c>
      <c r="F5" t="s">
        <v>118</v>
      </c>
      <c r="G5" s="1">
        <v>152.4</v>
      </c>
      <c r="H5" t="s">
        <v>14</v>
      </c>
      <c r="J5" t="s">
        <v>158</v>
      </c>
      <c r="K5">
        <f>K4/$C$5</f>
        <v>19.993080282791812</v>
      </c>
      <c r="L5" t="s">
        <v>161</v>
      </c>
      <c r="N5" t="s">
        <v>37</v>
      </c>
      <c r="O5">
        <f>0.5*$C$30*$G$11^2</f>
        <v>1531.25</v>
      </c>
      <c r="P5" t="s">
        <v>38</v>
      </c>
      <c r="R5" t="s">
        <v>37</v>
      </c>
      <c r="S5">
        <f xml:space="preserve"> 0.5 * $C$30 * $C$20^2</f>
        <v>1531.25</v>
      </c>
      <c r="T5" t="s">
        <v>38</v>
      </c>
      <c r="V5" t="s">
        <v>37</v>
      </c>
      <c r="W5">
        <f>0.5*$C$30*$G$27^2</f>
        <v>1531.25</v>
      </c>
      <c r="X5" t="s">
        <v>38</v>
      </c>
      <c r="AB5" s="8">
        <v>1</v>
      </c>
      <c r="AC5" s="8">
        <f>IF(AI4&gt;0, AG4, AC4)</f>
        <v>0</v>
      </c>
      <c r="AD5" s="8">
        <f t="shared" si="0"/>
        <v>0.56924106808157515</v>
      </c>
      <c r="AE5" s="8">
        <f>IF(AJ4&gt;0, AG4, AE4)</f>
        <v>0.5</v>
      </c>
      <c r="AF5" s="8">
        <f t="shared" si="1"/>
        <v>-7.6475710110085693E-2</v>
      </c>
      <c r="AG5" s="8">
        <f t="shared" ref="AG5:AG34" si="3" xml:space="preserve"> (AC5 + AE5)/2</f>
        <v>0.25</v>
      </c>
      <c r="AH5" s="8">
        <f t="shared" si="2"/>
        <v>0.18464698719800188</v>
      </c>
      <c r="AI5" s="8">
        <f t="shared" ref="AI5:AI34" si="4">AD5*AH5</f>
        <v>0.10510864821063552</v>
      </c>
      <c r="AJ5" s="8">
        <f t="shared" ref="AJ5:AJ34" si="5">AF5*AH5</f>
        <v>-1.4121009465655096E-2</v>
      </c>
      <c r="AK5" s="8">
        <f t="shared" ref="AK5:AK34" si="6">AE5-AC5</f>
        <v>0.5</v>
      </c>
      <c r="AM5" s="8">
        <v>1</v>
      </c>
      <c r="AN5" s="9">
        <v>500</v>
      </c>
      <c r="AO5" s="8">
        <f t="dataTable" ref="AO5:AO44" dt2D="0" dtr="0" r1="C17"/>
        <v>-203.44389184504928</v>
      </c>
      <c r="AP5" s="9">
        <v>2500</v>
      </c>
      <c r="AQ5" s="8">
        <f t="dataTable" ref="AQ5:AQ44" dt2D="0" dtr="0" r1="C17" ca="1"/>
        <v>130.63895004669939</v>
      </c>
      <c r="AR5" s="8">
        <f>(AN5+AP5)/2</f>
        <v>1500</v>
      </c>
      <c r="AS5" s="8">
        <f t="dataTable" ref="AS5:AS44" dt2D="0" dtr="0" r1="C17" ca="1"/>
        <v>108.25139415072726</v>
      </c>
      <c r="AT5" s="8">
        <f>AO5*AS5</f>
        <v>-22023.084923676357</v>
      </c>
      <c r="AU5" s="8">
        <f>AQ5*AS5</f>
        <v>14141.848472942425</v>
      </c>
      <c r="AV5" s="8">
        <f>AP5-AN5</f>
        <v>2000</v>
      </c>
    </row>
    <row r="6" spans="2:48" x14ac:dyDescent="0.2">
      <c r="B6" t="s">
        <v>144</v>
      </c>
      <c r="C6" s="1">
        <v>1</v>
      </c>
      <c r="F6" t="s">
        <v>111</v>
      </c>
      <c r="G6">
        <f xml:space="preserve"> 1/1000 * ($C$17*$C$31)/$C$9 * ( ($G$4/2) + SQRT( ($G$4/2)^2 + ($C$17*$C$31)/(2*$C$30*$C$5*PI()*$C$18*$C$18 ) ) )</f>
        <v>239.91696339350176</v>
      </c>
      <c r="H6" t="s">
        <v>161</v>
      </c>
      <c r="J6" t="s">
        <v>159</v>
      </c>
      <c r="K6">
        <f>MAX(G18,G23,G34)</f>
        <v>63.046618041636016</v>
      </c>
      <c r="L6" t="s">
        <v>161</v>
      </c>
      <c r="N6" t="s">
        <v>55</v>
      </c>
      <c r="O6" s="1">
        <v>2.476619E-2</v>
      </c>
      <c r="R6" t="s">
        <v>55</v>
      </c>
      <c r="S6" s="1">
        <v>2.476619E-2</v>
      </c>
      <c r="V6" t="s">
        <v>55</v>
      </c>
      <c r="W6" s="1">
        <v>2.476619E-2</v>
      </c>
      <c r="AB6" s="8">
        <v>2</v>
      </c>
      <c r="AC6" s="8">
        <f t="shared" ref="AC6:AC34" si="7">IF(AI5&gt;0, AG5, AC5)</f>
        <v>0.25</v>
      </c>
      <c r="AD6" s="8">
        <f t="shared" si="0"/>
        <v>0.18464698719800188</v>
      </c>
      <c r="AE6" s="8">
        <f t="shared" ref="AE6:AE34" si="8">IF(AJ5&gt;0, AG5, AE5)</f>
        <v>0.5</v>
      </c>
      <c r="AF6" s="8">
        <f t="shared" si="1"/>
        <v>-7.6475710110085693E-2</v>
      </c>
      <c r="AG6" s="8">
        <f t="shared" si="3"/>
        <v>0.375</v>
      </c>
      <c r="AH6" s="8">
        <f t="shared" si="2"/>
        <v>5.2259425611062005E-2</v>
      </c>
      <c r="AI6" s="8">
        <f t="shared" si="4"/>
        <v>9.6495454917806967E-3</v>
      </c>
      <c r="AJ6" s="8">
        <f t="shared" si="5"/>
        <v>-3.9965766835511661E-3</v>
      </c>
      <c r="AK6" s="8">
        <f t="shared" si="6"/>
        <v>0.25</v>
      </c>
      <c r="AM6" s="8">
        <v>2</v>
      </c>
      <c r="AN6" s="8">
        <f>IF(AT5&gt;0,AR5,AN5)</f>
        <v>500</v>
      </c>
      <c r="AO6" s="8">
        <v>-203.44389184504928</v>
      </c>
      <c r="AP6" s="8">
        <f>IF(AU5&gt;0,AR5,AP5)</f>
        <v>1500</v>
      </c>
      <c r="AQ6" s="8">
        <v>108.25139415072726</v>
      </c>
      <c r="AR6" s="8">
        <f t="shared" ref="AR6:AR44" si="9">(AN6+AP6)/2</f>
        <v>1000</v>
      </c>
      <c r="AS6" s="8">
        <v>-14.301802550082925</v>
      </c>
      <c r="AT6" s="8">
        <f t="shared" ref="AT6:AT44" si="10">AO6*AS6</f>
        <v>2909.6143711883205</v>
      </c>
      <c r="AU6" s="8">
        <f t="shared" ref="AU6:AU44" si="11">AQ6*AS6</f>
        <v>-1548.1900649149031</v>
      </c>
      <c r="AV6" s="8">
        <f t="shared" ref="AV6:AV44" si="12">AP6-AN6</f>
        <v>1000</v>
      </c>
    </row>
    <row r="7" spans="2:48" x14ac:dyDescent="0.2">
      <c r="B7" t="s">
        <v>2</v>
      </c>
      <c r="C7" s="1">
        <v>0.13</v>
      </c>
      <c r="F7" t="s">
        <v>30</v>
      </c>
      <c r="G7">
        <f xml:space="preserve"> $C$17 * $C$31 / $C$5</f>
        <v>855.11099394397297</v>
      </c>
      <c r="H7" t="s">
        <v>31</v>
      </c>
      <c r="J7" t="s">
        <v>160</v>
      </c>
      <c r="K7">
        <f>K6/$C$6</f>
        <v>63.046618041636016</v>
      </c>
      <c r="L7" t="s">
        <v>161</v>
      </c>
      <c r="N7" s="20" t="s">
        <v>185</v>
      </c>
      <c r="O7" s="20">
        <f>($O$6*$C$21)/(0.3048^2)/($C$17*2.20462/1000)^(2/3)</f>
        <v>1.5269262901981453</v>
      </c>
      <c r="P7" s="20"/>
      <c r="R7" s="20" t="s">
        <v>185</v>
      </c>
      <c r="S7" s="20">
        <f>($O$6*$C$21)/(0.3048^2)/($C$17*2.20462/1000)^(2/3)</f>
        <v>1.5269262901981453</v>
      </c>
      <c r="V7" s="20" t="s">
        <v>185</v>
      </c>
      <c r="W7" s="20">
        <f>($O$6*$C$21)/(0.3048^2)/($C$17*2.20462/1000)^(2/3)</f>
        <v>1.5269262901981453</v>
      </c>
      <c r="AB7" s="8">
        <v>3</v>
      </c>
      <c r="AC7" s="8">
        <f t="shared" si="7"/>
        <v>0.375</v>
      </c>
      <c r="AD7" s="8">
        <f t="shared" si="0"/>
        <v>5.2259425611062005E-2</v>
      </c>
      <c r="AE7" s="8">
        <f t="shared" si="8"/>
        <v>0.5</v>
      </c>
      <c r="AF7" s="8">
        <f t="shared" si="1"/>
        <v>-7.6475710110085693E-2</v>
      </c>
      <c r="AG7" s="8">
        <f t="shared" si="3"/>
        <v>0.4375</v>
      </c>
      <c r="AH7" s="8">
        <f t="shared" si="2"/>
        <v>-1.2372199399970474E-2</v>
      </c>
      <c r="AI7" s="8">
        <f t="shared" si="4"/>
        <v>-6.4656403418798293E-4</v>
      </c>
      <c r="AJ7" s="8">
        <f t="shared" si="5"/>
        <v>9.4617273473631813E-4</v>
      </c>
      <c r="AK7" s="8">
        <f t="shared" si="6"/>
        <v>0.125</v>
      </c>
      <c r="AM7" s="8">
        <v>3</v>
      </c>
      <c r="AN7" s="8">
        <f t="shared" ref="AN7:AN44" si="13">IF(AT6&gt;0,AR6,AN6)</f>
        <v>1000</v>
      </c>
      <c r="AO7" s="8">
        <v>-14.301802550082925</v>
      </c>
      <c r="AP7" s="8">
        <f t="shared" ref="AP7:AP44" si="14">IF(AU6&gt;0,AR6,AP6)</f>
        <v>1500</v>
      </c>
      <c r="AQ7" s="8">
        <v>108.25139415072726</v>
      </c>
      <c r="AR7" s="8">
        <f t="shared" si="9"/>
        <v>1250</v>
      </c>
      <c r="AS7" s="8">
        <v>55.799531162756807</v>
      </c>
      <c r="AT7" s="8">
        <f t="shared" si="10"/>
        <v>-798.03387707694696</v>
      </c>
      <c r="AU7" s="8">
        <f t="shared" si="11"/>
        <v>6040.377041325376</v>
      </c>
      <c r="AV7" s="8">
        <f t="shared" si="12"/>
        <v>500</v>
      </c>
    </row>
    <row r="8" spans="2:48" x14ac:dyDescent="0.2">
      <c r="B8" t="s">
        <v>150</v>
      </c>
      <c r="C8" s="1">
        <v>0.13</v>
      </c>
      <c r="F8" t="s">
        <v>119</v>
      </c>
      <c r="G8">
        <f xml:space="preserve"> $G$5/$G$4</f>
        <v>60</v>
      </c>
      <c r="H8" t="s">
        <v>22</v>
      </c>
      <c r="N8" t="s">
        <v>56</v>
      </c>
      <c r="O8">
        <f xml:space="preserve"> O5 * $C$21 * O6</f>
        <v>379.23228437500001</v>
      </c>
      <c r="P8" t="s">
        <v>31</v>
      </c>
      <c r="R8" t="s">
        <v>56</v>
      </c>
      <c r="S8">
        <f xml:space="preserve"> S5 * $C$21 * S6</f>
        <v>379.23228437500001</v>
      </c>
      <c r="T8" t="s">
        <v>31</v>
      </c>
      <c r="V8" t="s">
        <v>56</v>
      </c>
      <c r="W8">
        <f xml:space="preserve"> W5*W6*$C$21</f>
        <v>379.23228437500001</v>
      </c>
      <c r="X8" t="s">
        <v>31</v>
      </c>
      <c r="AB8" s="8">
        <v>4</v>
      </c>
      <c r="AC8" s="8">
        <f t="shared" si="7"/>
        <v>0.375</v>
      </c>
      <c r="AD8" s="8">
        <f t="shared" si="0"/>
        <v>5.2259425611062005E-2</v>
      </c>
      <c r="AE8" s="8">
        <f t="shared" si="8"/>
        <v>0.4375</v>
      </c>
      <c r="AF8" s="8">
        <f t="shared" si="1"/>
        <v>-1.2372199399970474E-2</v>
      </c>
      <c r="AG8" s="8">
        <f t="shared" si="3"/>
        <v>0.40625</v>
      </c>
      <c r="AH8" s="8">
        <f t="shared" si="2"/>
        <v>1.9862592933411027E-2</v>
      </c>
      <c r="AI8" s="8">
        <f t="shared" si="4"/>
        <v>1.0380076978463995E-3</v>
      </c>
      <c r="AJ8" s="8">
        <f t="shared" si="5"/>
        <v>-2.4574396037260569E-4</v>
      </c>
      <c r="AK8" s="8">
        <f t="shared" si="6"/>
        <v>6.25E-2</v>
      </c>
      <c r="AM8" s="8">
        <v>4</v>
      </c>
      <c r="AN8" s="8">
        <f t="shared" si="13"/>
        <v>1000</v>
      </c>
      <c r="AO8" s="8">
        <v>-14.301802550082925</v>
      </c>
      <c r="AP8" s="8">
        <f t="shared" si="14"/>
        <v>1250</v>
      </c>
      <c r="AQ8" s="8">
        <v>55.799531162756807</v>
      </c>
      <c r="AR8" s="8">
        <f t="shared" si="9"/>
        <v>1125</v>
      </c>
      <c r="AS8" s="8">
        <v>22.912933173629881</v>
      </c>
      <c r="AT8" s="8">
        <f t="shared" si="10"/>
        <v>-327.69624609249951</v>
      </c>
      <c r="AU8" s="8">
        <f t="shared" si="11"/>
        <v>1278.5309286521247</v>
      </c>
      <c r="AV8" s="8">
        <f t="shared" si="12"/>
        <v>250</v>
      </c>
    </row>
    <row r="9" spans="2:48" x14ac:dyDescent="0.2">
      <c r="B9" t="s">
        <v>3</v>
      </c>
      <c r="C9" s="1">
        <v>0.75</v>
      </c>
      <c r="N9" t="s">
        <v>57</v>
      </c>
      <c r="O9">
        <f xml:space="preserve"> 1.78 * (1 - 0.045 * $C$22^0.68) - 0.64</f>
        <v>0.70355796921496994</v>
      </c>
      <c r="R9" t="s">
        <v>57</v>
      </c>
      <c r="S9">
        <f xml:space="preserve"> 1.78 * (1 - 0.045 * $C$22^0.68) - 0.64</f>
        <v>0.70355796921496994</v>
      </c>
      <c r="V9" t="s">
        <v>57</v>
      </c>
      <c r="W9">
        <f xml:space="preserve"> 1.78 * (1 - 0.045 * $C$22^0.68) - 0.64</f>
        <v>0.70355796921496994</v>
      </c>
      <c r="AB9" s="8">
        <v>5</v>
      </c>
      <c r="AC9" s="8">
        <f t="shared" si="7"/>
        <v>0.40625</v>
      </c>
      <c r="AD9" s="8">
        <f t="shared" si="0"/>
        <v>1.9862592933411027E-2</v>
      </c>
      <c r="AE9" s="8">
        <f t="shared" si="8"/>
        <v>0.4375</v>
      </c>
      <c r="AF9" s="8">
        <f t="shared" si="1"/>
        <v>-1.2372199399970474E-2</v>
      </c>
      <c r="AG9" s="8">
        <f t="shared" si="3"/>
        <v>0.421875</v>
      </c>
      <c r="AH9" s="8">
        <f t="shared" si="2"/>
        <v>3.7271585195766122E-3</v>
      </c>
      <c r="AI9" s="8">
        <f t="shared" si="4"/>
        <v>7.4031032472645121E-5</v>
      </c>
      <c r="AJ9" s="8">
        <f t="shared" si="5"/>
        <v>-4.6113148399500598E-5</v>
      </c>
      <c r="AK9" s="8">
        <f t="shared" si="6"/>
        <v>3.125E-2</v>
      </c>
      <c r="AM9" s="8">
        <v>5</v>
      </c>
      <c r="AN9" s="8">
        <f t="shared" si="13"/>
        <v>1000</v>
      </c>
      <c r="AO9" s="8">
        <v>-14.301802550082925</v>
      </c>
      <c r="AP9" s="8">
        <f t="shared" si="14"/>
        <v>1125</v>
      </c>
      <c r="AQ9" s="8">
        <v>22.912933173629881</v>
      </c>
      <c r="AR9" s="8">
        <f t="shared" si="9"/>
        <v>1062.5</v>
      </c>
      <c r="AS9" s="8">
        <v>4.8399836332115456</v>
      </c>
      <c r="AT9" s="8">
        <f t="shared" si="10"/>
        <v>-69.220490267824502</v>
      </c>
      <c r="AU9" s="8">
        <f t="shared" si="11"/>
        <v>110.8982215492385</v>
      </c>
      <c r="AV9" s="8">
        <f t="shared" si="12"/>
        <v>125</v>
      </c>
    </row>
    <row r="10" spans="2:48" x14ac:dyDescent="0.2">
      <c r="F10" s="48" t="s">
        <v>123</v>
      </c>
      <c r="G10" s="49"/>
      <c r="H10" s="49"/>
      <c r="J10" s="46" t="s">
        <v>34</v>
      </c>
      <c r="K10" s="46"/>
      <c r="L10" s="46"/>
      <c r="N10" t="s">
        <v>137</v>
      </c>
      <c r="O10">
        <f>O4/(O5*$C$21)</f>
        <v>0.66926256145617102</v>
      </c>
      <c r="R10" t="s">
        <v>39</v>
      </c>
      <c r="S10">
        <f xml:space="preserve"> S4 / (S5 * $C$21)</f>
        <v>0.67012779933568489</v>
      </c>
      <c r="V10" t="s">
        <v>137</v>
      </c>
      <c r="W10">
        <f>W4 / ( W5 * $C$21)</f>
        <v>0.6698164424551456</v>
      </c>
      <c r="AB10" s="8">
        <v>6</v>
      </c>
      <c r="AC10" s="8">
        <f t="shared" si="7"/>
        <v>0.421875</v>
      </c>
      <c r="AD10" s="8">
        <f t="shared" si="0"/>
        <v>3.7271585195766122E-3</v>
      </c>
      <c r="AE10" s="8">
        <f t="shared" si="8"/>
        <v>0.4375</v>
      </c>
      <c r="AF10" s="8">
        <f t="shared" si="1"/>
        <v>-1.2372199399970474E-2</v>
      </c>
      <c r="AG10" s="8">
        <f t="shared" si="3"/>
        <v>0.4296875</v>
      </c>
      <c r="AH10" s="8">
        <f t="shared" si="2"/>
        <v>-4.3267875239260123E-3</v>
      </c>
      <c r="AI10" s="8">
        <f t="shared" si="4"/>
        <v>-1.6126622982198632E-5</v>
      </c>
      <c r="AJ10" s="8">
        <f t="shared" si="5"/>
        <v>5.353187800731714E-5</v>
      </c>
      <c r="AK10" s="8">
        <f t="shared" si="6"/>
        <v>1.5625E-2</v>
      </c>
      <c r="AM10" s="8">
        <v>6</v>
      </c>
      <c r="AN10" s="8">
        <f t="shared" si="13"/>
        <v>1000</v>
      </c>
      <c r="AO10" s="8">
        <v>-14.301802550082925</v>
      </c>
      <c r="AP10" s="8">
        <f t="shared" si="14"/>
        <v>1062.5</v>
      </c>
      <c r="AQ10" s="8">
        <v>4.8399836332115456</v>
      </c>
      <c r="AR10" s="8">
        <f t="shared" si="9"/>
        <v>1031.25</v>
      </c>
      <c r="AS10" s="8">
        <v>-4.5982194279033592</v>
      </c>
      <c r="AT10" s="8">
        <f t="shared" si="10"/>
        <v>65.762826339829118</v>
      </c>
      <c r="AU10" s="8">
        <f t="shared" si="11"/>
        <v>-22.255306772967614</v>
      </c>
      <c r="AV10" s="8">
        <f t="shared" si="12"/>
        <v>62.5</v>
      </c>
    </row>
    <row r="11" spans="2:48" x14ac:dyDescent="0.2">
      <c r="B11" s="44" t="s">
        <v>6</v>
      </c>
      <c r="C11" s="45"/>
      <c r="D11" s="45"/>
      <c r="F11" s="4" t="s">
        <v>153</v>
      </c>
      <c r="G11" s="1">
        <f>$C$20</f>
        <v>50</v>
      </c>
      <c r="H11" t="s">
        <v>16</v>
      </c>
      <c r="J11" t="s">
        <v>152</v>
      </c>
      <c r="K11">
        <f xml:space="preserve"> (G6*G8 + G18*G19 + G23*G24 + G34*G35 + G40*G42)/3600</f>
        <v>29.215001920570067</v>
      </c>
      <c r="L11" t="s">
        <v>162</v>
      </c>
      <c r="N11" t="s">
        <v>136</v>
      </c>
      <c r="O11">
        <f>O6+O10^2/(PI()*O9*$C$22)</f>
        <v>4.1513996434882509E-2</v>
      </c>
      <c r="R11" t="s">
        <v>58</v>
      </c>
      <c r="S11">
        <f xml:space="preserve"> S6 + S10^2 / ( PI() * S9 * $C$22 )</f>
        <v>4.1557328318071657E-2</v>
      </c>
      <c r="V11" t="s">
        <v>136</v>
      </c>
      <c r="W11">
        <f xml:space="preserve"> W6 + W10^2 / (PI() * W9 * $C$22)</f>
        <v>4.1541728840123568E-2</v>
      </c>
      <c r="AB11" s="8">
        <v>7</v>
      </c>
      <c r="AC11" s="8">
        <f t="shared" si="7"/>
        <v>0.421875</v>
      </c>
      <c r="AD11" s="8">
        <f t="shared" si="0"/>
        <v>3.7271585195766122E-3</v>
      </c>
      <c r="AE11" s="8">
        <f t="shared" si="8"/>
        <v>0.4296875</v>
      </c>
      <c r="AF11" s="8">
        <f t="shared" si="1"/>
        <v>-4.3267875239260123E-3</v>
      </c>
      <c r="AG11" s="8">
        <f t="shared" si="3"/>
        <v>0.42578125</v>
      </c>
      <c r="AH11" s="8">
        <f t="shared" si="2"/>
        <v>-3.0091021751216251E-4</v>
      </c>
      <c r="AI11" s="8">
        <f t="shared" si="4"/>
        <v>-1.121540080828108E-6</v>
      </c>
      <c r="AJ11" s="8">
        <f t="shared" si="5"/>
        <v>1.3019745749534875E-6</v>
      </c>
      <c r="AK11" s="8">
        <f t="shared" si="6"/>
        <v>7.8125E-3</v>
      </c>
      <c r="AM11" s="8">
        <v>7</v>
      </c>
      <c r="AN11" s="8">
        <f t="shared" si="13"/>
        <v>1031.25</v>
      </c>
      <c r="AO11" s="8">
        <v>-4.5982194279033592</v>
      </c>
      <c r="AP11" s="8">
        <f t="shared" si="14"/>
        <v>1062.5</v>
      </c>
      <c r="AQ11" s="8">
        <v>4.8399836332115456</v>
      </c>
      <c r="AR11" s="8">
        <f t="shared" si="9"/>
        <v>1046.875</v>
      </c>
      <c r="AS11" s="8">
        <v>0.15417288866456147</v>
      </c>
      <c r="AT11" s="8">
        <f t="shared" si="10"/>
        <v>-0.70892077191336811</v>
      </c>
      <c r="AU11" s="8">
        <f t="shared" si="11"/>
        <v>0.74619425782142335</v>
      </c>
      <c r="AV11" s="8">
        <f t="shared" si="12"/>
        <v>31.25</v>
      </c>
    </row>
    <row r="12" spans="2:48" x14ac:dyDescent="0.2">
      <c r="B12" t="s">
        <v>7</v>
      </c>
      <c r="C12" s="1">
        <v>157</v>
      </c>
      <c r="D12" t="s">
        <v>8</v>
      </c>
      <c r="F12" t="s">
        <v>125</v>
      </c>
      <c r="G12" s="1">
        <v>2.54</v>
      </c>
      <c r="H12" t="s">
        <v>16</v>
      </c>
      <c r="J12" t="s">
        <v>35</v>
      </c>
      <c r="K12">
        <f xml:space="preserve"> (G8 + G19 + G24 + G35 +G42)/60</f>
        <v>36.004131050868558</v>
      </c>
      <c r="L12" t="s">
        <v>163</v>
      </c>
      <c r="N12" t="s">
        <v>138</v>
      </c>
      <c r="O12">
        <f>O5*O11*$C$21</f>
        <v>635.6830704091384</v>
      </c>
      <c r="P12" t="s">
        <v>31</v>
      </c>
      <c r="R12" t="s">
        <v>59</v>
      </c>
      <c r="S12">
        <f xml:space="preserve"> S5 * S11 * $C$21</f>
        <v>636.34658987047226</v>
      </c>
      <c r="T12" t="s">
        <v>31</v>
      </c>
      <c r="V12" t="s">
        <v>138</v>
      </c>
      <c r="W12">
        <f xml:space="preserve"> W5 * $C$21 * W11</f>
        <v>636.10772286439214</v>
      </c>
      <c r="X12" t="s">
        <v>31</v>
      </c>
      <c r="AB12" s="8">
        <v>8</v>
      </c>
      <c r="AC12" s="8">
        <f t="shared" si="7"/>
        <v>0.421875</v>
      </c>
      <c r="AD12" s="8">
        <f t="shared" si="0"/>
        <v>3.7271585195766122E-3</v>
      </c>
      <c r="AE12" s="8">
        <f t="shared" si="8"/>
        <v>0.42578125</v>
      </c>
      <c r="AF12" s="8">
        <f t="shared" si="1"/>
        <v>-3.0091021751216251E-4</v>
      </c>
      <c r="AG12" s="8">
        <f t="shared" si="3"/>
        <v>0.423828125</v>
      </c>
      <c r="AH12" s="8">
        <f t="shared" si="2"/>
        <v>1.7128464895257989E-3</v>
      </c>
      <c r="AI12" s="8">
        <f t="shared" si="4"/>
        <v>6.384050386162974E-6</v>
      </c>
      <c r="AJ12" s="8">
        <f t="shared" si="5"/>
        <v>-5.1541300972815213E-7</v>
      </c>
      <c r="AK12" s="8">
        <f t="shared" si="6"/>
        <v>3.90625E-3</v>
      </c>
      <c r="AM12" s="8">
        <v>8</v>
      </c>
      <c r="AN12" s="8">
        <f t="shared" si="13"/>
        <v>1031.25</v>
      </c>
      <c r="AO12" s="8">
        <v>-4.5982194279033592</v>
      </c>
      <c r="AP12" s="8">
        <f t="shared" si="14"/>
        <v>1046.875</v>
      </c>
      <c r="AQ12" s="8">
        <v>0.15417288866456147</v>
      </c>
      <c r="AR12" s="8">
        <f t="shared" si="9"/>
        <v>1039.0625</v>
      </c>
      <c r="AS12" s="8">
        <v>-2.213714990659696</v>
      </c>
      <c r="AT12" s="8">
        <f t="shared" si="10"/>
        <v>10.179147277892318</v>
      </c>
      <c r="AU12" s="8">
        <f t="shared" si="11"/>
        <v>-0.34129483479004807</v>
      </c>
      <c r="AV12" s="8">
        <f t="shared" si="12"/>
        <v>15.625</v>
      </c>
    </row>
    <row r="13" spans="2:48" x14ac:dyDescent="0.2">
      <c r="B13" t="s">
        <v>9</v>
      </c>
      <c r="C13" s="1">
        <v>0.85</v>
      </c>
      <c r="F13" t="s">
        <v>124</v>
      </c>
      <c r="G13" s="1">
        <v>304.8</v>
      </c>
      <c r="H13" t="s">
        <v>14</v>
      </c>
      <c r="N13" t="s">
        <v>105</v>
      </c>
      <c r="O13">
        <f>O4/O12</f>
        <v>16.121371559732978</v>
      </c>
      <c r="R13" t="s">
        <v>105</v>
      </c>
      <c r="S13">
        <f>S10/S11</f>
        <v>16.125382127711816</v>
      </c>
      <c r="V13" t="s">
        <v>105</v>
      </c>
      <c r="W13">
        <f>W4/W12</f>
        <v>16.123942386533404</v>
      </c>
      <c r="AB13" s="8">
        <v>9</v>
      </c>
      <c r="AC13" s="8">
        <f t="shared" si="7"/>
        <v>0.423828125</v>
      </c>
      <c r="AD13" s="8">
        <f t="shared" si="0"/>
        <v>1.7128464895257989E-3</v>
      </c>
      <c r="AE13" s="8">
        <f t="shared" si="8"/>
        <v>0.42578125</v>
      </c>
      <c r="AF13" s="8">
        <f t="shared" si="1"/>
        <v>-3.0091021751216251E-4</v>
      </c>
      <c r="AG13" s="8">
        <f t="shared" si="3"/>
        <v>0.4248046875</v>
      </c>
      <c r="AH13" s="8">
        <f t="shared" si="2"/>
        <v>7.058991924808744E-4</v>
      </c>
      <c r="AI13" s="8">
        <f t="shared" si="4"/>
        <v>1.2090969537999619E-6</v>
      </c>
      <c r="AJ13" s="8">
        <f t="shared" si="5"/>
        <v>-2.1241227955107978E-7</v>
      </c>
      <c r="AK13" s="8">
        <f t="shared" si="6"/>
        <v>1.953125E-3</v>
      </c>
      <c r="AM13" s="8">
        <v>9</v>
      </c>
      <c r="AN13" s="8">
        <f t="shared" si="13"/>
        <v>1039.0625</v>
      </c>
      <c r="AO13" s="8">
        <v>-2.213714990659696</v>
      </c>
      <c r="AP13" s="8">
        <f t="shared" si="14"/>
        <v>1046.875</v>
      </c>
      <c r="AQ13" s="8">
        <v>0.15417288866456147</v>
      </c>
      <c r="AR13" s="8">
        <f t="shared" si="9"/>
        <v>1042.96875</v>
      </c>
      <c r="AS13" s="8">
        <v>-1.0276924341256972</v>
      </c>
      <c r="AT13" s="8">
        <f t="shared" si="10"/>
        <v>2.275018147211608</v>
      </c>
      <c r="AU13" s="8">
        <f t="shared" si="11"/>
        <v>-0.15844231122787328</v>
      </c>
      <c r="AV13" s="8">
        <f t="shared" si="12"/>
        <v>7.8125</v>
      </c>
    </row>
    <row r="14" spans="2:48" x14ac:dyDescent="0.2">
      <c r="B14" t="s">
        <v>10</v>
      </c>
      <c r="C14" s="1">
        <f>1-(10/29)</f>
        <v>0.65517241379310343</v>
      </c>
      <c r="F14" t="s">
        <v>126</v>
      </c>
      <c r="G14">
        <f>SQRT($G$11^2-$G$12^2)</f>
        <v>49.935442323063484</v>
      </c>
      <c r="H14" t="s">
        <v>16</v>
      </c>
      <c r="AB14" s="8">
        <v>10</v>
      </c>
      <c r="AC14" s="8">
        <f t="shared" si="7"/>
        <v>0.4248046875</v>
      </c>
      <c r="AD14" s="8">
        <f t="shared" si="0"/>
        <v>7.058991924808744E-4</v>
      </c>
      <c r="AE14" s="8">
        <f t="shared" si="8"/>
        <v>0.42578125</v>
      </c>
      <c r="AF14" s="8">
        <f t="shared" si="1"/>
        <v>-3.0091021751216251E-4</v>
      </c>
      <c r="AG14" s="8">
        <f t="shared" si="3"/>
        <v>0.42529296875</v>
      </c>
      <c r="AH14" s="8">
        <f t="shared" si="2"/>
        <v>2.0247731011868719E-4</v>
      </c>
      <c r="AI14" s="8">
        <f t="shared" si="4"/>
        <v>1.4292856970848088E-7</v>
      </c>
      <c r="AJ14" s="8">
        <f t="shared" si="5"/>
        <v>-6.0927491429091745E-8</v>
      </c>
      <c r="AK14" s="8">
        <f t="shared" si="6"/>
        <v>9.765625E-4</v>
      </c>
      <c r="AM14" s="8">
        <v>10</v>
      </c>
      <c r="AN14" s="8">
        <f t="shared" si="13"/>
        <v>1042.96875</v>
      </c>
      <c r="AO14" s="8">
        <v>-1.0276924341256972</v>
      </c>
      <c r="AP14" s="8">
        <f t="shared" si="14"/>
        <v>1046.875</v>
      </c>
      <c r="AQ14" s="8">
        <v>0.15417288866456147</v>
      </c>
      <c r="AR14" s="8">
        <f t="shared" si="9"/>
        <v>1044.921875</v>
      </c>
      <c r="AS14" s="8">
        <v>-0.43623981206042117</v>
      </c>
      <c r="AT14" s="8">
        <f t="shared" si="10"/>
        <v>0.44832035431891093</v>
      </c>
      <c r="AU14" s="8">
        <f t="shared" si="11"/>
        <v>-6.7256351975840539E-2</v>
      </c>
      <c r="AV14" s="8">
        <f t="shared" si="12"/>
        <v>3.90625</v>
      </c>
    </row>
    <row r="15" spans="2:48" x14ac:dyDescent="0.2">
      <c r="F15" t="s">
        <v>127</v>
      </c>
      <c r="G15">
        <f>$G$14 * ($G$13/$G$12)</f>
        <v>5992.2530787676178</v>
      </c>
      <c r="H15" t="s">
        <v>14</v>
      </c>
      <c r="J15" s="21" t="s">
        <v>72</v>
      </c>
      <c r="K15" s="21"/>
      <c r="L15" s="21"/>
      <c r="N15" s="48" t="s">
        <v>139</v>
      </c>
      <c r="O15" s="51"/>
      <c r="P15" s="51"/>
      <c r="R15" s="48" t="s">
        <v>134</v>
      </c>
      <c r="S15" s="51"/>
      <c r="T15" s="51"/>
      <c r="V15" s="48" t="s">
        <v>148</v>
      </c>
      <c r="W15" s="51"/>
      <c r="X15" s="51"/>
      <c r="AB15" s="8">
        <v>11</v>
      </c>
      <c r="AC15" s="8">
        <f t="shared" si="7"/>
        <v>0.42529296875</v>
      </c>
      <c r="AD15" s="8">
        <f t="shared" si="0"/>
        <v>2.0247731011868719E-4</v>
      </c>
      <c r="AE15" s="8">
        <f t="shared" si="8"/>
        <v>0.42578125</v>
      </c>
      <c r="AF15" s="8">
        <f t="shared" si="1"/>
        <v>-3.0091021751216251E-4</v>
      </c>
      <c r="AG15" s="8">
        <f t="shared" si="3"/>
        <v>0.425537109375</v>
      </c>
      <c r="AH15" s="8">
        <f t="shared" si="2"/>
        <v>-4.9220740752531356E-5</v>
      </c>
      <c r="AI15" s="8">
        <f t="shared" si="4"/>
        <v>-9.9660831896217964E-9</v>
      </c>
      <c r="AJ15" s="8">
        <f t="shared" si="5"/>
        <v>1.4811023805953972E-8</v>
      </c>
      <c r="AK15" s="8">
        <f t="shared" si="6"/>
        <v>4.8828125E-4</v>
      </c>
      <c r="AM15" s="8">
        <v>11</v>
      </c>
      <c r="AN15" s="8">
        <f t="shared" si="13"/>
        <v>1044.921875</v>
      </c>
      <c r="AO15" s="8">
        <v>-0.43623981206042117</v>
      </c>
      <c r="AP15" s="8">
        <f t="shared" si="14"/>
        <v>1046.875</v>
      </c>
      <c r="AQ15" s="8">
        <v>0.15417288866456147</v>
      </c>
      <c r="AR15" s="8">
        <f t="shared" si="9"/>
        <v>1045.8984375</v>
      </c>
      <c r="AS15" s="8">
        <v>-0.14090331571469505</v>
      </c>
      <c r="AT15" s="8">
        <f t="shared" si="10"/>
        <v>6.1467635966068759E-2</v>
      </c>
      <c r="AU15" s="8">
        <f t="shared" si="11"/>
        <v>-2.1723471206149234E-2</v>
      </c>
      <c r="AV15" s="8">
        <f t="shared" si="12"/>
        <v>1.953125</v>
      </c>
    </row>
    <row r="16" spans="2:48" x14ac:dyDescent="0.2">
      <c r="B16" s="46" t="s">
        <v>11</v>
      </c>
      <c r="C16" s="46"/>
      <c r="D16" s="46"/>
      <c r="F16" t="s">
        <v>151</v>
      </c>
      <c r="G16">
        <f>ATAN(G12/G14)/PI()*180</f>
        <v>2.9118789347687013</v>
      </c>
      <c r="H16" t="s">
        <v>61</v>
      </c>
      <c r="J16" s="3" t="s">
        <v>108</v>
      </c>
      <c r="K16" s="5">
        <f>C17</f>
        <v>1046.3646533044084</v>
      </c>
      <c r="L16" t="s">
        <v>12</v>
      </c>
      <c r="N16" t="s">
        <v>41</v>
      </c>
      <c r="O16">
        <f xml:space="preserve"> 90 - $C$32</f>
        <v>85</v>
      </c>
      <c r="P16" t="s">
        <v>61</v>
      </c>
      <c r="R16" t="s">
        <v>41</v>
      </c>
      <c r="S16">
        <f xml:space="preserve"> 90 - $C$32</f>
        <v>85</v>
      </c>
      <c r="T16" t="s">
        <v>61</v>
      </c>
      <c r="V16" t="s">
        <v>41</v>
      </c>
      <c r="W16">
        <f xml:space="preserve"> 90 - $C$32</f>
        <v>85</v>
      </c>
      <c r="X16" t="s">
        <v>61</v>
      </c>
      <c r="AB16" s="8">
        <v>12</v>
      </c>
      <c r="AC16" s="8">
        <f t="shared" si="7"/>
        <v>0.42529296875</v>
      </c>
      <c r="AD16" s="8">
        <f t="shared" si="0"/>
        <v>2.0247731011868719E-4</v>
      </c>
      <c r="AE16" s="8">
        <f t="shared" si="8"/>
        <v>0.425537109375</v>
      </c>
      <c r="AF16" s="8">
        <f t="shared" si="1"/>
        <v>-4.9220740752531356E-5</v>
      </c>
      <c r="AG16" s="8">
        <f t="shared" si="3"/>
        <v>0.4254150390625</v>
      </c>
      <c r="AH16" s="8">
        <f t="shared" si="2"/>
        <v>7.6627212009738876E-5</v>
      </c>
      <c r="AI16" s="8">
        <f t="shared" si="4"/>
        <v>1.5515271769626289E-8</v>
      </c>
      <c r="AJ16" s="8">
        <f t="shared" si="5"/>
        <v>-3.7716481369206145E-9</v>
      </c>
      <c r="AK16" s="8">
        <f t="shared" si="6"/>
        <v>2.44140625E-4</v>
      </c>
      <c r="AM16" s="8">
        <v>12</v>
      </c>
      <c r="AN16" s="8">
        <f t="shared" si="13"/>
        <v>1045.8984375</v>
      </c>
      <c r="AO16" s="8">
        <v>-0.14090331571469505</v>
      </c>
      <c r="AP16" s="8">
        <f t="shared" si="14"/>
        <v>1046.875</v>
      </c>
      <c r="AQ16" s="8">
        <v>0.15417288866456147</v>
      </c>
      <c r="AR16" s="8">
        <f t="shared" si="9"/>
        <v>1046.38671875</v>
      </c>
      <c r="AS16" s="8">
        <v>6.6670716900034677E-3</v>
      </c>
      <c r="AT16" s="8">
        <f t="shared" si="10"/>
        <v>-9.3941250722906413E-4</v>
      </c>
      <c r="AU16" s="8">
        <f t="shared" si="11"/>
        <v>1.0278817013815542E-3</v>
      </c>
      <c r="AV16" s="8">
        <f t="shared" si="12"/>
        <v>0.9765625</v>
      </c>
    </row>
    <row r="17" spans="2:48" x14ac:dyDescent="0.2">
      <c r="B17" s="3" t="s">
        <v>54</v>
      </c>
      <c r="C17" s="3">
        <f>AR44</f>
        <v>1046.3646533044084</v>
      </c>
      <c r="D17" s="3" t="s">
        <v>12</v>
      </c>
      <c r="F17" t="s">
        <v>142</v>
      </c>
      <c r="G17">
        <f xml:space="preserve"> 1/1000 * (O23 + O17 * (O28 * O25 + $G$11 * SIN(O16/180*PI())))</f>
        <v>63.046618041636016</v>
      </c>
      <c r="H17" t="s">
        <v>161</v>
      </c>
      <c r="J17" s="16" t="s">
        <v>73</v>
      </c>
      <c r="K17">
        <f xml:space="preserve"> 1000 * K11 / ($C$12 * $C$13 * $C$14)</f>
        <v>334.1425157052837</v>
      </c>
      <c r="L17" t="s">
        <v>12</v>
      </c>
      <c r="N17" t="s">
        <v>30</v>
      </c>
      <c r="O17">
        <f>(O12+$C$17*$C$31*SIN(G16/180*PI()))/$C$6</f>
        <v>1156.9587323173844</v>
      </c>
      <c r="P17" t="s">
        <v>31</v>
      </c>
      <c r="R17" t="s">
        <v>30</v>
      </c>
      <c r="S17">
        <f xml:space="preserve"> S12 / $C$6</f>
        <v>636.34658987047226</v>
      </c>
      <c r="T17" t="s">
        <v>31</v>
      </c>
      <c r="V17" t="s">
        <v>30</v>
      </c>
      <c r="W17">
        <f>(W12-$C$17*$C$31*SIN(G32/180*PI()))/$C$6</f>
        <v>323.34232571944455</v>
      </c>
      <c r="X17" t="s">
        <v>31</v>
      </c>
      <c r="AB17" s="8">
        <v>13</v>
      </c>
      <c r="AC17" s="8">
        <f t="shared" si="7"/>
        <v>0.4254150390625</v>
      </c>
      <c r="AD17" s="8">
        <f t="shared" si="0"/>
        <v>7.6627212009738876E-5</v>
      </c>
      <c r="AE17" s="8">
        <f t="shared" si="8"/>
        <v>0.425537109375</v>
      </c>
      <c r="AF17" s="8">
        <f t="shared" si="1"/>
        <v>-4.9220740752531356E-5</v>
      </c>
      <c r="AG17" s="8">
        <f t="shared" si="3"/>
        <v>0.42547607421875</v>
      </c>
      <c r="AH17" s="8">
        <f t="shared" si="2"/>
        <v>1.3702967574025227E-5</v>
      </c>
      <c r="AI17" s="8">
        <f t="shared" si="4"/>
        <v>1.0500202014574082E-9</v>
      </c>
      <c r="AJ17" s="8">
        <f t="shared" si="5"/>
        <v>-6.7447021450143919E-10</v>
      </c>
      <c r="AK17" s="8">
        <f t="shared" si="6"/>
        <v>1.220703125E-4</v>
      </c>
      <c r="AM17" s="8">
        <v>13</v>
      </c>
      <c r="AN17" s="8">
        <f t="shared" si="13"/>
        <v>1045.8984375</v>
      </c>
      <c r="AO17" s="8">
        <v>-0.14090331571469505</v>
      </c>
      <c r="AP17" s="8">
        <f t="shared" si="14"/>
        <v>1046.38671875</v>
      </c>
      <c r="AQ17" s="8">
        <v>6.6670716900034677E-3</v>
      </c>
      <c r="AR17" s="8">
        <f t="shared" si="9"/>
        <v>1046.142578125</v>
      </c>
      <c r="AS17" s="8">
        <v>-6.71100956922146E-2</v>
      </c>
      <c r="AT17" s="8">
        <f t="shared" si="10"/>
        <v>9.4560350009635103E-3</v>
      </c>
      <c r="AU17" s="8">
        <f t="shared" si="11"/>
        <v>-4.4742781910298761E-4</v>
      </c>
      <c r="AV17" s="8">
        <f t="shared" si="12"/>
        <v>0.48828125</v>
      </c>
    </row>
    <row r="18" spans="2:48" x14ac:dyDescent="0.2">
      <c r="B18" t="s">
        <v>146</v>
      </c>
      <c r="C18" s="1">
        <v>0.65</v>
      </c>
      <c r="D18" t="s">
        <v>14</v>
      </c>
      <c r="F18" t="s">
        <v>128</v>
      </c>
      <c r="G18">
        <f>$C$6*G17</f>
        <v>63.046618041636016</v>
      </c>
      <c r="H18" t="s">
        <v>161</v>
      </c>
      <c r="J18" s="12" t="s">
        <v>74</v>
      </c>
      <c r="K18">
        <f xml:space="preserve"> $C$33 * ($C$5 * $C$41 * (2*$C$18*3.28084 * (K5*1000*0.00134102) * $C$39^0.5)^0.782 * 0.453592 + C6 * $C$6 * $C$41 * (2*$C$19*3.28084 * (K7*1000*0.00134102) * $C$40^0.5)^0.782 * 0.453592)</f>
        <v>44.696578764401274</v>
      </c>
      <c r="L18" t="s">
        <v>12</v>
      </c>
      <c r="N18" t="s">
        <v>42</v>
      </c>
      <c r="O18">
        <f xml:space="preserve"> PI() * $G$11 / ($C$19 * $C$23)</f>
        <v>120.83048667653051</v>
      </c>
      <c r="P18" t="s">
        <v>43</v>
      </c>
      <c r="R18" t="s">
        <v>42</v>
      </c>
      <c r="S18">
        <f xml:space="preserve"> PI() * $C$20 / ($C$19 * $C$23)</f>
        <v>120.83048667653051</v>
      </c>
      <c r="T18" t="s">
        <v>43</v>
      </c>
      <c r="V18" t="s">
        <v>42</v>
      </c>
      <c r="W18">
        <f xml:space="preserve"> PI() * $G$27 / ($C$19 * $C$23)</f>
        <v>120.83048667653051</v>
      </c>
      <c r="X18" t="s">
        <v>43</v>
      </c>
      <c r="AB18" s="8">
        <v>14</v>
      </c>
      <c r="AC18" s="8">
        <f t="shared" si="7"/>
        <v>0.42547607421875</v>
      </c>
      <c r="AD18" s="8">
        <f t="shared" si="0"/>
        <v>1.3702967574025227E-5</v>
      </c>
      <c r="AE18" s="8">
        <f t="shared" si="8"/>
        <v>0.425537109375</v>
      </c>
      <c r="AF18" s="8">
        <f t="shared" si="1"/>
        <v>-4.9220740752531356E-5</v>
      </c>
      <c r="AG18" s="8">
        <f t="shared" si="3"/>
        <v>0.425506591796875</v>
      </c>
      <c r="AH18" s="8">
        <f t="shared" si="2"/>
        <v>-1.7758953588686843E-5</v>
      </c>
      <c r="AI18" s="8">
        <f t="shared" si="4"/>
        <v>-2.4335036517439476E-10</v>
      </c>
      <c r="AJ18" s="8">
        <f t="shared" si="5"/>
        <v>8.7410885062499145E-10</v>
      </c>
      <c r="AK18" s="8">
        <f t="shared" si="6"/>
        <v>6.103515625E-5</v>
      </c>
      <c r="AM18" s="8">
        <v>14</v>
      </c>
      <c r="AN18" s="8">
        <f t="shared" si="13"/>
        <v>1046.142578125</v>
      </c>
      <c r="AO18" s="8">
        <v>-6.71100956922146E-2</v>
      </c>
      <c r="AP18" s="8">
        <f t="shared" si="14"/>
        <v>1046.38671875</v>
      </c>
      <c r="AQ18" s="8">
        <v>6.6670716900034677E-3</v>
      </c>
      <c r="AR18" s="8">
        <f t="shared" si="9"/>
        <v>1046.2646484375</v>
      </c>
      <c r="AS18" s="8">
        <v>-3.0219522743777816E-2</v>
      </c>
      <c r="AT18" s="8">
        <f t="shared" si="10"/>
        <v>2.0280350631079846E-3</v>
      </c>
      <c r="AU18" s="8">
        <f t="shared" si="11"/>
        <v>-2.01475724570457E-4</v>
      </c>
      <c r="AV18" s="8">
        <f t="shared" si="12"/>
        <v>0.244140625</v>
      </c>
    </row>
    <row r="19" spans="2:48" x14ac:dyDescent="0.2">
      <c r="B19" t="s">
        <v>145</v>
      </c>
      <c r="C19" s="1">
        <v>1</v>
      </c>
      <c r="D19" t="s">
        <v>14</v>
      </c>
      <c r="F19" t="s">
        <v>129</v>
      </c>
      <c r="G19">
        <f>$G$13/$G$12</f>
        <v>120</v>
      </c>
      <c r="H19" t="s">
        <v>22</v>
      </c>
      <c r="J19" s="13" t="s">
        <v>75</v>
      </c>
      <c r="K19">
        <f xml:space="preserve"> 0.2138 * (K4) + 0.2138 * (K6)</f>
        <v>64.77361371083245</v>
      </c>
      <c r="L19" t="s">
        <v>12</v>
      </c>
      <c r="N19" t="s">
        <v>42</v>
      </c>
      <c r="O19">
        <f>O18*9.5493</f>
        <v>1153.8465664201929</v>
      </c>
      <c r="P19" t="s">
        <v>230</v>
      </c>
      <c r="R19" t="s">
        <v>42</v>
      </c>
      <c r="S19">
        <f>S18*9.5493</f>
        <v>1153.8465664201929</v>
      </c>
      <c r="T19" t="s">
        <v>230</v>
      </c>
      <c r="V19" t="s">
        <v>42</v>
      </c>
      <c r="W19">
        <f>W18*9.5493</f>
        <v>1153.8465664201929</v>
      </c>
      <c r="X19" t="s">
        <v>230</v>
      </c>
      <c r="AB19" s="8">
        <v>15</v>
      </c>
      <c r="AC19" s="8">
        <f t="shared" si="7"/>
        <v>0.42547607421875</v>
      </c>
      <c r="AD19" s="8">
        <f t="shared" si="0"/>
        <v>1.3702967574025227E-5</v>
      </c>
      <c r="AE19" s="8">
        <f t="shared" si="8"/>
        <v>0.425506591796875</v>
      </c>
      <c r="AF19" s="8">
        <f t="shared" si="1"/>
        <v>-1.7758953588686843E-5</v>
      </c>
      <c r="AG19" s="8">
        <f t="shared" si="3"/>
        <v>0.4254913330078125</v>
      </c>
      <c r="AH19" s="8">
        <f t="shared" si="2"/>
        <v>-2.028009758958671E-6</v>
      </c>
      <c r="AI19" s="8">
        <f t="shared" si="4"/>
        <v>-2.7789751966817386E-11</v>
      </c>
      <c r="AJ19" s="8">
        <f t="shared" si="5"/>
        <v>3.601533118675103E-11</v>
      </c>
      <c r="AK19" s="8">
        <f t="shared" si="6"/>
        <v>3.0517578125E-5</v>
      </c>
      <c r="AM19" s="8">
        <v>15</v>
      </c>
      <c r="AN19" s="8">
        <f t="shared" si="13"/>
        <v>1046.2646484375</v>
      </c>
      <c r="AO19" s="8">
        <v>-3.0219522743777816E-2</v>
      </c>
      <c r="AP19" s="8">
        <f t="shared" si="14"/>
        <v>1046.38671875</v>
      </c>
      <c r="AQ19" s="8">
        <v>6.6670716900034677E-3</v>
      </c>
      <c r="AR19" s="8">
        <f t="shared" si="9"/>
        <v>1046.32568359375</v>
      </c>
      <c r="AS19" s="8">
        <v>-1.1775728206998792E-2</v>
      </c>
      <c r="AT19" s="8">
        <f t="shared" si="10"/>
        <v>3.5585688637594594E-4</v>
      </c>
      <c r="AU19" s="8">
        <f t="shared" si="11"/>
        <v>-7.8509624158056948E-5</v>
      </c>
      <c r="AV19" s="8">
        <f t="shared" si="12"/>
        <v>0.1220703125</v>
      </c>
    </row>
    <row r="20" spans="2:48" x14ac:dyDescent="0.2">
      <c r="B20" t="s">
        <v>15</v>
      </c>
      <c r="C20" s="1">
        <v>50</v>
      </c>
      <c r="D20" t="s">
        <v>16</v>
      </c>
      <c r="J20" s="13" t="s">
        <v>106</v>
      </c>
      <c r="K20">
        <f>2.20462 * (49.9/398 * (K5 -2) + 0.1) * $C$5 * 0.453592 + 2.20462 * (49.9/398 * (K7 -2) + 0.1) * 0.453592 * $C$6</f>
        <v>36.024758710382031</v>
      </c>
      <c r="L20" t="s">
        <v>12</v>
      </c>
      <c r="N20" t="s">
        <v>44</v>
      </c>
      <c r="O20">
        <f xml:space="preserve"> $G$11 * COS(O16/180*PI()) / (O18 * $C$19)</f>
        <v>3.6065294920552132E-2</v>
      </c>
      <c r="R20" t="s">
        <v>44</v>
      </c>
      <c r="S20">
        <f xml:space="preserve"> $C$20 * COS(S16/180*PI()) / (S18 * $C$19)</f>
        <v>3.6065294920552132E-2</v>
      </c>
      <c r="V20" t="s">
        <v>44</v>
      </c>
      <c r="W20">
        <f xml:space="preserve"> $G$27 * COS(W16/180*PI()) / (W18 * $C$19)</f>
        <v>3.6065294920552132E-2</v>
      </c>
      <c r="AB20" s="8">
        <v>16</v>
      </c>
      <c r="AC20" s="8">
        <f t="shared" si="7"/>
        <v>0.42547607421875</v>
      </c>
      <c r="AD20" s="8">
        <f t="shared" si="0"/>
        <v>1.3702967574025227E-5</v>
      </c>
      <c r="AE20" s="8">
        <f t="shared" si="8"/>
        <v>0.4254913330078125</v>
      </c>
      <c r="AF20" s="8">
        <f t="shared" si="1"/>
        <v>-2.028009758958671E-6</v>
      </c>
      <c r="AG20" s="8">
        <f t="shared" si="3"/>
        <v>0.42548370361328125</v>
      </c>
      <c r="AH20" s="8">
        <f t="shared" si="2"/>
        <v>5.8374747193834509E-6</v>
      </c>
      <c r="AI20" s="8">
        <f t="shared" si="4"/>
        <v>7.9990726793903439E-11</v>
      </c>
      <c r="AJ20" s="8">
        <f t="shared" si="5"/>
        <v>-1.1838455698584167E-11</v>
      </c>
      <c r="AK20" s="8">
        <f t="shared" si="6"/>
        <v>1.52587890625E-5</v>
      </c>
      <c r="AM20" s="8">
        <v>16</v>
      </c>
      <c r="AN20" s="8">
        <f t="shared" si="13"/>
        <v>1046.32568359375</v>
      </c>
      <c r="AO20" s="8">
        <v>-1.1775728206998792E-2</v>
      </c>
      <c r="AP20" s="8">
        <f t="shared" si="14"/>
        <v>1046.38671875</v>
      </c>
      <c r="AQ20" s="8">
        <v>6.6670716900034677E-3</v>
      </c>
      <c r="AR20" s="8">
        <f t="shared" si="9"/>
        <v>1046.356201171875</v>
      </c>
      <c r="AS20" s="8">
        <v>-2.5540522218534534E-3</v>
      </c>
      <c r="AT20" s="8">
        <f t="shared" si="10"/>
        <v>3.0075824791027647E-5</v>
      </c>
      <c r="AU20" s="8">
        <f t="shared" si="11"/>
        <v>-1.7028049263109614E-5</v>
      </c>
      <c r="AV20" s="8">
        <f t="shared" si="12"/>
        <v>6.103515625E-2</v>
      </c>
    </row>
    <row r="21" spans="2:48" x14ac:dyDescent="0.2">
      <c r="B21" t="s">
        <v>17</v>
      </c>
      <c r="C21" s="1">
        <v>10</v>
      </c>
      <c r="D21" t="s">
        <v>18</v>
      </c>
      <c r="F21" s="48" t="s">
        <v>117</v>
      </c>
      <c r="G21" s="49"/>
      <c r="H21" s="49"/>
      <c r="J21" s="14" t="s">
        <v>83</v>
      </c>
      <c r="K21">
        <f xml:space="preserve"> $C$33 * (14.86 * ($C$17*2.20462)^0.144 * ($C$45/(PI()*$C$46))^0.778 * ($C$45*3.28084)^0.383 * $C$44^0.455 * 0.453592)</f>
        <v>65.732326105073653</v>
      </c>
      <c r="L21" t="s">
        <v>12</v>
      </c>
      <c r="N21" t="s">
        <v>45</v>
      </c>
      <c r="O21">
        <f xml:space="preserve"> O17 / ( $C$30 * PI() * $C$19^2 * O18^2 * $C$19^2)</f>
        <v>2.059106727326732E-2</v>
      </c>
      <c r="R21" t="s">
        <v>45</v>
      </c>
      <c r="S21">
        <f xml:space="preserve"> S17 / ( $C$30 * PI() * $C$19^2 * S18^2 * $C$19^2)</f>
        <v>1.1325430263957442E-2</v>
      </c>
      <c r="V21" t="s">
        <v>45</v>
      </c>
      <c r="W21">
        <f xml:space="preserve"> W17 / ( $C$30 * PI() * $C$19^2 * W18^2 * $C$19^2)</f>
        <v>5.7547113783807287E-3</v>
      </c>
      <c r="AB21" s="8">
        <v>17</v>
      </c>
      <c r="AC21" s="8">
        <f t="shared" si="7"/>
        <v>0.42548370361328125</v>
      </c>
      <c r="AD21" s="8">
        <f t="shared" si="0"/>
        <v>5.8374747193834509E-6</v>
      </c>
      <c r="AE21" s="8">
        <f t="shared" si="8"/>
        <v>0.4254913330078125</v>
      </c>
      <c r="AF21" s="8">
        <f t="shared" si="1"/>
        <v>-2.028009758958671E-6</v>
      </c>
      <c r="AG21" s="8">
        <f t="shared" si="3"/>
        <v>0.42548751831054688</v>
      </c>
      <c r="AH21" s="8">
        <f t="shared" si="2"/>
        <v>1.9047314332443221E-6</v>
      </c>
      <c r="AI21" s="8">
        <f t="shared" si="4"/>
        <v>1.1118821588778737E-11</v>
      </c>
      <c r="AJ21" s="8">
        <f t="shared" si="5"/>
        <v>-3.8628139348148219E-12</v>
      </c>
      <c r="AK21" s="8">
        <f t="shared" si="6"/>
        <v>7.62939453125E-6</v>
      </c>
      <c r="AM21" s="8">
        <v>17</v>
      </c>
      <c r="AN21" s="8">
        <f t="shared" si="13"/>
        <v>1046.356201171875</v>
      </c>
      <c r="AO21" s="8">
        <v>-2.5540522218534534E-3</v>
      </c>
      <c r="AP21" s="8">
        <f t="shared" si="14"/>
        <v>1046.38671875</v>
      </c>
      <c r="AQ21" s="8">
        <v>6.6670716900034677E-3</v>
      </c>
      <c r="AR21" s="8">
        <f t="shared" si="9"/>
        <v>1046.3714599609375</v>
      </c>
      <c r="AS21" s="8">
        <v>2.0566236061085874E-3</v>
      </c>
      <c r="AT21" s="8">
        <f t="shared" si="10"/>
        <v>-5.2527240906978989E-6</v>
      </c>
      <c r="AU21" s="8">
        <f t="shared" si="11"/>
        <v>1.3711657021279406E-5</v>
      </c>
      <c r="AV21" s="8">
        <f t="shared" si="12"/>
        <v>3.0517578125E-2</v>
      </c>
    </row>
    <row r="22" spans="2:48" x14ac:dyDescent="0.2">
      <c r="B22" t="s">
        <v>5</v>
      </c>
      <c r="C22" s="1">
        <f>11^2/C21</f>
        <v>12.1</v>
      </c>
      <c r="F22" s="4" t="s">
        <v>113</v>
      </c>
      <c r="G22">
        <f xml:space="preserve"> 1/1000 * (S23 + S17 * (S28 * S25 + $C$20 * SIN(S16/180*PI())))</f>
        <v>34.208199301952988</v>
      </c>
      <c r="H22" t="s">
        <v>161</v>
      </c>
      <c r="J22" s="14" t="s">
        <v>84</v>
      </c>
      <c r="K22">
        <f xml:space="preserve"> $C$33 * (0.054 * ($C$49*3.28084)^0.501 * ($C$17*2.20462*$C$50)^0.684 * 0.453592)</f>
        <v>12.764896190141954</v>
      </c>
      <c r="L22" t="s">
        <v>12</v>
      </c>
      <c r="N22" t="s">
        <v>4</v>
      </c>
      <c r="O22" s="1">
        <v>1.2E-2</v>
      </c>
      <c r="R22" t="s">
        <v>4</v>
      </c>
      <c r="S22" s="1">
        <v>1.2E-2</v>
      </c>
      <c r="V22" t="s">
        <v>4</v>
      </c>
      <c r="W22" s="1">
        <v>1.2E-2</v>
      </c>
      <c r="AB22" s="8">
        <v>18</v>
      </c>
      <c r="AC22" s="8">
        <f t="shared" si="7"/>
        <v>0.42548751831054688</v>
      </c>
      <c r="AD22" s="8">
        <f t="shared" si="0"/>
        <v>1.9047314332443221E-6</v>
      </c>
      <c r="AE22" s="8">
        <f t="shared" si="8"/>
        <v>0.4254913330078125</v>
      </c>
      <c r="AF22" s="8">
        <f t="shared" si="1"/>
        <v>-2.028009758958671E-6</v>
      </c>
      <c r="AG22" s="8">
        <f t="shared" si="3"/>
        <v>0.42548942565917969</v>
      </c>
      <c r="AH22" s="8">
        <f t="shared" si="2"/>
        <v>-6.1639424620008043E-8</v>
      </c>
      <c r="AI22" s="8">
        <f t="shared" si="4"/>
        <v>-1.1740654960082328E-13</v>
      </c>
      <c r="AJ22" s="8">
        <f t="shared" si="5"/>
        <v>1.2500535466597367E-13</v>
      </c>
      <c r="AK22" s="8">
        <f t="shared" si="6"/>
        <v>3.814697265625E-6</v>
      </c>
      <c r="AM22" s="8">
        <v>18</v>
      </c>
      <c r="AN22" s="8">
        <f t="shared" si="13"/>
        <v>1046.356201171875</v>
      </c>
      <c r="AO22" s="8">
        <v>-2.5540522218534534E-3</v>
      </c>
      <c r="AP22" s="8">
        <f t="shared" si="14"/>
        <v>1046.3714599609375</v>
      </c>
      <c r="AQ22" s="8">
        <v>2.0566236061085874E-3</v>
      </c>
      <c r="AR22" s="8">
        <f t="shared" si="9"/>
        <v>1046.3638305664062</v>
      </c>
      <c r="AS22" s="8">
        <v>-2.4894103216865915E-4</v>
      </c>
      <c r="AT22" s="8">
        <f t="shared" si="10"/>
        <v>6.3580839632085595E-7</v>
      </c>
      <c r="AU22" s="8">
        <f t="shared" si="11"/>
        <v>-5.1197800328710168E-7</v>
      </c>
      <c r="AV22" s="8">
        <f t="shared" si="12"/>
        <v>1.52587890625E-2</v>
      </c>
    </row>
    <row r="23" spans="2:48" x14ac:dyDescent="0.2">
      <c r="B23" t="s">
        <v>19</v>
      </c>
      <c r="C23" s="1">
        <v>1.3</v>
      </c>
      <c r="F23" s="4" t="s">
        <v>112</v>
      </c>
      <c r="G23">
        <f xml:space="preserve"> $C$6 * G22</f>
        <v>34.208199301952988</v>
      </c>
      <c r="H23" t="s">
        <v>161</v>
      </c>
      <c r="J23" s="14" t="s">
        <v>76</v>
      </c>
      <c r="K23">
        <f xml:space="preserve"> $C$33 * (0.04674 * ($C$17*2.20462)^0.397 * ($C$21*3.28084^2)^0.36 * $C$53^0.397 * $C$22^1.712 * 0.453592)</f>
        <v>218.38192069048165</v>
      </c>
      <c r="L23" t="s">
        <v>12</v>
      </c>
      <c r="N23" t="s">
        <v>46</v>
      </c>
      <c r="O23">
        <f xml:space="preserve"> ($C$8 * $O$22 / 8) * (1 + 4.65 * O20^2) * ( PI() * $C$30 * O18^3 * $C$19^ 5)</f>
        <v>1331.8918765047763</v>
      </c>
      <c r="P23" t="s">
        <v>29</v>
      </c>
      <c r="R23" t="s">
        <v>46</v>
      </c>
      <c r="S23">
        <f xml:space="preserve"> ($C$8 * $S$22 / 8) * (1 + 4.65 * S20^2) * ( PI() * $C$30 * S18^3 * $C$19^5)</f>
        <v>1331.8918765047763</v>
      </c>
      <c r="T23" t="s">
        <v>29</v>
      </c>
      <c r="V23" t="s">
        <v>46</v>
      </c>
      <c r="W23">
        <f xml:space="preserve"> ($C$8 * $W$22 / 8) * (1 + 4.65 * W20^2) * ( PI() * $C$30 * W18^3 * $C$19^ 5)</f>
        <v>1331.8918765047763</v>
      </c>
      <c r="X23" t="s">
        <v>29</v>
      </c>
      <c r="AB23" s="8">
        <v>19</v>
      </c>
      <c r="AC23" s="8">
        <f t="shared" si="7"/>
        <v>0.42548751831054688</v>
      </c>
      <c r="AD23" s="8">
        <f t="shared" si="0"/>
        <v>1.9047314332443221E-6</v>
      </c>
      <c r="AE23" s="8">
        <f t="shared" si="8"/>
        <v>0.42548942565917969</v>
      </c>
      <c r="AF23" s="8">
        <f t="shared" si="1"/>
        <v>-6.1639424620008043E-8</v>
      </c>
      <c r="AG23" s="8">
        <f t="shared" si="3"/>
        <v>0.42548847198486328</v>
      </c>
      <c r="AH23" s="8">
        <f t="shared" si="2"/>
        <v>9.2154593889226533E-7</v>
      </c>
      <c r="AI23" s="8">
        <f t="shared" si="4"/>
        <v>1.755297516986749E-12</v>
      </c>
      <c r="AJ23" s="8">
        <f t="shared" si="5"/>
        <v>-5.6803561434224324E-14</v>
      </c>
      <c r="AK23" s="8">
        <f t="shared" si="6"/>
        <v>1.9073486328125E-6</v>
      </c>
      <c r="AM23" s="8">
        <v>19</v>
      </c>
      <c r="AN23" s="8">
        <f t="shared" si="13"/>
        <v>1046.3638305664062</v>
      </c>
      <c r="AO23" s="8">
        <v>-2.4894103216865915E-4</v>
      </c>
      <c r="AP23" s="8">
        <f t="shared" si="14"/>
        <v>1046.3714599609375</v>
      </c>
      <c r="AQ23" s="8">
        <v>2.0566236061085874E-3</v>
      </c>
      <c r="AR23" s="8">
        <f t="shared" si="9"/>
        <v>1046.3676452636719</v>
      </c>
      <c r="AS23" s="8">
        <v>9.0406443064239284E-4</v>
      </c>
      <c r="AT23" s="8">
        <f t="shared" si="10"/>
        <v>-2.2505873251108844E-7</v>
      </c>
      <c r="AU23" s="8">
        <f t="shared" si="11"/>
        <v>1.8593202495022649E-6</v>
      </c>
      <c r="AV23" s="8">
        <f t="shared" si="12"/>
        <v>7.62939453125E-3</v>
      </c>
    </row>
    <row r="24" spans="2:48" x14ac:dyDescent="0.2">
      <c r="F24" s="4" t="s">
        <v>120</v>
      </c>
      <c r="G24">
        <f xml:space="preserve"> ($C$27-G15-G31)/$C$20</f>
        <v>1680.2478630521136</v>
      </c>
      <c r="H24" t="s">
        <v>22</v>
      </c>
      <c r="J24" s="14" t="s">
        <v>85</v>
      </c>
      <c r="K24">
        <f xml:space="preserve"> $C$33 * (3.184 * ($C$17*2.20462)^0.887 * ($C$57*3.28084*3.28084)^0.101 * ($C$56)^0.138 ) / ( 174.04 * ($C$61*3.28084)^0.223 ) * 0.453592</f>
        <v>13.610458542815534</v>
      </c>
      <c r="L24" t="s">
        <v>12</v>
      </c>
      <c r="N24" t="s">
        <v>47</v>
      </c>
      <c r="O24" s="5">
        <f>AG70</f>
        <v>0.43577358638867736</v>
      </c>
      <c r="R24" t="s">
        <v>47</v>
      </c>
      <c r="S24" s="5">
        <f>AG34</f>
        <v>0.42548936558887362</v>
      </c>
      <c r="V24" t="s">
        <v>47</v>
      </c>
      <c r="W24" s="5">
        <f>AG105</f>
        <v>0.41906898794695735</v>
      </c>
      <c r="AB24" s="8">
        <v>20</v>
      </c>
      <c r="AC24" s="8">
        <f t="shared" si="7"/>
        <v>0.42548847198486328</v>
      </c>
      <c r="AD24" s="8">
        <f t="shared" si="0"/>
        <v>9.2154593889226533E-7</v>
      </c>
      <c r="AE24" s="8">
        <f t="shared" si="8"/>
        <v>0.42548942565917969</v>
      </c>
      <c r="AF24" s="8">
        <f t="shared" si="1"/>
        <v>-6.1639424620008043E-8</v>
      </c>
      <c r="AG24" s="8">
        <f t="shared" si="3"/>
        <v>0.42548894882202148</v>
      </c>
      <c r="AH24" s="8">
        <f t="shared" si="2"/>
        <v>4.299532407880946E-7</v>
      </c>
      <c r="AI24" s="8">
        <f t="shared" si="4"/>
        <v>3.9622166296183689E-13</v>
      </c>
      <c r="AJ24" s="8">
        <f t="shared" si="5"/>
        <v>-2.6502070375685925E-14</v>
      </c>
      <c r="AK24" s="8">
        <f t="shared" si="6"/>
        <v>9.5367431640625E-7</v>
      </c>
      <c r="AM24" s="8">
        <v>20</v>
      </c>
      <c r="AN24" s="8">
        <f t="shared" si="13"/>
        <v>1046.3638305664062</v>
      </c>
      <c r="AO24" s="8">
        <v>-2.4894103216865915E-4</v>
      </c>
      <c r="AP24" s="8">
        <f t="shared" si="14"/>
        <v>1046.3676452636719</v>
      </c>
      <c r="AQ24" s="8">
        <v>9.0406443064239284E-4</v>
      </c>
      <c r="AR24" s="8">
        <f t="shared" si="9"/>
        <v>1046.3657379150391</v>
      </c>
      <c r="AS24" s="8">
        <v>3.2756218490703759E-4</v>
      </c>
      <c r="AT24" s="8">
        <f t="shared" si="10"/>
        <v>-8.1543668410179125E-8</v>
      </c>
      <c r="AU24" s="8">
        <f t="shared" si="11"/>
        <v>2.9613732019795914E-7</v>
      </c>
      <c r="AV24" s="8">
        <f t="shared" si="12"/>
        <v>3.814697265625E-3</v>
      </c>
    </row>
    <row r="25" spans="2:48" x14ac:dyDescent="0.2">
      <c r="B25" s="42" t="s">
        <v>20</v>
      </c>
      <c r="C25" s="42"/>
      <c r="D25" s="42"/>
      <c r="F25" s="4"/>
      <c r="J25" s="14" t="s">
        <v>86</v>
      </c>
      <c r="K25">
        <f xml:space="preserve"> $C$64 * $C$33 * ( 1.68 * ($C$17*2.20462)^0.567 * ($C$66*3.28084*3.28084)^1.249 * ($C$65)^0.482 ) / (639.95 * ($C$70*3.28084)^0.747 * (COS($C$71/180*PI()))^0.882 ) * 0.453592</f>
        <v>9.9484348524467965</v>
      </c>
      <c r="L25" t="s">
        <v>12</v>
      </c>
      <c r="N25" t="s">
        <v>48</v>
      </c>
      <c r="O25">
        <f xml:space="preserve"> O18 * $C$19 * O24 - $G$11 * SIN(O16/180*PI())</f>
        <v>2.8449996195337164</v>
      </c>
      <c r="P25" t="s">
        <v>16</v>
      </c>
      <c r="R25" t="s">
        <v>48</v>
      </c>
      <c r="S25">
        <f xml:space="preserve"> S18 * $C$19 * S24 - $C$20 * SIN(S16/180*PI())</f>
        <v>1.6023522152045331</v>
      </c>
      <c r="T25" t="s">
        <v>16</v>
      </c>
      <c r="V25" t="s">
        <v>48</v>
      </c>
      <c r="W25">
        <f xml:space="preserve"> W18 * $C$19 * W24 - $G$27 * SIN(W16/180*PI())</f>
        <v>0.82657486008467629</v>
      </c>
      <c r="X25" t="s">
        <v>16</v>
      </c>
      <c r="AB25" s="8">
        <v>21</v>
      </c>
      <c r="AC25" s="8">
        <f t="shared" si="7"/>
        <v>0.42548894882202148</v>
      </c>
      <c r="AD25" s="8">
        <f t="shared" si="0"/>
        <v>4.299532407880946E-7</v>
      </c>
      <c r="AE25" s="8">
        <f t="shared" si="8"/>
        <v>0.42548942565917969</v>
      </c>
      <c r="AF25" s="8">
        <f t="shared" si="1"/>
        <v>-6.1639424620008043E-8</v>
      </c>
      <c r="AG25" s="8">
        <f t="shared" si="3"/>
        <v>0.42548918724060059</v>
      </c>
      <c r="AH25" s="8">
        <f t="shared" si="2"/>
        <v>1.8415690400397366E-7</v>
      </c>
      <c r="AI25" s="8">
        <f t="shared" si="4"/>
        <v>7.9178857690010507E-14</v>
      </c>
      <c r="AJ25" s="8">
        <f t="shared" si="5"/>
        <v>-1.1351325602606993E-14</v>
      </c>
      <c r="AK25" s="8">
        <f t="shared" si="6"/>
        <v>4.76837158203125E-7</v>
      </c>
      <c r="AM25" s="8">
        <v>21</v>
      </c>
      <c r="AN25" s="8">
        <f t="shared" si="13"/>
        <v>1046.3638305664062</v>
      </c>
      <c r="AO25" s="8">
        <v>-2.4894103216865915E-4</v>
      </c>
      <c r="AP25" s="8">
        <f t="shared" si="14"/>
        <v>1046.3657379150391</v>
      </c>
      <c r="AQ25" s="8">
        <v>3.2756218490703759E-4</v>
      </c>
      <c r="AR25" s="8">
        <f t="shared" si="9"/>
        <v>1046.3647842407227</v>
      </c>
      <c r="AS25" s="8">
        <v>3.9241204035533883E-5</v>
      </c>
      <c r="AT25" s="8">
        <f t="shared" si="10"/>
        <v>-9.7687458361467568E-9</v>
      </c>
      <c r="AU25" s="8">
        <f t="shared" si="11"/>
        <v>1.285393453226234E-8</v>
      </c>
      <c r="AV25" s="8">
        <f t="shared" si="12"/>
        <v>1.9073486328125E-3</v>
      </c>
    </row>
    <row r="26" spans="2:48" x14ac:dyDescent="0.2">
      <c r="B26" t="s">
        <v>91</v>
      </c>
      <c r="C26" s="1">
        <v>181</v>
      </c>
      <c r="D26" t="s">
        <v>12</v>
      </c>
      <c r="F26" s="48" t="s">
        <v>130</v>
      </c>
      <c r="G26" s="49"/>
      <c r="H26" s="49"/>
      <c r="J26" s="14" t="s">
        <v>184</v>
      </c>
      <c r="K26">
        <f>$C$33*(0.14*$G$6*1000/745.7)*0.453592</f>
        <v>16.344822997282485</v>
      </c>
      <c r="L26" t="s">
        <v>12</v>
      </c>
      <c r="N26" t="s">
        <v>49</v>
      </c>
      <c r="O26">
        <f xml:space="preserve"> 1/$C$9 - O23 * SQRT( (2*$C$30*PI()*$C$19^2) / O17^3 )</f>
        <v>1.2394366729312767</v>
      </c>
      <c r="R26" t="s">
        <v>49</v>
      </c>
      <c r="S26">
        <f xml:space="preserve"> 1/$C$9 - S23 * SQRT( (2*$C$30*PI()*$C$19^2) / S17^3 )</f>
        <v>1.1031433789024354</v>
      </c>
      <c r="V26" t="s">
        <v>49</v>
      </c>
      <c r="W26">
        <f xml:space="preserve"> 1/$C$9 - W23 * SQRT( (2*$C$30*PI()*$C$19^2) / W17^3 )</f>
        <v>0.69780764167987841</v>
      </c>
      <c r="AB26" s="8">
        <v>22</v>
      </c>
      <c r="AC26" s="8">
        <f t="shared" si="7"/>
        <v>0.42548918724060059</v>
      </c>
      <c r="AD26" s="8">
        <f t="shared" si="0"/>
        <v>1.8415690400397366E-7</v>
      </c>
      <c r="AE26" s="8">
        <f t="shared" si="8"/>
        <v>0.42548942565917969</v>
      </c>
      <c r="AF26" s="8">
        <f t="shared" si="1"/>
        <v>-6.1639424620008043E-8</v>
      </c>
      <c r="AG26" s="8">
        <f t="shared" si="3"/>
        <v>0.42548930644989014</v>
      </c>
      <c r="AH26" s="8">
        <f t="shared" si="2"/>
        <v>6.1258738637270937E-8</v>
      </c>
      <c r="AI26" s="8">
        <f t="shared" si="4"/>
        <v>1.1281219650628416E-14</v>
      </c>
      <c r="AJ26" s="8">
        <f t="shared" si="5"/>
        <v>-3.7759534025488359E-15</v>
      </c>
      <c r="AK26" s="8">
        <f t="shared" si="6"/>
        <v>2.384185791015625E-7</v>
      </c>
      <c r="AM26" s="8">
        <v>22</v>
      </c>
      <c r="AN26" s="8">
        <f t="shared" si="13"/>
        <v>1046.3638305664062</v>
      </c>
      <c r="AO26" s="8">
        <v>-2.4894103216865915E-4</v>
      </c>
      <c r="AP26" s="8">
        <f t="shared" si="14"/>
        <v>1046.3647842407227</v>
      </c>
      <c r="AQ26" s="8">
        <v>3.9241204035533883E-5</v>
      </c>
      <c r="AR26" s="8">
        <f t="shared" si="9"/>
        <v>1046.3643074035645</v>
      </c>
      <c r="AS26" s="8">
        <v>-1.0484988365533354E-4</v>
      </c>
      <c r="AT26" s="8">
        <f t="shared" si="10"/>
        <v>2.6101438259922556E-8</v>
      </c>
      <c r="AU26" s="8">
        <f t="shared" si="11"/>
        <v>-4.1144356776209325E-9</v>
      </c>
      <c r="AV26" s="8">
        <f t="shared" si="12"/>
        <v>9.5367431640625E-4</v>
      </c>
    </row>
    <row r="27" spans="2:48" x14ac:dyDescent="0.2">
      <c r="B27" t="s">
        <v>21</v>
      </c>
      <c r="C27" s="1">
        <v>100000</v>
      </c>
      <c r="D27" t="s">
        <v>14</v>
      </c>
      <c r="F27" s="4" t="s">
        <v>153</v>
      </c>
      <c r="G27" s="1">
        <f>$C$20</f>
        <v>50</v>
      </c>
      <c r="H27" t="s">
        <v>16</v>
      </c>
      <c r="J27" s="15" t="s">
        <v>87</v>
      </c>
      <c r="K27">
        <f xml:space="preserve"> $C$33 * (0.0268 * $C$17)</f>
        <v>22.434058166846519</v>
      </c>
      <c r="L27" t="s">
        <v>12</v>
      </c>
      <c r="N27" t="s">
        <v>50</v>
      </c>
      <c r="O27" s="1">
        <v>1.1499999999999999</v>
      </c>
      <c r="R27" t="s">
        <v>50</v>
      </c>
      <c r="S27" s="1">
        <v>1.1499999999999999</v>
      </c>
      <c r="V27" t="s">
        <v>50</v>
      </c>
      <c r="W27" s="1">
        <v>1.1499999999999999</v>
      </c>
      <c r="AB27" s="8">
        <v>23</v>
      </c>
      <c r="AC27" s="8">
        <f t="shared" si="7"/>
        <v>0.42548930644989014</v>
      </c>
      <c r="AD27" s="8">
        <f t="shared" si="0"/>
        <v>6.1258738637270937E-8</v>
      </c>
      <c r="AE27" s="8">
        <f t="shared" si="8"/>
        <v>0.42548942565917969</v>
      </c>
      <c r="AF27" s="8">
        <f t="shared" si="1"/>
        <v>-6.1639424620008043E-8</v>
      </c>
      <c r="AG27" s="8">
        <f t="shared" si="3"/>
        <v>0.42548936605453491</v>
      </c>
      <c r="AH27" s="8">
        <f t="shared" si="2"/>
        <v>-1.9034324116873336E-10</v>
      </c>
      <c r="AI27" s="8">
        <f t="shared" si="4"/>
        <v>-1.1660186862126466E-17</v>
      </c>
      <c r="AJ27" s="8">
        <f t="shared" si="5"/>
        <v>1.1732647865948151E-17</v>
      </c>
      <c r="AK27" s="8">
        <f t="shared" si="6"/>
        <v>1.1920928955078125E-7</v>
      </c>
      <c r="AM27" s="8">
        <v>23</v>
      </c>
      <c r="AN27" s="8">
        <f t="shared" si="13"/>
        <v>1046.3643074035645</v>
      </c>
      <c r="AO27" s="8">
        <v>-1.0484988365533354E-4</v>
      </c>
      <c r="AP27" s="8">
        <f t="shared" si="14"/>
        <v>1046.3647842407227</v>
      </c>
      <c r="AQ27" s="8">
        <v>3.9241204035533883E-5</v>
      </c>
      <c r="AR27" s="8">
        <f t="shared" si="9"/>
        <v>1046.3645458221436</v>
      </c>
      <c r="AS27" s="8">
        <v>-3.2583131314822822E-5</v>
      </c>
      <c r="AT27" s="8">
        <f t="shared" si="10"/>
        <v>3.416337527485628E-9</v>
      </c>
      <c r="AU27" s="8">
        <f t="shared" si="11"/>
        <v>-1.2786013040415558E-9</v>
      </c>
      <c r="AV27" s="8">
        <f t="shared" si="12"/>
        <v>4.76837158203125E-4</v>
      </c>
    </row>
    <row r="28" spans="2:48" x14ac:dyDescent="0.2">
      <c r="F28" t="s">
        <v>125</v>
      </c>
      <c r="G28" s="1">
        <v>1.524</v>
      </c>
      <c r="H28" t="s">
        <v>16</v>
      </c>
      <c r="J28" s="15" t="s">
        <v>88</v>
      </c>
      <c r="K28">
        <f xml:space="preserve"> $C$33 * (11.5 * ($C$17*2.20462/1000)^0.4 * 0.453592)</f>
        <v>5.8298842895764533</v>
      </c>
      <c r="L28" t="s">
        <v>12</v>
      </c>
      <c r="N28" t="s">
        <v>51</v>
      </c>
      <c r="O28">
        <f xml:space="preserve"> 1/$C$36 * LN( EXP($C$36 * O26) + EXP($C$36 * O27) )</f>
        <v>1.2416405485208535</v>
      </c>
      <c r="R28" t="s">
        <v>51</v>
      </c>
      <c r="S28">
        <f xml:space="preserve"> 1/$C$36 * LN( EXP($C$36 * S26) + EXP($C$36 * S27) )</f>
        <v>1.1573097567384814</v>
      </c>
      <c r="V28" t="s">
        <v>51</v>
      </c>
      <c r="W28">
        <f xml:space="preserve"> 1/$C$36 * LN( EXP($C$36 * W26) + EXP($C$36 * W27) )</f>
        <v>1.1500000427896848</v>
      </c>
      <c r="AB28" s="8">
        <v>24</v>
      </c>
      <c r="AC28" s="8">
        <f t="shared" si="7"/>
        <v>0.42548930644989014</v>
      </c>
      <c r="AD28" s="8">
        <f t="shared" si="0"/>
        <v>6.1258738637270937E-8</v>
      </c>
      <c r="AE28" s="8">
        <f t="shared" si="8"/>
        <v>0.42548936605453491</v>
      </c>
      <c r="AF28" s="8">
        <f t="shared" si="1"/>
        <v>-1.9034324116873336E-10</v>
      </c>
      <c r="AG28" s="8">
        <f t="shared" si="3"/>
        <v>0.42548933625221252</v>
      </c>
      <c r="AH28" s="8">
        <f t="shared" si="2"/>
        <v>3.0534197670295526E-8</v>
      </c>
      <c r="AI28" s="8">
        <f t="shared" si="4"/>
        <v>1.870486434583401E-15</v>
      </c>
      <c r="AJ28" s="8">
        <f t="shared" si="5"/>
        <v>-5.8119781510508376E-18</v>
      </c>
      <c r="AK28" s="8">
        <f t="shared" si="6"/>
        <v>5.9604644775390625E-8</v>
      </c>
      <c r="AM28" s="8">
        <v>24</v>
      </c>
      <c r="AN28" s="8">
        <f t="shared" si="13"/>
        <v>1046.3645458221436</v>
      </c>
      <c r="AO28" s="8">
        <v>-3.2583131314822822E-5</v>
      </c>
      <c r="AP28" s="8">
        <f t="shared" si="14"/>
        <v>1046.3647842407227</v>
      </c>
      <c r="AQ28" s="8">
        <v>3.9241204035533883E-5</v>
      </c>
      <c r="AR28" s="8">
        <f t="shared" si="9"/>
        <v>1046.3646650314331</v>
      </c>
      <c r="AS28" s="8">
        <v>3.6330268358142348E-6</v>
      </c>
      <c r="AT28" s="8">
        <f t="shared" si="10"/>
        <v>-1.1837539046161046E-10</v>
      </c>
      <c r="AU28" s="8">
        <f t="shared" si="11"/>
        <v>1.4256434733075644E-10</v>
      </c>
      <c r="AV28" s="8">
        <f t="shared" si="12"/>
        <v>2.384185791015625E-4</v>
      </c>
    </row>
    <row r="29" spans="2:48" x14ac:dyDescent="0.2">
      <c r="B29" s="19" t="s">
        <v>96</v>
      </c>
      <c r="C29" s="19"/>
      <c r="D29" s="19"/>
      <c r="F29" t="s">
        <v>124</v>
      </c>
      <c r="G29" s="1">
        <v>304.8</v>
      </c>
      <c r="H29" t="s">
        <v>14</v>
      </c>
      <c r="J29" s="15" t="s">
        <v>89</v>
      </c>
      <c r="K29">
        <f xml:space="preserve"> $C$33 * (8 * ($C$17/1000))</f>
        <v>6.6967337811482146</v>
      </c>
      <c r="L29" t="s">
        <v>12</v>
      </c>
      <c r="AB29" s="8">
        <v>25</v>
      </c>
      <c r="AC29" s="8">
        <f t="shared" si="7"/>
        <v>0.42548933625221252</v>
      </c>
      <c r="AD29" s="8">
        <f t="shared" si="0"/>
        <v>3.0534197670295526E-8</v>
      </c>
      <c r="AE29" s="8">
        <f t="shared" si="8"/>
        <v>0.42548936605453491</v>
      </c>
      <c r="AF29" s="8">
        <f t="shared" si="1"/>
        <v>-1.9034324116873336E-10</v>
      </c>
      <c r="AG29" s="8">
        <f t="shared" si="3"/>
        <v>0.42548935115337372</v>
      </c>
      <c r="AH29" s="8">
        <f t="shared" si="2"/>
        <v>1.5171927214563397E-8</v>
      </c>
      <c r="AI29" s="8">
        <f t="shared" si="4"/>
        <v>4.63262624608815E-16</v>
      </c>
      <c r="AJ29" s="8">
        <f t="shared" si="5"/>
        <v>-2.8878738007961095E-18</v>
      </c>
      <c r="AK29" s="8">
        <f t="shared" si="6"/>
        <v>2.9802322387695312E-8</v>
      </c>
      <c r="AM29" s="8">
        <v>25</v>
      </c>
      <c r="AN29" s="8">
        <f t="shared" si="13"/>
        <v>1046.3645458221436</v>
      </c>
      <c r="AO29" s="8">
        <v>-3.2583131314822822E-5</v>
      </c>
      <c r="AP29" s="8">
        <f t="shared" si="14"/>
        <v>1046.3646650314331</v>
      </c>
      <c r="AQ29" s="8">
        <v>3.6330268358142348E-6</v>
      </c>
      <c r="AR29" s="8">
        <f t="shared" si="9"/>
        <v>1046.3646054267883</v>
      </c>
      <c r="AS29" s="8">
        <v>-1.469625283334608E-5</v>
      </c>
      <c r="AT29" s="8">
        <f t="shared" si="10"/>
        <v>4.7884993590475224E-10</v>
      </c>
      <c r="AU29" s="8">
        <f t="shared" si="11"/>
        <v>-5.339188092945729E-11</v>
      </c>
      <c r="AV29" s="8">
        <f t="shared" si="12"/>
        <v>1.1920928955078125E-4</v>
      </c>
    </row>
    <row r="30" spans="2:48" x14ac:dyDescent="0.2">
      <c r="B30" t="s">
        <v>23</v>
      </c>
      <c r="C30" s="1">
        <v>1.2250000000000001</v>
      </c>
      <c r="D30" t="s">
        <v>24</v>
      </c>
      <c r="F30" t="s">
        <v>126</v>
      </c>
      <c r="G30">
        <f>SQRT($G$27^2-$G$28^2)</f>
        <v>49.976768843133506</v>
      </c>
      <c r="H30" t="s">
        <v>16</v>
      </c>
      <c r="J30" s="15" t="s">
        <v>90</v>
      </c>
      <c r="K30">
        <f xml:space="preserve"> $C$33 * (13 * ($C$17*2.20462/1000)^1.3 * 0.453592)</f>
        <v>13.983650798241715</v>
      </c>
      <c r="L30" t="s">
        <v>12</v>
      </c>
      <c r="AB30" s="8">
        <v>26</v>
      </c>
      <c r="AC30" s="8">
        <f>IF(AI29&gt;0, AG29, AC29)</f>
        <v>0.42548935115337372</v>
      </c>
      <c r="AD30" s="8">
        <f t="shared" si="0"/>
        <v>1.5171927214563397E-8</v>
      </c>
      <c r="AE30" s="8">
        <f t="shared" si="8"/>
        <v>0.42548936605453491</v>
      </c>
      <c r="AF30" s="8">
        <f t="shared" si="1"/>
        <v>-1.9034324116873336E-10</v>
      </c>
      <c r="AG30" s="8">
        <f t="shared" si="3"/>
        <v>0.42548935860395432</v>
      </c>
      <c r="AH30" s="8">
        <f t="shared" si="2"/>
        <v>7.4907919866973316E-9</v>
      </c>
      <c r="AI30" s="8">
        <f t="shared" si="4"/>
        <v>1.1364975080160666E-16</v>
      </c>
      <c r="AJ30" s="8">
        <f t="shared" si="5"/>
        <v>-1.4258216256687455E-18</v>
      </c>
      <c r="AK30" s="8">
        <f t="shared" si="6"/>
        <v>1.4901161193847656E-8</v>
      </c>
      <c r="AM30" s="8">
        <v>26</v>
      </c>
      <c r="AN30" s="8">
        <f t="shared" si="13"/>
        <v>1046.3646054267883</v>
      </c>
      <c r="AO30" s="8">
        <v>-1.469625283334608E-5</v>
      </c>
      <c r="AP30" s="8">
        <f t="shared" si="14"/>
        <v>1046.3646650314331</v>
      </c>
      <c r="AQ30" s="8">
        <v>3.6330268358142348E-6</v>
      </c>
      <c r="AR30" s="8">
        <f t="shared" si="9"/>
        <v>1046.3646352291107</v>
      </c>
      <c r="AS30" s="8">
        <v>-5.4621193612547358E-6</v>
      </c>
      <c r="AT30" s="8">
        <f t="shared" si="10"/>
        <v>8.027268713891439E-11</v>
      </c>
      <c r="AU30" s="8">
        <f t="shared" si="11"/>
        <v>-1.9844026219858962E-11</v>
      </c>
      <c r="AV30" s="8">
        <f t="shared" si="12"/>
        <v>5.9604644775390625E-5</v>
      </c>
    </row>
    <row r="31" spans="2:48" x14ac:dyDescent="0.2">
      <c r="B31" t="s">
        <v>25</v>
      </c>
      <c r="C31" s="1">
        <v>9.8066499999999994</v>
      </c>
      <c r="D31" t="s">
        <v>26</v>
      </c>
      <c r="F31" t="s">
        <v>127</v>
      </c>
      <c r="G31">
        <f>$G$30 * ($G$29/$G$28)</f>
        <v>9995.3537686267009</v>
      </c>
      <c r="H31" t="s">
        <v>14</v>
      </c>
      <c r="J31" s="3" t="s">
        <v>77</v>
      </c>
      <c r="K31" s="3">
        <f>$C$17 - $C$26 - SUM(K17:K30)</f>
        <v>-5.4581050790147856E-10</v>
      </c>
      <c r="L31" s="3" t="s">
        <v>12</v>
      </c>
      <c r="AB31" s="8">
        <v>27</v>
      </c>
      <c r="AC31" s="8">
        <f t="shared" si="7"/>
        <v>0.42548935860395432</v>
      </c>
      <c r="AD31" s="8">
        <f t="shared" si="0"/>
        <v>7.4907919866973316E-9</v>
      </c>
      <c r="AE31" s="8">
        <f t="shared" si="8"/>
        <v>0.42548936605453491</v>
      </c>
      <c r="AF31" s="8">
        <f t="shared" si="1"/>
        <v>-1.9034324116873336E-10</v>
      </c>
      <c r="AG31" s="8">
        <f t="shared" si="3"/>
        <v>0.42548936232924461</v>
      </c>
      <c r="AH31" s="8">
        <f t="shared" si="2"/>
        <v>3.6502243450087235E-9</v>
      </c>
      <c r="AI31" s="8">
        <f t="shared" si="4"/>
        <v>2.7343071273238862E-17</v>
      </c>
      <c r="AJ31" s="8">
        <f t="shared" si="5"/>
        <v>-6.9479553282197721E-19</v>
      </c>
      <c r="AK31" s="8">
        <f t="shared" si="6"/>
        <v>7.4505805969238281E-9</v>
      </c>
      <c r="AM31" s="8">
        <v>27</v>
      </c>
      <c r="AN31" s="8">
        <f t="shared" si="13"/>
        <v>1046.3646352291107</v>
      </c>
      <c r="AO31" s="8">
        <v>-5.4621193612547358E-6</v>
      </c>
      <c r="AP31" s="8">
        <f t="shared" si="14"/>
        <v>1046.3646650314331</v>
      </c>
      <c r="AQ31" s="8">
        <v>3.6330268358142348E-6</v>
      </c>
      <c r="AR31" s="8">
        <f t="shared" si="9"/>
        <v>1046.3646501302719</v>
      </c>
      <c r="AS31" s="8">
        <v>-9.8403961601434276E-7</v>
      </c>
      <c r="AT31" s="8">
        <f t="shared" si="10"/>
        <v>5.3749418388736174E-12</v>
      </c>
      <c r="AU31" s="8">
        <f t="shared" si="11"/>
        <v>-3.5750423324844423E-12</v>
      </c>
      <c r="AV31" s="8">
        <f t="shared" si="12"/>
        <v>2.9802322387695312E-5</v>
      </c>
    </row>
    <row r="32" spans="2:48" x14ac:dyDescent="0.2">
      <c r="B32" t="s">
        <v>60</v>
      </c>
      <c r="C32" s="1">
        <v>5</v>
      </c>
      <c r="D32" t="s">
        <v>61</v>
      </c>
      <c r="F32" t="s">
        <v>151</v>
      </c>
      <c r="G32">
        <f>ATAN(G28/G30)/PI()*180</f>
        <v>1.7466458786346903</v>
      </c>
      <c r="H32" t="s">
        <v>61</v>
      </c>
      <c r="J32" t="s">
        <v>78</v>
      </c>
      <c r="K32" s="10" t="str">
        <f>IF(ABS(K31)&lt;0.00001, "TRUE", "FALSE")</f>
        <v>TRUE</v>
      </c>
      <c r="AB32" s="8">
        <v>28</v>
      </c>
      <c r="AC32" s="8">
        <f t="shared" si="7"/>
        <v>0.42548936232924461</v>
      </c>
      <c r="AD32" s="8">
        <f t="shared" si="0"/>
        <v>3.6502243450087235E-9</v>
      </c>
      <c r="AE32" s="8">
        <f t="shared" si="8"/>
        <v>0.42548936605453491</v>
      </c>
      <c r="AF32" s="8">
        <f t="shared" si="1"/>
        <v>-1.9034324116873336E-10</v>
      </c>
      <c r="AG32" s="8">
        <f t="shared" si="3"/>
        <v>0.42548936419188976</v>
      </c>
      <c r="AH32" s="8">
        <f t="shared" si="2"/>
        <v>1.7299405796755707E-9</v>
      </c>
      <c r="AI32" s="8">
        <f t="shared" si="4"/>
        <v>6.3146712193502715E-18</v>
      </c>
      <c r="AJ32" s="8">
        <f t="shared" si="5"/>
        <v>-3.2928249696476553E-19</v>
      </c>
      <c r="AK32" s="8">
        <f t="shared" si="6"/>
        <v>3.7252902984619141E-9</v>
      </c>
      <c r="AM32" s="8">
        <v>28</v>
      </c>
      <c r="AN32" s="8">
        <f t="shared" si="13"/>
        <v>1046.3646501302719</v>
      </c>
      <c r="AO32" s="8">
        <v>-9.8403961601434276E-7</v>
      </c>
      <c r="AP32" s="8">
        <f t="shared" si="14"/>
        <v>1046.3646650314331</v>
      </c>
      <c r="AQ32" s="8">
        <v>3.6330268358142348E-6</v>
      </c>
      <c r="AR32" s="8">
        <f t="shared" si="9"/>
        <v>1046.3646575808525</v>
      </c>
      <c r="AS32" s="8">
        <v>1.3244934962131083E-6</v>
      </c>
      <c r="AT32" s="8">
        <f t="shared" si="10"/>
        <v>-1.3033540714270414E-12</v>
      </c>
      <c r="AU32" s="8">
        <f t="shared" si="11"/>
        <v>4.811920415603642E-12</v>
      </c>
      <c r="AV32" s="8">
        <f t="shared" si="12"/>
        <v>1.4901161193847656E-5</v>
      </c>
    </row>
    <row r="33" spans="2:48" x14ac:dyDescent="0.2">
      <c r="B33" t="s">
        <v>104</v>
      </c>
      <c r="C33" s="1">
        <v>0.8</v>
      </c>
      <c r="F33" t="s">
        <v>142</v>
      </c>
      <c r="G33">
        <f>1/1000 * (W23 + W17 * (W28 * W25 + $G$27 * SIN(W16/180*PI())))</f>
        <v>17.74484404874643</v>
      </c>
      <c r="H33" t="s">
        <v>161</v>
      </c>
      <c r="AB33" s="8">
        <v>29</v>
      </c>
      <c r="AC33" s="8">
        <f t="shared" si="7"/>
        <v>0.42548936419188976</v>
      </c>
      <c r="AD33" s="8">
        <f t="shared" si="0"/>
        <v>1.7299405796755707E-9</v>
      </c>
      <c r="AE33" s="8">
        <f t="shared" si="8"/>
        <v>0.42548936605453491</v>
      </c>
      <c r="AF33" s="8">
        <f t="shared" si="1"/>
        <v>-1.9034324116873336E-10</v>
      </c>
      <c r="AG33" s="8">
        <f t="shared" si="3"/>
        <v>0.42548936512321234</v>
      </c>
      <c r="AH33" s="8">
        <f t="shared" si="2"/>
        <v>7.6979866925341867E-10</v>
      </c>
      <c r="AI33" s="8">
        <f t="shared" si="4"/>
        <v>1.331705956121742E-18</v>
      </c>
      <c r="AJ33" s="8">
        <f t="shared" si="5"/>
        <v>-1.4652597375307347E-19</v>
      </c>
      <c r="AK33" s="8">
        <f t="shared" si="6"/>
        <v>1.862645149230957E-9</v>
      </c>
      <c r="AM33" s="8">
        <v>29</v>
      </c>
      <c r="AN33" s="8">
        <f t="shared" si="13"/>
        <v>1046.3646501302719</v>
      </c>
      <c r="AO33" s="8">
        <v>-9.8403961601434276E-7</v>
      </c>
      <c r="AP33" s="8">
        <f t="shared" si="14"/>
        <v>1046.3646575808525</v>
      </c>
      <c r="AQ33" s="8">
        <v>1.3244934962131083E-6</v>
      </c>
      <c r="AR33" s="8">
        <f t="shared" si="9"/>
        <v>1046.3646538555622</v>
      </c>
      <c r="AS33" s="8">
        <v>1.7022682641254505E-7</v>
      </c>
      <c r="AT33" s="8">
        <f t="shared" si="10"/>
        <v>-1.6750994089834101E-13</v>
      </c>
      <c r="AU33" s="8">
        <f t="shared" si="11"/>
        <v>2.2546432446441368E-13</v>
      </c>
      <c r="AV33" s="8">
        <f t="shared" si="12"/>
        <v>7.4505805969238281E-6</v>
      </c>
    </row>
    <row r="34" spans="2:48" x14ac:dyDescent="0.2">
      <c r="F34" t="s">
        <v>132</v>
      </c>
      <c r="G34">
        <f>$C$6*G33</f>
        <v>17.74484404874643</v>
      </c>
      <c r="H34" t="s">
        <v>161</v>
      </c>
      <c r="J34" s="2" t="s">
        <v>79</v>
      </c>
      <c r="K34" s="2"/>
      <c r="L34" s="2"/>
      <c r="AB34" s="8">
        <v>30</v>
      </c>
      <c r="AC34" s="8">
        <f t="shared" si="7"/>
        <v>0.42548936512321234</v>
      </c>
      <c r="AD34" s="8">
        <f t="shared" si="0"/>
        <v>7.6979866925341867E-10</v>
      </c>
      <c r="AE34" s="8">
        <f t="shared" si="8"/>
        <v>0.42548936605453491</v>
      </c>
      <c r="AF34" s="8">
        <f t="shared" si="1"/>
        <v>-1.9034324116873336E-10</v>
      </c>
      <c r="AG34" s="8">
        <f t="shared" si="3"/>
        <v>0.42548936558887362</v>
      </c>
      <c r="AH34" s="8">
        <f t="shared" si="2"/>
        <v>2.8972774179791827E-10</v>
      </c>
      <c r="AI34" s="8">
        <f t="shared" si="4"/>
        <v>2.2303203008183557E-19</v>
      </c>
      <c r="AJ34" s="8">
        <f t="shared" si="5"/>
        <v>-5.5147717430313665E-20</v>
      </c>
      <c r="AK34" s="8">
        <f t="shared" si="6"/>
        <v>9.3132257461547852E-10</v>
      </c>
      <c r="AM34" s="8">
        <v>30</v>
      </c>
      <c r="AN34" s="8">
        <f t="shared" si="13"/>
        <v>1046.3646501302719</v>
      </c>
      <c r="AO34" s="8">
        <v>-9.8403961601434276E-7</v>
      </c>
      <c r="AP34" s="8">
        <f t="shared" si="14"/>
        <v>1046.3646538555622</v>
      </c>
      <c r="AQ34" s="8">
        <v>1.7022682641254505E-7</v>
      </c>
      <c r="AR34" s="8">
        <f t="shared" si="9"/>
        <v>1046.3646519929171</v>
      </c>
      <c r="AS34" s="8">
        <v>-4.0690656533115543E-7</v>
      </c>
      <c r="AT34" s="8">
        <f t="shared" si="10"/>
        <v>4.0041218030218527E-13</v>
      </c>
      <c r="AU34" s="8">
        <f t="shared" si="11"/>
        <v>-6.9266413262751518E-14</v>
      </c>
      <c r="AV34" s="8">
        <f t="shared" si="12"/>
        <v>3.7252902984619141E-6</v>
      </c>
    </row>
    <row r="35" spans="2:48" x14ac:dyDescent="0.2">
      <c r="B35" s="46" t="s">
        <v>27</v>
      </c>
      <c r="C35" s="46"/>
      <c r="D35" s="46"/>
      <c r="F35" t="s">
        <v>131</v>
      </c>
      <c r="G35">
        <f>$G$29/$G$28</f>
        <v>200</v>
      </c>
      <c r="H35" t="s">
        <v>22</v>
      </c>
      <c r="J35" t="s">
        <v>80</v>
      </c>
      <c r="K35">
        <f>ROUND($C$26/$C$17 * 100, 2)</f>
        <v>17.3</v>
      </c>
      <c r="L35" t="s">
        <v>81</v>
      </c>
      <c r="AM35" s="8">
        <v>31</v>
      </c>
      <c r="AN35" s="8">
        <f t="shared" si="13"/>
        <v>1046.3646519929171</v>
      </c>
      <c r="AO35">
        <v>-4.0690656533115543E-7</v>
      </c>
      <c r="AP35" s="8">
        <f t="shared" si="14"/>
        <v>1046.3646538555622</v>
      </c>
      <c r="AQ35">
        <v>1.7022682641254505E-7</v>
      </c>
      <c r="AR35" s="8">
        <f t="shared" si="9"/>
        <v>1046.3646529242396</v>
      </c>
      <c r="AS35">
        <v>-1.1833981261588633E-7</v>
      </c>
      <c r="AT35" s="8">
        <f t="shared" si="10"/>
        <v>4.8153246693462843E-14</v>
      </c>
      <c r="AU35" s="8">
        <f t="shared" si="11"/>
        <v>-2.0144610739857591E-14</v>
      </c>
      <c r="AV35" s="8">
        <f t="shared" si="12"/>
        <v>1.862645149230957E-6</v>
      </c>
    </row>
    <row r="36" spans="2:48" x14ac:dyDescent="0.2">
      <c r="B36" t="s">
        <v>28</v>
      </c>
      <c r="C36" s="1">
        <v>30</v>
      </c>
      <c r="J36" s="16" t="s">
        <v>73</v>
      </c>
      <c r="K36">
        <f>ROUND(K17/$C$17 * 100, 2)</f>
        <v>31.93</v>
      </c>
      <c r="L36" t="s">
        <v>81</v>
      </c>
      <c r="AM36" s="8">
        <v>32</v>
      </c>
      <c r="AN36" s="8">
        <f t="shared" si="13"/>
        <v>1046.3646529242396</v>
      </c>
      <c r="AO36">
        <v>-1.1833981261588633E-7</v>
      </c>
      <c r="AP36" s="8">
        <f t="shared" si="14"/>
        <v>1046.3646538555622</v>
      </c>
      <c r="AQ36">
        <v>1.7022682641254505E-7</v>
      </c>
      <c r="AR36" s="8">
        <f t="shared" si="9"/>
        <v>1046.3646533899009</v>
      </c>
      <c r="AS36">
        <v>2.5943563741748221E-8</v>
      </c>
      <c r="AT36" s="8">
        <f t="shared" si="10"/>
        <v>-3.0701564717867873E-15</v>
      </c>
      <c r="AU36" s="8">
        <f t="shared" si="11"/>
        <v>4.4162905215893722E-15</v>
      </c>
      <c r="AV36" s="8">
        <f t="shared" si="12"/>
        <v>9.3132257461547852E-7</v>
      </c>
    </row>
    <row r="37" spans="2:48" x14ac:dyDescent="0.2">
      <c r="F37" s="21" t="s">
        <v>110</v>
      </c>
      <c r="G37" s="22"/>
      <c r="H37" s="22"/>
      <c r="J37" s="18" t="s">
        <v>107</v>
      </c>
      <c r="K37">
        <f>ROUND(SUM(K18:K20)/$C$17 * 100, 2)</f>
        <v>13.9</v>
      </c>
      <c r="L37" t="s">
        <v>81</v>
      </c>
      <c r="AB37" s="6" t="s">
        <v>141</v>
      </c>
      <c r="AM37" s="8">
        <v>33</v>
      </c>
      <c r="AN37" s="8">
        <f t="shared" si="13"/>
        <v>1046.3646529242396</v>
      </c>
      <c r="AO37">
        <v>-1.1833981261588633E-7</v>
      </c>
      <c r="AP37" s="8">
        <f t="shared" si="14"/>
        <v>1046.3646533899009</v>
      </c>
      <c r="AQ37">
        <v>2.5943563741748221E-8</v>
      </c>
      <c r="AR37" s="8">
        <f t="shared" si="9"/>
        <v>1046.3646531570703</v>
      </c>
      <c r="AS37">
        <v>-4.6198238123906776E-8</v>
      </c>
      <c r="AT37" s="8">
        <f t="shared" si="10"/>
        <v>5.467090842767224E-15</v>
      </c>
      <c r="AU37" s="8">
        <f t="shared" si="11"/>
        <v>-1.1985469355240382E-15</v>
      </c>
      <c r="AV37" s="8">
        <f t="shared" si="12"/>
        <v>4.6566128730773926E-7</v>
      </c>
    </row>
    <row r="38" spans="2:48" x14ac:dyDescent="0.2">
      <c r="B38" s="42" t="s">
        <v>181</v>
      </c>
      <c r="C38" s="42"/>
      <c r="D38" s="42"/>
      <c r="F38" t="s">
        <v>116</v>
      </c>
      <c r="G38" s="1">
        <v>1.524</v>
      </c>
      <c r="H38" t="s">
        <v>16</v>
      </c>
      <c r="J38" s="17" t="s">
        <v>94</v>
      </c>
      <c r="K38">
        <f>ROUND(SUM(K21:K26)/$C$17 * 100, 2)</f>
        <v>32.19</v>
      </c>
      <c r="L38" t="s">
        <v>81</v>
      </c>
      <c r="AB38" s="7" t="s">
        <v>62</v>
      </c>
      <c r="AC38" s="7" t="s">
        <v>63</v>
      </c>
      <c r="AD38" s="7" t="s">
        <v>64</v>
      </c>
      <c r="AE38" s="7" t="s">
        <v>65</v>
      </c>
      <c r="AF38" s="7" t="s">
        <v>66</v>
      </c>
      <c r="AG38" s="7" t="s">
        <v>67</v>
      </c>
      <c r="AH38" s="7" t="s">
        <v>68</v>
      </c>
      <c r="AI38" s="7" t="s">
        <v>69</v>
      </c>
      <c r="AJ38" s="7" t="s">
        <v>70</v>
      </c>
      <c r="AK38" s="7" t="s">
        <v>71</v>
      </c>
      <c r="AM38" s="8">
        <v>34</v>
      </c>
      <c r="AN38" s="8">
        <f t="shared" si="13"/>
        <v>1046.3646531570703</v>
      </c>
      <c r="AO38">
        <v>-4.6198238123906776E-8</v>
      </c>
      <c r="AP38" s="8">
        <f t="shared" si="14"/>
        <v>1046.3646533899009</v>
      </c>
      <c r="AQ38">
        <v>2.5943563741748221E-8</v>
      </c>
      <c r="AR38" s="8">
        <f t="shared" si="9"/>
        <v>1046.3646532734856</v>
      </c>
      <c r="AS38">
        <v>-1.0127450877916999E-8</v>
      </c>
      <c r="AT38" s="8">
        <f t="shared" si="10"/>
        <v>4.6787038724617826E-16</v>
      </c>
      <c r="AU38" s="8">
        <f t="shared" si="11"/>
        <v>-2.6274216739266365E-16</v>
      </c>
      <c r="AV38" s="8">
        <f t="shared" si="12"/>
        <v>2.3283064365386963E-7</v>
      </c>
    </row>
    <row r="39" spans="2:48" x14ac:dyDescent="0.2">
      <c r="B39" t="s">
        <v>179</v>
      </c>
      <c r="C39" s="1">
        <v>2</v>
      </c>
      <c r="F39" t="s">
        <v>122</v>
      </c>
      <c r="G39" s="1">
        <v>152.4</v>
      </c>
      <c r="H39" t="s">
        <v>14</v>
      </c>
      <c r="J39" s="15" t="s">
        <v>95</v>
      </c>
      <c r="K39">
        <f>ROUND(SUM(K27:K30)/$C$17*100, 2)</f>
        <v>4.68</v>
      </c>
      <c r="L39" t="s">
        <v>81</v>
      </c>
      <c r="AB39" s="8">
        <v>0</v>
      </c>
      <c r="AC39" s="9">
        <v>0</v>
      </c>
      <c r="AD39" s="8">
        <f t="shared" ref="AD39:AD68" si="15" xml:space="preserve"> $O$20 * TAN($O$16/180*PI()) + $O$21 / (2 * SQRT($O$20^2 + AC39^2)) - AC39</f>
        <v>0.69769748344877314</v>
      </c>
      <c r="AE39" s="9">
        <v>1</v>
      </c>
      <c r="AF39" s="8">
        <f t="shared" ref="AF39:AF68" si="16" xml:space="preserve"> $O$20 * TAN($O$16/180*PI()) + $O$21 / (2 * SQRT($O$20^2 + AE39^2)) - AE39</f>
        <v>-0.57748294831073854</v>
      </c>
      <c r="AG39" s="8">
        <f xml:space="preserve"> (AC39 + AE39)/2</f>
        <v>0.5</v>
      </c>
      <c r="AH39" s="8">
        <f t="shared" ref="AH39:AH68" si="17" xml:space="preserve"> $O$20 * TAN($O$16/180*PI()) + $O$21 / (2 * SQRT($O$20^2 + AG39^2)) - AG39</f>
        <v>-6.7234083181156479E-2</v>
      </c>
      <c r="AI39" s="8">
        <f>AD39*AH39</f>
        <v>-4.6909050637478356E-2</v>
      </c>
      <c r="AJ39" s="8">
        <f>AF39*AH39</f>
        <v>3.882653658242368E-2</v>
      </c>
      <c r="AK39" s="8">
        <f>AE39-AC39</f>
        <v>1</v>
      </c>
      <c r="AM39" s="8">
        <v>35</v>
      </c>
      <c r="AN39" s="8">
        <f t="shared" si="13"/>
        <v>1046.3646532734856</v>
      </c>
      <c r="AO39">
        <v>-1.0127450877916999E-8</v>
      </c>
      <c r="AP39" s="8">
        <f t="shared" si="14"/>
        <v>1046.3646533899009</v>
      </c>
      <c r="AQ39">
        <v>2.5943563741748221E-8</v>
      </c>
      <c r="AR39" s="8">
        <f t="shared" si="9"/>
        <v>1046.3646533316933</v>
      </c>
      <c r="AS39">
        <v>7.9081701187533326E-9</v>
      </c>
      <c r="AT39" s="8">
        <f t="shared" si="10"/>
        <v>-8.0089604411885418E-17</v>
      </c>
      <c r="AU39" s="8">
        <f t="shared" si="11"/>
        <v>2.0516611555646569E-16</v>
      </c>
      <c r="AV39" s="8">
        <f t="shared" si="12"/>
        <v>1.1641532182693481E-7</v>
      </c>
    </row>
    <row r="40" spans="2:48" x14ac:dyDescent="0.2">
      <c r="B40" t="s">
        <v>180</v>
      </c>
      <c r="C40" s="1">
        <v>3</v>
      </c>
      <c r="F40" t="s">
        <v>114</v>
      </c>
      <c r="G40">
        <f xml:space="preserve"> 1/1000 * IF( $G$38&gt;=2*SQRT(($C$17*$C$31)/(2*$C$30*$C$5*PI()*$C$18*$C$18)), ($C$17*$C$31)/$C$9 * ( ($G$38/2) - SQRT( ($G$38/2)^2 - ($C$17*$C$31)/(2*$C$30*$C$5*PI()*$C$18*$C$18 ) ) ), 1/$C$9 * SQRT(($C$17*$C$31)^3/(2*$C$30*$C$5*PI()*$C$18*$C$18)) )</f>
        <v>221.8617235972921</v>
      </c>
      <c r="H40" t="s">
        <v>161</v>
      </c>
      <c r="J40" s="3" t="s">
        <v>82</v>
      </c>
      <c r="K40" s="3">
        <f>SUM(K35:K39)</f>
        <v>100</v>
      </c>
      <c r="L40" s="3" t="s">
        <v>81</v>
      </c>
      <c r="AB40" s="8">
        <v>1</v>
      </c>
      <c r="AC40" s="8">
        <f>IF(AI39&gt;0, AG39, AC39)</f>
        <v>0</v>
      </c>
      <c r="AD40" s="8">
        <f t="shared" si="15"/>
        <v>0.69769748344877314</v>
      </c>
      <c r="AE40" s="8">
        <f>IF(AJ39&gt;0, AG39, AE39)</f>
        <v>0.5</v>
      </c>
      <c r="AF40" s="8">
        <f t="shared" si="16"/>
        <v>-6.7234083181156479E-2</v>
      </c>
      <c r="AG40" s="8">
        <f t="shared" ref="AG40:AG70" si="18" xml:space="preserve"> (AC40 + AE40)/2</f>
        <v>0.25</v>
      </c>
      <c r="AH40" s="8">
        <f t="shared" si="17"/>
        <v>0.20298838988990126</v>
      </c>
      <c r="AI40" s="8">
        <f t="shared" ref="AI40:AI70" si="19">AD40*AH40</f>
        <v>0.14162448879550249</v>
      </c>
      <c r="AJ40" s="8">
        <f t="shared" ref="AJ40:AJ70" si="20">AF40*AH40</f>
        <v>-1.3647738290666643E-2</v>
      </c>
      <c r="AK40" s="8">
        <f t="shared" ref="AK40:AK70" si="21">AE40-AC40</f>
        <v>0.5</v>
      </c>
      <c r="AM40" s="8">
        <v>36</v>
      </c>
      <c r="AN40" s="8">
        <f t="shared" si="13"/>
        <v>1046.3646532734856</v>
      </c>
      <c r="AO40">
        <v>-1.0127450877916999E-8</v>
      </c>
      <c r="AP40" s="8">
        <f t="shared" si="14"/>
        <v>1046.3646533316933</v>
      </c>
      <c r="AQ40">
        <v>7.9081701187533326E-9</v>
      </c>
      <c r="AR40" s="8">
        <f t="shared" si="9"/>
        <v>1046.3646533025894</v>
      </c>
      <c r="AS40">
        <v>-1.1094698493252508E-9</v>
      </c>
      <c r="AT40" s="8">
        <f t="shared" si="10"/>
        <v>1.1236101399571452E-17</v>
      </c>
      <c r="AU40" s="8">
        <f t="shared" si="11"/>
        <v>-8.773876310091711E-18</v>
      </c>
      <c r="AV40" s="8">
        <f t="shared" si="12"/>
        <v>5.8207660913467407E-8</v>
      </c>
    </row>
    <row r="41" spans="2:48" x14ac:dyDescent="0.2">
      <c r="B41" t="s">
        <v>182</v>
      </c>
      <c r="C41" s="1">
        <v>0.14399999999999999</v>
      </c>
      <c r="F41" t="s">
        <v>30</v>
      </c>
      <c r="G41">
        <f xml:space="preserve"> $C$17 * $C$31 / $C$5</f>
        <v>855.11099394397297</v>
      </c>
      <c r="H41" t="s">
        <v>31</v>
      </c>
      <c r="AB41" s="8">
        <v>2</v>
      </c>
      <c r="AC41" s="8">
        <f t="shared" ref="AC41:AC68" si="22">IF(AI40&gt;0, AG40, AC40)</f>
        <v>0.25</v>
      </c>
      <c r="AD41" s="8">
        <f t="shared" si="15"/>
        <v>0.20298838988990126</v>
      </c>
      <c r="AE41" s="8">
        <f t="shared" ref="AE41:AE68" si="23">IF(AJ40&gt;0, AG40, AE40)</f>
        <v>0.5</v>
      </c>
      <c r="AF41" s="8">
        <f t="shared" si="16"/>
        <v>-6.7234083181156479E-2</v>
      </c>
      <c r="AG41" s="8">
        <f t="shared" si="18"/>
        <v>0.375</v>
      </c>
      <c r="AH41" s="8">
        <f t="shared" si="17"/>
        <v>6.45568668416166E-2</v>
      </c>
      <c r="AI41" s="8">
        <f t="shared" si="19"/>
        <v>1.3104294456516509E-2</v>
      </c>
      <c r="AJ41" s="8">
        <f t="shared" si="20"/>
        <v>-4.3404217551440928E-3</v>
      </c>
      <c r="AK41" s="8">
        <f t="shared" si="21"/>
        <v>0.25</v>
      </c>
      <c r="AM41" s="8">
        <v>37</v>
      </c>
      <c r="AN41" s="8">
        <f t="shared" si="13"/>
        <v>1046.3646533025894</v>
      </c>
      <c r="AO41">
        <v>-1.1094698493252508E-9</v>
      </c>
      <c r="AP41" s="8">
        <f t="shared" si="14"/>
        <v>1046.3646533316933</v>
      </c>
      <c r="AQ41">
        <v>7.9081701187533326E-9</v>
      </c>
      <c r="AR41" s="8">
        <f t="shared" si="9"/>
        <v>1046.3646533171413</v>
      </c>
      <c r="AS41">
        <v>3.3993501347140409E-9</v>
      </c>
      <c r="AT41" s="8">
        <f t="shared" si="10"/>
        <v>-3.7714764817649581E-18</v>
      </c>
      <c r="AU41" s="8">
        <f t="shared" si="11"/>
        <v>2.6882639158525694E-17</v>
      </c>
      <c r="AV41" s="8">
        <f t="shared" si="12"/>
        <v>2.9103830456733704E-8</v>
      </c>
    </row>
    <row r="42" spans="2:48" x14ac:dyDescent="0.2">
      <c r="F42" t="s">
        <v>121</v>
      </c>
      <c r="G42">
        <f xml:space="preserve"> $G$39/$G$38</f>
        <v>100</v>
      </c>
      <c r="H42" t="s">
        <v>22</v>
      </c>
      <c r="J42" s="46" t="s">
        <v>183</v>
      </c>
      <c r="K42" s="46"/>
      <c r="L42" s="46"/>
      <c r="AB42" s="8">
        <v>3</v>
      </c>
      <c r="AC42" s="8">
        <f>IF(AI41&gt;0, AG41, AC41)</f>
        <v>0.375</v>
      </c>
      <c r="AD42" s="8">
        <f t="shared" si="15"/>
        <v>6.45568668416166E-2</v>
      </c>
      <c r="AE42" s="8">
        <f t="shared" si="23"/>
        <v>0.5</v>
      </c>
      <c r="AF42" s="8">
        <f t="shared" si="16"/>
        <v>-6.7234083181156479E-2</v>
      </c>
      <c r="AG42" s="8">
        <f t="shared" si="18"/>
        <v>0.4375</v>
      </c>
      <c r="AH42" s="8">
        <f t="shared" si="17"/>
        <v>-1.8186975281746509E-3</v>
      </c>
      <c r="AI42" s="8">
        <f t="shared" si="19"/>
        <v>-1.1740941415154819E-4</v>
      </c>
      <c r="AJ42" s="8">
        <f t="shared" si="20"/>
        <v>1.2227846089065815E-4</v>
      </c>
      <c r="AK42" s="8">
        <f t="shared" si="21"/>
        <v>0.125</v>
      </c>
      <c r="AM42" s="8">
        <v>38</v>
      </c>
      <c r="AN42" s="8">
        <f t="shared" si="13"/>
        <v>1046.3646533025894</v>
      </c>
      <c r="AO42">
        <v>-1.1094698493252508E-9</v>
      </c>
      <c r="AP42" s="8">
        <f t="shared" si="14"/>
        <v>1046.3646533171413</v>
      </c>
      <c r="AQ42">
        <v>3.3993501347140409E-9</v>
      </c>
      <c r="AR42" s="8">
        <f t="shared" si="9"/>
        <v>1046.3646533098654</v>
      </c>
      <c r="AS42">
        <v>1.1448264558566734E-9</v>
      </c>
      <c r="AT42" s="8">
        <f t="shared" si="10"/>
        <v>-1.2701504354828644E-18</v>
      </c>
      <c r="AU42" s="8">
        <f t="shared" si="11"/>
        <v>3.8916659669405808E-18</v>
      </c>
      <c r="AV42" s="8">
        <f t="shared" si="12"/>
        <v>1.4551915228366852E-8</v>
      </c>
    </row>
    <row r="43" spans="2:48" x14ac:dyDescent="0.2">
      <c r="B43" s="42" t="s">
        <v>164</v>
      </c>
      <c r="C43" s="42"/>
      <c r="D43" s="42"/>
      <c r="J43" t="s">
        <v>80</v>
      </c>
      <c r="K43">
        <f>C26</f>
        <v>181</v>
      </c>
      <c r="L43" t="s">
        <v>12</v>
      </c>
      <c r="AB43" s="8">
        <v>4</v>
      </c>
      <c r="AC43" s="8">
        <f t="shared" si="22"/>
        <v>0.375</v>
      </c>
      <c r="AD43" s="8">
        <f t="shared" si="15"/>
        <v>6.45568668416166E-2</v>
      </c>
      <c r="AE43" s="8">
        <f t="shared" si="23"/>
        <v>0.4375</v>
      </c>
      <c r="AF43" s="8">
        <f t="shared" si="16"/>
        <v>-1.8186975281746509E-3</v>
      </c>
      <c r="AG43" s="8">
        <f t="shared" si="18"/>
        <v>0.40625</v>
      </c>
      <c r="AH43" s="8">
        <f t="shared" si="17"/>
        <v>3.1221779717655884E-2</v>
      </c>
      <c r="AI43" s="8">
        <f t="shared" si="19"/>
        <v>2.0155802757909967E-3</v>
      </c>
      <c r="AJ43" s="8">
        <f t="shared" si="20"/>
        <v>-5.6782973597714208E-5</v>
      </c>
      <c r="AK43" s="8">
        <f t="shared" si="21"/>
        <v>6.25E-2</v>
      </c>
      <c r="AM43" s="8">
        <v>39</v>
      </c>
      <c r="AN43" s="8">
        <f t="shared" si="13"/>
        <v>1046.3646533025894</v>
      </c>
      <c r="AO43">
        <v>-1.1094698493252508E-9</v>
      </c>
      <c r="AP43" s="8">
        <f t="shared" si="14"/>
        <v>1046.3646533098654</v>
      </c>
      <c r="AQ43">
        <v>1.1448264558566734E-9</v>
      </c>
      <c r="AR43" s="8">
        <f t="shared" si="9"/>
        <v>1046.3646533062274</v>
      </c>
      <c r="AS43">
        <v>1.7621459846850485E-11</v>
      </c>
      <c r="AT43" s="8">
        <f t="shared" si="10"/>
        <v>-1.9550478401176165E-20</v>
      </c>
      <c r="AU43" s="8">
        <f t="shared" si="11"/>
        <v>2.0173513423490519E-20</v>
      </c>
      <c r="AV43" s="8">
        <f t="shared" si="12"/>
        <v>7.2759576141834259E-9</v>
      </c>
    </row>
    <row r="44" spans="2:48" x14ac:dyDescent="0.2">
      <c r="B44" t="s">
        <v>165</v>
      </c>
      <c r="C44" s="1">
        <v>2</v>
      </c>
      <c r="J44" s="16" t="s">
        <v>73</v>
      </c>
      <c r="K44">
        <f>ROUND(K17, 2)</f>
        <v>334.14</v>
      </c>
      <c r="L44" t="s">
        <v>12</v>
      </c>
      <c r="AB44" s="8">
        <v>5</v>
      </c>
      <c r="AC44" s="8">
        <f t="shared" si="22"/>
        <v>0.40625</v>
      </c>
      <c r="AD44" s="8">
        <f t="shared" si="15"/>
        <v>3.1221779717655884E-2</v>
      </c>
      <c r="AE44" s="8">
        <f t="shared" si="23"/>
        <v>0.4375</v>
      </c>
      <c r="AF44" s="8">
        <f t="shared" si="16"/>
        <v>-1.8186975281746509E-3</v>
      </c>
      <c r="AG44" s="8">
        <f t="shared" si="18"/>
        <v>0.421875</v>
      </c>
      <c r="AH44" s="8">
        <f t="shared" si="17"/>
        <v>1.4668745275794148E-2</v>
      </c>
      <c r="AI44" s="8">
        <f t="shared" si="19"/>
        <v>4.579843337352503E-4</v>
      </c>
      <c r="AJ44" s="8">
        <f t="shared" si="20"/>
        <v>-2.6678010774510405E-5</v>
      </c>
      <c r="AK44" s="8">
        <f t="shared" si="21"/>
        <v>3.125E-2</v>
      </c>
      <c r="AM44" s="8">
        <v>40</v>
      </c>
      <c r="AN44" s="8">
        <f t="shared" si="13"/>
        <v>1046.3646533025894</v>
      </c>
      <c r="AO44">
        <v>-1.1094698493252508E-9</v>
      </c>
      <c r="AP44" s="8">
        <f t="shared" si="14"/>
        <v>1046.3646533062274</v>
      </c>
      <c r="AQ44">
        <v>1.7621459846850485E-11</v>
      </c>
      <c r="AR44" s="11">
        <f t="shared" si="9"/>
        <v>1046.3646533044084</v>
      </c>
      <c r="AS44">
        <v>-5.4581050790147856E-10</v>
      </c>
      <c r="AT44" s="8">
        <f t="shared" si="10"/>
        <v>6.0556030196159205E-19</v>
      </c>
      <c r="AU44" s="8">
        <f t="shared" si="11"/>
        <v>-9.6179779489749736E-21</v>
      </c>
      <c r="AV44" s="8">
        <f t="shared" si="12"/>
        <v>3.637978807091713E-9</v>
      </c>
    </row>
    <row r="45" spans="2:48" x14ac:dyDescent="0.2">
      <c r="B45" t="s">
        <v>166</v>
      </c>
      <c r="C45" s="1">
        <v>4.8</v>
      </c>
      <c r="D45" t="s">
        <v>14</v>
      </c>
      <c r="J45" s="18" t="s">
        <v>107</v>
      </c>
      <c r="K45">
        <f>ROUND(SUM(K18:K20), 2)</f>
        <v>145.49</v>
      </c>
      <c r="L45" t="s">
        <v>12</v>
      </c>
      <c r="AB45" s="8">
        <v>6</v>
      </c>
      <c r="AC45" s="8">
        <f t="shared" si="22"/>
        <v>0.421875</v>
      </c>
      <c r="AD45" s="8">
        <f t="shared" si="15"/>
        <v>1.4668745275794148E-2</v>
      </c>
      <c r="AE45" s="8">
        <f t="shared" si="23"/>
        <v>0.4375</v>
      </c>
      <c r="AF45" s="8">
        <f t="shared" si="16"/>
        <v>-1.8186975281746509E-3</v>
      </c>
      <c r="AG45" s="8">
        <f t="shared" si="18"/>
        <v>0.4296875</v>
      </c>
      <c r="AH45" s="8">
        <f t="shared" si="17"/>
        <v>6.4172657749050344E-3</v>
      </c>
      <c r="AI45" s="8">
        <f t="shared" si="19"/>
        <v>9.4133237019153695E-5</v>
      </c>
      <c r="AJ45" s="8">
        <f t="shared" si="20"/>
        <v>-1.1671065402459572E-5</v>
      </c>
      <c r="AK45" s="8">
        <f t="shared" si="21"/>
        <v>1.5625E-2</v>
      </c>
    </row>
    <row r="46" spans="2:48" x14ac:dyDescent="0.2">
      <c r="B46" t="s">
        <v>167</v>
      </c>
      <c r="C46" s="1">
        <v>1.5</v>
      </c>
      <c r="D46" t="s">
        <v>14</v>
      </c>
      <c r="J46" s="17" t="s">
        <v>94</v>
      </c>
      <c r="K46">
        <f>ROUND(SUM(K21:K26), 2)</f>
        <v>336.78</v>
      </c>
      <c r="L46" t="s">
        <v>12</v>
      </c>
      <c r="AB46" s="8">
        <v>7</v>
      </c>
      <c r="AC46" s="8">
        <f t="shared" si="22"/>
        <v>0.4296875</v>
      </c>
      <c r="AD46" s="8">
        <f t="shared" si="15"/>
        <v>6.4172657749050344E-3</v>
      </c>
      <c r="AE46" s="8">
        <f t="shared" si="23"/>
        <v>0.4375</v>
      </c>
      <c r="AF46" s="8">
        <f t="shared" si="16"/>
        <v>-1.8186975281746509E-3</v>
      </c>
      <c r="AG46" s="8">
        <f t="shared" si="18"/>
        <v>0.43359375</v>
      </c>
      <c r="AH46" s="8">
        <f t="shared" si="17"/>
        <v>2.2973962915708857E-3</v>
      </c>
      <c r="AI46" s="8">
        <f t="shared" si="19"/>
        <v>1.4743002593291592E-5</v>
      </c>
      <c r="AJ46" s="8">
        <f t="shared" si="20"/>
        <v>-4.1782689567175791E-6</v>
      </c>
      <c r="AK46" s="8">
        <f t="shared" si="21"/>
        <v>7.8125E-3</v>
      </c>
    </row>
    <row r="47" spans="2:48" x14ac:dyDescent="0.2">
      <c r="J47" s="15" t="s">
        <v>95</v>
      </c>
      <c r="K47">
        <f>ROUND(SUM(K27:K30), 2)</f>
        <v>48.94</v>
      </c>
      <c r="L47" t="s">
        <v>12</v>
      </c>
      <c r="AB47" s="8">
        <v>8</v>
      </c>
      <c r="AC47" s="8">
        <f t="shared" si="22"/>
        <v>0.43359375</v>
      </c>
      <c r="AD47" s="8">
        <f t="shared" si="15"/>
        <v>2.2973962915708857E-3</v>
      </c>
      <c r="AE47" s="8">
        <f t="shared" si="23"/>
        <v>0.4375</v>
      </c>
      <c r="AF47" s="8">
        <f t="shared" si="16"/>
        <v>-1.8186975281746509E-3</v>
      </c>
      <c r="AG47" s="8">
        <f t="shared" si="18"/>
        <v>0.435546875</v>
      </c>
      <c r="AH47" s="8">
        <f t="shared" si="17"/>
        <v>2.3888368603852683E-4</v>
      </c>
      <c r="AI47" s="8">
        <f t="shared" si="19"/>
        <v>5.4881049442169535E-7</v>
      </c>
      <c r="AJ47" s="8">
        <f t="shared" si="20"/>
        <v>-4.3445716931951813E-7</v>
      </c>
      <c r="AK47" s="8">
        <f t="shared" si="21"/>
        <v>3.90625E-3</v>
      </c>
    </row>
    <row r="48" spans="2:48" x14ac:dyDescent="0.2">
      <c r="B48" s="42" t="s">
        <v>168</v>
      </c>
      <c r="C48" s="42"/>
      <c r="D48" s="42"/>
      <c r="J48" s="3" t="s">
        <v>82</v>
      </c>
      <c r="K48" s="3">
        <f>SUM(K43:K47)</f>
        <v>1046.3499999999999</v>
      </c>
      <c r="L48" t="s">
        <v>12</v>
      </c>
      <c r="AB48" s="8">
        <v>9</v>
      </c>
      <c r="AC48" s="8">
        <f t="shared" si="22"/>
        <v>0.435546875</v>
      </c>
      <c r="AD48" s="8">
        <f t="shared" si="15"/>
        <v>2.3888368603852683E-4</v>
      </c>
      <c r="AE48" s="8">
        <f t="shared" si="23"/>
        <v>0.4375</v>
      </c>
      <c r="AF48" s="8">
        <f t="shared" si="16"/>
        <v>-1.8186975281746509E-3</v>
      </c>
      <c r="AG48" s="8">
        <f t="shared" si="18"/>
        <v>0.4365234375</v>
      </c>
      <c r="AH48" s="8">
        <f t="shared" si="17"/>
        <v>-7.9002257424537481E-4</v>
      </c>
      <c r="AI48" s="8">
        <f t="shared" si="19"/>
        <v>-1.8872350458938087E-7</v>
      </c>
      <c r="AJ48" s="8">
        <f t="shared" si="20"/>
        <v>1.4368121029822378E-6</v>
      </c>
      <c r="AK48" s="8">
        <f t="shared" si="21"/>
        <v>1.953125E-3</v>
      </c>
    </row>
    <row r="49" spans="2:39" x14ac:dyDescent="0.2">
      <c r="B49" t="s">
        <v>169</v>
      </c>
      <c r="C49" s="1">
        <v>0.3</v>
      </c>
      <c r="D49" t="s">
        <v>14</v>
      </c>
      <c r="AB49" s="8">
        <v>10</v>
      </c>
      <c r="AC49" s="8">
        <f t="shared" si="22"/>
        <v>0.435546875</v>
      </c>
      <c r="AD49" s="8">
        <f t="shared" si="15"/>
        <v>2.3888368603852683E-4</v>
      </c>
      <c r="AE49" s="8">
        <f t="shared" si="23"/>
        <v>0.4365234375</v>
      </c>
      <c r="AF49" s="8">
        <f t="shared" si="16"/>
        <v>-7.9002257424537481E-4</v>
      </c>
      <c r="AG49" s="8">
        <f t="shared" si="18"/>
        <v>0.43603515625</v>
      </c>
      <c r="AH49" s="8">
        <f t="shared" si="17"/>
        <v>-2.7559845320973553E-4</v>
      </c>
      <c r="AI49" s="8">
        <f t="shared" si="19"/>
        <v>-6.583597436925809E-8</v>
      </c>
      <c r="AJ49" s="8">
        <f t="shared" si="20"/>
        <v>2.1772899946279874E-7</v>
      </c>
      <c r="AK49" s="8">
        <f t="shared" si="21"/>
        <v>9.765625E-4</v>
      </c>
    </row>
    <row r="50" spans="2:39" x14ac:dyDescent="0.2">
      <c r="B50" t="s">
        <v>170</v>
      </c>
      <c r="C50" s="1">
        <v>5.7</v>
      </c>
      <c r="J50" s="46" t="s">
        <v>228</v>
      </c>
      <c r="K50" s="46"/>
      <c r="L50" s="46"/>
      <c r="AB50" s="8">
        <v>11</v>
      </c>
      <c r="AC50" s="8">
        <f t="shared" si="22"/>
        <v>0.435546875</v>
      </c>
      <c r="AD50" s="8">
        <f t="shared" si="15"/>
        <v>2.3888368603852683E-4</v>
      </c>
      <c r="AE50" s="8">
        <f t="shared" si="23"/>
        <v>0.43603515625</v>
      </c>
      <c r="AF50" s="8">
        <f t="shared" si="16"/>
        <v>-2.7559845320973553E-4</v>
      </c>
      <c r="AG50" s="8">
        <f t="shared" si="18"/>
        <v>0.435791015625</v>
      </c>
      <c r="AH50" s="8">
        <f t="shared" si="17"/>
        <v>-1.8364647884849816E-5</v>
      </c>
      <c r="AI50" s="8">
        <f t="shared" si="19"/>
        <v>-4.3870147795325593E-9</v>
      </c>
      <c r="AJ50" s="8">
        <f t="shared" si="20"/>
        <v>5.0612685508060505E-9</v>
      </c>
      <c r="AK50" s="8">
        <f t="shared" si="21"/>
        <v>4.8828125E-4</v>
      </c>
    </row>
    <row r="51" spans="2:39" x14ac:dyDescent="0.2">
      <c r="J51" s="40" t="s">
        <v>231</v>
      </c>
      <c r="K51" s="41">
        <v>1224</v>
      </c>
      <c r="L51" s="40" t="s">
        <v>12</v>
      </c>
      <c r="AB51" s="8">
        <v>12</v>
      </c>
      <c r="AC51" s="8">
        <f t="shared" si="22"/>
        <v>0.435546875</v>
      </c>
      <c r="AD51" s="8">
        <f t="shared" si="15"/>
        <v>2.3888368603852683E-4</v>
      </c>
      <c r="AE51" s="8">
        <f t="shared" si="23"/>
        <v>0.435791015625</v>
      </c>
      <c r="AF51" s="8">
        <f t="shared" si="16"/>
        <v>-1.8364647884849816E-5</v>
      </c>
      <c r="AG51" s="8">
        <f t="shared" si="18"/>
        <v>0.4356689453125</v>
      </c>
      <c r="AH51" s="8">
        <f t="shared" si="17"/>
        <v>1.1025770149630798E-4</v>
      </c>
      <c r="AI51" s="8">
        <f t="shared" si="19"/>
        <v>2.6338766147573647E-8</v>
      </c>
      <c r="AJ51" s="8">
        <f t="shared" si="20"/>
        <v>-2.0248438645725746E-9</v>
      </c>
      <c r="AK51" s="8">
        <f t="shared" si="21"/>
        <v>2.44140625E-4</v>
      </c>
    </row>
    <row r="52" spans="2:39" x14ac:dyDescent="0.2">
      <c r="B52" s="42" t="s">
        <v>178</v>
      </c>
      <c r="C52" s="42"/>
      <c r="D52" s="42"/>
      <c r="J52" t="s">
        <v>233</v>
      </c>
      <c r="K52">
        <f>C17</f>
        <v>1046.3646533044084</v>
      </c>
      <c r="L52" t="s">
        <v>12</v>
      </c>
      <c r="AB52" s="8">
        <v>13</v>
      </c>
      <c r="AC52" s="8">
        <f t="shared" si="22"/>
        <v>0.4356689453125</v>
      </c>
      <c r="AD52" s="8">
        <f t="shared" si="15"/>
        <v>1.1025770149630798E-4</v>
      </c>
      <c r="AE52" s="8">
        <f t="shared" si="23"/>
        <v>0.435791015625</v>
      </c>
      <c r="AF52" s="8">
        <f t="shared" si="16"/>
        <v>-1.8364647884849816E-5</v>
      </c>
      <c r="AG52" s="8">
        <f t="shared" si="18"/>
        <v>0.43572998046875</v>
      </c>
      <c r="AH52" s="8">
        <f t="shared" si="17"/>
        <v>4.5946072598945786E-5</v>
      </c>
      <c r="AI52" s="8">
        <f t="shared" si="19"/>
        <v>5.0659083575422595E-9</v>
      </c>
      <c r="AJ52" s="8">
        <f t="shared" si="20"/>
        <v>-8.4378344497138586E-10</v>
      </c>
      <c r="AK52" s="8">
        <f t="shared" si="21"/>
        <v>1.220703125E-4</v>
      </c>
    </row>
    <row r="53" spans="2:39" x14ac:dyDescent="0.2">
      <c r="B53" t="s">
        <v>170</v>
      </c>
      <c r="C53" s="1">
        <v>3</v>
      </c>
      <c r="J53" s="39" t="s">
        <v>229</v>
      </c>
      <c r="K53" s="39">
        <f>ABS(K52-K51)/K51*100</f>
        <v>14.512691723496044</v>
      </c>
      <c r="L53" s="39" t="s">
        <v>81</v>
      </c>
      <c r="AB53" s="8">
        <v>14</v>
      </c>
      <c r="AC53" s="8">
        <f t="shared" si="22"/>
        <v>0.43572998046875</v>
      </c>
      <c r="AD53" s="8">
        <f t="shared" si="15"/>
        <v>4.5946072598945786E-5</v>
      </c>
      <c r="AE53" s="8">
        <f t="shared" si="23"/>
        <v>0.435791015625</v>
      </c>
      <c r="AF53" s="8">
        <f t="shared" si="16"/>
        <v>-1.8364647884849816E-5</v>
      </c>
      <c r="AG53" s="8">
        <f t="shared" si="18"/>
        <v>0.435760498046875</v>
      </c>
      <c r="AH53" s="8">
        <f t="shared" si="17"/>
        <v>1.3790598828888889E-5</v>
      </c>
      <c r="AI53" s="8">
        <f t="shared" si="19"/>
        <v>6.3362385497506561E-10</v>
      </c>
      <c r="AJ53" s="8">
        <f t="shared" si="20"/>
        <v>-2.5325949161376668E-10</v>
      </c>
      <c r="AK53" s="8">
        <f t="shared" si="21"/>
        <v>6.103515625E-5</v>
      </c>
    </row>
    <row r="54" spans="2:39" x14ac:dyDescent="0.2">
      <c r="J54" s="40" t="s">
        <v>232</v>
      </c>
      <c r="K54" s="41">
        <v>400</v>
      </c>
      <c r="L54" s="40" t="s">
        <v>12</v>
      </c>
      <c r="AB54" s="8">
        <v>15</v>
      </c>
      <c r="AC54" s="8">
        <f t="shared" si="22"/>
        <v>0.435760498046875</v>
      </c>
      <c r="AD54" s="8">
        <f t="shared" si="15"/>
        <v>1.3790598828888889E-5</v>
      </c>
      <c r="AE54" s="8">
        <f t="shared" si="23"/>
        <v>0.435791015625</v>
      </c>
      <c r="AF54" s="8">
        <f t="shared" si="16"/>
        <v>-1.8364647884849816E-5</v>
      </c>
      <c r="AG54" s="8">
        <f t="shared" si="18"/>
        <v>0.4357757568359375</v>
      </c>
      <c r="AH54" s="8">
        <f t="shared" si="17"/>
        <v>-2.2870529070573298E-6</v>
      </c>
      <c r="AI54" s="8">
        <f t="shared" si="19"/>
        <v>-3.153982914167174E-11</v>
      </c>
      <c r="AJ54" s="8">
        <f t="shared" si="20"/>
        <v>4.2000921332130017E-11</v>
      </c>
      <c r="AK54" s="8">
        <f t="shared" si="21"/>
        <v>3.0517578125E-5</v>
      </c>
    </row>
    <row r="55" spans="2:39" x14ac:dyDescent="0.2">
      <c r="B55" s="42" t="s">
        <v>171</v>
      </c>
      <c r="C55" s="42"/>
      <c r="D55" s="42"/>
      <c r="J55" s="40" t="s">
        <v>234</v>
      </c>
      <c r="K55" s="41">
        <f>K17</f>
        <v>334.1425157052837</v>
      </c>
      <c r="L55" s="40" t="s">
        <v>12</v>
      </c>
      <c r="AB55" s="8">
        <v>16</v>
      </c>
      <c r="AC55" s="8">
        <f t="shared" si="22"/>
        <v>0.435760498046875</v>
      </c>
      <c r="AD55" s="8">
        <f t="shared" si="15"/>
        <v>1.3790598828888889E-5</v>
      </c>
      <c r="AE55" s="8">
        <f t="shared" si="23"/>
        <v>0.4357757568359375</v>
      </c>
      <c r="AF55" s="8">
        <f t="shared" si="16"/>
        <v>-2.2870529070573298E-6</v>
      </c>
      <c r="AG55" s="8">
        <f t="shared" si="18"/>
        <v>0.43576812744140625</v>
      </c>
      <c r="AH55" s="8">
        <f t="shared" si="17"/>
        <v>5.7517658657579851E-6</v>
      </c>
      <c r="AI55" s="8">
        <f t="shared" si="19"/>
        <v>7.9320295612365154E-11</v>
      </c>
      <c r="AJ55" s="8">
        <f t="shared" si="20"/>
        <v>-1.3154592843994919E-11</v>
      </c>
      <c r="AK55" s="8">
        <f t="shared" si="21"/>
        <v>1.52587890625E-5</v>
      </c>
      <c r="AM55" s="8"/>
    </row>
    <row r="56" spans="2:39" x14ac:dyDescent="0.2">
      <c r="B56" t="s">
        <v>172</v>
      </c>
      <c r="C56">
        <f>C59/$C$58</f>
        <v>3.5555555555555554</v>
      </c>
      <c r="J56" s="39" t="s">
        <v>229</v>
      </c>
      <c r="K56" s="39">
        <f>ABS(K55-K54)/K54*100</f>
        <v>16.464371073679075</v>
      </c>
      <c r="L56" s="39" t="s">
        <v>81</v>
      </c>
      <c r="AB56" s="8">
        <v>17</v>
      </c>
      <c r="AC56" s="8">
        <f t="shared" si="22"/>
        <v>0.43576812744140625</v>
      </c>
      <c r="AD56" s="8">
        <f t="shared" si="15"/>
        <v>5.7517658657579851E-6</v>
      </c>
      <c r="AE56" s="8">
        <f t="shared" si="23"/>
        <v>0.4357757568359375</v>
      </c>
      <c r="AF56" s="8">
        <f t="shared" si="16"/>
        <v>-2.2870529070573298E-6</v>
      </c>
      <c r="AG56" s="8">
        <f t="shared" si="18"/>
        <v>0.43577194213867188</v>
      </c>
      <c r="AH56" s="8">
        <f t="shared" si="17"/>
        <v>1.7323547056302679E-6</v>
      </c>
      <c r="AI56" s="8">
        <f t="shared" si="19"/>
        <v>9.964098663229398E-12</v>
      </c>
      <c r="AJ56" s="8">
        <f t="shared" si="20"/>
        <v>-3.9619868655661489E-12</v>
      </c>
      <c r="AK56" s="8">
        <f t="shared" si="21"/>
        <v>7.62939453125E-6</v>
      </c>
      <c r="AM56" s="8"/>
    </row>
    <row r="57" spans="2:39" x14ac:dyDescent="0.2">
      <c r="B57" t="s">
        <v>173</v>
      </c>
      <c r="C57" s="1">
        <v>2</v>
      </c>
      <c r="D57" t="s">
        <v>18</v>
      </c>
      <c r="AB57" s="8">
        <v>18</v>
      </c>
      <c r="AC57" s="8">
        <f t="shared" si="22"/>
        <v>0.43577194213867188</v>
      </c>
      <c r="AD57" s="8">
        <f t="shared" si="15"/>
        <v>1.7323547056302679E-6</v>
      </c>
      <c r="AE57" s="8">
        <f t="shared" si="23"/>
        <v>0.4357757568359375</v>
      </c>
      <c r="AF57" s="8">
        <f t="shared" si="16"/>
        <v>-2.2870529070573298E-6</v>
      </c>
      <c r="AG57" s="8">
        <f t="shared" si="18"/>
        <v>0.43577384948730469</v>
      </c>
      <c r="AH57" s="8">
        <f t="shared" si="17"/>
        <v>-2.7734954416436253E-7</v>
      </c>
      <c r="AI57" s="8">
        <f t="shared" si="19"/>
        <v>-4.8046778793754321E-13</v>
      </c>
      <c r="AJ57" s="8">
        <f t="shared" si="20"/>
        <v>6.3431308125213057E-13</v>
      </c>
      <c r="AK57" s="8">
        <f t="shared" si="21"/>
        <v>3.814697265625E-6</v>
      </c>
      <c r="AM57" s="8"/>
    </row>
    <row r="58" spans="2:39" x14ac:dyDescent="0.2">
      <c r="B58" t="s">
        <v>224</v>
      </c>
      <c r="C58" s="1">
        <v>0.75</v>
      </c>
      <c r="D58" t="s">
        <v>14</v>
      </c>
      <c r="AB58" s="8">
        <v>19</v>
      </c>
      <c r="AC58" s="8">
        <f t="shared" si="22"/>
        <v>0.43577194213867188</v>
      </c>
      <c r="AD58" s="8">
        <f t="shared" si="15"/>
        <v>1.7323547056302679E-6</v>
      </c>
      <c r="AE58" s="8">
        <f t="shared" si="23"/>
        <v>0.43577384948730469</v>
      </c>
      <c r="AF58" s="8">
        <f t="shared" si="16"/>
        <v>-2.7734954416436253E-7</v>
      </c>
      <c r="AG58" s="8">
        <f t="shared" si="18"/>
        <v>0.43577289581298828</v>
      </c>
      <c r="AH58" s="8">
        <f t="shared" si="17"/>
        <v>7.275024698771837E-7</v>
      </c>
      <c r="AI58" s="8">
        <f t="shared" si="19"/>
        <v>1.2602923270493814E-12</v>
      </c>
      <c r="AJ58" s="8">
        <f t="shared" si="20"/>
        <v>-2.0177247839888478E-13</v>
      </c>
      <c r="AK58" s="8">
        <f t="shared" si="21"/>
        <v>1.9073486328125E-6</v>
      </c>
    </row>
    <row r="59" spans="2:39" x14ac:dyDescent="0.2">
      <c r="B59" t="s">
        <v>225</v>
      </c>
      <c r="C59">
        <f>$C$57/$C$58</f>
        <v>2.6666666666666665</v>
      </c>
      <c r="D59" t="s">
        <v>14</v>
      </c>
      <c r="AB59" s="8">
        <v>20</v>
      </c>
      <c r="AC59" s="8">
        <f t="shared" si="22"/>
        <v>0.43577289581298828</v>
      </c>
      <c r="AD59" s="8">
        <f t="shared" si="15"/>
        <v>7.275024698771837E-7</v>
      </c>
      <c r="AE59" s="8">
        <f t="shared" si="23"/>
        <v>0.43577384948730469</v>
      </c>
      <c r="AF59" s="8">
        <f t="shared" si="16"/>
        <v>-2.7734954416436253E-7</v>
      </c>
      <c r="AG59" s="8">
        <f t="shared" si="18"/>
        <v>0.43577337265014648</v>
      </c>
      <c r="AH59" s="8">
        <f t="shared" si="17"/>
        <v>2.2507643515634612E-7</v>
      </c>
      <c r="AI59" s="8">
        <f t="shared" si="19"/>
        <v>1.6374366248739358E-13</v>
      </c>
      <c r="AJ59" s="8">
        <f t="shared" si="20"/>
        <v>-6.2424846692752301E-14</v>
      </c>
      <c r="AK59" s="8">
        <f t="shared" si="21"/>
        <v>9.5367431640625E-7</v>
      </c>
    </row>
    <row r="60" spans="2:39" x14ac:dyDescent="0.2">
      <c r="B60" t="s">
        <v>219</v>
      </c>
      <c r="C60" s="1">
        <v>0.12</v>
      </c>
      <c r="AB60" s="8">
        <v>21</v>
      </c>
      <c r="AC60" s="8">
        <f t="shared" si="22"/>
        <v>0.43577337265014648</v>
      </c>
      <c r="AD60" s="8">
        <f t="shared" si="15"/>
        <v>2.2507643515634612E-7</v>
      </c>
      <c r="AE60" s="8">
        <f t="shared" si="23"/>
        <v>0.43577384948730469</v>
      </c>
      <c r="AF60" s="8">
        <f t="shared" si="16"/>
        <v>-2.7734954416436253E-7</v>
      </c>
      <c r="AG60" s="8">
        <f t="shared" si="18"/>
        <v>0.43577361106872559</v>
      </c>
      <c r="AH60" s="8">
        <f t="shared" si="17"/>
        <v>-2.6136561415146531E-8</v>
      </c>
      <c r="AI60" s="8">
        <f t="shared" si="19"/>
        <v>-5.8827240705660861E-15</v>
      </c>
      <c r="AJ60" s="8">
        <f t="shared" si="20"/>
        <v>7.2489633945147562E-15</v>
      </c>
      <c r="AK60" s="8">
        <f t="shared" si="21"/>
        <v>4.76837158203125E-7</v>
      </c>
    </row>
    <row r="61" spans="2:39" x14ac:dyDescent="0.2">
      <c r="B61" t="s">
        <v>223</v>
      </c>
      <c r="C61">
        <f>$C$60*$C$58</f>
        <v>0.09</v>
      </c>
      <c r="D61" t="s">
        <v>14</v>
      </c>
      <c r="AB61" s="8">
        <v>22</v>
      </c>
      <c r="AC61" s="8">
        <f t="shared" si="22"/>
        <v>0.43577337265014648</v>
      </c>
      <c r="AD61" s="8">
        <f t="shared" si="15"/>
        <v>2.2507643515634612E-7</v>
      </c>
      <c r="AE61" s="8">
        <f t="shared" si="23"/>
        <v>0.43577361106872559</v>
      </c>
      <c r="AF61" s="8">
        <f t="shared" si="16"/>
        <v>-2.6136561415146531E-8</v>
      </c>
      <c r="AG61" s="8">
        <f t="shared" si="18"/>
        <v>0.43577349185943604</v>
      </c>
      <c r="AH61" s="8">
        <f t="shared" si="17"/>
        <v>9.9469935121998532E-8</v>
      </c>
      <c r="AI61" s="8">
        <f t="shared" si="19"/>
        <v>2.2388338402492459E-14</v>
      </c>
      <c r="AJ61" s="8">
        <f t="shared" si="20"/>
        <v>-2.5998020682767556E-15</v>
      </c>
      <c r="AK61" s="8">
        <f t="shared" si="21"/>
        <v>2.384185791015625E-7</v>
      </c>
    </row>
    <row r="62" spans="2:39" x14ac:dyDescent="0.2">
      <c r="AB62" s="8">
        <v>23</v>
      </c>
      <c r="AC62" s="8">
        <f t="shared" si="22"/>
        <v>0.43577349185943604</v>
      </c>
      <c r="AD62" s="8">
        <f t="shared" si="15"/>
        <v>9.9469935121998532E-8</v>
      </c>
      <c r="AE62" s="8">
        <f t="shared" si="23"/>
        <v>0.43577361106872559</v>
      </c>
      <c r="AF62" s="8">
        <f t="shared" si="16"/>
        <v>-2.6136561415146531E-8</v>
      </c>
      <c r="AG62" s="8">
        <f t="shared" si="18"/>
        <v>0.43577355146408081</v>
      </c>
      <c r="AH62" s="8">
        <f t="shared" si="17"/>
        <v>3.6666686409336791E-8</v>
      </c>
      <c r="AI62" s="8">
        <f t="shared" si="19"/>
        <v>3.6472329182753956E-15</v>
      </c>
      <c r="AJ62" s="8">
        <f t="shared" si="20"/>
        <v>-9.5834110122754972E-16</v>
      </c>
      <c r="AK62" s="8">
        <f t="shared" si="21"/>
        <v>1.1920928955078125E-7</v>
      </c>
    </row>
    <row r="63" spans="2:39" x14ac:dyDescent="0.2">
      <c r="B63" s="42" t="s">
        <v>174</v>
      </c>
      <c r="C63" s="42"/>
      <c r="D63" s="42"/>
      <c r="AB63" s="8">
        <v>24</v>
      </c>
      <c r="AC63" s="8">
        <f t="shared" si="22"/>
        <v>0.43577355146408081</v>
      </c>
      <c r="AD63" s="8">
        <f t="shared" si="15"/>
        <v>3.6666686409336791E-8</v>
      </c>
      <c r="AE63" s="8">
        <f t="shared" si="23"/>
        <v>0.43577361106872559</v>
      </c>
      <c r="AF63" s="8">
        <f t="shared" si="16"/>
        <v>-2.6136561415146531E-8</v>
      </c>
      <c r="AG63" s="8">
        <f t="shared" si="18"/>
        <v>0.4357735812664032</v>
      </c>
      <c r="AH63" s="8">
        <f t="shared" si="17"/>
        <v>5.2650623860728274E-9</v>
      </c>
      <c r="AI63" s="8">
        <f t="shared" si="19"/>
        <v>1.9305239143572686E-16</v>
      </c>
      <c r="AJ63" s="8">
        <f t="shared" si="20"/>
        <v>-1.3761062640817038E-16</v>
      </c>
      <c r="AK63" s="8">
        <f t="shared" si="21"/>
        <v>5.9604644775390625E-8</v>
      </c>
    </row>
    <row r="64" spans="2:39" x14ac:dyDescent="0.2">
      <c r="B64" t="s">
        <v>31</v>
      </c>
      <c r="C64" s="1">
        <v>2</v>
      </c>
      <c r="AB64" s="8">
        <v>25</v>
      </c>
      <c r="AC64" s="8">
        <f t="shared" si="22"/>
        <v>0.4357735812664032</v>
      </c>
      <c r="AD64" s="8">
        <f t="shared" si="15"/>
        <v>5.2650623860728274E-9</v>
      </c>
      <c r="AE64" s="8">
        <f t="shared" si="23"/>
        <v>0.43577361106872559</v>
      </c>
      <c r="AF64" s="8">
        <f t="shared" si="16"/>
        <v>-2.6136561415146531E-8</v>
      </c>
      <c r="AG64" s="8">
        <f t="shared" si="18"/>
        <v>0.43577359616756439</v>
      </c>
      <c r="AH64" s="8">
        <f t="shared" si="17"/>
        <v>-1.0435749542292427E-8</v>
      </c>
      <c r="AI64" s="8">
        <f t="shared" si="19"/>
        <v>-5.4944872385600584E-17</v>
      </c>
      <c r="AJ64" s="8">
        <f t="shared" si="20"/>
        <v>2.7275460882521331E-16</v>
      </c>
      <c r="AK64" s="8">
        <f t="shared" si="21"/>
        <v>2.9802322387695312E-8</v>
      </c>
    </row>
    <row r="65" spans="2:37" x14ac:dyDescent="0.2">
      <c r="B65" t="s">
        <v>175</v>
      </c>
      <c r="C65">
        <f>C67/$C$68</f>
        <v>1.7777777777777777</v>
      </c>
      <c r="AB65" s="8">
        <v>26</v>
      </c>
      <c r="AC65" s="8">
        <f t="shared" si="22"/>
        <v>0.4357735812664032</v>
      </c>
      <c r="AD65" s="8">
        <f t="shared" si="15"/>
        <v>5.2650623860728274E-9</v>
      </c>
      <c r="AE65" s="8">
        <f t="shared" si="23"/>
        <v>0.43577359616756439</v>
      </c>
      <c r="AF65" s="8">
        <f t="shared" si="16"/>
        <v>-1.0435749542292427E-8</v>
      </c>
      <c r="AG65" s="8">
        <f t="shared" si="18"/>
        <v>0.4357735887169838</v>
      </c>
      <c r="AH65" s="8">
        <f t="shared" si="17"/>
        <v>-2.5853436058653756E-9</v>
      </c>
      <c r="AI65" s="8">
        <f t="shared" si="19"/>
        <v>-1.3611995374315682E-17</v>
      </c>
      <c r="AJ65" s="8">
        <f t="shared" si="20"/>
        <v>2.6979998351578247E-17</v>
      </c>
      <c r="AK65" s="8">
        <f t="shared" si="21"/>
        <v>1.4901161193847656E-8</v>
      </c>
    </row>
    <row r="66" spans="2:37" x14ac:dyDescent="0.2">
      <c r="B66" t="s">
        <v>176</v>
      </c>
      <c r="C66" s="1">
        <v>1</v>
      </c>
      <c r="D66" t="s">
        <v>18</v>
      </c>
      <c r="AB66" s="8">
        <v>27</v>
      </c>
      <c r="AC66" s="8">
        <f t="shared" si="22"/>
        <v>0.4357735812664032</v>
      </c>
      <c r="AD66" s="8">
        <f t="shared" si="15"/>
        <v>5.2650623860728274E-9</v>
      </c>
      <c r="AE66" s="8">
        <f t="shared" si="23"/>
        <v>0.4357735887169838</v>
      </c>
      <c r="AF66" s="8">
        <f t="shared" si="16"/>
        <v>-2.5853436058653756E-9</v>
      </c>
      <c r="AG66" s="8">
        <f t="shared" si="18"/>
        <v>0.4357735849916935</v>
      </c>
      <c r="AH66" s="8">
        <f t="shared" si="17"/>
        <v>1.3398593901037259E-9</v>
      </c>
      <c r="AI66" s="8">
        <f t="shared" si="19"/>
        <v>7.0544432774616063E-18</v>
      </c>
      <c r="AJ66" s="8">
        <f t="shared" si="20"/>
        <v>-3.4639969069633497E-18</v>
      </c>
      <c r="AK66" s="8">
        <f t="shared" si="21"/>
        <v>7.4505805969238281E-9</v>
      </c>
    </row>
    <row r="67" spans="2:37" x14ac:dyDescent="0.2">
      <c r="B67" t="s">
        <v>227</v>
      </c>
      <c r="C67">
        <f>C66/$C$68</f>
        <v>1.3333333333333333</v>
      </c>
      <c r="AB67" s="8">
        <v>28</v>
      </c>
      <c r="AC67" s="8">
        <f t="shared" si="22"/>
        <v>0.4357735849916935</v>
      </c>
      <c r="AD67" s="8">
        <f t="shared" si="15"/>
        <v>1.3398593901037259E-9</v>
      </c>
      <c r="AE67" s="8">
        <f t="shared" si="23"/>
        <v>0.4357735887169838</v>
      </c>
      <c r="AF67" s="8">
        <f t="shared" si="16"/>
        <v>-2.5853436058653756E-9</v>
      </c>
      <c r="AG67" s="8">
        <f t="shared" si="18"/>
        <v>0.43577358685433865</v>
      </c>
      <c r="AH67" s="8">
        <f t="shared" si="17"/>
        <v>-6.2274208012524923E-10</v>
      </c>
      <c r="AI67" s="8">
        <f t="shared" si="19"/>
        <v>-8.3438682366854204E-19</v>
      </c>
      <c r="AJ67" s="8">
        <f t="shared" si="20"/>
        <v>1.6100022549551165E-18</v>
      </c>
      <c r="AK67" s="8">
        <f t="shared" si="21"/>
        <v>3.7252902984619141E-9</v>
      </c>
    </row>
    <row r="68" spans="2:37" x14ac:dyDescent="0.2">
      <c r="B68" t="s">
        <v>226</v>
      </c>
      <c r="C68" s="1">
        <v>0.75</v>
      </c>
      <c r="AB68" s="8">
        <v>29</v>
      </c>
      <c r="AC68" s="8">
        <f t="shared" si="22"/>
        <v>0.4357735849916935</v>
      </c>
      <c r="AD68" s="8">
        <f t="shared" si="15"/>
        <v>1.3398593901037259E-9</v>
      </c>
      <c r="AE68" s="8">
        <f t="shared" si="23"/>
        <v>0.43577358685433865</v>
      </c>
      <c r="AF68" s="8">
        <f t="shared" si="16"/>
        <v>-6.2274208012524923E-10</v>
      </c>
      <c r="AG68" s="8">
        <f t="shared" si="18"/>
        <v>0.43577358592301607</v>
      </c>
      <c r="AH68" s="8">
        <f t="shared" si="17"/>
        <v>3.5855862723366272E-10</v>
      </c>
      <c r="AI68" s="8">
        <f t="shared" si="19"/>
        <v>4.8041814360172453E-19</v>
      </c>
      <c r="AJ68" s="8">
        <f t="shared" si="20"/>
        <v>-2.2328954537034496E-19</v>
      </c>
      <c r="AK68" s="8">
        <f t="shared" si="21"/>
        <v>1.862645149230957E-9</v>
      </c>
    </row>
    <row r="69" spans="2:37" x14ac:dyDescent="0.2">
      <c r="B69" t="s">
        <v>219</v>
      </c>
      <c r="C69" s="1">
        <v>0.12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2:37" x14ac:dyDescent="0.2">
      <c r="B70" t="s">
        <v>223</v>
      </c>
      <c r="C70">
        <f>$C$69*$C$68</f>
        <v>0.09</v>
      </c>
      <c r="D70" t="s">
        <v>14</v>
      </c>
      <c r="AB70" s="8">
        <v>30</v>
      </c>
      <c r="AC70" s="8">
        <f>IF(AI68&gt;0, AG68, AC68)</f>
        <v>0.43577358592301607</v>
      </c>
      <c r="AD70" s="8">
        <f xml:space="preserve"> $O$20 * TAN($O$16/180*PI()) + $O$21 / (2 * SQRT($O$20^2 + AC70^2)) - AC70</f>
        <v>3.5855862723366272E-10</v>
      </c>
      <c r="AE70" s="8">
        <f>IF(AJ68&gt;0, AG68, AE68)</f>
        <v>0.43577358685433865</v>
      </c>
      <c r="AF70" s="8">
        <f xml:space="preserve"> $O$20 * TAN($O$16/180*PI()) + $O$21 / (2 * SQRT($O$20^2 + AE70^2)) - AE70</f>
        <v>-6.2274208012524923E-10</v>
      </c>
      <c r="AG70" s="8">
        <f t="shared" si="18"/>
        <v>0.43577358638867736</v>
      </c>
      <c r="AH70" s="8">
        <f xml:space="preserve"> $O$20 * TAN($O$16/180*PI()) + $O$21 / (2 * SQRT($O$20^2 + AG70^2)) - AG70</f>
        <v>-1.3209172644579326E-10</v>
      </c>
      <c r="AI70" s="8">
        <f t="shared" si="19"/>
        <v>-4.7362628103328132E-20</v>
      </c>
      <c r="AJ70" s="8">
        <f t="shared" si="20"/>
        <v>8.2259076494188687E-20</v>
      </c>
      <c r="AK70" s="8">
        <f t="shared" si="21"/>
        <v>9.3132257461547852E-10</v>
      </c>
    </row>
    <row r="71" spans="2:37" x14ac:dyDescent="0.2">
      <c r="B71" t="s">
        <v>177</v>
      </c>
      <c r="C71" s="1">
        <v>10</v>
      </c>
      <c r="D71" t="s">
        <v>61</v>
      </c>
    </row>
    <row r="73" spans="2:37" x14ac:dyDescent="0.2">
      <c r="AB73" s="6" t="s">
        <v>149</v>
      </c>
    </row>
    <row r="74" spans="2:37" x14ac:dyDescent="0.2">
      <c r="AB74" s="7" t="s">
        <v>62</v>
      </c>
      <c r="AC74" s="7" t="s">
        <v>63</v>
      </c>
      <c r="AD74" s="7" t="s">
        <v>64</v>
      </c>
      <c r="AE74" s="7" t="s">
        <v>65</v>
      </c>
      <c r="AF74" s="7" t="s">
        <v>66</v>
      </c>
      <c r="AG74" s="7" t="s">
        <v>67</v>
      </c>
      <c r="AH74" s="7" t="s">
        <v>68</v>
      </c>
      <c r="AI74" s="7" t="s">
        <v>69</v>
      </c>
      <c r="AJ74" s="7" t="s">
        <v>70</v>
      </c>
      <c r="AK74" s="7" t="s">
        <v>71</v>
      </c>
    </row>
    <row r="75" spans="2:37" x14ac:dyDescent="0.2">
      <c r="AB75" s="8">
        <v>0</v>
      </c>
      <c r="AC75" s="9">
        <v>0</v>
      </c>
      <c r="AD75" s="8">
        <f t="shared" ref="AD75:AD105" si="24" xml:space="preserve"> $W$20 * TAN($W$16/180*PI()) + $W$21 / (2 * SQRT($W$20^2 + AC75^2)) - AC75</f>
        <v>0.49201005003710346</v>
      </c>
      <c r="AE75" s="9">
        <v>1</v>
      </c>
      <c r="AF75" s="8">
        <f t="shared" ref="AF75:AF105" si="25" xml:space="preserve"> $W$20 * TAN($W$16/180*PI()) + $W$21 / (2 * SQRT($W$20^2 + AE75^2)) - AE75</f>
        <v>-0.58489630652704105</v>
      </c>
      <c r="AG75" s="8">
        <f xml:space="preserve"> (AC75 + AE75)/2</f>
        <v>0.5</v>
      </c>
      <c r="AH75" s="8">
        <f t="shared" ref="AH75:AH105" si="26" xml:space="preserve"> $W$20 * TAN($W$16/180*PI()) + $W$21 / (2 * SQRT($W$20^2 + AG75^2)) - AG75</f>
        <v>-8.2031993570652106E-2</v>
      </c>
      <c r="AI75" s="8">
        <f>AD75*AH75</f>
        <v>-4.0360565261339895E-2</v>
      </c>
      <c r="AJ75" s="8">
        <f>AF75*AH75</f>
        <v>4.7980210056524399E-2</v>
      </c>
      <c r="AK75" s="8">
        <f>AE75-AC75</f>
        <v>1</v>
      </c>
    </row>
    <row r="76" spans="2:37" x14ac:dyDescent="0.2">
      <c r="AB76" s="8">
        <v>1</v>
      </c>
      <c r="AC76" s="8">
        <f>IF(AI75&gt;0, AG75, AC75)</f>
        <v>0</v>
      </c>
      <c r="AD76" s="8">
        <f t="shared" si="24"/>
        <v>0.49201005003710346</v>
      </c>
      <c r="AE76" s="8">
        <f>IF(AJ75&gt;0, AG75, AE75)</f>
        <v>0.5</v>
      </c>
      <c r="AF76" s="8">
        <f t="shared" si="25"/>
        <v>-8.2031993570652106E-2</v>
      </c>
      <c r="AG76" s="8">
        <f t="shared" ref="AG76:AG105" si="27" xml:space="preserve"> (AC76 + AE76)/2</f>
        <v>0.25</v>
      </c>
      <c r="AH76" s="8">
        <f t="shared" si="26"/>
        <v>0.17361970453399633</v>
      </c>
      <c r="AI76" s="8">
        <f t="shared" ref="AI76:AI105" si="28">AD76*AH76</f>
        <v>8.5422639515198656E-2</v>
      </c>
      <c r="AJ76" s="8">
        <f t="shared" ref="AJ76:AJ105" si="29">AF76*AH76</f>
        <v>-1.4242370486071305E-2</v>
      </c>
      <c r="AK76" s="8">
        <f t="shared" ref="AK76:AK105" si="30">AE76-AC76</f>
        <v>0.5</v>
      </c>
    </row>
    <row r="77" spans="2:37" x14ac:dyDescent="0.2">
      <c r="AB77" s="8">
        <v>2</v>
      </c>
      <c r="AC77" s="8">
        <f t="shared" ref="AC77:AC105" si="31">IF(AI76&gt;0, AG76, AC76)</f>
        <v>0.25</v>
      </c>
      <c r="AD77" s="8">
        <f t="shared" si="24"/>
        <v>0.17361970453399633</v>
      </c>
      <c r="AE77" s="8">
        <f t="shared" ref="AE77:AE105" si="32">IF(AJ76&gt;0, AG76, AE76)</f>
        <v>0.5</v>
      </c>
      <c r="AF77" s="8">
        <f t="shared" si="25"/>
        <v>-8.2031993570652106E-2</v>
      </c>
      <c r="AG77" s="8">
        <f t="shared" si="27"/>
        <v>0.375</v>
      </c>
      <c r="AH77" s="8">
        <f t="shared" si="26"/>
        <v>4.4865914723630551E-2</v>
      </c>
      <c r="AI77" s="8">
        <f t="shared" si="28"/>
        <v>7.789606857964212E-3</v>
      </c>
      <c r="AJ77" s="8">
        <f t="shared" si="29"/>
        <v>-3.680440428150287E-3</v>
      </c>
      <c r="AK77" s="8">
        <f t="shared" si="30"/>
        <v>0.25</v>
      </c>
    </row>
    <row r="78" spans="2:37" x14ac:dyDescent="0.2">
      <c r="AB78" s="8">
        <v>3</v>
      </c>
      <c r="AC78" s="8">
        <f t="shared" si="31"/>
        <v>0.375</v>
      </c>
      <c r="AD78" s="8">
        <f t="shared" si="24"/>
        <v>4.4865914723630551E-2</v>
      </c>
      <c r="AE78" s="8">
        <f t="shared" si="32"/>
        <v>0.5</v>
      </c>
      <c r="AF78" s="8">
        <f t="shared" si="25"/>
        <v>-8.2031993570652106E-2</v>
      </c>
      <c r="AG78" s="8">
        <f t="shared" si="27"/>
        <v>0.4375</v>
      </c>
      <c r="AH78" s="8">
        <f t="shared" si="26"/>
        <v>-1.8717212929759197E-2</v>
      </c>
      <c r="AI78" s="8">
        <f t="shared" si="28"/>
        <v>-8.3976487917061132E-4</v>
      </c>
      <c r="AJ78" s="8">
        <f t="shared" si="29"/>
        <v>1.535410290714533E-3</v>
      </c>
      <c r="AK78" s="8">
        <f t="shared" si="30"/>
        <v>0.125</v>
      </c>
    </row>
    <row r="79" spans="2:37" x14ac:dyDescent="0.2">
      <c r="AB79" s="8">
        <v>4</v>
      </c>
      <c r="AC79" s="8">
        <f t="shared" si="31"/>
        <v>0.375</v>
      </c>
      <c r="AD79" s="8">
        <f t="shared" si="24"/>
        <v>4.4865914723630551E-2</v>
      </c>
      <c r="AE79" s="8">
        <f t="shared" si="32"/>
        <v>0.4375</v>
      </c>
      <c r="AF79" s="8">
        <f t="shared" si="25"/>
        <v>-1.8717212929759197E-2</v>
      </c>
      <c r="AG79" s="8">
        <f t="shared" si="27"/>
        <v>0.40625</v>
      </c>
      <c r="AH79" s="8">
        <f t="shared" si="26"/>
        <v>1.3033182685609879E-2</v>
      </c>
      <c r="AI79" s="8">
        <f t="shared" si="28"/>
        <v>5.8474566295007105E-4</v>
      </c>
      <c r="AJ79" s="8">
        <f t="shared" si="29"/>
        <v>-2.4394485547901091E-4</v>
      </c>
      <c r="AK79" s="8">
        <f t="shared" si="30"/>
        <v>6.25E-2</v>
      </c>
    </row>
    <row r="80" spans="2:37" x14ac:dyDescent="0.2">
      <c r="AB80" s="8">
        <v>5</v>
      </c>
      <c r="AC80" s="8">
        <f t="shared" si="31"/>
        <v>0.40625</v>
      </c>
      <c r="AD80" s="8">
        <f t="shared" si="24"/>
        <v>1.3033182685609879E-2</v>
      </c>
      <c r="AE80" s="8">
        <f t="shared" si="32"/>
        <v>0.4375</v>
      </c>
      <c r="AF80" s="8">
        <f t="shared" si="25"/>
        <v>-1.8717212929759197E-2</v>
      </c>
      <c r="AG80" s="8">
        <f t="shared" si="27"/>
        <v>0.421875</v>
      </c>
      <c r="AH80" s="8">
        <f t="shared" si="26"/>
        <v>-2.8511807699718728E-3</v>
      </c>
      <c r="AI80" s="8">
        <f t="shared" si="28"/>
        <v>-3.7159959844741253E-5</v>
      </c>
      <c r="AJ80" s="8">
        <f t="shared" si="29"/>
        <v>5.3366157572798319E-5</v>
      </c>
      <c r="AK80" s="8">
        <f t="shared" si="30"/>
        <v>3.125E-2</v>
      </c>
    </row>
    <row r="81" spans="28:37" x14ac:dyDescent="0.2">
      <c r="AB81" s="8">
        <v>6</v>
      </c>
      <c r="AC81" s="8">
        <f t="shared" si="31"/>
        <v>0.40625</v>
      </c>
      <c r="AD81" s="8">
        <f t="shared" si="24"/>
        <v>1.3033182685609879E-2</v>
      </c>
      <c r="AE81" s="8">
        <f t="shared" si="32"/>
        <v>0.421875</v>
      </c>
      <c r="AF81" s="8">
        <f t="shared" si="25"/>
        <v>-2.8511807699718728E-3</v>
      </c>
      <c r="AG81" s="8">
        <f t="shared" si="27"/>
        <v>0.4140625</v>
      </c>
      <c r="AH81" s="8">
        <f t="shared" si="26"/>
        <v>5.0885817742155615E-3</v>
      </c>
      <c r="AI81" s="8">
        <f t="shared" si="28"/>
        <v>6.6320415874016256E-5</v>
      </c>
      <c r="AJ81" s="8">
        <f t="shared" si="29"/>
        <v>-1.4508466501072762E-5</v>
      </c>
      <c r="AK81" s="8">
        <f t="shared" si="30"/>
        <v>1.5625E-2</v>
      </c>
    </row>
    <row r="82" spans="28:37" x14ac:dyDescent="0.2">
      <c r="AB82" s="8">
        <v>7</v>
      </c>
      <c r="AC82" s="8">
        <f t="shared" si="31"/>
        <v>0.4140625</v>
      </c>
      <c r="AD82" s="8">
        <f t="shared" si="24"/>
        <v>5.0885817742155615E-3</v>
      </c>
      <c r="AE82" s="8">
        <f t="shared" si="32"/>
        <v>0.421875</v>
      </c>
      <c r="AF82" s="8">
        <f t="shared" si="25"/>
        <v>-2.8511807699718728E-3</v>
      </c>
      <c r="AG82" s="8">
        <f t="shared" si="27"/>
        <v>0.41796875</v>
      </c>
      <c r="AH82" s="8">
        <f t="shared" si="26"/>
        <v>1.1181124101811712E-3</v>
      </c>
      <c r="AI82" s="8">
        <f t="shared" si="28"/>
        <v>5.6896064319721421E-6</v>
      </c>
      <c r="AJ82" s="8">
        <f t="shared" si="29"/>
        <v>-3.1879406025754582E-6</v>
      </c>
      <c r="AK82" s="8">
        <f t="shared" si="30"/>
        <v>7.8125E-3</v>
      </c>
    </row>
    <row r="83" spans="28:37" x14ac:dyDescent="0.2">
      <c r="AB83" s="8">
        <v>8</v>
      </c>
      <c r="AC83" s="8">
        <f t="shared" si="31"/>
        <v>0.41796875</v>
      </c>
      <c r="AD83" s="8">
        <f t="shared" si="24"/>
        <v>1.1181124101811712E-3</v>
      </c>
      <c r="AE83" s="8">
        <f t="shared" si="32"/>
        <v>0.421875</v>
      </c>
      <c r="AF83" s="8">
        <f t="shared" si="25"/>
        <v>-2.8511807699718728E-3</v>
      </c>
      <c r="AG83" s="8">
        <f t="shared" si="27"/>
        <v>0.419921875</v>
      </c>
      <c r="AH83" s="8">
        <f t="shared" si="26"/>
        <v>-8.6667918160310276E-4</v>
      </c>
      <c r="AI83" s="8">
        <f t="shared" si="28"/>
        <v>-9.6904474859609019E-7</v>
      </c>
      <c r="AJ83" s="8">
        <f t="shared" si="29"/>
        <v>2.4710590163217272E-6</v>
      </c>
      <c r="AK83" s="8">
        <f t="shared" si="30"/>
        <v>3.90625E-3</v>
      </c>
    </row>
    <row r="84" spans="28:37" x14ac:dyDescent="0.2">
      <c r="AB84" s="8">
        <v>9</v>
      </c>
      <c r="AC84" s="8">
        <f t="shared" si="31"/>
        <v>0.41796875</v>
      </c>
      <c r="AD84" s="8">
        <f t="shared" si="24"/>
        <v>1.1181124101811712E-3</v>
      </c>
      <c r="AE84" s="8">
        <f t="shared" si="32"/>
        <v>0.419921875</v>
      </c>
      <c r="AF84" s="8">
        <f t="shared" si="25"/>
        <v>-8.6667918160310276E-4</v>
      </c>
      <c r="AG84" s="8">
        <f t="shared" si="27"/>
        <v>0.4189453125</v>
      </c>
      <c r="AH84" s="8">
        <f t="shared" si="26"/>
        <v>1.2568011409264113E-4</v>
      </c>
      <c r="AI84" s="8">
        <f t="shared" si="28"/>
        <v>1.4052449527996757E-7</v>
      </c>
      <c r="AJ84" s="8">
        <f t="shared" si="29"/>
        <v>-1.0892433842559479E-7</v>
      </c>
      <c r="AK84" s="8">
        <f t="shared" si="30"/>
        <v>1.953125E-3</v>
      </c>
    </row>
    <row r="85" spans="28:37" x14ac:dyDescent="0.2">
      <c r="AB85" s="8">
        <v>10</v>
      </c>
      <c r="AC85" s="8">
        <f t="shared" si="31"/>
        <v>0.4189453125</v>
      </c>
      <c r="AD85" s="8">
        <f t="shared" si="24"/>
        <v>1.2568011409264113E-4</v>
      </c>
      <c r="AE85" s="8">
        <f t="shared" si="32"/>
        <v>0.419921875</v>
      </c>
      <c r="AF85" s="8">
        <f t="shared" si="25"/>
        <v>-8.6667918160310276E-4</v>
      </c>
      <c r="AG85" s="8">
        <f t="shared" si="27"/>
        <v>0.41943359375</v>
      </c>
      <c r="AH85" s="8">
        <f t="shared" si="26"/>
        <v>-3.7050862740478641E-4</v>
      </c>
      <c r="AI85" s="8">
        <f t="shared" si="28"/>
        <v>-4.6565566564541413E-8</v>
      </c>
      <c r="AJ85" s="8">
        <f t="shared" si="29"/>
        <v>3.2111211397606919E-7</v>
      </c>
      <c r="AK85" s="8">
        <f t="shared" si="30"/>
        <v>9.765625E-4</v>
      </c>
    </row>
    <row r="86" spans="28:37" x14ac:dyDescent="0.2">
      <c r="AB86" s="8">
        <v>11</v>
      </c>
      <c r="AC86" s="8">
        <f t="shared" si="31"/>
        <v>0.4189453125</v>
      </c>
      <c r="AD86" s="8">
        <f t="shared" si="24"/>
        <v>1.2568011409264113E-4</v>
      </c>
      <c r="AE86" s="8">
        <f t="shared" si="32"/>
        <v>0.41943359375</v>
      </c>
      <c r="AF86" s="8">
        <f t="shared" si="25"/>
        <v>-3.7050862740478641E-4</v>
      </c>
      <c r="AG86" s="8">
        <f t="shared" si="27"/>
        <v>0.419189453125</v>
      </c>
      <c r="AH86" s="8">
        <f t="shared" si="26"/>
        <v>-1.2241653398215036E-4</v>
      </c>
      <c r="AI86" s="8">
        <f t="shared" si="28"/>
        <v>-1.5385323957702337E-8</v>
      </c>
      <c r="AJ86" s="8">
        <f t="shared" si="29"/>
        <v>4.5356381977377922E-8</v>
      </c>
      <c r="AK86" s="8">
        <f t="shared" si="30"/>
        <v>4.8828125E-4</v>
      </c>
    </row>
    <row r="87" spans="28:37" x14ac:dyDescent="0.2">
      <c r="AB87" s="8">
        <v>12</v>
      </c>
      <c r="AC87" s="8">
        <f t="shared" si="31"/>
        <v>0.4189453125</v>
      </c>
      <c r="AD87" s="8">
        <f t="shared" si="24"/>
        <v>1.2568011409264113E-4</v>
      </c>
      <c r="AE87" s="8">
        <f t="shared" si="32"/>
        <v>0.419189453125</v>
      </c>
      <c r="AF87" s="8">
        <f t="shared" si="25"/>
        <v>-1.2241653398215036E-4</v>
      </c>
      <c r="AG87" s="8">
        <f t="shared" si="27"/>
        <v>0.4190673828125</v>
      </c>
      <c r="AH87" s="8">
        <f t="shared" si="26"/>
        <v>1.6312202335000414E-6</v>
      </c>
      <c r="AI87" s="8">
        <f t="shared" si="28"/>
        <v>2.0501194505650991E-10</v>
      </c>
      <c r="AJ87" s="8">
        <f t="shared" si="29"/>
        <v>-1.9968832714662907E-10</v>
      </c>
      <c r="AK87" s="8">
        <f t="shared" si="30"/>
        <v>2.44140625E-4</v>
      </c>
    </row>
    <row r="88" spans="28:37" x14ac:dyDescent="0.2">
      <c r="AB88" s="8">
        <v>13</v>
      </c>
      <c r="AC88" s="8">
        <f t="shared" si="31"/>
        <v>0.4190673828125</v>
      </c>
      <c r="AD88" s="8">
        <f t="shared" si="24"/>
        <v>1.6312202335000414E-6</v>
      </c>
      <c r="AE88" s="8">
        <f t="shared" si="32"/>
        <v>0.419189453125</v>
      </c>
      <c r="AF88" s="8">
        <f t="shared" si="25"/>
        <v>-1.2241653398215036E-4</v>
      </c>
      <c r="AG88" s="8">
        <f t="shared" si="27"/>
        <v>0.41912841796875</v>
      </c>
      <c r="AH88" s="8">
        <f t="shared" si="26"/>
        <v>-6.0392799268449426E-5</v>
      </c>
      <c r="AI88" s="8">
        <f t="shared" si="28"/>
        <v>-9.8513956124401205E-11</v>
      </c>
      <c r="AJ88" s="8">
        <f t="shared" si="29"/>
        <v>7.3930771639233243E-9</v>
      </c>
      <c r="AK88" s="8">
        <f t="shared" si="30"/>
        <v>1.220703125E-4</v>
      </c>
    </row>
    <row r="89" spans="28:37" x14ac:dyDescent="0.2">
      <c r="AB89" s="8">
        <v>14</v>
      </c>
      <c r="AC89" s="8">
        <f t="shared" si="31"/>
        <v>0.4190673828125</v>
      </c>
      <c r="AD89" s="8">
        <f t="shared" si="24"/>
        <v>1.6312202335000414E-6</v>
      </c>
      <c r="AE89" s="8">
        <f t="shared" si="32"/>
        <v>0.41912841796875</v>
      </c>
      <c r="AF89" s="8">
        <f t="shared" si="25"/>
        <v>-6.0392799268449426E-5</v>
      </c>
      <c r="AG89" s="8">
        <f t="shared" si="27"/>
        <v>0.419097900390625</v>
      </c>
      <c r="AH89" s="8">
        <f t="shared" si="26"/>
        <v>-2.938082512365936E-5</v>
      </c>
      <c r="AI89" s="8">
        <f t="shared" si="28"/>
        <v>-4.7926596418639503E-11</v>
      </c>
      <c r="AJ89" s="8">
        <f t="shared" si="29"/>
        <v>1.7743902740345756E-9</v>
      </c>
      <c r="AK89" s="8">
        <f t="shared" si="30"/>
        <v>6.103515625E-5</v>
      </c>
    </row>
    <row r="90" spans="28:37" x14ac:dyDescent="0.2">
      <c r="AB90" s="8">
        <v>15</v>
      </c>
      <c r="AC90" s="8">
        <f t="shared" si="31"/>
        <v>0.4190673828125</v>
      </c>
      <c r="AD90" s="8">
        <f t="shared" si="24"/>
        <v>1.6312202335000414E-6</v>
      </c>
      <c r="AE90" s="8">
        <f t="shared" si="32"/>
        <v>0.419097900390625</v>
      </c>
      <c r="AF90" s="8">
        <f t="shared" si="25"/>
        <v>-2.938082512365936E-5</v>
      </c>
      <c r="AG90" s="8">
        <f t="shared" si="27"/>
        <v>0.4190826416015625</v>
      </c>
      <c r="AH90" s="8">
        <f t="shared" si="26"/>
        <v>-1.3874811347569516E-5</v>
      </c>
      <c r="AI90" s="8">
        <f t="shared" si="28"/>
        <v>-2.2632873006151369E-11</v>
      </c>
      <c r="AJ90" s="8">
        <f t="shared" si="29"/>
        <v>4.0765340582670442E-10</v>
      </c>
      <c r="AK90" s="8">
        <f t="shared" si="30"/>
        <v>3.0517578125E-5</v>
      </c>
    </row>
    <row r="91" spans="28:37" x14ac:dyDescent="0.2">
      <c r="AB91" s="8">
        <v>16</v>
      </c>
      <c r="AC91" s="8">
        <f t="shared" si="31"/>
        <v>0.4190673828125</v>
      </c>
      <c r="AD91" s="8">
        <f t="shared" si="24"/>
        <v>1.6312202335000414E-6</v>
      </c>
      <c r="AE91" s="8">
        <f t="shared" si="32"/>
        <v>0.4190826416015625</v>
      </c>
      <c r="AF91" s="8">
        <f t="shared" si="25"/>
        <v>-1.3874811347569516E-5</v>
      </c>
      <c r="AG91" s="8">
        <f t="shared" si="27"/>
        <v>0.41907501220703125</v>
      </c>
      <c r="AH91" s="8">
        <f t="shared" si="26"/>
        <v>-6.1217977827543457E-6</v>
      </c>
      <c r="AI91" s="8">
        <f t="shared" si="28"/>
        <v>-9.98600040862458E-12</v>
      </c>
      <c r="AJ91" s="8">
        <f t="shared" si="29"/>
        <v>8.4938789343685892E-11</v>
      </c>
      <c r="AK91" s="8">
        <f t="shared" si="30"/>
        <v>1.52587890625E-5</v>
      </c>
    </row>
    <row r="92" spans="28:37" x14ac:dyDescent="0.2">
      <c r="AB92" s="8">
        <v>17</v>
      </c>
      <c r="AC92" s="8">
        <f t="shared" si="31"/>
        <v>0.4190673828125</v>
      </c>
      <c r="AD92" s="8">
        <f t="shared" si="24"/>
        <v>1.6312202335000414E-6</v>
      </c>
      <c r="AE92" s="8">
        <f t="shared" si="32"/>
        <v>0.41907501220703125</v>
      </c>
      <c r="AF92" s="8">
        <f t="shared" si="25"/>
        <v>-6.1217977827543457E-6</v>
      </c>
      <c r="AG92" s="8">
        <f t="shared" si="27"/>
        <v>0.41907119750976562</v>
      </c>
      <c r="AH92" s="8">
        <f t="shared" si="26"/>
        <v>-2.2452893310709321E-6</v>
      </c>
      <c r="AI92" s="8">
        <f t="shared" si="28"/>
        <v>-3.662561386904678E-12</v>
      </c>
      <c r="AJ92" s="8">
        <f t="shared" si="29"/>
        <v>1.3745207248592021E-11</v>
      </c>
      <c r="AK92" s="8">
        <f t="shared" si="30"/>
        <v>7.62939453125E-6</v>
      </c>
    </row>
    <row r="93" spans="28:37" x14ac:dyDescent="0.2">
      <c r="AB93" s="8">
        <v>18</v>
      </c>
      <c r="AC93" s="8">
        <f t="shared" si="31"/>
        <v>0.4190673828125</v>
      </c>
      <c r="AD93" s="8">
        <f t="shared" si="24"/>
        <v>1.6312202335000414E-6</v>
      </c>
      <c r="AE93" s="8">
        <f t="shared" si="32"/>
        <v>0.41907119750976562</v>
      </c>
      <c r="AF93" s="8">
        <f t="shared" si="25"/>
        <v>-2.2452893310709321E-6</v>
      </c>
      <c r="AG93" s="8">
        <f t="shared" si="27"/>
        <v>0.41906929016113281</v>
      </c>
      <c r="AH93" s="8">
        <f t="shared" si="26"/>
        <v>-3.0703468789639032E-7</v>
      </c>
      <c r="AI93" s="8">
        <f t="shared" si="28"/>
        <v>-5.0084119528296217E-13</v>
      </c>
      <c r="AJ93" s="8">
        <f t="shared" si="29"/>
        <v>6.8938170900245865E-13</v>
      </c>
      <c r="AK93" s="8">
        <f t="shared" si="30"/>
        <v>3.814697265625E-6</v>
      </c>
    </row>
    <row r="94" spans="28:37" x14ac:dyDescent="0.2">
      <c r="AB94" s="8">
        <v>19</v>
      </c>
      <c r="AC94" s="8">
        <f t="shared" si="31"/>
        <v>0.4190673828125</v>
      </c>
      <c r="AD94" s="8">
        <f t="shared" si="24"/>
        <v>1.6312202335000414E-6</v>
      </c>
      <c r="AE94" s="8">
        <f t="shared" si="32"/>
        <v>0.41906929016113281</v>
      </c>
      <c r="AF94" s="8">
        <f t="shared" si="25"/>
        <v>-3.0703468789639032E-7</v>
      </c>
      <c r="AG94" s="8">
        <f t="shared" si="27"/>
        <v>0.41906833648681641</v>
      </c>
      <c r="AH94" s="8">
        <f t="shared" si="26"/>
        <v>6.620927380240893E-7</v>
      </c>
      <c r="AI94" s="8">
        <f t="shared" si="28"/>
        <v>1.0800190707183368E-12</v>
      </c>
      <c r="AJ94" s="8">
        <f t="shared" si="29"/>
        <v>-2.0328543717769279E-13</v>
      </c>
      <c r="AK94" s="8">
        <f t="shared" si="30"/>
        <v>1.9073486328125E-6</v>
      </c>
    </row>
    <row r="95" spans="28:37" x14ac:dyDescent="0.2">
      <c r="AB95" s="8">
        <v>20</v>
      </c>
      <c r="AC95" s="8">
        <f t="shared" si="31"/>
        <v>0.41906833648681641</v>
      </c>
      <c r="AD95" s="8">
        <f t="shared" si="24"/>
        <v>6.620927380240893E-7</v>
      </c>
      <c r="AE95" s="8">
        <f t="shared" si="32"/>
        <v>0.41906929016113281</v>
      </c>
      <c r="AF95" s="8">
        <f t="shared" si="25"/>
        <v>-3.0703468789639032E-7</v>
      </c>
      <c r="AG95" s="8">
        <f t="shared" si="27"/>
        <v>0.41906881332397461</v>
      </c>
      <c r="AH95" s="8">
        <f t="shared" si="26"/>
        <v>1.7752901637635432E-7</v>
      </c>
      <c r="AI95" s="8">
        <f t="shared" si="28"/>
        <v>1.1754067253134382E-13</v>
      </c>
      <c r="AJ95" s="8">
        <f t="shared" si="29"/>
        <v>-5.4507566135667114E-14</v>
      </c>
      <c r="AK95" s="8">
        <f t="shared" si="30"/>
        <v>9.5367431640625E-7</v>
      </c>
    </row>
    <row r="96" spans="28:37" x14ac:dyDescent="0.2">
      <c r="AB96" s="8">
        <v>21</v>
      </c>
      <c r="AC96" s="8">
        <f t="shared" si="31"/>
        <v>0.41906881332397461</v>
      </c>
      <c r="AD96" s="8">
        <f t="shared" si="24"/>
        <v>1.7752901637635432E-7</v>
      </c>
      <c r="AE96" s="8">
        <f t="shared" si="32"/>
        <v>0.41906929016113281</v>
      </c>
      <c r="AF96" s="8">
        <f t="shared" si="25"/>
        <v>-3.0703468789639032E-7</v>
      </c>
      <c r="AG96" s="8">
        <f t="shared" si="27"/>
        <v>0.41906905174255371</v>
      </c>
      <c r="AH96" s="8">
        <f t="shared" si="26"/>
        <v>-6.47528379249529E-8</v>
      </c>
      <c r="AI96" s="8">
        <f t="shared" si="28"/>
        <v>-1.1495507624394381E-14</v>
      </c>
      <c r="AJ96" s="8">
        <f t="shared" si="29"/>
        <v>1.9881367382693461E-14</v>
      </c>
      <c r="AK96" s="8">
        <f t="shared" si="30"/>
        <v>4.76837158203125E-7</v>
      </c>
    </row>
    <row r="97" spans="28:37" x14ac:dyDescent="0.2">
      <c r="AB97" s="8">
        <v>22</v>
      </c>
      <c r="AC97" s="8">
        <f t="shared" si="31"/>
        <v>0.41906881332397461</v>
      </c>
      <c r="AD97" s="8">
        <f t="shared" si="24"/>
        <v>1.7752901637635432E-7</v>
      </c>
      <c r="AE97" s="8">
        <f t="shared" si="32"/>
        <v>0.41906905174255371</v>
      </c>
      <c r="AF97" s="8">
        <f t="shared" si="25"/>
        <v>-6.47528379249529E-8</v>
      </c>
      <c r="AG97" s="8">
        <f t="shared" si="27"/>
        <v>0.41906893253326416</v>
      </c>
      <c r="AH97" s="8">
        <f t="shared" si="26"/>
        <v>5.6388088698344774E-8</v>
      </c>
      <c r="AI97" s="8">
        <f t="shared" si="28"/>
        <v>1.0010521921959769E-14</v>
      </c>
      <c r="AJ97" s="8">
        <f t="shared" si="29"/>
        <v>-3.6512887683817872E-15</v>
      </c>
      <c r="AK97" s="8">
        <f t="shared" si="30"/>
        <v>2.384185791015625E-7</v>
      </c>
    </row>
    <row r="98" spans="28:37" x14ac:dyDescent="0.2">
      <c r="AB98" s="8">
        <v>23</v>
      </c>
      <c r="AC98" s="8">
        <f t="shared" si="31"/>
        <v>0.41906893253326416</v>
      </c>
      <c r="AD98" s="8">
        <f t="shared" si="24"/>
        <v>5.6388088698344774E-8</v>
      </c>
      <c r="AE98" s="8">
        <f t="shared" si="32"/>
        <v>0.41906905174255371</v>
      </c>
      <c r="AF98" s="8">
        <f t="shared" si="25"/>
        <v>-6.47528379249529E-8</v>
      </c>
      <c r="AG98" s="8">
        <f t="shared" si="27"/>
        <v>0.41906899213790894</v>
      </c>
      <c r="AH98" s="8">
        <f t="shared" si="26"/>
        <v>-4.1823747798375166E-9</v>
      </c>
      <c r="AI98" s="8">
        <f t="shared" si="28"/>
        <v>-2.3583612005519809E-16</v>
      </c>
      <c r="AJ98" s="8">
        <f t="shared" si="29"/>
        <v>2.7082063626022927E-16</v>
      </c>
      <c r="AK98" s="8">
        <f t="shared" si="30"/>
        <v>1.1920928955078125E-7</v>
      </c>
    </row>
    <row r="99" spans="28:37" x14ac:dyDescent="0.2">
      <c r="AB99" s="8">
        <v>24</v>
      </c>
      <c r="AC99" s="8">
        <f t="shared" si="31"/>
        <v>0.41906893253326416</v>
      </c>
      <c r="AD99" s="8">
        <f t="shared" si="24"/>
        <v>5.6388088698344774E-8</v>
      </c>
      <c r="AE99" s="8">
        <f t="shared" si="32"/>
        <v>0.41906899213790894</v>
      </c>
      <c r="AF99" s="8">
        <f t="shared" si="25"/>
        <v>-4.1823747798375166E-9</v>
      </c>
      <c r="AG99" s="8">
        <f t="shared" si="27"/>
        <v>0.41906896233558655</v>
      </c>
      <c r="AH99" s="8">
        <f t="shared" si="26"/>
        <v>2.6102856931498053E-8</v>
      </c>
      <c r="AI99" s="8">
        <f t="shared" si="28"/>
        <v>1.4718902119335159E-15</v>
      </c>
      <c r="AJ99" s="8">
        <f t="shared" si="29"/>
        <v>-1.0917193051200436E-16</v>
      </c>
      <c r="AK99" s="8">
        <f t="shared" si="30"/>
        <v>5.9604644775390625E-8</v>
      </c>
    </row>
    <row r="100" spans="28:37" x14ac:dyDescent="0.2">
      <c r="AB100" s="8">
        <v>25</v>
      </c>
      <c r="AC100" s="8">
        <f t="shared" si="31"/>
        <v>0.41906896233558655</v>
      </c>
      <c r="AD100" s="8">
        <f t="shared" si="24"/>
        <v>2.6102856931498053E-8</v>
      </c>
      <c r="AE100" s="8">
        <f t="shared" si="32"/>
        <v>0.41906899213790894</v>
      </c>
      <c r="AF100" s="8">
        <f t="shared" si="25"/>
        <v>-4.1823747798375166E-9</v>
      </c>
      <c r="AG100" s="8">
        <f t="shared" si="27"/>
        <v>0.41906897723674774</v>
      </c>
      <c r="AH100" s="8">
        <f t="shared" si="26"/>
        <v>1.0960241048074693E-8</v>
      </c>
      <c r="AI100" s="8">
        <f t="shared" si="28"/>
        <v>2.8609360401262597E-16</v>
      </c>
      <c r="AJ100" s="8">
        <f t="shared" si="29"/>
        <v>-4.5839835740407505E-17</v>
      </c>
      <c r="AK100" s="8">
        <f t="shared" si="30"/>
        <v>2.9802322387695312E-8</v>
      </c>
    </row>
    <row r="101" spans="28:37" x14ac:dyDescent="0.2">
      <c r="AB101" s="8">
        <v>26</v>
      </c>
      <c r="AC101" s="8">
        <f t="shared" si="31"/>
        <v>0.41906897723674774</v>
      </c>
      <c r="AD101" s="8">
        <f t="shared" si="24"/>
        <v>1.0960241048074693E-8</v>
      </c>
      <c r="AE101" s="8">
        <f t="shared" si="32"/>
        <v>0.41906899213790894</v>
      </c>
      <c r="AF101" s="8">
        <f t="shared" si="25"/>
        <v>-4.1823747798375166E-9</v>
      </c>
      <c r="AG101" s="8">
        <f t="shared" si="27"/>
        <v>0.41906898468732834</v>
      </c>
      <c r="AH101" s="8">
        <f t="shared" si="26"/>
        <v>3.388933134118588E-9</v>
      </c>
      <c r="AI101" s="8">
        <f t="shared" si="28"/>
        <v>3.7143524045746965E-17</v>
      </c>
      <c r="AJ101" s="8">
        <f t="shared" si="29"/>
        <v>-1.4173788470693295E-17</v>
      </c>
      <c r="AK101" s="8">
        <f t="shared" si="30"/>
        <v>1.4901161193847656E-8</v>
      </c>
    </row>
    <row r="102" spans="28:37" x14ac:dyDescent="0.2">
      <c r="AB102" s="8">
        <v>27</v>
      </c>
      <c r="AC102" s="8">
        <f t="shared" si="31"/>
        <v>0.41906898468732834</v>
      </c>
      <c r="AD102" s="8">
        <f t="shared" si="24"/>
        <v>3.388933134118588E-9</v>
      </c>
      <c r="AE102" s="8">
        <f t="shared" si="32"/>
        <v>0.41906899213790894</v>
      </c>
      <c r="AF102" s="8">
        <f t="shared" si="25"/>
        <v>-4.1823747798375166E-9</v>
      </c>
      <c r="AG102" s="8">
        <f t="shared" si="27"/>
        <v>0.41906898841261864</v>
      </c>
      <c r="AH102" s="8">
        <f t="shared" si="26"/>
        <v>-3.9672082285946431E-10</v>
      </c>
      <c r="AI102" s="8">
        <f t="shared" si="28"/>
        <v>-1.3444603415832295E-18</v>
      </c>
      <c r="AJ102" s="8">
        <f t="shared" si="29"/>
        <v>1.6592351641638104E-18</v>
      </c>
      <c r="AK102" s="8">
        <f t="shared" si="30"/>
        <v>7.4505805969238281E-9</v>
      </c>
    </row>
    <row r="103" spans="28:37" x14ac:dyDescent="0.2">
      <c r="AB103" s="8">
        <v>28</v>
      </c>
      <c r="AC103" s="8">
        <f t="shared" si="31"/>
        <v>0.41906898468732834</v>
      </c>
      <c r="AD103" s="8">
        <f t="shared" si="24"/>
        <v>3.388933134118588E-9</v>
      </c>
      <c r="AE103" s="8">
        <f t="shared" si="32"/>
        <v>0.41906898841261864</v>
      </c>
      <c r="AF103" s="8">
        <f t="shared" si="25"/>
        <v>-3.9672082285946431E-10</v>
      </c>
      <c r="AG103" s="8">
        <f t="shared" si="27"/>
        <v>0.41906898654997349</v>
      </c>
      <c r="AH103" s="8">
        <f t="shared" si="26"/>
        <v>1.4961061833851375E-9</v>
      </c>
      <c r="AI103" s="8">
        <f t="shared" si="28"/>
        <v>5.0702038170335928E-18</v>
      </c>
      <c r="AJ103" s="8">
        <f t="shared" si="29"/>
        <v>-5.9353647615768434E-19</v>
      </c>
      <c r="AK103" s="8">
        <f t="shared" si="30"/>
        <v>3.7252902984619141E-9</v>
      </c>
    </row>
    <row r="104" spans="28:37" x14ac:dyDescent="0.2">
      <c r="AB104" s="8">
        <v>29</v>
      </c>
      <c r="AC104" s="8">
        <f t="shared" si="31"/>
        <v>0.41906898654997349</v>
      </c>
      <c r="AD104" s="8">
        <f t="shared" si="24"/>
        <v>1.4961061833851375E-9</v>
      </c>
      <c r="AE104" s="8">
        <f t="shared" si="32"/>
        <v>0.41906898841261864</v>
      </c>
      <c r="AF104" s="8">
        <f t="shared" si="25"/>
        <v>-3.9672082285946431E-10</v>
      </c>
      <c r="AG104" s="8">
        <f t="shared" si="27"/>
        <v>0.41906898748129606</v>
      </c>
      <c r="AH104" s="8">
        <f t="shared" si="26"/>
        <v>5.4969268026283657E-10</v>
      </c>
      <c r="AI104" s="8">
        <f t="shared" si="28"/>
        <v>8.2239861790277911E-19</v>
      </c>
      <c r="AJ104" s="8">
        <f t="shared" si="29"/>
        <v>-2.1807453243369694E-19</v>
      </c>
      <c r="AK104" s="8">
        <f t="shared" si="30"/>
        <v>1.862645149230957E-9</v>
      </c>
    </row>
    <row r="105" spans="28:37" x14ac:dyDescent="0.2">
      <c r="AB105" s="8">
        <v>30</v>
      </c>
      <c r="AC105" s="8">
        <f t="shared" si="31"/>
        <v>0.41906898748129606</v>
      </c>
      <c r="AD105" s="8">
        <f t="shared" si="24"/>
        <v>5.4969268026283657E-10</v>
      </c>
      <c r="AE105" s="8">
        <f t="shared" si="32"/>
        <v>0.41906898841261864</v>
      </c>
      <c r="AF105" s="8">
        <f t="shared" si="25"/>
        <v>-3.9672082285946431E-10</v>
      </c>
      <c r="AG105" s="8">
        <f t="shared" si="27"/>
        <v>0.41906898794695735</v>
      </c>
      <c r="AH105" s="8">
        <f t="shared" si="26"/>
        <v>7.6485928701686134E-11</v>
      </c>
      <c r="AI105" s="8">
        <f t="shared" si="28"/>
        <v>4.2043755150422071E-20</v>
      </c>
      <c r="AJ105" s="8">
        <f t="shared" si="29"/>
        <v>-3.0343560571703242E-20</v>
      </c>
      <c r="AK105" s="8">
        <f t="shared" si="30"/>
        <v>9.3132257461547852E-10</v>
      </c>
    </row>
  </sheetData>
  <mergeCells count="26">
    <mergeCell ref="B1:D1"/>
    <mergeCell ref="B3:D3"/>
    <mergeCell ref="F3:H3"/>
    <mergeCell ref="J3:L3"/>
    <mergeCell ref="N3:P3"/>
    <mergeCell ref="V3:X3"/>
    <mergeCell ref="F10:H10"/>
    <mergeCell ref="J10:L10"/>
    <mergeCell ref="B11:D11"/>
    <mergeCell ref="N15:P15"/>
    <mergeCell ref="R15:T15"/>
    <mergeCell ref="V15:X15"/>
    <mergeCell ref="R3:T3"/>
    <mergeCell ref="B63:D63"/>
    <mergeCell ref="B16:D16"/>
    <mergeCell ref="F21:H21"/>
    <mergeCell ref="B25:D25"/>
    <mergeCell ref="F26:H26"/>
    <mergeCell ref="B35:D35"/>
    <mergeCell ref="B38:D38"/>
    <mergeCell ref="J42:L42"/>
    <mergeCell ref="B43:D43"/>
    <mergeCell ref="B48:D48"/>
    <mergeCell ref="B52:D52"/>
    <mergeCell ref="B55:D55"/>
    <mergeCell ref="J50:L50"/>
  </mergeCells>
  <conditionalFormatting sqref="K32">
    <cfRule type="containsText" dxfId="5" priority="1" operator="containsText" text="FALSE">
      <formula>NOT(ISERROR(SEARCH("FALSE",K32)))</formula>
    </cfRule>
    <cfRule type="containsText" dxfId="4" priority="2" operator="containsText" text="TRUE">
      <formula>NOT(ISERROR(SEARCH("TRUE",K32)))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NOT(ISERROR(SEARCH("YES",K32)))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20B0-CB2A-0949-AB87-165A43BD5ABC}">
  <dimension ref="B2:AF11"/>
  <sheetViews>
    <sheetView workbookViewId="0">
      <selection activeCell="H7" sqref="H7"/>
    </sheetView>
  </sheetViews>
  <sheetFormatPr baseColWidth="10" defaultRowHeight="16" x14ac:dyDescent="0.2"/>
  <cols>
    <col min="2" max="2" width="5.5" customWidth="1"/>
    <col min="3" max="3" width="11.6640625" customWidth="1"/>
    <col min="7" max="9" width="16.33203125" customWidth="1"/>
    <col min="10" max="10" width="11.6640625" customWidth="1"/>
    <col min="11" max="11" width="16.33203125" customWidth="1"/>
    <col min="12" max="12" width="6.83203125" customWidth="1"/>
    <col min="13" max="13" width="7.83203125" customWidth="1"/>
    <col min="15" max="15" width="6.83203125" customWidth="1"/>
    <col min="16" max="16" width="7.83203125" customWidth="1"/>
    <col min="19" max="19" width="11.1640625" customWidth="1"/>
    <col min="20" max="20" width="6.83203125" customWidth="1"/>
    <col min="26" max="26" width="11.1640625" customWidth="1"/>
  </cols>
  <sheetData>
    <row r="2" spans="2:32" x14ac:dyDescent="0.2">
      <c r="B2" s="55" t="s">
        <v>187</v>
      </c>
      <c r="C2" s="55" t="s">
        <v>188</v>
      </c>
      <c r="D2" s="55" t="s">
        <v>189</v>
      </c>
      <c r="E2" s="55" t="s">
        <v>193</v>
      </c>
      <c r="F2" s="55"/>
      <c r="G2" s="55"/>
      <c r="H2" s="52" t="s">
        <v>208</v>
      </c>
      <c r="I2" s="54"/>
      <c r="J2" s="52" t="s">
        <v>202</v>
      </c>
      <c r="K2" s="54"/>
      <c r="L2" s="55" t="s">
        <v>195</v>
      </c>
      <c r="M2" s="55"/>
      <c r="N2" s="55"/>
      <c r="O2" s="55" t="s">
        <v>196</v>
      </c>
      <c r="P2" s="55"/>
      <c r="Q2" s="55"/>
      <c r="R2" s="52" t="s">
        <v>213</v>
      </c>
      <c r="S2" s="53"/>
      <c r="T2" s="52" t="s">
        <v>216</v>
      </c>
      <c r="U2" s="53"/>
      <c r="V2" s="53"/>
      <c r="W2" s="54"/>
      <c r="X2" s="52" t="s">
        <v>217</v>
      </c>
      <c r="Y2" s="53"/>
      <c r="Z2" s="54"/>
      <c r="AA2" s="52" t="s">
        <v>220</v>
      </c>
      <c r="AB2" s="53"/>
      <c r="AC2" s="54"/>
      <c r="AD2" s="55" t="s">
        <v>198</v>
      </c>
      <c r="AE2" s="55"/>
      <c r="AF2" s="55"/>
    </row>
    <row r="3" spans="2:32" x14ac:dyDescent="0.2">
      <c r="B3" s="55"/>
      <c r="C3" s="55"/>
      <c r="D3" s="55"/>
      <c r="E3" s="38" t="s">
        <v>191</v>
      </c>
      <c r="F3" s="38" t="s">
        <v>190</v>
      </c>
      <c r="G3" s="38" t="s">
        <v>192</v>
      </c>
      <c r="H3" s="38" t="s">
        <v>209</v>
      </c>
      <c r="I3" s="38" t="s">
        <v>210</v>
      </c>
      <c r="J3" s="38" t="s">
        <v>204</v>
      </c>
      <c r="K3" s="38" t="s">
        <v>205</v>
      </c>
      <c r="L3" s="38" t="s">
        <v>31</v>
      </c>
      <c r="M3" s="38" t="s">
        <v>207</v>
      </c>
      <c r="N3" s="38" t="s">
        <v>194</v>
      </c>
      <c r="O3" s="38" t="s">
        <v>31</v>
      </c>
      <c r="P3" s="38" t="s">
        <v>207</v>
      </c>
      <c r="Q3" s="38" t="s">
        <v>194</v>
      </c>
      <c r="R3" s="38" t="s">
        <v>214</v>
      </c>
      <c r="S3" s="38" t="s">
        <v>222</v>
      </c>
      <c r="T3" s="38" t="s">
        <v>31</v>
      </c>
      <c r="U3" s="38" t="s">
        <v>218</v>
      </c>
      <c r="V3" s="38" t="s">
        <v>219</v>
      </c>
      <c r="W3" s="38" t="s">
        <v>215</v>
      </c>
      <c r="X3" s="38" t="s">
        <v>219</v>
      </c>
      <c r="Y3" s="38" t="s">
        <v>215</v>
      </c>
      <c r="Z3" s="38" t="s">
        <v>222</v>
      </c>
      <c r="AA3" s="38" t="s">
        <v>203</v>
      </c>
      <c r="AB3" s="38" t="s">
        <v>221</v>
      </c>
      <c r="AC3" s="38" t="s">
        <v>222</v>
      </c>
      <c r="AD3" s="38" t="s">
        <v>197</v>
      </c>
      <c r="AE3" s="38" t="s">
        <v>199</v>
      </c>
      <c r="AF3" s="38" t="s">
        <v>73</v>
      </c>
    </row>
    <row r="4" spans="2:32" x14ac:dyDescent="0.2">
      <c r="B4" s="37">
        <v>1</v>
      </c>
      <c r="C4" s="37" t="s">
        <v>200</v>
      </c>
      <c r="D4" s="37" t="s">
        <v>201</v>
      </c>
      <c r="E4" s="37">
        <v>100</v>
      </c>
      <c r="F4" s="37">
        <v>16000</v>
      </c>
      <c r="G4" s="37">
        <f>130*1000/3600</f>
        <v>36.111111111111114</v>
      </c>
      <c r="H4" s="37">
        <v>157</v>
      </c>
      <c r="I4" s="37">
        <v>14.4</v>
      </c>
      <c r="J4" s="37">
        <v>3.86</v>
      </c>
      <c r="K4" s="37">
        <v>1.44</v>
      </c>
      <c r="L4" s="37">
        <v>8</v>
      </c>
      <c r="M4" s="37">
        <v>2</v>
      </c>
      <c r="N4" s="37">
        <v>0.8</v>
      </c>
      <c r="O4" s="37">
        <v>0</v>
      </c>
      <c r="P4" s="37" t="s">
        <v>206</v>
      </c>
      <c r="Q4" s="37" t="s">
        <v>206</v>
      </c>
      <c r="R4" s="37" t="s">
        <v>206</v>
      </c>
      <c r="S4" s="37" t="s">
        <v>206</v>
      </c>
      <c r="T4" s="37">
        <v>0</v>
      </c>
      <c r="U4" s="37" t="s">
        <v>206</v>
      </c>
      <c r="V4" s="37" t="s">
        <v>206</v>
      </c>
      <c r="W4" s="37" t="s">
        <v>206</v>
      </c>
      <c r="X4" s="37" t="s">
        <v>206</v>
      </c>
      <c r="Y4" s="37" t="s">
        <v>206</v>
      </c>
      <c r="Z4" s="37" t="s">
        <v>206</v>
      </c>
      <c r="AA4" s="37"/>
      <c r="AB4" s="37"/>
      <c r="AC4" s="37"/>
      <c r="AD4" s="37">
        <v>360</v>
      </c>
      <c r="AE4" s="37">
        <v>260</v>
      </c>
      <c r="AF4" s="37">
        <f>I4*1000/H4</f>
        <v>91.71974522292993</v>
      </c>
    </row>
    <row r="5" spans="2:32" x14ac:dyDescent="0.2">
      <c r="B5" s="37">
        <v>2</v>
      </c>
      <c r="C5" s="37" t="s">
        <v>211</v>
      </c>
      <c r="D5" s="37" t="s">
        <v>212</v>
      </c>
      <c r="E5" s="37">
        <v>181</v>
      </c>
      <c r="F5" s="37">
        <v>100000</v>
      </c>
      <c r="G5" s="37">
        <f>180*1000/3600</f>
        <v>50</v>
      </c>
      <c r="H5" s="37">
        <v>157</v>
      </c>
      <c r="I5" s="37">
        <f>H5*AF5/1000</f>
        <v>62.8</v>
      </c>
      <c r="J5" s="37">
        <v>4.8</v>
      </c>
      <c r="K5" s="37">
        <v>1.5</v>
      </c>
      <c r="L5" s="37">
        <v>12</v>
      </c>
      <c r="M5" s="37">
        <v>2</v>
      </c>
      <c r="N5" s="37">
        <f>1.3/2</f>
        <v>0.65</v>
      </c>
      <c r="O5" s="37">
        <v>1</v>
      </c>
      <c r="P5" s="37">
        <v>3</v>
      </c>
      <c r="Q5" s="37">
        <v>1</v>
      </c>
      <c r="R5" s="37">
        <v>11</v>
      </c>
      <c r="S5" s="37">
        <v>10</v>
      </c>
      <c r="T5" s="37">
        <v>2</v>
      </c>
      <c r="U5" s="37">
        <v>10</v>
      </c>
      <c r="V5" s="37">
        <v>0.12</v>
      </c>
      <c r="W5" s="37">
        <v>0.75</v>
      </c>
      <c r="X5" s="37">
        <v>0.12</v>
      </c>
      <c r="Y5" s="37">
        <v>0.75</v>
      </c>
      <c r="Z5" s="37">
        <v>2</v>
      </c>
      <c r="AA5" s="37">
        <v>0.3</v>
      </c>
      <c r="AB5" s="37">
        <v>0.15</v>
      </c>
      <c r="AC5" s="37">
        <v>4.4999999999999998E-2</v>
      </c>
      <c r="AD5" s="37">
        <v>1224</v>
      </c>
      <c r="AE5" s="37"/>
      <c r="AF5" s="37">
        <v>400</v>
      </c>
    </row>
    <row r="10" spans="2:32" x14ac:dyDescent="0.2">
      <c r="B10" t="s">
        <v>187</v>
      </c>
    </row>
    <row r="11" spans="2:32" x14ac:dyDescent="0.2">
      <c r="B11" t="s">
        <v>188</v>
      </c>
    </row>
  </sheetData>
  <mergeCells count="13">
    <mergeCell ref="E2:G2"/>
    <mergeCell ref="B2:B3"/>
    <mergeCell ref="C2:C3"/>
    <mergeCell ref="D2:D3"/>
    <mergeCell ref="L2:N2"/>
    <mergeCell ref="AA2:AC2"/>
    <mergeCell ref="X2:Z2"/>
    <mergeCell ref="AD2:AF2"/>
    <mergeCell ref="J2:K2"/>
    <mergeCell ref="H2:I2"/>
    <mergeCell ref="R2:S2"/>
    <mergeCell ref="T2:W2"/>
    <mergeCell ref="O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multirotor_aerofidelity1</vt:lpstr>
      <vt:lpstr>lift+cruise_wisk_cora</vt:lpstr>
      <vt:lpstr>published_data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2024-12-20T11:47:02Z</dcterms:modified>
</cp:coreProperties>
</file>