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6_multipoint_optimization_with_varying_batteries/with_fixed_empty_weight/weighted_sum_of_energy/liftcruise/"/>
    </mc:Choice>
  </mc:AlternateContent>
  <xr:revisionPtr revIDLastSave="0" documentId="13_ncr:1_{43429349-24C4-A549-8561-A22FBB0B68E5}" xr6:coauthVersionLast="47" xr6:coauthVersionMax="47" xr10:uidLastSave="{00000000-0000-0000-0000-000000000000}"/>
  <bookViews>
    <workbookView xWindow="15320" yWindow="740" windowWidth="14920" windowHeight="18900" xr2:uid="{843CD013-835A-1741-B375-CD508AE79BD2}"/>
  </bookViews>
  <sheets>
    <sheet name="obj_val" sheetId="26" r:id="rId1"/>
    <sheet name="uniform_250" sheetId="12" r:id="rId2"/>
    <sheet name="uniform_400" sheetId="19" r:id="rId3"/>
    <sheet name="uniform_550" sheetId="20" r:id="rId4"/>
    <sheet name="uniform_700" sheetId="21" r:id="rId5"/>
    <sheet name="linear_250" sheetId="22" r:id="rId6"/>
    <sheet name="linear_400" sheetId="23" r:id="rId7"/>
    <sheet name="linear_550" sheetId="24" r:id="rId8"/>
    <sheet name="linear_700" sheetId="2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7" i="23" l="1"/>
  <c r="K17" i="24"/>
  <c r="K17" i="25"/>
  <c r="K17" i="19"/>
  <c r="K17" i="20"/>
  <c r="K17" i="21"/>
  <c r="C9" i="22"/>
  <c r="C56" i="25"/>
  <c r="C55" i="25"/>
  <c r="C51" i="25"/>
  <c r="C50" i="25"/>
  <c r="AN44" i="25"/>
  <c r="AM44" i="25"/>
  <c r="AN43" i="25"/>
  <c r="AM43" i="25"/>
  <c r="AN42" i="25"/>
  <c r="AM42" i="25"/>
  <c r="AN41" i="25"/>
  <c r="AM41" i="25"/>
  <c r="C41" i="25"/>
  <c r="AN40" i="25"/>
  <c r="AM40" i="25"/>
  <c r="AN39" i="25"/>
  <c r="AM39" i="25"/>
  <c r="AN38" i="25"/>
  <c r="AM38" i="25"/>
  <c r="AN37" i="25"/>
  <c r="AM37" i="25"/>
  <c r="AN36" i="25"/>
  <c r="AM36" i="25"/>
  <c r="AN35" i="25"/>
  <c r="AM35" i="25"/>
  <c r="AN34" i="25"/>
  <c r="AM34" i="25"/>
  <c r="AN33" i="25"/>
  <c r="AM33" i="25"/>
  <c r="AN32" i="25"/>
  <c r="AM32" i="25"/>
  <c r="G32" i="25"/>
  <c r="AN31" i="25"/>
  <c r="AM31" i="25"/>
  <c r="AN30" i="25"/>
  <c r="AM30" i="25"/>
  <c r="AN29" i="25"/>
  <c r="AM29" i="25"/>
  <c r="G29" i="25"/>
  <c r="G27" i="25" s="1"/>
  <c r="AN28" i="25"/>
  <c r="AM28" i="25"/>
  <c r="AN27" i="25"/>
  <c r="AM27" i="25"/>
  <c r="AN26" i="25"/>
  <c r="AM26" i="25"/>
  <c r="G26" i="25"/>
  <c r="AN25" i="25"/>
  <c r="AM25" i="25"/>
  <c r="G25" i="25"/>
  <c r="AN24" i="25"/>
  <c r="AM24" i="25"/>
  <c r="G24" i="25"/>
  <c r="AN23" i="25"/>
  <c r="AM23" i="25"/>
  <c r="G23" i="25"/>
  <c r="C23" i="25"/>
  <c r="AN22" i="25"/>
  <c r="AM22" i="25"/>
  <c r="AN21" i="25"/>
  <c r="AM21" i="25"/>
  <c r="O21" i="25"/>
  <c r="G14" i="25" s="1"/>
  <c r="G15" i="25" s="1"/>
  <c r="AN20" i="25"/>
  <c r="AM20" i="25"/>
  <c r="AN19" i="25"/>
  <c r="AM19" i="25"/>
  <c r="O19" i="25"/>
  <c r="AN18" i="25"/>
  <c r="AM18" i="25"/>
  <c r="AN17" i="25"/>
  <c r="AM17" i="25"/>
  <c r="C17" i="25"/>
  <c r="AN16" i="25"/>
  <c r="AM16" i="25"/>
  <c r="C16" i="25"/>
  <c r="AN15" i="25"/>
  <c r="AM15" i="25"/>
  <c r="AN14" i="25"/>
  <c r="AM14" i="25"/>
  <c r="K14" i="25"/>
  <c r="AN13" i="25"/>
  <c r="AM13" i="25"/>
  <c r="AN12" i="25"/>
  <c r="AM12" i="25"/>
  <c r="AN11" i="25"/>
  <c r="AM11" i="25"/>
  <c r="O11" i="25"/>
  <c r="C11" i="25"/>
  <c r="C30" i="25" s="1"/>
  <c r="AN10" i="25"/>
  <c r="AM10" i="25"/>
  <c r="AN9" i="25"/>
  <c r="AM9" i="25"/>
  <c r="O9" i="25"/>
  <c r="C9" i="25"/>
  <c r="AN8" i="25"/>
  <c r="AM8" i="25"/>
  <c r="AN7" i="25"/>
  <c r="AM7" i="25"/>
  <c r="G7" i="25"/>
  <c r="C7" i="25"/>
  <c r="AN6" i="25"/>
  <c r="AM6" i="25"/>
  <c r="O6" i="25"/>
  <c r="AO5" i="25"/>
  <c r="AN5" i="25"/>
  <c r="AI6" i="25" s="1"/>
  <c r="AM5" i="25"/>
  <c r="AG6" i="25" s="1"/>
  <c r="AK5" i="25"/>
  <c r="G5" i="25"/>
  <c r="G6" i="25" s="1"/>
  <c r="AD4" i="25"/>
  <c r="Z4" i="25"/>
  <c r="O4" i="25"/>
  <c r="G4" i="25"/>
  <c r="G10" i="25" s="1"/>
  <c r="C56" i="24"/>
  <c r="C55" i="24"/>
  <c r="C51" i="24"/>
  <c r="C50" i="24"/>
  <c r="AN44" i="24"/>
  <c r="AM44" i="24"/>
  <c r="AN43" i="24"/>
  <c r="AM43" i="24"/>
  <c r="AN42" i="24"/>
  <c r="AM42" i="24"/>
  <c r="AN41" i="24"/>
  <c r="AM41" i="24"/>
  <c r="C41" i="24"/>
  <c r="AN40" i="24"/>
  <c r="AM40" i="24"/>
  <c r="AN39" i="24"/>
  <c r="AM39" i="24"/>
  <c r="AN38" i="24"/>
  <c r="AM38" i="24"/>
  <c r="AN37" i="24"/>
  <c r="AM37" i="24"/>
  <c r="AN36" i="24"/>
  <c r="AM36" i="24"/>
  <c r="AN35" i="24"/>
  <c r="AM35" i="24"/>
  <c r="AN34" i="24"/>
  <c r="AM34" i="24"/>
  <c r="AN33" i="24"/>
  <c r="AM33" i="24"/>
  <c r="AN32" i="24"/>
  <c r="AM32" i="24"/>
  <c r="G32" i="24"/>
  <c r="AN31" i="24"/>
  <c r="AM31" i="24"/>
  <c r="AN30" i="24"/>
  <c r="AM30" i="24"/>
  <c r="AN29" i="24"/>
  <c r="AM29" i="24"/>
  <c r="G29" i="24"/>
  <c r="G27" i="24" s="1"/>
  <c r="AN28" i="24"/>
  <c r="AM28" i="24"/>
  <c r="AN27" i="24"/>
  <c r="AM27" i="24"/>
  <c r="AN26" i="24"/>
  <c r="AM26" i="24"/>
  <c r="G26" i="24"/>
  <c r="AN25" i="24"/>
  <c r="AM25" i="24"/>
  <c r="G25" i="24"/>
  <c r="AN24" i="24"/>
  <c r="AM24" i="24"/>
  <c r="G24" i="24"/>
  <c r="AN23" i="24"/>
  <c r="AM23" i="24"/>
  <c r="G23" i="24"/>
  <c r="C23" i="24"/>
  <c r="AN22" i="24"/>
  <c r="AM22" i="24"/>
  <c r="AN21" i="24"/>
  <c r="AM21" i="24"/>
  <c r="O21" i="24"/>
  <c r="G14" i="24" s="1"/>
  <c r="G15" i="24" s="1"/>
  <c r="AN20" i="24"/>
  <c r="AM20" i="24"/>
  <c r="AN19" i="24"/>
  <c r="AM19" i="24"/>
  <c r="O19" i="24"/>
  <c r="AN18" i="24"/>
  <c r="AM18" i="24"/>
  <c r="AN17" i="24"/>
  <c r="AM17" i="24"/>
  <c r="C17" i="24"/>
  <c r="AN16" i="24"/>
  <c r="AM16" i="24"/>
  <c r="C16" i="24"/>
  <c r="AN15" i="24"/>
  <c r="AM15" i="24"/>
  <c r="AN14" i="24"/>
  <c r="AM14" i="24"/>
  <c r="K14" i="24"/>
  <c r="AN13" i="24"/>
  <c r="AM13" i="24"/>
  <c r="AN12" i="24"/>
  <c r="AM12" i="24"/>
  <c r="AN11" i="24"/>
  <c r="AM11" i="24"/>
  <c r="O11" i="24"/>
  <c r="C11" i="24"/>
  <c r="C30" i="24" s="1"/>
  <c r="AN10" i="24"/>
  <c r="AM10" i="24"/>
  <c r="AN9" i="24"/>
  <c r="AM9" i="24"/>
  <c r="O9" i="24"/>
  <c r="C9" i="24"/>
  <c r="AN8" i="24"/>
  <c r="AM8" i="24"/>
  <c r="AN7" i="24"/>
  <c r="AM7" i="24"/>
  <c r="G7" i="24"/>
  <c r="C7" i="24"/>
  <c r="AN6" i="24"/>
  <c r="AM6" i="24"/>
  <c r="O6" i="24"/>
  <c r="AO5" i="24"/>
  <c r="AN5" i="24"/>
  <c r="AI6" i="24" s="1"/>
  <c r="AM5" i="24"/>
  <c r="AG6" i="24" s="1"/>
  <c r="AK5" i="24"/>
  <c r="G5" i="24"/>
  <c r="G6" i="24" s="1"/>
  <c r="AD4" i="24"/>
  <c r="Z4" i="24"/>
  <c r="O4" i="24"/>
  <c r="G4" i="24"/>
  <c r="G10" i="24" s="1"/>
  <c r="C56" i="23"/>
  <c r="C55" i="23"/>
  <c r="C51" i="23"/>
  <c r="C50" i="23"/>
  <c r="AN44" i="23"/>
  <c r="AM44" i="23"/>
  <c r="AN43" i="23"/>
  <c r="AM43" i="23"/>
  <c r="AN42" i="23"/>
  <c r="AM42" i="23"/>
  <c r="AN41" i="23"/>
  <c r="AM41" i="23"/>
  <c r="C41" i="23"/>
  <c r="AN40" i="23"/>
  <c r="AM40" i="23"/>
  <c r="AN39" i="23"/>
  <c r="AM39" i="23"/>
  <c r="AN38" i="23"/>
  <c r="AM38" i="23"/>
  <c r="AN37" i="23"/>
  <c r="AM37" i="23"/>
  <c r="AN36" i="23"/>
  <c r="AM36" i="23"/>
  <c r="AN35" i="23"/>
  <c r="AM35" i="23"/>
  <c r="AN34" i="23"/>
  <c r="AM34" i="23"/>
  <c r="AN33" i="23"/>
  <c r="AM33" i="23"/>
  <c r="AN32" i="23"/>
  <c r="AM32" i="23"/>
  <c r="G32" i="23"/>
  <c r="AN31" i="23"/>
  <c r="AM31" i="23"/>
  <c r="AN30" i="23"/>
  <c r="AM30" i="23"/>
  <c r="AN29" i="23"/>
  <c r="AM29" i="23"/>
  <c r="G29" i="23"/>
  <c r="G27" i="23" s="1"/>
  <c r="AN28" i="23"/>
  <c r="AM28" i="23"/>
  <c r="AN27" i="23"/>
  <c r="AM27" i="23"/>
  <c r="AN26" i="23"/>
  <c r="AM26" i="23"/>
  <c r="G26" i="23"/>
  <c r="AN25" i="23"/>
  <c r="AM25" i="23"/>
  <c r="G25" i="23"/>
  <c r="AN24" i="23"/>
  <c r="AM24" i="23"/>
  <c r="G24" i="23"/>
  <c r="AN23" i="23"/>
  <c r="AM23" i="23"/>
  <c r="G23" i="23"/>
  <c r="C23" i="23"/>
  <c r="AN22" i="23"/>
  <c r="AM22" i="23"/>
  <c r="AN21" i="23"/>
  <c r="AM21" i="23"/>
  <c r="O21" i="23"/>
  <c r="G14" i="23" s="1"/>
  <c r="G15" i="23" s="1"/>
  <c r="AN20" i="23"/>
  <c r="AM20" i="23"/>
  <c r="AN19" i="23"/>
  <c r="AM19" i="23"/>
  <c r="O19" i="23"/>
  <c r="AN18" i="23"/>
  <c r="AM18" i="23"/>
  <c r="AN17" i="23"/>
  <c r="AM17" i="23"/>
  <c r="C17" i="23"/>
  <c r="AN16" i="23"/>
  <c r="AM16" i="23"/>
  <c r="C16" i="23"/>
  <c r="AN15" i="23"/>
  <c r="AM15" i="23"/>
  <c r="AN14" i="23"/>
  <c r="AM14" i="23"/>
  <c r="K14" i="23"/>
  <c r="AN13" i="23"/>
  <c r="AM13" i="23"/>
  <c r="AN12" i="23"/>
  <c r="AM12" i="23"/>
  <c r="AN11" i="23"/>
  <c r="AM11" i="23"/>
  <c r="O11" i="23"/>
  <c r="C11" i="23"/>
  <c r="C30" i="23" s="1"/>
  <c r="AN10" i="23"/>
  <c r="AM10" i="23"/>
  <c r="AN9" i="23"/>
  <c r="AM9" i="23"/>
  <c r="O9" i="23"/>
  <c r="C9" i="23"/>
  <c r="AN8" i="23"/>
  <c r="AM8" i="23"/>
  <c r="AN7" i="23"/>
  <c r="AM7" i="23"/>
  <c r="G7" i="23"/>
  <c r="C7" i="23"/>
  <c r="AN6" i="23"/>
  <c r="AM6" i="23"/>
  <c r="O6" i="23"/>
  <c r="AO5" i="23"/>
  <c r="AN5" i="23"/>
  <c r="AI6" i="23" s="1"/>
  <c r="AM5" i="23"/>
  <c r="AG6" i="23" s="1"/>
  <c r="AK5" i="23"/>
  <c r="G5" i="23"/>
  <c r="G6" i="23" s="1"/>
  <c r="AD4" i="23"/>
  <c r="Z4" i="23"/>
  <c r="O4" i="23"/>
  <c r="G4" i="23"/>
  <c r="G10" i="23" s="1"/>
  <c r="C56" i="22"/>
  <c r="C55" i="22"/>
  <c r="C51" i="22"/>
  <c r="C50" i="22"/>
  <c r="AN44" i="22"/>
  <c r="AM44" i="22"/>
  <c r="AN43" i="22"/>
  <c r="AM43" i="22"/>
  <c r="AN42" i="22"/>
  <c r="AM42" i="22"/>
  <c r="AN41" i="22"/>
  <c r="AM41" i="22"/>
  <c r="C41" i="22"/>
  <c r="K21" i="22" s="1"/>
  <c r="K21" i="25" s="1"/>
  <c r="AN40" i="22"/>
  <c r="AM40" i="22"/>
  <c r="AN39" i="22"/>
  <c r="AM39" i="22"/>
  <c r="AN38" i="22"/>
  <c r="AM38" i="22"/>
  <c r="AN37" i="22"/>
  <c r="AM37" i="22"/>
  <c r="AN36" i="22"/>
  <c r="AM36" i="22"/>
  <c r="AN35" i="22"/>
  <c r="AM35" i="22"/>
  <c r="AN34" i="22"/>
  <c r="AM34" i="22"/>
  <c r="AN33" i="22"/>
  <c r="AM33" i="22"/>
  <c r="AN32" i="22"/>
  <c r="AM32" i="22"/>
  <c r="G32" i="22"/>
  <c r="AN31" i="22"/>
  <c r="AM31" i="22"/>
  <c r="AN30" i="22"/>
  <c r="AM30" i="22"/>
  <c r="AN29" i="22"/>
  <c r="AM29" i="22"/>
  <c r="K29" i="22"/>
  <c r="K29" i="25" s="1"/>
  <c r="G29" i="22"/>
  <c r="G27" i="22" s="1"/>
  <c r="AN28" i="22"/>
  <c r="AM28" i="22"/>
  <c r="K28" i="22"/>
  <c r="K28" i="25" s="1"/>
  <c r="AN27" i="22"/>
  <c r="AM27" i="22"/>
  <c r="K27" i="22"/>
  <c r="K27" i="25" s="1"/>
  <c r="AN26" i="22"/>
  <c r="AM26" i="22"/>
  <c r="K26" i="22"/>
  <c r="K26" i="25" s="1"/>
  <c r="G26" i="22"/>
  <c r="AN25" i="22"/>
  <c r="AM25" i="22"/>
  <c r="G25" i="22"/>
  <c r="AN24" i="22"/>
  <c r="AM24" i="22"/>
  <c r="K24" i="22"/>
  <c r="K24" i="25" s="1"/>
  <c r="G24" i="22"/>
  <c r="AN23" i="22"/>
  <c r="AM23" i="22"/>
  <c r="K23" i="22"/>
  <c r="K23" i="25" s="1"/>
  <c r="G23" i="22"/>
  <c r="C23" i="22"/>
  <c r="AN22" i="22"/>
  <c r="AM22" i="22"/>
  <c r="K22" i="22"/>
  <c r="K22" i="25" s="1"/>
  <c r="AN21" i="22"/>
  <c r="AM21" i="22"/>
  <c r="O21" i="22"/>
  <c r="G14" i="22" s="1"/>
  <c r="G15" i="22" s="1"/>
  <c r="AN20" i="22"/>
  <c r="AM20" i="22"/>
  <c r="K20" i="22"/>
  <c r="K20" i="25" s="1"/>
  <c r="AN19" i="22"/>
  <c r="AM19" i="22"/>
  <c r="O19" i="22"/>
  <c r="AN18" i="22"/>
  <c r="AM18" i="22"/>
  <c r="AN17" i="22"/>
  <c r="AM17" i="22"/>
  <c r="C17" i="22"/>
  <c r="AN16" i="22"/>
  <c r="AM16" i="22"/>
  <c r="C16" i="22"/>
  <c r="AN15" i="22"/>
  <c r="AM15" i="22"/>
  <c r="AN14" i="22"/>
  <c r="AM14" i="22"/>
  <c r="K14" i="22"/>
  <c r="AN13" i="22"/>
  <c r="AM13" i="22"/>
  <c r="AN12" i="22"/>
  <c r="AM12" i="22"/>
  <c r="AN11" i="22"/>
  <c r="AM11" i="22"/>
  <c r="O11" i="22"/>
  <c r="C11" i="22"/>
  <c r="C30" i="22" s="1"/>
  <c r="AN10" i="22"/>
  <c r="AM10" i="22"/>
  <c r="AN9" i="22"/>
  <c r="AM9" i="22"/>
  <c r="O9" i="22"/>
  <c r="AN8" i="22"/>
  <c r="AM8" i="22"/>
  <c r="AN7" i="22"/>
  <c r="AM7" i="22"/>
  <c r="G7" i="22"/>
  <c r="C7" i="22"/>
  <c r="AN6" i="22"/>
  <c r="AM6" i="22"/>
  <c r="O6" i="22"/>
  <c r="AO5" i="22"/>
  <c r="AN5" i="22"/>
  <c r="AI6" i="22" s="1"/>
  <c r="AM5" i="22"/>
  <c r="AG6" i="22" s="1"/>
  <c r="AK5" i="22"/>
  <c r="G5" i="22"/>
  <c r="G6" i="22" s="1"/>
  <c r="AD4" i="22"/>
  <c r="Z4" i="22"/>
  <c r="O4" i="22"/>
  <c r="G4" i="22"/>
  <c r="G10" i="22" s="1"/>
  <c r="C56" i="21"/>
  <c r="C55" i="21"/>
  <c r="C51" i="21"/>
  <c r="C50" i="21"/>
  <c r="AN44" i="21"/>
  <c r="AM44" i="21"/>
  <c r="AN43" i="21"/>
  <c r="AM43" i="21"/>
  <c r="AN42" i="21"/>
  <c r="AM42" i="21"/>
  <c r="AN41" i="21"/>
  <c r="AM41" i="21"/>
  <c r="C41" i="2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AN33" i="21"/>
  <c r="AM33" i="21"/>
  <c r="AN32" i="21"/>
  <c r="AM32" i="21"/>
  <c r="G32" i="21"/>
  <c r="AN31" i="21"/>
  <c r="AM31" i="21"/>
  <c r="AN30" i="21"/>
  <c r="AM30" i="21"/>
  <c r="AN29" i="21"/>
  <c r="AM29" i="21"/>
  <c r="G29" i="21"/>
  <c r="G27" i="21" s="1"/>
  <c r="AN28" i="21"/>
  <c r="AM28" i="21"/>
  <c r="AN27" i="21"/>
  <c r="AM27" i="21"/>
  <c r="AN26" i="21"/>
  <c r="AM26" i="21"/>
  <c r="G26" i="21"/>
  <c r="AN25" i="21"/>
  <c r="AM25" i="21"/>
  <c r="G25" i="21"/>
  <c r="AN24" i="21"/>
  <c r="AM24" i="21"/>
  <c r="G24" i="21"/>
  <c r="AN23" i="21"/>
  <c r="AM23" i="21"/>
  <c r="G23" i="21"/>
  <c r="C23" i="21"/>
  <c r="AN22" i="21"/>
  <c r="AM22" i="21"/>
  <c r="AN21" i="21"/>
  <c r="AM21" i="21"/>
  <c r="O21" i="21"/>
  <c r="O22" i="21" s="1"/>
  <c r="AN20" i="21"/>
  <c r="AM20" i="21"/>
  <c r="AN19" i="21"/>
  <c r="AM19" i="21"/>
  <c r="O19" i="21"/>
  <c r="AN18" i="21"/>
  <c r="AM18" i="21"/>
  <c r="AN17" i="21"/>
  <c r="AM17" i="21"/>
  <c r="C17" i="21"/>
  <c r="AN16" i="21"/>
  <c r="AM16" i="21"/>
  <c r="C16" i="21"/>
  <c r="AN15" i="21"/>
  <c r="AM15" i="21"/>
  <c r="AN14" i="21"/>
  <c r="AM14" i="21"/>
  <c r="K14" i="21"/>
  <c r="AN13" i="21"/>
  <c r="AM13" i="21"/>
  <c r="AN12" i="21"/>
  <c r="AM12" i="21"/>
  <c r="AN11" i="21"/>
  <c r="AM11" i="21"/>
  <c r="O11" i="21"/>
  <c r="C11" i="21"/>
  <c r="C30" i="21" s="1"/>
  <c r="AN10" i="21"/>
  <c r="AM10" i="21"/>
  <c r="AN9" i="21"/>
  <c r="AM9" i="21"/>
  <c r="O9" i="21"/>
  <c r="C9" i="21"/>
  <c r="AN8" i="21"/>
  <c r="AM8" i="21"/>
  <c r="AN7" i="21"/>
  <c r="AM7" i="21"/>
  <c r="G7" i="21"/>
  <c r="C7" i="21"/>
  <c r="AN6" i="21"/>
  <c r="AM6" i="21"/>
  <c r="O6" i="21"/>
  <c r="AO5" i="21"/>
  <c r="AN5" i="21"/>
  <c r="AI6" i="21" s="1"/>
  <c r="AM5" i="21"/>
  <c r="AG6" i="21" s="1"/>
  <c r="AK5" i="21"/>
  <c r="G5" i="21"/>
  <c r="G6" i="21" s="1"/>
  <c r="AD4" i="21"/>
  <c r="Z4" i="21"/>
  <c r="O4" i="21"/>
  <c r="G4" i="21"/>
  <c r="G10" i="21" s="1"/>
  <c r="C56" i="20"/>
  <c r="C55" i="20"/>
  <c r="C51" i="20"/>
  <c r="C50" i="20"/>
  <c r="AN44" i="20"/>
  <c r="AM44" i="20"/>
  <c r="AN43" i="20"/>
  <c r="AM43" i="20"/>
  <c r="AN42" i="20"/>
  <c r="AM42" i="20"/>
  <c r="AN41" i="20"/>
  <c r="AM41" i="20"/>
  <c r="C41" i="20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AN33" i="20"/>
  <c r="AM33" i="20"/>
  <c r="AN32" i="20"/>
  <c r="AM32" i="20"/>
  <c r="G32" i="20"/>
  <c r="AN31" i="20"/>
  <c r="AM31" i="20"/>
  <c r="AN30" i="20"/>
  <c r="AM30" i="20"/>
  <c r="AN29" i="20"/>
  <c r="AM29" i="20"/>
  <c r="G29" i="20"/>
  <c r="G27" i="20" s="1"/>
  <c r="AN28" i="20"/>
  <c r="AM28" i="20"/>
  <c r="AN27" i="20"/>
  <c r="AM27" i="20"/>
  <c r="AN26" i="20"/>
  <c r="AM26" i="20"/>
  <c r="G26" i="20"/>
  <c r="AN25" i="20"/>
  <c r="AM25" i="20"/>
  <c r="G25" i="20"/>
  <c r="AN24" i="20"/>
  <c r="AM24" i="20"/>
  <c r="G24" i="20"/>
  <c r="AN23" i="20"/>
  <c r="AM23" i="20"/>
  <c r="G23" i="20"/>
  <c r="C23" i="20"/>
  <c r="AN22" i="20"/>
  <c r="AM22" i="20"/>
  <c r="O22" i="20"/>
  <c r="AN21" i="20"/>
  <c r="AM21" i="20"/>
  <c r="O21" i="20"/>
  <c r="G14" i="20" s="1"/>
  <c r="G15" i="20" s="1"/>
  <c r="AN20" i="20"/>
  <c r="AM20" i="20"/>
  <c r="AN19" i="20"/>
  <c r="AM19" i="20"/>
  <c r="O19" i="20"/>
  <c r="AN18" i="20"/>
  <c r="AM18" i="20"/>
  <c r="AN17" i="20"/>
  <c r="AM17" i="20"/>
  <c r="C17" i="20"/>
  <c r="AN16" i="20"/>
  <c r="AM16" i="20"/>
  <c r="C16" i="20"/>
  <c r="AN15" i="20"/>
  <c r="AM15" i="20"/>
  <c r="AN14" i="20"/>
  <c r="AM14" i="20"/>
  <c r="K14" i="20"/>
  <c r="AN13" i="20"/>
  <c r="AM13" i="20"/>
  <c r="AN12" i="20"/>
  <c r="AM12" i="20"/>
  <c r="AN11" i="20"/>
  <c r="AM11" i="20"/>
  <c r="O11" i="20"/>
  <c r="C11" i="20"/>
  <c r="C30" i="20" s="1"/>
  <c r="AN10" i="20"/>
  <c r="AM10" i="20"/>
  <c r="AN9" i="20"/>
  <c r="AM9" i="20"/>
  <c r="O9" i="20"/>
  <c r="C9" i="20"/>
  <c r="AN8" i="20"/>
  <c r="AM8" i="20"/>
  <c r="AN7" i="20"/>
  <c r="AM7" i="20"/>
  <c r="G7" i="20"/>
  <c r="C7" i="20"/>
  <c r="AN6" i="20"/>
  <c r="AM6" i="20"/>
  <c r="O6" i="20"/>
  <c r="AO5" i="20"/>
  <c r="AN5" i="20"/>
  <c r="AI6" i="20" s="1"/>
  <c r="AM5" i="20"/>
  <c r="AG6" i="20" s="1"/>
  <c r="AK5" i="20"/>
  <c r="G5" i="20"/>
  <c r="G6" i="20" s="1"/>
  <c r="AD4" i="20"/>
  <c r="Z4" i="20"/>
  <c r="O4" i="20"/>
  <c r="G4" i="20"/>
  <c r="G10" i="20" s="1"/>
  <c r="C56" i="19"/>
  <c r="C55" i="19"/>
  <c r="C51" i="19"/>
  <c r="C50" i="19"/>
  <c r="AN44" i="19"/>
  <c r="AM44" i="19"/>
  <c r="AN43" i="19"/>
  <c r="AM43" i="19"/>
  <c r="AN42" i="19"/>
  <c r="AM42" i="19"/>
  <c r="AN41" i="19"/>
  <c r="AM41" i="19"/>
  <c r="C41" i="19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AN33" i="19"/>
  <c r="AM33" i="19"/>
  <c r="AN32" i="19"/>
  <c r="AM32" i="19"/>
  <c r="G32" i="19"/>
  <c r="AN31" i="19"/>
  <c r="AM31" i="19"/>
  <c r="AN30" i="19"/>
  <c r="AM30" i="19"/>
  <c r="AN29" i="19"/>
  <c r="AM29" i="19"/>
  <c r="G29" i="19"/>
  <c r="G27" i="19" s="1"/>
  <c r="AN28" i="19"/>
  <c r="AM28" i="19"/>
  <c r="AN27" i="19"/>
  <c r="AM27" i="19"/>
  <c r="AN26" i="19"/>
  <c r="AM26" i="19"/>
  <c r="G26" i="19"/>
  <c r="AN25" i="19"/>
  <c r="AM25" i="19"/>
  <c r="G25" i="19"/>
  <c r="AN24" i="19"/>
  <c r="AM24" i="19"/>
  <c r="G24" i="19"/>
  <c r="AN23" i="19"/>
  <c r="AM23" i="19"/>
  <c r="G23" i="19"/>
  <c r="C23" i="19"/>
  <c r="AN22" i="19"/>
  <c r="AM22" i="19"/>
  <c r="AN21" i="19"/>
  <c r="AM21" i="19"/>
  <c r="O21" i="19"/>
  <c r="G14" i="19" s="1"/>
  <c r="G15" i="19" s="1"/>
  <c r="AN20" i="19"/>
  <c r="AM20" i="19"/>
  <c r="AN19" i="19"/>
  <c r="AM19" i="19"/>
  <c r="O19" i="19"/>
  <c r="AN18" i="19"/>
  <c r="AM18" i="19"/>
  <c r="AN17" i="19"/>
  <c r="AM17" i="19"/>
  <c r="C17" i="19"/>
  <c r="AN16" i="19"/>
  <c r="AM16" i="19"/>
  <c r="C16" i="19"/>
  <c r="AN15" i="19"/>
  <c r="AM15" i="19"/>
  <c r="AN14" i="19"/>
  <c r="AM14" i="19"/>
  <c r="K14" i="19"/>
  <c r="AN13" i="19"/>
  <c r="AM13" i="19"/>
  <c r="AN12" i="19"/>
  <c r="AM12" i="19"/>
  <c r="AN11" i="19"/>
  <c r="AM11" i="19"/>
  <c r="O11" i="19"/>
  <c r="C11" i="19"/>
  <c r="C30" i="19" s="1"/>
  <c r="AN10" i="19"/>
  <c r="AM10" i="19"/>
  <c r="AN9" i="19"/>
  <c r="AM9" i="19"/>
  <c r="O9" i="19"/>
  <c r="C9" i="19"/>
  <c r="AN8" i="19"/>
  <c r="AM8" i="19"/>
  <c r="AN7" i="19"/>
  <c r="AM7" i="19"/>
  <c r="G7" i="19"/>
  <c r="C7" i="19"/>
  <c r="AN6" i="19"/>
  <c r="AM6" i="19"/>
  <c r="O6" i="19"/>
  <c r="AO5" i="19"/>
  <c r="AN5" i="19"/>
  <c r="AI6" i="19" s="1"/>
  <c r="AM5" i="19"/>
  <c r="AG6" i="19" s="1"/>
  <c r="AK5" i="19"/>
  <c r="G5" i="19"/>
  <c r="G6" i="19" s="1"/>
  <c r="AD4" i="19"/>
  <c r="Z4" i="19"/>
  <c r="O4" i="19"/>
  <c r="G4" i="19"/>
  <c r="G10" i="19" s="1"/>
  <c r="O9" i="12"/>
  <c r="O10" i="12" s="1"/>
  <c r="C7" i="12"/>
  <c r="C17" i="12"/>
  <c r="G32" i="12"/>
  <c r="K27" i="23" l="1"/>
  <c r="K26" i="23"/>
  <c r="K24" i="23"/>
  <c r="K23" i="23"/>
  <c r="K28" i="23"/>
  <c r="K21" i="23"/>
  <c r="K20" i="23"/>
  <c r="K27" i="24"/>
  <c r="K22" i="23"/>
  <c r="K29" i="23"/>
  <c r="K26" i="24"/>
  <c r="K24" i="24"/>
  <c r="K22" i="24"/>
  <c r="K28" i="24"/>
  <c r="K23" i="24"/>
  <c r="K21" i="24"/>
  <c r="K20" i="24"/>
  <c r="K29" i="24"/>
  <c r="G14" i="21"/>
  <c r="G15" i="21" s="1"/>
  <c r="O22" i="23"/>
  <c r="O25" i="23" s="1"/>
  <c r="O22" i="22"/>
  <c r="AK6" i="19"/>
  <c r="AI7" i="19" s="1"/>
  <c r="O25" i="21"/>
  <c r="AK6" i="21"/>
  <c r="AI7" i="21" s="1"/>
  <c r="K46" i="25"/>
  <c r="AK6" i="23"/>
  <c r="AI7" i="23" s="1"/>
  <c r="AK6" i="22"/>
  <c r="AI7" i="22" s="1"/>
  <c r="K38" i="25"/>
  <c r="G28" i="25"/>
  <c r="K4" i="25"/>
  <c r="G8" i="25"/>
  <c r="G9" i="25" s="1"/>
  <c r="AO6" i="25"/>
  <c r="G13" i="25"/>
  <c r="K11" i="25" s="1"/>
  <c r="O22" i="25"/>
  <c r="O5" i="25"/>
  <c r="AK6" i="25"/>
  <c r="AI7" i="25" s="1"/>
  <c r="AG7" i="25"/>
  <c r="K42" i="25"/>
  <c r="K34" i="25"/>
  <c r="O12" i="25"/>
  <c r="O13" i="25" s="1"/>
  <c r="O16" i="25" s="1"/>
  <c r="AG7" i="24"/>
  <c r="G28" i="24"/>
  <c r="AO6" i="24"/>
  <c r="G13" i="24"/>
  <c r="K11" i="24" s="1"/>
  <c r="O5" i="24"/>
  <c r="K4" i="24"/>
  <c r="G8" i="24"/>
  <c r="G9" i="24" s="1"/>
  <c r="AK6" i="24"/>
  <c r="AI7" i="24" s="1"/>
  <c r="O22" i="24"/>
  <c r="O25" i="24" s="1"/>
  <c r="K34" i="24"/>
  <c r="O12" i="24"/>
  <c r="O13" i="24" s="1"/>
  <c r="O16" i="24" s="1"/>
  <c r="K42" i="24"/>
  <c r="G28" i="23"/>
  <c r="AO6" i="23"/>
  <c r="O5" i="23"/>
  <c r="G13" i="23"/>
  <c r="K11" i="23"/>
  <c r="K4" i="23"/>
  <c r="G8" i="23"/>
  <c r="G9" i="23" s="1"/>
  <c r="AG7" i="23"/>
  <c r="K42" i="23"/>
  <c r="K34" i="23"/>
  <c r="K38" i="22"/>
  <c r="AG7" i="22"/>
  <c r="G28" i="22"/>
  <c r="K46" i="22"/>
  <c r="K4" i="22"/>
  <c r="G8" i="22"/>
  <c r="G9" i="22" s="1"/>
  <c r="K25" i="22"/>
  <c r="O25" i="22"/>
  <c r="G13" i="22"/>
  <c r="O5" i="22"/>
  <c r="K11" i="22"/>
  <c r="AO6" i="22"/>
  <c r="K34" i="22"/>
  <c r="K42" i="22"/>
  <c r="O12" i="22"/>
  <c r="O13" i="22" s="1"/>
  <c r="O16" i="22" s="1"/>
  <c r="G28" i="21"/>
  <c r="AO6" i="21"/>
  <c r="G13" i="21"/>
  <c r="O5" i="21"/>
  <c r="K4" i="21"/>
  <c r="G8" i="21"/>
  <c r="G9" i="21" s="1"/>
  <c r="K11" i="21"/>
  <c r="AG7" i="21"/>
  <c r="K34" i="21"/>
  <c r="K42" i="21"/>
  <c r="O25" i="20"/>
  <c r="AG7" i="20"/>
  <c r="AO6" i="20"/>
  <c r="G28" i="20"/>
  <c r="G13" i="20"/>
  <c r="K11" i="20" s="1"/>
  <c r="O5" i="20"/>
  <c r="AK6" i="20"/>
  <c r="AI7" i="20" s="1"/>
  <c r="G8" i="20"/>
  <c r="G9" i="20" s="1"/>
  <c r="K4" i="20"/>
  <c r="K42" i="20"/>
  <c r="O12" i="20"/>
  <c r="O13" i="20" s="1"/>
  <c r="O16" i="20" s="1"/>
  <c r="K34" i="20"/>
  <c r="G28" i="19"/>
  <c r="AG7" i="19"/>
  <c r="G13" i="19"/>
  <c r="K11" i="19" s="1"/>
  <c r="O5" i="19"/>
  <c r="O22" i="19"/>
  <c r="O25" i="19" s="1"/>
  <c r="AO6" i="19"/>
  <c r="K4" i="19"/>
  <c r="G8" i="19"/>
  <c r="G9" i="19" s="1"/>
  <c r="K34" i="19"/>
  <c r="K42" i="19"/>
  <c r="O12" i="19"/>
  <c r="O13" i="19" s="1"/>
  <c r="O16" i="19" s="1"/>
  <c r="C9" i="12"/>
  <c r="O11" i="12"/>
  <c r="O5" i="12"/>
  <c r="O19" i="12"/>
  <c r="K38" i="23" l="1"/>
  <c r="K46" i="24"/>
  <c r="K46" i="23"/>
  <c r="K25" i="24"/>
  <c r="K25" i="23"/>
  <c r="K45" i="23" s="1"/>
  <c r="K37" i="24"/>
  <c r="K38" i="24"/>
  <c r="K37" i="22"/>
  <c r="K25" i="25"/>
  <c r="K45" i="25" s="1"/>
  <c r="AK7" i="23"/>
  <c r="AG8" i="23" s="1"/>
  <c r="AI8" i="23"/>
  <c r="AO8" i="23" s="1"/>
  <c r="AK7" i="21"/>
  <c r="AI8" i="21" s="1"/>
  <c r="AK7" i="25"/>
  <c r="AG8" i="25" s="1"/>
  <c r="AO7" i="24"/>
  <c r="AK7" i="22"/>
  <c r="AG8" i="22" s="1"/>
  <c r="AO7" i="25"/>
  <c r="O25" i="25"/>
  <c r="K5" i="25"/>
  <c r="O14" i="25"/>
  <c r="O10" i="25"/>
  <c r="AK7" i="24"/>
  <c r="AG8" i="24" s="1"/>
  <c r="K45" i="24"/>
  <c r="O10" i="24"/>
  <c r="O14" i="24"/>
  <c r="K5" i="24"/>
  <c r="AO7" i="23"/>
  <c r="O10" i="23"/>
  <c r="K5" i="23"/>
  <c r="O12" i="23"/>
  <c r="O13" i="23" s="1"/>
  <c r="O16" i="23" s="1"/>
  <c r="AO7" i="22"/>
  <c r="AK7" i="19"/>
  <c r="AI8" i="19" s="1"/>
  <c r="K45" i="22"/>
  <c r="AO7" i="20"/>
  <c r="AO7" i="19"/>
  <c r="O14" i="22"/>
  <c r="O10" i="22"/>
  <c r="K5" i="22"/>
  <c r="AO7" i="21"/>
  <c r="K5" i="21"/>
  <c r="O10" i="21"/>
  <c r="O12" i="21"/>
  <c r="O13" i="21" s="1"/>
  <c r="O16" i="21" s="1"/>
  <c r="K5" i="20"/>
  <c r="AK7" i="20"/>
  <c r="AG8" i="20" s="1"/>
  <c r="O14" i="20"/>
  <c r="O10" i="20"/>
  <c r="K5" i="19"/>
  <c r="O14" i="19"/>
  <c r="O10" i="19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K8" i="23" l="1"/>
  <c r="AI9" i="23" s="1"/>
  <c r="K37" i="23"/>
  <c r="K37" i="25"/>
  <c r="AG8" i="21"/>
  <c r="AK8" i="21" s="1"/>
  <c r="AG9" i="21" s="1"/>
  <c r="AI8" i="22"/>
  <c r="AK8" i="22" s="1"/>
  <c r="AI9" i="22" s="1"/>
  <c r="AG9" i="23"/>
  <c r="AO9" i="23" s="1"/>
  <c r="AG8" i="19"/>
  <c r="AO8" i="19" s="1"/>
  <c r="AI8" i="25"/>
  <c r="AO8" i="25" s="1"/>
  <c r="AI8" i="24"/>
  <c r="AO8" i="24" s="1"/>
  <c r="O20" i="25"/>
  <c r="O28" i="25" s="1"/>
  <c r="O30" i="25" s="1"/>
  <c r="O15" i="25"/>
  <c r="O20" i="24"/>
  <c r="O15" i="24"/>
  <c r="O14" i="23"/>
  <c r="O20" i="22"/>
  <c r="O15" i="22"/>
  <c r="O14" i="21"/>
  <c r="AO8" i="21"/>
  <c r="AI8" i="20"/>
  <c r="AK8" i="20" s="1"/>
  <c r="O20" i="20"/>
  <c r="O15" i="20"/>
  <c r="O20" i="19"/>
  <c r="O15" i="19"/>
  <c r="AG6" i="12"/>
  <c r="G14" i="12"/>
  <c r="G15" i="12" s="1"/>
  <c r="O25" i="12"/>
  <c r="G6" i="12"/>
  <c r="AI6" i="12"/>
  <c r="G25" i="12"/>
  <c r="K42" i="12"/>
  <c r="AI9" i="21" l="1"/>
  <c r="AK9" i="21" s="1"/>
  <c r="AG9" i="19"/>
  <c r="AO8" i="22"/>
  <c r="AK8" i="19"/>
  <c r="AI9" i="19" s="1"/>
  <c r="AK9" i="23"/>
  <c r="AG10" i="23" s="1"/>
  <c r="AG9" i="22"/>
  <c r="AK9" i="22" s="1"/>
  <c r="AG10" i="22" s="1"/>
  <c r="AK8" i="24"/>
  <c r="AI9" i="24" s="1"/>
  <c r="AI10" i="23"/>
  <c r="AK10" i="23" s="1"/>
  <c r="AG11" i="23" s="1"/>
  <c r="AK8" i="25"/>
  <c r="AG9" i="25" s="1"/>
  <c r="AK9" i="19"/>
  <c r="AI10" i="19" s="1"/>
  <c r="AG9" i="24"/>
  <c r="O23" i="25"/>
  <c r="G16" i="25"/>
  <c r="O23" i="24"/>
  <c r="G16" i="24"/>
  <c r="O28" i="24"/>
  <c r="O30" i="24" s="1"/>
  <c r="AO9" i="21"/>
  <c r="O20" i="23"/>
  <c r="O15" i="23"/>
  <c r="AO8" i="20"/>
  <c r="G16" i="22"/>
  <c r="O23" i="22"/>
  <c r="K16" i="22"/>
  <c r="K16" i="25" s="1"/>
  <c r="O28" i="22"/>
  <c r="O30" i="22" s="1"/>
  <c r="AG10" i="21"/>
  <c r="AI10" i="21"/>
  <c r="AI9" i="20"/>
  <c r="AG9" i="20"/>
  <c r="O20" i="21"/>
  <c r="O15" i="21"/>
  <c r="AO9" i="19"/>
  <c r="G16" i="20"/>
  <c r="O23" i="20"/>
  <c r="O28" i="20"/>
  <c r="O30" i="20" s="1"/>
  <c r="G16" i="19"/>
  <c r="O23" i="19"/>
  <c r="O28" i="19"/>
  <c r="O30" i="19" s="1"/>
  <c r="AO6" i="12"/>
  <c r="AK6" i="12"/>
  <c r="AG7" i="12" s="1"/>
  <c r="K16" i="23" l="1"/>
  <c r="K16" i="24"/>
  <c r="AG10" i="19"/>
  <c r="AO10" i="19" s="1"/>
  <c r="AO9" i="22"/>
  <c r="AK9" i="24"/>
  <c r="AG10" i="24" s="1"/>
  <c r="AI9" i="25"/>
  <c r="AI11" i="23"/>
  <c r="AO11" i="23" s="1"/>
  <c r="AO10" i="23"/>
  <c r="AI10" i="22"/>
  <c r="AO10" i="22" s="1"/>
  <c r="AO9" i="24"/>
  <c r="AO9" i="25"/>
  <c r="AK9" i="25"/>
  <c r="AG10" i="25" s="1"/>
  <c r="AO9" i="20"/>
  <c r="G19" i="25"/>
  <c r="AA4" i="25"/>
  <c r="W4" i="25"/>
  <c r="Y4" i="25"/>
  <c r="AO10" i="21"/>
  <c r="G19" i="24"/>
  <c r="W4" i="24"/>
  <c r="AA4" i="24"/>
  <c r="Y4" i="24"/>
  <c r="O23" i="23"/>
  <c r="G16" i="23"/>
  <c r="O28" i="23"/>
  <c r="O30" i="23" s="1"/>
  <c r="AK9" i="20"/>
  <c r="AG10" i="20" s="1"/>
  <c r="G19" i="22"/>
  <c r="Y4" i="22"/>
  <c r="W4" i="22"/>
  <c r="AA4" i="22"/>
  <c r="AK10" i="19"/>
  <c r="AG11" i="19" s="1"/>
  <c r="AK10" i="21"/>
  <c r="G16" i="21"/>
  <c r="O23" i="21"/>
  <c r="O28" i="21"/>
  <c r="O30" i="21" s="1"/>
  <c r="G19" i="20"/>
  <c r="W4" i="20"/>
  <c r="Y4" i="20"/>
  <c r="AA4" i="20"/>
  <c r="G19" i="19"/>
  <c r="Y4" i="19"/>
  <c r="W4" i="19"/>
  <c r="AA4" i="19"/>
  <c r="AI7" i="12"/>
  <c r="AO7" i="12" s="1"/>
  <c r="AI10" i="24" l="1"/>
  <c r="AO10" i="24" s="1"/>
  <c r="AK11" i="23"/>
  <c r="AK10" i="22"/>
  <c r="AI10" i="25"/>
  <c r="AK10" i="25" s="1"/>
  <c r="AI10" i="20"/>
  <c r="AO10" i="20" s="1"/>
  <c r="AK10" i="24"/>
  <c r="AG11" i="24" s="1"/>
  <c r="AI11" i="24"/>
  <c r="AO10" i="25"/>
  <c r="AI11" i="19"/>
  <c r="AK11" i="19" s="1"/>
  <c r="AI12" i="19" s="1"/>
  <c r="AB4" i="25"/>
  <c r="V5" i="25" s="1"/>
  <c r="W5" i="25" s="1"/>
  <c r="AI12" i="23"/>
  <c r="AG12" i="23"/>
  <c r="AC4" i="25"/>
  <c r="X5" i="25" s="1"/>
  <c r="AC4" i="24"/>
  <c r="X5" i="24" s="1"/>
  <c r="Y5" i="24" s="1"/>
  <c r="AB4" i="24"/>
  <c r="V5" i="24" s="1"/>
  <c r="G19" i="23"/>
  <c r="W4" i="23"/>
  <c r="AA4" i="23"/>
  <c r="Y4" i="23"/>
  <c r="AB4" i="22"/>
  <c r="V5" i="22" s="1"/>
  <c r="W5" i="22" s="1"/>
  <c r="AC4" i="22"/>
  <c r="X5" i="22" s="1"/>
  <c r="Y5" i="22" s="1"/>
  <c r="AG11" i="21"/>
  <c r="AI11" i="21"/>
  <c r="G19" i="21"/>
  <c r="Y4" i="21"/>
  <c r="W4" i="21"/>
  <c r="AA4" i="21"/>
  <c r="AC4" i="20"/>
  <c r="X5" i="20" s="1"/>
  <c r="AB4" i="20"/>
  <c r="V5" i="20" s="1"/>
  <c r="AC4" i="19"/>
  <c r="X5" i="19" s="1"/>
  <c r="Y5" i="19" s="1"/>
  <c r="AB4" i="19"/>
  <c r="V5" i="19" s="1"/>
  <c r="AK7" i="12"/>
  <c r="AI8" i="12" s="1"/>
  <c r="AO11" i="24" l="1"/>
  <c r="AI11" i="22"/>
  <c r="AG11" i="22"/>
  <c r="AK11" i="22" s="1"/>
  <c r="AK11" i="24"/>
  <c r="AI12" i="24" s="1"/>
  <c r="AG11" i="25"/>
  <c r="AI11" i="25"/>
  <c r="AK10" i="20"/>
  <c r="AG11" i="20" s="1"/>
  <c r="AO12" i="23"/>
  <c r="AO11" i="19"/>
  <c r="AI12" i="22"/>
  <c r="AG12" i="22"/>
  <c r="AK12" i="23"/>
  <c r="AG13" i="23" s="1"/>
  <c r="AO11" i="21"/>
  <c r="Z5" i="24"/>
  <c r="AA5" i="24" s="1"/>
  <c r="AC5" i="24" s="1"/>
  <c r="X6" i="24" s="1"/>
  <c r="Y6" i="24" s="1"/>
  <c r="W5" i="24"/>
  <c r="AG12" i="19"/>
  <c r="AO12" i="19" s="1"/>
  <c r="AD5" i="24"/>
  <c r="AD5" i="25"/>
  <c r="Y5" i="25"/>
  <c r="Z5" i="25"/>
  <c r="AA5" i="25" s="1"/>
  <c r="AB5" i="25" s="1"/>
  <c r="V6" i="25" s="1"/>
  <c r="AB4" i="23"/>
  <c r="V5" i="23" s="1"/>
  <c r="W5" i="23" s="1"/>
  <c r="AD5" i="22"/>
  <c r="AC4" i="23"/>
  <c r="X5" i="23" s="1"/>
  <c r="Z5" i="22"/>
  <c r="AA5" i="22" s="1"/>
  <c r="AC5" i="22" s="1"/>
  <c r="X6" i="22" s="1"/>
  <c r="AK11" i="21"/>
  <c r="AI12" i="21" s="1"/>
  <c r="AB4" i="21"/>
  <c r="V5" i="21" s="1"/>
  <c r="AC4" i="21"/>
  <c r="X5" i="21" s="1"/>
  <c r="Z5" i="20"/>
  <c r="AA5" i="20" s="1"/>
  <c r="W5" i="20"/>
  <c r="AD5" i="20"/>
  <c r="Y5" i="20"/>
  <c r="Z5" i="19"/>
  <c r="AA5" i="19" s="1"/>
  <c r="AC5" i="19" s="1"/>
  <c r="X6" i="19" s="1"/>
  <c r="W5" i="19"/>
  <c r="AD5" i="19"/>
  <c r="AG8" i="12"/>
  <c r="AO8" i="12" s="1"/>
  <c r="AG12" i="24" l="1"/>
  <c r="AK12" i="24" s="1"/>
  <c r="AO11" i="22"/>
  <c r="AK12" i="22"/>
  <c r="AK11" i="25"/>
  <c r="AO11" i="25"/>
  <c r="AI11" i="20"/>
  <c r="AI13" i="23"/>
  <c r="AK13" i="23" s="1"/>
  <c r="AI14" i="23" s="1"/>
  <c r="AB5" i="24"/>
  <c r="V6" i="24" s="1"/>
  <c r="Z6" i="24" s="1"/>
  <c r="AA6" i="24" s="1"/>
  <c r="AC6" i="24" s="1"/>
  <c r="X7" i="24" s="1"/>
  <c r="Y7" i="24" s="1"/>
  <c r="AG13" i="22"/>
  <c r="AI13" i="22"/>
  <c r="AO12" i="22"/>
  <c r="AO12" i="24"/>
  <c r="AK12" i="19"/>
  <c r="AC5" i="25"/>
  <c r="X6" i="25" s="1"/>
  <c r="Z6" i="25" s="1"/>
  <c r="AA6" i="25" s="1"/>
  <c r="W6" i="25"/>
  <c r="AD5" i="23"/>
  <c r="Y5" i="23"/>
  <c r="Z5" i="23"/>
  <c r="AA5" i="23" s="1"/>
  <c r="AB5" i="23" s="1"/>
  <c r="V6" i="23" s="1"/>
  <c r="AC5" i="20"/>
  <c r="X6" i="20" s="1"/>
  <c r="Y6" i="20" s="1"/>
  <c r="Y6" i="22"/>
  <c r="AB5" i="22"/>
  <c r="V6" i="22" s="1"/>
  <c r="AG12" i="21"/>
  <c r="AO12" i="21" s="1"/>
  <c r="AD5" i="21"/>
  <c r="Y5" i="21"/>
  <c r="Z5" i="21"/>
  <c r="AA5" i="21" s="1"/>
  <c r="W5" i="21"/>
  <c r="AB5" i="19"/>
  <c r="V6" i="19" s="1"/>
  <c r="Z6" i="19" s="1"/>
  <c r="AA6" i="19" s="1"/>
  <c r="AB5" i="20"/>
  <c r="V6" i="20" s="1"/>
  <c r="Y6" i="19"/>
  <c r="AK8" i="12"/>
  <c r="AI9" i="12" s="1"/>
  <c r="AO13" i="23" l="1"/>
  <c r="AG14" i="23"/>
  <c r="AK14" i="23" s="1"/>
  <c r="AG15" i="23" s="1"/>
  <c r="AI12" i="25"/>
  <c r="AG12" i="25"/>
  <c r="AK12" i="25" s="1"/>
  <c r="AK11" i="20"/>
  <c r="AO11" i="20"/>
  <c r="AD6" i="24"/>
  <c r="AO13" i="22"/>
  <c r="W6" i="24"/>
  <c r="AB6" i="24" s="1"/>
  <c r="V7" i="24" s="1"/>
  <c r="AK13" i="22"/>
  <c r="AG13" i="24"/>
  <c r="AI13" i="24"/>
  <c r="AG13" i="19"/>
  <c r="AI13" i="19"/>
  <c r="AB6" i="25"/>
  <c r="V7" i="25" s="1"/>
  <c r="AD6" i="25"/>
  <c r="Y6" i="25"/>
  <c r="AC6" i="25" s="1"/>
  <c r="X7" i="25" s="1"/>
  <c r="AD6" i="20"/>
  <c r="AK12" i="21"/>
  <c r="AI13" i="21" s="1"/>
  <c r="W6" i="23"/>
  <c r="AC5" i="23"/>
  <c r="X6" i="23" s="1"/>
  <c r="Z6" i="22"/>
  <c r="AA6" i="22" s="1"/>
  <c r="AC6" i="22" s="1"/>
  <c r="X7" i="22" s="1"/>
  <c r="W6" i="22"/>
  <c r="AD6" i="22"/>
  <c r="AB5" i="21"/>
  <c r="V6" i="21" s="1"/>
  <c r="W6" i="21" s="1"/>
  <c r="AD6" i="19"/>
  <c r="W6" i="19"/>
  <c r="AB6" i="19" s="1"/>
  <c r="V7" i="19" s="1"/>
  <c r="AC5" i="21"/>
  <c r="X6" i="21" s="1"/>
  <c r="Z6" i="20"/>
  <c r="AA6" i="20" s="1"/>
  <c r="AC6" i="20" s="1"/>
  <c r="X7" i="20" s="1"/>
  <c r="W6" i="20"/>
  <c r="AC6" i="19"/>
  <c r="X7" i="19" s="1"/>
  <c r="AG9" i="12"/>
  <c r="AO9" i="12" s="1"/>
  <c r="AI12" i="20" l="1"/>
  <c r="AG12" i="20"/>
  <c r="AI15" i="23"/>
  <c r="AO15" i="23" s="1"/>
  <c r="AO14" i="23"/>
  <c r="AG13" i="25"/>
  <c r="AI13" i="25"/>
  <c r="AO12" i="25"/>
  <c r="AO12" i="20"/>
  <c r="AK12" i="20"/>
  <c r="AG13" i="20" s="1"/>
  <c r="AK13" i="24"/>
  <c r="AG14" i="24" s="1"/>
  <c r="AD7" i="24"/>
  <c r="Z7" i="24"/>
  <c r="AA7" i="24" s="1"/>
  <c r="AC7" i="24" s="1"/>
  <c r="X8" i="24" s="1"/>
  <c r="Y8" i="24" s="1"/>
  <c r="W7" i="24"/>
  <c r="AI14" i="22"/>
  <c r="AG14" i="22"/>
  <c r="AK15" i="23"/>
  <c r="AI16" i="23" s="1"/>
  <c r="AO13" i="19"/>
  <c r="AK13" i="19"/>
  <c r="AG14" i="19" s="1"/>
  <c r="AO13" i="24"/>
  <c r="AG13" i="21"/>
  <c r="AK13" i="21" s="1"/>
  <c r="AI14" i="21" s="1"/>
  <c r="AB6" i="20"/>
  <c r="V7" i="20" s="1"/>
  <c r="W7" i="20" s="1"/>
  <c r="AD7" i="25"/>
  <c r="Y7" i="25"/>
  <c r="Z7" i="25"/>
  <c r="AA7" i="25" s="1"/>
  <c r="W7" i="25"/>
  <c r="AB6" i="22"/>
  <c r="V7" i="22" s="1"/>
  <c r="Z7" i="22" s="1"/>
  <c r="AA7" i="22" s="1"/>
  <c r="AD6" i="23"/>
  <c r="Y6" i="23"/>
  <c r="Z6" i="23"/>
  <c r="AA6" i="23" s="1"/>
  <c r="AB6" i="23" s="1"/>
  <c r="V7" i="23" s="1"/>
  <c r="Y7" i="22"/>
  <c r="AD6" i="21"/>
  <c r="Y6" i="21"/>
  <c r="Z6" i="21"/>
  <c r="AA6" i="21" s="1"/>
  <c r="AB6" i="21" s="1"/>
  <c r="V7" i="21" s="1"/>
  <c r="Y7" i="20"/>
  <c r="Z7" i="19"/>
  <c r="AA7" i="19" s="1"/>
  <c r="W7" i="19"/>
  <c r="AD7" i="19"/>
  <c r="Y7" i="19"/>
  <c r="AK9" i="12"/>
  <c r="AI10" i="12" s="1"/>
  <c r="AI13" i="20" l="1"/>
  <c r="AI14" i="24"/>
  <c r="AK14" i="24" s="1"/>
  <c r="AG15" i="24" s="1"/>
  <c r="AK13" i="25"/>
  <c r="AO13" i="25"/>
  <c r="AB7" i="24"/>
  <c r="V8" i="24" s="1"/>
  <c r="Z8" i="24" s="1"/>
  <c r="AA8" i="24" s="1"/>
  <c r="AC8" i="24" s="1"/>
  <c r="X9" i="24" s="1"/>
  <c r="Y9" i="24" s="1"/>
  <c r="AK13" i="20"/>
  <c r="AI14" i="20" s="1"/>
  <c r="AG14" i="20"/>
  <c r="AO13" i="20"/>
  <c r="AI14" i="19"/>
  <c r="AO14" i="19" s="1"/>
  <c r="AK14" i="22"/>
  <c r="AI15" i="22" s="1"/>
  <c r="AG16" i="23"/>
  <c r="AO16" i="23" s="1"/>
  <c r="AO14" i="22"/>
  <c r="AO13" i="21"/>
  <c r="AG14" i="21"/>
  <c r="AO14" i="21" s="1"/>
  <c r="AD7" i="20"/>
  <c r="AO14" i="24"/>
  <c r="Z7" i="20"/>
  <c r="AA7" i="20" s="1"/>
  <c r="AB7" i="20" s="1"/>
  <c r="V8" i="20" s="1"/>
  <c r="W8" i="20" s="1"/>
  <c r="AD7" i="22"/>
  <c r="AB7" i="25"/>
  <c r="V8" i="25" s="1"/>
  <c r="W8" i="25" s="1"/>
  <c r="W7" i="22"/>
  <c r="AB7" i="22" s="1"/>
  <c r="V8" i="22" s="1"/>
  <c r="AC7" i="25"/>
  <c r="X8" i="25" s="1"/>
  <c r="W7" i="23"/>
  <c r="AC6" i="23"/>
  <c r="X7" i="23" s="1"/>
  <c r="AC7" i="22"/>
  <c r="X8" i="22" s="1"/>
  <c r="W7" i="21"/>
  <c r="AC6" i="21"/>
  <c r="X7" i="21" s="1"/>
  <c r="AC7" i="19"/>
  <c r="X8" i="19" s="1"/>
  <c r="Y8" i="19" s="1"/>
  <c r="AB7" i="19"/>
  <c r="V8" i="19" s="1"/>
  <c r="AG10" i="12"/>
  <c r="AO10" i="12" s="1"/>
  <c r="AG15" i="22" l="1"/>
  <c r="AK14" i="20"/>
  <c r="AG15" i="20" s="1"/>
  <c r="AK14" i="19"/>
  <c r="AI14" i="25"/>
  <c r="AG14" i="25"/>
  <c r="AK14" i="25" s="1"/>
  <c r="AI15" i="20"/>
  <c r="AO15" i="20" s="1"/>
  <c r="W8" i="24"/>
  <c r="AB8" i="24" s="1"/>
  <c r="V9" i="24" s="1"/>
  <c r="Z9" i="24" s="1"/>
  <c r="AA9" i="24" s="1"/>
  <c r="AC9" i="24" s="1"/>
  <c r="X10" i="24" s="1"/>
  <c r="AD8" i="24"/>
  <c r="AK16" i="23"/>
  <c r="AG17" i="23" s="1"/>
  <c r="AO14" i="20"/>
  <c r="AO15" i="22"/>
  <c r="AI15" i="24"/>
  <c r="AO15" i="24" s="1"/>
  <c r="AK15" i="22"/>
  <c r="AK14" i="21"/>
  <c r="AI15" i="21" s="1"/>
  <c r="AC7" i="20"/>
  <c r="X8" i="20" s="1"/>
  <c r="Z8" i="20" s="1"/>
  <c r="AA8" i="20" s="1"/>
  <c r="AB8" i="20" s="1"/>
  <c r="V9" i="20" s="1"/>
  <c r="AG15" i="19"/>
  <c r="AI15" i="19"/>
  <c r="AD8" i="25"/>
  <c r="Y8" i="25"/>
  <c r="Z8" i="25"/>
  <c r="AA8" i="25" s="1"/>
  <c r="AB8" i="25" s="1"/>
  <c r="V9" i="25" s="1"/>
  <c r="AD7" i="23"/>
  <c r="Y7" i="23"/>
  <c r="Z7" i="23"/>
  <c r="AA7" i="23" s="1"/>
  <c r="AB7" i="23" s="1"/>
  <c r="V8" i="23" s="1"/>
  <c r="Y8" i="22"/>
  <c r="AD8" i="22"/>
  <c r="Z8" i="22"/>
  <c r="AA8" i="22" s="1"/>
  <c r="W8" i="22"/>
  <c r="AD7" i="21"/>
  <c r="Y7" i="21"/>
  <c r="Z7" i="21"/>
  <c r="AA7" i="21" s="1"/>
  <c r="AB7" i="21" s="1"/>
  <c r="V8" i="21" s="1"/>
  <c r="Z8" i="19"/>
  <c r="AA8" i="19" s="1"/>
  <c r="AC8" i="19" s="1"/>
  <c r="X9" i="19" s="1"/>
  <c r="W8" i="19"/>
  <c r="AD8" i="19"/>
  <c r="AK10" i="12"/>
  <c r="AD9" i="24" l="1"/>
  <c r="W9" i="24"/>
  <c r="AB9" i="24" s="1"/>
  <c r="V10" i="24" s="1"/>
  <c r="W10" i="24" s="1"/>
  <c r="AI17" i="23"/>
  <c r="AO17" i="23"/>
  <c r="AK15" i="20"/>
  <c r="AG16" i="20" s="1"/>
  <c r="AG15" i="25"/>
  <c r="AI15" i="25"/>
  <c r="AO14" i="25"/>
  <c r="AK17" i="23"/>
  <c r="AG18" i="23" s="1"/>
  <c r="AG15" i="21"/>
  <c r="AK15" i="21" s="1"/>
  <c r="AG16" i="21" s="1"/>
  <c r="AK15" i="24"/>
  <c r="AI16" i="24" s="1"/>
  <c r="AD8" i="20"/>
  <c r="AI16" i="22"/>
  <c r="AG16" i="22"/>
  <c r="Y10" i="24"/>
  <c r="Y8" i="20"/>
  <c r="AC8" i="20" s="1"/>
  <c r="X9" i="20" s="1"/>
  <c r="AK15" i="19"/>
  <c r="AO15" i="19"/>
  <c r="W9" i="25"/>
  <c r="AC8" i="25"/>
  <c r="X9" i="25" s="1"/>
  <c r="W8" i="23"/>
  <c r="AC7" i="23"/>
  <c r="X8" i="23" s="1"/>
  <c r="AB8" i="22"/>
  <c r="V9" i="22" s="1"/>
  <c r="W9" i="22" s="1"/>
  <c r="AC8" i="22"/>
  <c r="X9" i="22" s="1"/>
  <c r="W8" i="21"/>
  <c r="AC7" i="21"/>
  <c r="X8" i="21" s="1"/>
  <c r="AB8" i="19"/>
  <c r="V9" i="19" s="1"/>
  <c r="AD9" i="19" s="1"/>
  <c r="W9" i="20"/>
  <c r="Y9" i="19"/>
  <c r="AG11" i="12"/>
  <c r="AI11" i="12"/>
  <c r="AO15" i="25" l="1"/>
  <c r="AI16" i="20"/>
  <c r="AO16" i="20" s="1"/>
  <c r="AI18" i="23"/>
  <c r="AO18" i="23" s="1"/>
  <c r="AD10" i="24"/>
  <c r="Z10" i="24"/>
  <c r="AA10" i="24" s="1"/>
  <c r="AB10" i="24" s="1"/>
  <c r="V11" i="24" s="1"/>
  <c r="W11" i="24" s="1"/>
  <c r="AO15" i="21"/>
  <c r="AK15" i="25"/>
  <c r="AG16" i="24"/>
  <c r="AO16" i="24" s="1"/>
  <c r="AK18" i="23"/>
  <c r="AG19" i="23" s="1"/>
  <c r="AK16" i="22"/>
  <c r="AI17" i="22" s="1"/>
  <c r="AO16" i="22"/>
  <c r="AI16" i="21"/>
  <c r="AK16" i="21" s="1"/>
  <c r="AI17" i="21" s="1"/>
  <c r="AG16" i="19"/>
  <c r="AI16" i="19"/>
  <c r="AD9" i="25"/>
  <c r="Y9" i="25"/>
  <c r="Z9" i="25"/>
  <c r="AA9" i="25" s="1"/>
  <c r="AB9" i="25" s="1"/>
  <c r="V10" i="25" s="1"/>
  <c r="AD8" i="23"/>
  <c r="Y8" i="23"/>
  <c r="Z8" i="23"/>
  <c r="AA8" i="23" s="1"/>
  <c r="AB8" i="23" s="1"/>
  <c r="V9" i="23" s="1"/>
  <c r="Z9" i="22"/>
  <c r="AA9" i="22" s="1"/>
  <c r="AB9" i="22" s="1"/>
  <c r="V10" i="22" s="1"/>
  <c r="AD9" i="22"/>
  <c r="Y9" i="22"/>
  <c r="W9" i="19"/>
  <c r="Z9" i="19"/>
  <c r="AA9" i="19" s="1"/>
  <c r="AD8" i="21"/>
  <c r="Y8" i="21"/>
  <c r="Z8" i="21"/>
  <c r="AA8" i="21" s="1"/>
  <c r="AB8" i="21" s="1"/>
  <c r="V9" i="21" s="1"/>
  <c r="AD9" i="20"/>
  <c r="Y9" i="20"/>
  <c r="Z9" i="20"/>
  <c r="AA9" i="20" s="1"/>
  <c r="AB9" i="20" s="1"/>
  <c r="V10" i="20" s="1"/>
  <c r="AO11" i="12"/>
  <c r="AK11" i="12"/>
  <c r="AK16" i="20" l="1"/>
  <c r="AI17" i="20" s="1"/>
  <c r="AG17" i="20"/>
  <c r="AO17" i="20" s="1"/>
  <c r="AG17" i="22"/>
  <c r="AK17" i="22" s="1"/>
  <c r="AK17" i="20"/>
  <c r="AG18" i="20" s="1"/>
  <c r="AK16" i="24"/>
  <c r="AG17" i="24" s="1"/>
  <c r="AC10" i="24"/>
  <c r="X11" i="24" s="1"/>
  <c r="Z11" i="24" s="1"/>
  <c r="AA11" i="24" s="1"/>
  <c r="AB11" i="24" s="1"/>
  <c r="V12" i="24" s="1"/>
  <c r="W12" i="24" s="1"/>
  <c r="AI19" i="23"/>
  <c r="AO19" i="23" s="1"/>
  <c r="AI16" i="25"/>
  <c r="AG16" i="25"/>
  <c r="Y11" i="24"/>
  <c r="AB9" i="19"/>
  <c r="V10" i="19" s="1"/>
  <c r="W10" i="19" s="1"/>
  <c r="AO17" i="22"/>
  <c r="AO16" i="21"/>
  <c r="AG17" i="21"/>
  <c r="AO17" i="21" s="1"/>
  <c r="AK16" i="19"/>
  <c r="AO16" i="19"/>
  <c r="AC9" i="22"/>
  <c r="X10" i="22" s="1"/>
  <c r="Z10" i="22" s="1"/>
  <c r="AA10" i="22" s="1"/>
  <c r="W10" i="25"/>
  <c r="AC9" i="25"/>
  <c r="X10" i="25" s="1"/>
  <c r="W9" i="23"/>
  <c r="AC8" i="23"/>
  <c r="X9" i="23" s="1"/>
  <c r="W10" i="22"/>
  <c r="AC9" i="19"/>
  <c r="X10" i="19" s="1"/>
  <c r="Y10" i="19" s="1"/>
  <c r="W9" i="21"/>
  <c r="AC8" i="21"/>
  <c r="X9" i="21" s="1"/>
  <c r="W10" i="20"/>
  <c r="AC9" i="20"/>
  <c r="X10" i="20" s="1"/>
  <c r="AI12" i="12"/>
  <c r="AG12" i="12"/>
  <c r="AD11" i="24" l="1"/>
  <c r="AK16" i="25"/>
  <c r="AI18" i="20"/>
  <c r="AK19" i="23"/>
  <c r="AI20" i="23" s="1"/>
  <c r="AC11" i="24"/>
  <c r="X12" i="24" s="1"/>
  <c r="AD12" i="24" s="1"/>
  <c r="AI17" i="24"/>
  <c r="AO17" i="24" s="1"/>
  <c r="AG17" i="25"/>
  <c r="AI17" i="25"/>
  <c r="AO16" i="25"/>
  <c r="AG20" i="23"/>
  <c r="AK17" i="21"/>
  <c r="AG18" i="21" s="1"/>
  <c r="AG18" i="22"/>
  <c r="AI18" i="22"/>
  <c r="AD10" i="22"/>
  <c r="Y10" i="22"/>
  <c r="AC10" i="22" s="1"/>
  <c r="X11" i="22" s="1"/>
  <c r="Y11" i="22" s="1"/>
  <c r="AG17" i="19"/>
  <c r="AI17" i="19"/>
  <c r="AD10" i="25"/>
  <c r="Y10" i="25"/>
  <c r="Z10" i="25"/>
  <c r="AA10" i="25" s="1"/>
  <c r="AB10" i="25" s="1"/>
  <c r="V11" i="25" s="1"/>
  <c r="Y12" i="24"/>
  <c r="Z12" i="24"/>
  <c r="AA12" i="24" s="1"/>
  <c r="AB12" i="24" s="1"/>
  <c r="V13" i="24" s="1"/>
  <c r="AD9" i="23"/>
  <c r="Y9" i="23"/>
  <c r="Z9" i="23"/>
  <c r="AA9" i="23" s="1"/>
  <c r="AB9" i="23" s="1"/>
  <c r="V10" i="23" s="1"/>
  <c r="AB10" i="22"/>
  <c r="V11" i="22" s="1"/>
  <c r="AD10" i="19"/>
  <c r="Z10" i="19"/>
  <c r="AA10" i="19" s="1"/>
  <c r="AC10" i="19" s="1"/>
  <c r="X11" i="19" s="1"/>
  <c r="Y11" i="19" s="1"/>
  <c r="AK18" i="20"/>
  <c r="AO18" i="20"/>
  <c r="AD9" i="21"/>
  <c r="Y9" i="21"/>
  <c r="Z9" i="21"/>
  <c r="AA9" i="21" s="1"/>
  <c r="AB9" i="21" s="1"/>
  <c r="V10" i="21" s="1"/>
  <c r="AD10" i="20"/>
  <c r="Y10" i="20"/>
  <c r="Z10" i="20"/>
  <c r="AA10" i="20" s="1"/>
  <c r="AB10" i="20" s="1"/>
  <c r="V11" i="20" s="1"/>
  <c r="AO12" i="12"/>
  <c r="AK12" i="12"/>
  <c r="AO17" i="25" l="1"/>
  <c r="AK17" i="24"/>
  <c r="AG18" i="24" s="1"/>
  <c r="AO20" i="23"/>
  <c r="AO18" i="22"/>
  <c r="AI18" i="21"/>
  <c r="AO18" i="21" s="1"/>
  <c r="AK20" i="23"/>
  <c r="AI18" i="24"/>
  <c r="AO18" i="24" s="1"/>
  <c r="AK17" i="25"/>
  <c r="AK18" i="22"/>
  <c r="AG21" i="23"/>
  <c r="AI21" i="23"/>
  <c r="AK17" i="19"/>
  <c r="AO17" i="19"/>
  <c r="W11" i="25"/>
  <c r="AC10" i="25"/>
  <c r="X11" i="25" s="1"/>
  <c r="W13" i="24"/>
  <c r="AC12" i="24"/>
  <c r="X13" i="24" s="1"/>
  <c r="AB10" i="19"/>
  <c r="V11" i="19" s="1"/>
  <c r="W11" i="19" s="1"/>
  <c r="W10" i="23"/>
  <c r="AC9" i="23"/>
  <c r="X10" i="23" s="1"/>
  <c r="AK18" i="21"/>
  <c r="AG19" i="21" s="1"/>
  <c r="W11" i="22"/>
  <c r="AD11" i="22"/>
  <c r="Z11" i="22"/>
  <c r="AA11" i="22" s="1"/>
  <c r="AI19" i="20"/>
  <c r="AG19" i="20"/>
  <c r="W10" i="21"/>
  <c r="AC9" i="21"/>
  <c r="X10" i="21" s="1"/>
  <c r="W11" i="20"/>
  <c r="AC10" i="20"/>
  <c r="X11" i="20" s="1"/>
  <c r="AG13" i="12"/>
  <c r="AI13" i="12"/>
  <c r="AK18" i="24" l="1"/>
  <c r="AG18" i="25"/>
  <c r="AI18" i="25"/>
  <c r="AI19" i="22"/>
  <c r="AG19" i="22"/>
  <c r="AO21" i="23"/>
  <c r="AI19" i="24"/>
  <c r="AG19" i="24"/>
  <c r="AK21" i="23"/>
  <c r="AG18" i="19"/>
  <c r="AI18" i="19"/>
  <c r="Z11" i="19"/>
  <c r="AA11" i="19" s="1"/>
  <c r="AB11" i="19" s="1"/>
  <c r="V12" i="19" s="1"/>
  <c r="W12" i="19" s="1"/>
  <c r="AD11" i="25"/>
  <c r="Y11" i="25"/>
  <c r="Z11" i="25"/>
  <c r="AA11" i="25" s="1"/>
  <c r="AB11" i="25" s="1"/>
  <c r="V12" i="25" s="1"/>
  <c r="AD11" i="19"/>
  <c r="AD13" i="24"/>
  <c r="Y13" i="24"/>
  <c r="Z13" i="24"/>
  <c r="AA13" i="24" s="1"/>
  <c r="AB13" i="24" s="1"/>
  <c r="V14" i="24" s="1"/>
  <c r="AI19" i="21"/>
  <c r="AO19" i="21" s="1"/>
  <c r="AD10" i="23"/>
  <c r="Y10" i="23"/>
  <c r="Z10" i="23"/>
  <c r="AA10" i="23" s="1"/>
  <c r="AB10" i="23" s="1"/>
  <c r="V11" i="23" s="1"/>
  <c r="AK19" i="20"/>
  <c r="AI20" i="20" s="1"/>
  <c r="AB11" i="22"/>
  <c r="V12" i="22" s="1"/>
  <c r="AC11" i="22"/>
  <c r="X12" i="22" s="1"/>
  <c r="AO19" i="20"/>
  <c r="AD10" i="21"/>
  <c r="Y10" i="21"/>
  <c r="Z10" i="21"/>
  <c r="AA10" i="21" s="1"/>
  <c r="AB10" i="21" s="1"/>
  <c r="V11" i="21" s="1"/>
  <c r="AD11" i="20"/>
  <c r="Y11" i="20"/>
  <c r="Z11" i="20"/>
  <c r="AA11" i="20" s="1"/>
  <c r="AB11" i="20" s="1"/>
  <c r="V12" i="20" s="1"/>
  <c r="AK13" i="12"/>
  <c r="AO13" i="12"/>
  <c r="AK19" i="24" l="1"/>
  <c r="AK18" i="25"/>
  <c r="AO18" i="25"/>
  <c r="AK19" i="22"/>
  <c r="AG20" i="22" s="1"/>
  <c r="AO19" i="22"/>
  <c r="AG20" i="20"/>
  <c r="AO20" i="20" s="1"/>
  <c r="AO18" i="19"/>
  <c r="AC11" i="19"/>
  <c r="X12" i="19" s="1"/>
  <c r="AD12" i="19" s="1"/>
  <c r="AG20" i="24"/>
  <c r="AI20" i="24"/>
  <c r="AO19" i="24"/>
  <c r="AK19" i="21"/>
  <c r="AI20" i="21" s="1"/>
  <c r="AI22" i="23"/>
  <c r="AG22" i="23"/>
  <c r="AK18" i="19"/>
  <c r="W12" i="25"/>
  <c r="AC11" i="25"/>
  <c r="X12" i="25" s="1"/>
  <c r="W14" i="24"/>
  <c r="AC13" i="24"/>
  <c r="X14" i="24" s="1"/>
  <c r="W11" i="23"/>
  <c r="AC10" i="23"/>
  <c r="X11" i="23" s="1"/>
  <c r="Y12" i="22"/>
  <c r="AD12" i="22"/>
  <c r="W12" i="22"/>
  <c r="Z12" i="22"/>
  <c r="AA12" i="22" s="1"/>
  <c r="W11" i="21"/>
  <c r="AC10" i="21"/>
  <c r="X11" i="21" s="1"/>
  <c r="W12" i="20"/>
  <c r="AC11" i="20"/>
  <c r="X12" i="20" s="1"/>
  <c r="AI14" i="12"/>
  <c r="AG14" i="12"/>
  <c r="AI20" i="22" l="1"/>
  <c r="AK20" i="20"/>
  <c r="AG21" i="20" s="1"/>
  <c r="AG19" i="25"/>
  <c r="AI19" i="25"/>
  <c r="AO19" i="25" s="1"/>
  <c r="AO20" i="22"/>
  <c r="AK20" i="22"/>
  <c r="AI21" i="20"/>
  <c r="AK21" i="20" s="1"/>
  <c r="AG22" i="20" s="1"/>
  <c r="AK22" i="23"/>
  <c r="AG23" i="23" s="1"/>
  <c r="AO20" i="24"/>
  <c r="Y12" i="19"/>
  <c r="Z12" i="19"/>
  <c r="AA12" i="19" s="1"/>
  <c r="AB12" i="19" s="1"/>
  <c r="V13" i="19" s="1"/>
  <c r="W13" i="19" s="1"/>
  <c r="AG20" i="21"/>
  <c r="AK20" i="21" s="1"/>
  <c r="AI21" i="21" s="1"/>
  <c r="AK20" i="24"/>
  <c r="AO22" i="23"/>
  <c r="AG19" i="19"/>
  <c r="AI19" i="19"/>
  <c r="AD12" i="25"/>
  <c r="Y12" i="25"/>
  <c r="Z12" i="25"/>
  <c r="AA12" i="25" s="1"/>
  <c r="AB12" i="25" s="1"/>
  <c r="V13" i="25" s="1"/>
  <c r="AD14" i="24"/>
  <c r="Y14" i="24"/>
  <c r="Z14" i="24"/>
  <c r="AA14" i="24" s="1"/>
  <c r="AB14" i="24" s="1"/>
  <c r="V15" i="24" s="1"/>
  <c r="AB12" i="22"/>
  <c r="V13" i="22" s="1"/>
  <c r="W13" i="22" s="1"/>
  <c r="AD11" i="23"/>
  <c r="Y11" i="23"/>
  <c r="Z11" i="23"/>
  <c r="AA11" i="23" s="1"/>
  <c r="AB11" i="23" s="1"/>
  <c r="V12" i="23" s="1"/>
  <c r="AC12" i="22"/>
  <c r="X13" i="22" s="1"/>
  <c r="AD11" i="21"/>
  <c r="Y11" i="21"/>
  <c r="Z11" i="21"/>
  <c r="AA11" i="21" s="1"/>
  <c r="AB11" i="21" s="1"/>
  <c r="V12" i="21" s="1"/>
  <c r="AD12" i="20"/>
  <c r="Y12" i="20"/>
  <c r="Z12" i="20"/>
  <c r="AA12" i="20" s="1"/>
  <c r="AB12" i="20" s="1"/>
  <c r="V13" i="20" s="1"/>
  <c r="AK14" i="12"/>
  <c r="AG15" i="12" s="1"/>
  <c r="AO14" i="12"/>
  <c r="AI15" i="12" l="1"/>
  <c r="AK19" i="25"/>
  <c r="AO21" i="20"/>
  <c r="AI23" i="23"/>
  <c r="AO23" i="23" s="1"/>
  <c r="AG21" i="22"/>
  <c r="AI21" i="22"/>
  <c r="AK23" i="23"/>
  <c r="AG24" i="23" s="1"/>
  <c r="AC12" i="19"/>
  <c r="X13" i="19" s="1"/>
  <c r="AD13" i="19" s="1"/>
  <c r="AO20" i="21"/>
  <c r="AO19" i="19"/>
  <c r="AG21" i="24"/>
  <c r="AI21" i="24"/>
  <c r="AK19" i="19"/>
  <c r="AI20" i="19" s="1"/>
  <c r="AI22" i="20"/>
  <c r="AO22" i="20" s="1"/>
  <c r="W13" i="25"/>
  <c r="AC12" i="25"/>
  <c r="X13" i="25" s="1"/>
  <c r="W15" i="24"/>
  <c r="AC14" i="24"/>
  <c r="X15" i="24" s="1"/>
  <c r="AG21" i="21"/>
  <c r="AO21" i="21" s="1"/>
  <c r="W12" i="23"/>
  <c r="AC11" i="23"/>
  <c r="X12" i="23" s="1"/>
  <c r="AD13" i="22"/>
  <c r="Y13" i="22"/>
  <c r="Z13" i="22"/>
  <c r="AA13" i="22" s="1"/>
  <c r="AB13" i="22" s="1"/>
  <c r="V14" i="22" s="1"/>
  <c r="W14" i="22" s="1"/>
  <c r="W12" i="21"/>
  <c r="AC11" i="21"/>
  <c r="X12" i="21" s="1"/>
  <c r="W13" i="20"/>
  <c r="AC12" i="20"/>
  <c r="X13" i="20" s="1"/>
  <c r="AO15" i="12"/>
  <c r="AK15" i="12"/>
  <c r="AG20" i="25" l="1"/>
  <c r="AI20" i="25"/>
  <c r="AO21" i="22"/>
  <c r="Y13" i="19"/>
  <c r="Z13" i="19"/>
  <c r="AA13" i="19" s="1"/>
  <c r="AB13" i="19" s="1"/>
  <c r="V14" i="19" s="1"/>
  <c r="W14" i="19" s="1"/>
  <c r="AI24" i="23"/>
  <c r="AK24" i="23" s="1"/>
  <c r="AO21" i="24"/>
  <c r="AK21" i="22"/>
  <c r="AO24" i="23"/>
  <c r="AG20" i="19"/>
  <c r="AK20" i="19" s="1"/>
  <c r="AG21" i="19" s="1"/>
  <c r="AK21" i="24"/>
  <c r="AK22" i="20"/>
  <c r="AI23" i="20" s="1"/>
  <c r="AK21" i="21"/>
  <c r="AI22" i="21" s="1"/>
  <c r="AD13" i="25"/>
  <c r="Y13" i="25"/>
  <c r="Z13" i="25"/>
  <c r="AA13" i="25" s="1"/>
  <c r="AB13" i="25" s="1"/>
  <c r="V14" i="25" s="1"/>
  <c r="AD15" i="24"/>
  <c r="Y15" i="24"/>
  <c r="Z15" i="24"/>
  <c r="AA15" i="24" s="1"/>
  <c r="AB15" i="24" s="1"/>
  <c r="V16" i="24" s="1"/>
  <c r="AD12" i="23"/>
  <c r="Y12" i="23"/>
  <c r="Z12" i="23"/>
  <c r="AA12" i="23" s="1"/>
  <c r="AB12" i="23" s="1"/>
  <c r="V13" i="23" s="1"/>
  <c r="AC13" i="22"/>
  <c r="X14" i="22" s="1"/>
  <c r="AD12" i="21"/>
  <c r="Y12" i="21"/>
  <c r="Z12" i="21"/>
  <c r="AA12" i="21" s="1"/>
  <c r="AB12" i="21" s="1"/>
  <c r="V13" i="21" s="1"/>
  <c r="AD13" i="20"/>
  <c r="Y13" i="20"/>
  <c r="Z13" i="20"/>
  <c r="AA13" i="20" s="1"/>
  <c r="AB13" i="20" s="1"/>
  <c r="V14" i="20" s="1"/>
  <c r="AG16" i="12"/>
  <c r="AI16" i="12"/>
  <c r="AO20" i="25" l="1"/>
  <c r="AK20" i="25"/>
  <c r="AC13" i="19"/>
  <c r="X14" i="19" s="1"/>
  <c r="AD14" i="19" s="1"/>
  <c r="AI21" i="19"/>
  <c r="AK21" i="19" s="1"/>
  <c r="AI22" i="19" s="1"/>
  <c r="Y14" i="19"/>
  <c r="AO20" i="19"/>
  <c r="AI22" i="22"/>
  <c r="AG22" i="22"/>
  <c r="AG23" i="20"/>
  <c r="AO23" i="20" s="1"/>
  <c r="AI22" i="24"/>
  <c r="AG22" i="24"/>
  <c r="AG22" i="21"/>
  <c r="AO22" i="21" s="1"/>
  <c r="AI25" i="23"/>
  <c r="AG25" i="23"/>
  <c r="W14" i="25"/>
  <c r="AC13" i="25"/>
  <c r="X14" i="25" s="1"/>
  <c r="W16" i="24"/>
  <c r="AC15" i="24"/>
  <c r="X16" i="24" s="1"/>
  <c r="W13" i="23"/>
  <c r="AC12" i="23"/>
  <c r="X13" i="23" s="1"/>
  <c r="AD14" i="22"/>
  <c r="Y14" i="22"/>
  <c r="Z14" i="22"/>
  <c r="AA14" i="22" s="1"/>
  <c r="AB14" i="22" s="1"/>
  <c r="V15" i="22" s="1"/>
  <c r="W15" i="22" s="1"/>
  <c r="W13" i="21"/>
  <c r="AC12" i="21"/>
  <c r="X13" i="21" s="1"/>
  <c r="W14" i="20"/>
  <c r="AC13" i="20"/>
  <c r="X14" i="20" s="1"/>
  <c r="AO16" i="12"/>
  <c r="AK16" i="12"/>
  <c r="AG21" i="25" l="1"/>
  <c r="AI21" i="25"/>
  <c r="AO21" i="25" s="1"/>
  <c r="Z14" i="19"/>
  <c r="AA14" i="19" s="1"/>
  <c r="AB14" i="19" s="1"/>
  <c r="V15" i="19" s="1"/>
  <c r="W15" i="19" s="1"/>
  <c r="AO21" i="19"/>
  <c r="AK22" i="24"/>
  <c r="AG23" i="24" s="1"/>
  <c r="AK23" i="20"/>
  <c r="AI24" i="20" s="1"/>
  <c r="AK25" i="23"/>
  <c r="AI26" i="23" s="1"/>
  <c r="AK22" i="22"/>
  <c r="AI23" i="22" s="1"/>
  <c r="AK22" i="21"/>
  <c r="AI23" i="21" s="1"/>
  <c r="AO22" i="22"/>
  <c r="AO22" i="24"/>
  <c r="AG22" i="19"/>
  <c r="AK22" i="19" s="1"/>
  <c r="AI23" i="19" s="1"/>
  <c r="AO25" i="23"/>
  <c r="AD14" i="25"/>
  <c r="Y14" i="25"/>
  <c r="Z14" i="25"/>
  <c r="AA14" i="25" s="1"/>
  <c r="AB14" i="25" s="1"/>
  <c r="V15" i="25" s="1"/>
  <c r="AD16" i="24"/>
  <c r="Y16" i="24"/>
  <c r="Z16" i="24"/>
  <c r="AA16" i="24" s="1"/>
  <c r="AB16" i="24" s="1"/>
  <c r="V17" i="24" s="1"/>
  <c r="AD13" i="23"/>
  <c r="Y13" i="23"/>
  <c r="Z13" i="23"/>
  <c r="AA13" i="23" s="1"/>
  <c r="AB13" i="23" s="1"/>
  <c r="V14" i="23" s="1"/>
  <c r="AC14" i="22"/>
  <c r="X15" i="22" s="1"/>
  <c r="AD13" i="21"/>
  <c r="Y13" i="21"/>
  <c r="Z13" i="21"/>
  <c r="AA13" i="21" s="1"/>
  <c r="AB13" i="21" s="1"/>
  <c r="V14" i="21" s="1"/>
  <c r="AD14" i="20"/>
  <c r="Y14" i="20"/>
  <c r="Z14" i="20"/>
  <c r="AA14" i="20" s="1"/>
  <c r="AB14" i="20" s="1"/>
  <c r="V15" i="20" s="1"/>
  <c r="AG17" i="12"/>
  <c r="AI17" i="12"/>
  <c r="AI23" i="24" l="1"/>
  <c r="AG23" i="22"/>
  <c r="AK21" i="25"/>
  <c r="AG26" i="23"/>
  <c r="AK26" i="23" s="1"/>
  <c r="AC14" i="19"/>
  <c r="X15" i="19" s="1"/>
  <c r="AG23" i="21"/>
  <c r="AO23" i="21" s="1"/>
  <c r="AK23" i="24"/>
  <c r="AI24" i="24" s="1"/>
  <c r="AG24" i="20"/>
  <c r="AO24" i="20" s="1"/>
  <c r="AO26" i="23"/>
  <c r="AK23" i="22"/>
  <c r="AI24" i="22" s="1"/>
  <c r="AO23" i="22"/>
  <c r="AG23" i="19"/>
  <c r="AK23" i="19" s="1"/>
  <c r="AI24" i="19" s="1"/>
  <c r="AO23" i="24"/>
  <c r="AO22" i="19"/>
  <c r="W15" i="25"/>
  <c r="AC14" i="25"/>
  <c r="X15" i="25" s="1"/>
  <c r="W17" i="24"/>
  <c r="AC16" i="24"/>
  <c r="X17" i="24" s="1"/>
  <c r="W14" i="23"/>
  <c r="AC13" i="23"/>
  <c r="X14" i="23" s="1"/>
  <c r="AD15" i="22"/>
  <c r="Y15" i="22"/>
  <c r="Z15" i="22"/>
  <c r="AA15" i="22" s="1"/>
  <c r="AB15" i="22" s="1"/>
  <c r="V16" i="22" s="1"/>
  <c r="W16" i="22" s="1"/>
  <c r="W14" i="21"/>
  <c r="AC13" i="21"/>
  <c r="X14" i="21" s="1"/>
  <c r="W15" i="20"/>
  <c r="AC14" i="20"/>
  <c r="X15" i="20" s="1"/>
  <c r="AK17" i="12"/>
  <c r="AO17" i="12"/>
  <c r="AK23" i="21" l="1"/>
  <c r="AI24" i="21" s="1"/>
  <c r="AI22" i="25"/>
  <c r="AG22" i="25"/>
  <c r="AK22" i="25" s="1"/>
  <c r="AG24" i="24"/>
  <c r="AK24" i="24" s="1"/>
  <c r="AG24" i="22"/>
  <c r="AO24" i="22" s="1"/>
  <c r="AD15" i="19"/>
  <c r="Y15" i="19"/>
  <c r="Z15" i="19"/>
  <c r="AA15" i="19" s="1"/>
  <c r="AB15" i="19" s="1"/>
  <c r="V16" i="19" s="1"/>
  <c r="W16" i="19" s="1"/>
  <c r="AG24" i="21"/>
  <c r="AK24" i="21" s="1"/>
  <c r="AI25" i="21" s="1"/>
  <c r="AK24" i="20"/>
  <c r="AI25" i="20" s="1"/>
  <c r="AO23" i="19"/>
  <c r="AK24" i="22"/>
  <c r="AG24" i="19"/>
  <c r="AK24" i="19" s="1"/>
  <c r="AG25" i="19" s="1"/>
  <c r="AG27" i="23"/>
  <c r="AI27" i="23"/>
  <c r="AD15" i="25"/>
  <c r="Y15" i="25"/>
  <c r="Z15" i="25"/>
  <c r="AA15" i="25" s="1"/>
  <c r="AB15" i="25" s="1"/>
  <c r="V16" i="25" s="1"/>
  <c r="AD17" i="24"/>
  <c r="Y17" i="24"/>
  <c r="Z17" i="24"/>
  <c r="AA17" i="24" s="1"/>
  <c r="AB17" i="24" s="1"/>
  <c r="V18" i="24" s="1"/>
  <c r="AD14" i="23"/>
  <c r="Y14" i="23"/>
  <c r="Z14" i="23"/>
  <c r="AA14" i="23" s="1"/>
  <c r="AB14" i="23" s="1"/>
  <c r="V15" i="23" s="1"/>
  <c r="AC15" i="22"/>
  <c r="X16" i="22" s="1"/>
  <c r="AD14" i="21"/>
  <c r="Y14" i="21"/>
  <c r="Z14" i="21"/>
  <c r="AA14" i="21" s="1"/>
  <c r="AB14" i="21" s="1"/>
  <c r="V15" i="21" s="1"/>
  <c r="AD15" i="20"/>
  <c r="Y15" i="20"/>
  <c r="Z15" i="20"/>
  <c r="AA15" i="20" s="1"/>
  <c r="AB15" i="20" s="1"/>
  <c r="V16" i="20" s="1"/>
  <c r="AI18" i="12"/>
  <c r="AG18" i="12"/>
  <c r="AO24" i="24" l="1"/>
  <c r="AI23" i="25"/>
  <c r="AG23" i="25"/>
  <c r="AK23" i="25" s="1"/>
  <c r="AO22" i="25"/>
  <c r="AG25" i="21"/>
  <c r="AK25" i="21" s="1"/>
  <c r="AI26" i="21" s="1"/>
  <c r="AO24" i="21"/>
  <c r="AC15" i="19"/>
  <c r="X16" i="19" s="1"/>
  <c r="Z16" i="19" s="1"/>
  <c r="AA16" i="19" s="1"/>
  <c r="AB16" i="19" s="1"/>
  <c r="V17" i="19" s="1"/>
  <c r="W17" i="19" s="1"/>
  <c r="AO27" i="23"/>
  <c r="AG25" i="20"/>
  <c r="AK25" i="20" s="1"/>
  <c r="AI26" i="20" s="1"/>
  <c r="AI25" i="19"/>
  <c r="AO25" i="19" s="1"/>
  <c r="AI25" i="22"/>
  <c r="AG25" i="22"/>
  <c r="AI25" i="24"/>
  <c r="AG25" i="24"/>
  <c r="AO24" i="19"/>
  <c r="AK27" i="23"/>
  <c r="W16" i="25"/>
  <c r="AC15" i="25"/>
  <c r="X16" i="25" s="1"/>
  <c r="W18" i="24"/>
  <c r="AC17" i="24"/>
  <c r="X18" i="24" s="1"/>
  <c r="W15" i="23"/>
  <c r="AC14" i="23"/>
  <c r="X15" i="23" s="1"/>
  <c r="AD16" i="22"/>
  <c r="Y16" i="22"/>
  <c r="Z16" i="22"/>
  <c r="AA16" i="22" s="1"/>
  <c r="AB16" i="22" s="1"/>
  <c r="V17" i="22" s="1"/>
  <c r="W17" i="22" s="1"/>
  <c r="W15" i="21"/>
  <c r="AC14" i="21"/>
  <c r="X15" i="21" s="1"/>
  <c r="W16" i="20"/>
  <c r="AC15" i="20"/>
  <c r="X16" i="20" s="1"/>
  <c r="AK18" i="12"/>
  <c r="AI19" i="12" s="1"/>
  <c r="AO18" i="12"/>
  <c r="AO25" i="20" l="1"/>
  <c r="Y16" i="19"/>
  <c r="AC16" i="19" s="1"/>
  <c r="X17" i="19" s="1"/>
  <c r="Z17" i="19" s="1"/>
  <c r="AA17" i="19" s="1"/>
  <c r="AB17" i="19" s="1"/>
  <c r="V18" i="19" s="1"/>
  <c r="W18" i="19" s="1"/>
  <c r="AG26" i="21"/>
  <c r="AK26" i="21" s="1"/>
  <c r="AI27" i="21" s="1"/>
  <c r="AG24" i="25"/>
  <c r="AI24" i="25"/>
  <c r="AO24" i="25" s="1"/>
  <c r="AO23" i="25"/>
  <c r="AO25" i="21"/>
  <c r="AD16" i="19"/>
  <c r="AG26" i="20"/>
  <c r="AK26" i="20" s="1"/>
  <c r="AI27" i="20" s="1"/>
  <c r="AG19" i="12"/>
  <c r="AK19" i="12" s="1"/>
  <c r="AK25" i="22"/>
  <c r="AI26" i="22" s="1"/>
  <c r="AK25" i="19"/>
  <c r="AG26" i="19" s="1"/>
  <c r="AK25" i="24"/>
  <c r="AI26" i="24" s="1"/>
  <c r="AO25" i="22"/>
  <c r="AO25" i="24"/>
  <c r="AI28" i="23"/>
  <c r="AG28" i="23"/>
  <c r="AD16" i="25"/>
  <c r="Y16" i="25"/>
  <c r="Z16" i="25"/>
  <c r="AA16" i="25" s="1"/>
  <c r="AB16" i="25" s="1"/>
  <c r="V17" i="25" s="1"/>
  <c r="AD18" i="24"/>
  <c r="Y18" i="24"/>
  <c r="Z18" i="24"/>
  <c r="AA18" i="24" s="1"/>
  <c r="AB18" i="24" s="1"/>
  <c r="V19" i="24" s="1"/>
  <c r="AD15" i="23"/>
  <c r="Y15" i="23"/>
  <c r="Z15" i="23"/>
  <c r="AA15" i="23" s="1"/>
  <c r="AB15" i="23" s="1"/>
  <c r="V16" i="23" s="1"/>
  <c r="AC16" i="22"/>
  <c r="X17" i="22" s="1"/>
  <c r="AO26" i="21"/>
  <c r="AD15" i="21"/>
  <c r="Y15" i="21"/>
  <c r="Z15" i="21"/>
  <c r="AA15" i="21" s="1"/>
  <c r="AB15" i="21" s="1"/>
  <c r="V16" i="21" s="1"/>
  <c r="AD16" i="20"/>
  <c r="Y16" i="20"/>
  <c r="Z16" i="20"/>
  <c r="AA16" i="20" s="1"/>
  <c r="AB16" i="20" s="1"/>
  <c r="V17" i="20" s="1"/>
  <c r="AO26" i="20" l="1"/>
  <c r="AG27" i="20"/>
  <c r="AO27" i="20" s="1"/>
  <c r="AK24" i="25"/>
  <c r="AK28" i="23"/>
  <c r="AG29" i="23" s="1"/>
  <c r="AG26" i="22"/>
  <c r="AK26" i="22" s="1"/>
  <c r="AI26" i="19"/>
  <c r="AO26" i="19" s="1"/>
  <c r="AG26" i="24"/>
  <c r="AO26" i="24" s="1"/>
  <c r="AO19" i="12"/>
  <c r="AD17" i="19"/>
  <c r="Y17" i="19"/>
  <c r="AC17" i="19" s="1"/>
  <c r="X18" i="19" s="1"/>
  <c r="AD18" i="19" s="1"/>
  <c r="AO26" i="22"/>
  <c r="AK27" i="20"/>
  <c r="AI28" i="20" s="1"/>
  <c r="AO28" i="23"/>
  <c r="W17" i="25"/>
  <c r="AC16" i="25"/>
  <c r="X17" i="25" s="1"/>
  <c r="AG27" i="21"/>
  <c r="AO27" i="21" s="1"/>
  <c r="W19" i="24"/>
  <c r="AC18" i="24"/>
  <c r="X19" i="24" s="1"/>
  <c r="W16" i="23"/>
  <c r="AC15" i="23"/>
  <c r="X16" i="23" s="1"/>
  <c r="AD17" i="22"/>
  <c r="Z17" i="22"/>
  <c r="AA17" i="22" s="1"/>
  <c r="AB17" i="22" s="1"/>
  <c r="V18" i="22" s="1"/>
  <c r="W18" i="22" s="1"/>
  <c r="Y17" i="22"/>
  <c r="W16" i="21"/>
  <c r="AC15" i="21"/>
  <c r="X16" i="21" s="1"/>
  <c r="W17" i="20"/>
  <c r="AC16" i="20"/>
  <c r="X17" i="20" s="1"/>
  <c r="AI20" i="12"/>
  <c r="AG20" i="12"/>
  <c r="AG28" i="20" l="1"/>
  <c r="AI29" i="23"/>
  <c r="AO29" i="23" s="1"/>
  <c r="AK26" i="19"/>
  <c r="AG27" i="19" s="1"/>
  <c r="AI25" i="25"/>
  <c r="AG25" i="25"/>
  <c r="AK25" i="25" s="1"/>
  <c r="AO28" i="20"/>
  <c r="AK26" i="24"/>
  <c r="AI27" i="24" s="1"/>
  <c r="Z18" i="19"/>
  <c r="AA18" i="19" s="1"/>
  <c r="AB18" i="19" s="1"/>
  <c r="V19" i="19" s="1"/>
  <c r="W19" i="19" s="1"/>
  <c r="Y18" i="19"/>
  <c r="AK28" i="20"/>
  <c r="AG29" i="20" s="1"/>
  <c r="AG27" i="22"/>
  <c r="AI27" i="22"/>
  <c r="AK27" i="21"/>
  <c r="AG28" i="21" s="1"/>
  <c r="AD17" i="25"/>
  <c r="Y17" i="25"/>
  <c r="Z17" i="25"/>
  <c r="AA17" i="25" s="1"/>
  <c r="AB17" i="25" s="1"/>
  <c r="V18" i="25" s="1"/>
  <c r="AC17" i="22"/>
  <c r="X18" i="22" s="1"/>
  <c r="AD18" i="22" s="1"/>
  <c r="AD19" i="24"/>
  <c r="Y19" i="24"/>
  <c r="Z19" i="24"/>
  <c r="AA19" i="24" s="1"/>
  <c r="AB19" i="24" s="1"/>
  <c r="V20" i="24" s="1"/>
  <c r="AD16" i="23"/>
  <c r="Y16" i="23"/>
  <c r="Z16" i="23"/>
  <c r="AA16" i="23" s="1"/>
  <c r="AB16" i="23" s="1"/>
  <c r="V17" i="23" s="1"/>
  <c r="AD16" i="21"/>
  <c r="Y16" i="21"/>
  <c r="Z16" i="21"/>
  <c r="AA16" i="21" s="1"/>
  <c r="AB16" i="21" s="1"/>
  <c r="V17" i="21" s="1"/>
  <c r="AD17" i="20"/>
  <c r="Y17" i="20"/>
  <c r="Z17" i="20"/>
  <c r="AA17" i="20" s="1"/>
  <c r="AB17" i="20" s="1"/>
  <c r="V18" i="20" s="1"/>
  <c r="AK20" i="12"/>
  <c r="AI21" i="12" s="1"/>
  <c r="AO20" i="12"/>
  <c r="AI27" i="19" l="1"/>
  <c r="AK27" i="19" s="1"/>
  <c r="AI28" i="19" s="1"/>
  <c r="AO27" i="22"/>
  <c r="AK29" i="23"/>
  <c r="AG30" i="23" s="1"/>
  <c r="AG27" i="24"/>
  <c r="AK27" i="24" s="1"/>
  <c r="AG26" i="25"/>
  <c r="AI26" i="25"/>
  <c r="AO26" i="25" s="1"/>
  <c r="AO25" i="25"/>
  <c r="AC18" i="19"/>
  <c r="X19" i="19" s="1"/>
  <c r="Y19" i="19" s="1"/>
  <c r="AO27" i="24"/>
  <c r="AO27" i="19"/>
  <c r="AI29" i="20"/>
  <c r="AK29" i="20" s="1"/>
  <c r="AG30" i="20" s="1"/>
  <c r="AK27" i="22"/>
  <c r="AI28" i="21"/>
  <c r="AO28" i="21" s="1"/>
  <c r="Y18" i="22"/>
  <c r="Z18" i="22"/>
  <c r="AA18" i="22" s="1"/>
  <c r="AB18" i="22" s="1"/>
  <c r="V19" i="22" s="1"/>
  <c r="W19" i="22" s="1"/>
  <c r="W18" i="25"/>
  <c r="AC17" i="25"/>
  <c r="X18" i="25" s="1"/>
  <c r="W20" i="24"/>
  <c r="AC19" i="24"/>
  <c r="X20" i="24" s="1"/>
  <c r="W17" i="23"/>
  <c r="AC16" i="23"/>
  <c r="X17" i="23" s="1"/>
  <c r="W17" i="21"/>
  <c r="AC16" i="21"/>
  <c r="X17" i="21" s="1"/>
  <c r="AG21" i="12"/>
  <c r="AK21" i="12" s="1"/>
  <c r="W18" i="20"/>
  <c r="AC17" i="20"/>
  <c r="X18" i="20" s="1"/>
  <c r="AD19" i="19" l="1"/>
  <c r="Z19" i="19"/>
  <c r="AA19" i="19" s="1"/>
  <c r="AB19" i="19" s="1"/>
  <c r="V20" i="19" s="1"/>
  <c r="W20" i="19" s="1"/>
  <c r="AI30" i="23"/>
  <c r="AO30" i="23" s="1"/>
  <c r="AI30" i="20"/>
  <c r="AK30" i="20" s="1"/>
  <c r="AG31" i="20" s="1"/>
  <c r="AO29" i="20"/>
  <c r="AK26" i="25"/>
  <c r="AO30" i="20"/>
  <c r="AG28" i="19"/>
  <c r="AK28" i="19" s="1"/>
  <c r="AI29" i="19" s="1"/>
  <c r="AI28" i="22"/>
  <c r="AG28" i="22"/>
  <c r="AK28" i="21"/>
  <c r="AI29" i="21" s="1"/>
  <c r="AI28" i="24"/>
  <c r="AG28" i="24"/>
  <c r="AC18" i="22"/>
  <c r="X19" i="22" s="1"/>
  <c r="AD19" i="22" s="1"/>
  <c r="AD18" i="25"/>
  <c r="Y18" i="25"/>
  <c r="Z18" i="25"/>
  <c r="AA18" i="25" s="1"/>
  <c r="AB18" i="25" s="1"/>
  <c r="V19" i="25" s="1"/>
  <c r="AD20" i="24"/>
  <c r="Y20" i="24"/>
  <c r="Z20" i="24"/>
  <c r="AA20" i="24" s="1"/>
  <c r="AB20" i="24" s="1"/>
  <c r="V21" i="24" s="1"/>
  <c r="AD17" i="23"/>
  <c r="Y17" i="23"/>
  <c r="Z17" i="23"/>
  <c r="AA17" i="23" s="1"/>
  <c r="AB17" i="23" s="1"/>
  <c r="V18" i="23" s="1"/>
  <c r="AD17" i="21"/>
  <c r="Y17" i="21"/>
  <c r="Z17" i="21"/>
  <c r="AA17" i="21" s="1"/>
  <c r="AB17" i="21" s="1"/>
  <c r="V18" i="21" s="1"/>
  <c r="AG22" i="12"/>
  <c r="AI22" i="12"/>
  <c r="AO21" i="12"/>
  <c r="AD18" i="20"/>
  <c r="Y18" i="20"/>
  <c r="Z18" i="20"/>
  <c r="AA18" i="20" s="1"/>
  <c r="AB18" i="20" s="1"/>
  <c r="V19" i="20" s="1"/>
  <c r="AG29" i="21" l="1"/>
  <c r="AC19" i="19"/>
  <c r="X20" i="19" s="1"/>
  <c r="Y20" i="19" s="1"/>
  <c r="AK30" i="23"/>
  <c r="AK28" i="24"/>
  <c r="AG27" i="25"/>
  <c r="AI27" i="25"/>
  <c r="AO27" i="25" s="1"/>
  <c r="AO28" i="19"/>
  <c r="AK29" i="21"/>
  <c r="AG30" i="21" s="1"/>
  <c r="AK22" i="12"/>
  <c r="AG23" i="12" s="1"/>
  <c r="AK28" i="22"/>
  <c r="AG29" i="22" s="1"/>
  <c r="AO28" i="22"/>
  <c r="AG29" i="19"/>
  <c r="AK29" i="19" s="1"/>
  <c r="AI30" i="19" s="1"/>
  <c r="AO29" i="21"/>
  <c r="Y19" i="22"/>
  <c r="Z19" i="22"/>
  <c r="AA19" i="22" s="1"/>
  <c r="AB19" i="22" s="1"/>
  <c r="V20" i="22" s="1"/>
  <c r="W20" i="22" s="1"/>
  <c r="AI31" i="20"/>
  <c r="AK31" i="20" s="1"/>
  <c r="AI32" i="20" s="1"/>
  <c r="AG29" i="24"/>
  <c r="AI29" i="24"/>
  <c r="AO28" i="24"/>
  <c r="AG31" i="23"/>
  <c r="AI31" i="23"/>
  <c r="Z20" i="19"/>
  <c r="AA20" i="19" s="1"/>
  <c r="AB20" i="19" s="1"/>
  <c r="V21" i="19" s="1"/>
  <c r="W21" i="19" s="1"/>
  <c r="AD20" i="19"/>
  <c r="W19" i="25"/>
  <c r="AC18" i="25"/>
  <c r="X19" i="25" s="1"/>
  <c r="W21" i="24"/>
  <c r="AC20" i="24"/>
  <c r="X21" i="24" s="1"/>
  <c r="W18" i="23"/>
  <c r="AC17" i="23"/>
  <c r="X18" i="23" s="1"/>
  <c r="W18" i="21"/>
  <c r="AC17" i="21"/>
  <c r="X18" i="21" s="1"/>
  <c r="AO22" i="12"/>
  <c r="W19" i="20"/>
  <c r="AC18" i="20"/>
  <c r="X19" i="20" s="1"/>
  <c r="AI23" i="12"/>
  <c r="AI29" i="22" l="1"/>
  <c r="AI30" i="21"/>
  <c r="AK30" i="21" s="1"/>
  <c r="AI31" i="21" s="1"/>
  <c r="AK27" i="25"/>
  <c r="AO29" i="19"/>
  <c r="AO29" i="22"/>
  <c r="AO31" i="20"/>
  <c r="AK29" i="22"/>
  <c r="AG32" i="20"/>
  <c r="AK32" i="20" s="1"/>
  <c r="AO29" i="24"/>
  <c r="AC19" i="22"/>
  <c r="X20" i="22" s="1"/>
  <c r="AD20" i="22" s="1"/>
  <c r="AG30" i="19"/>
  <c r="AK30" i="19" s="1"/>
  <c r="AI31" i="19" s="1"/>
  <c r="AO31" i="23"/>
  <c r="AK29" i="24"/>
  <c r="AC20" i="19"/>
  <c r="X21" i="19" s="1"/>
  <c r="AD21" i="19" s="1"/>
  <c r="AK31" i="23"/>
  <c r="AD19" i="25"/>
  <c r="Y19" i="25"/>
  <c r="Z19" i="25"/>
  <c r="AA19" i="25" s="1"/>
  <c r="AB19" i="25" s="1"/>
  <c r="V20" i="25" s="1"/>
  <c r="AO30" i="21"/>
  <c r="AD21" i="24"/>
  <c r="Y21" i="24"/>
  <c r="Z21" i="24"/>
  <c r="AA21" i="24" s="1"/>
  <c r="AB21" i="24" s="1"/>
  <c r="V22" i="24" s="1"/>
  <c r="AO32" i="20"/>
  <c r="AD18" i="23"/>
  <c r="Y18" i="23"/>
  <c r="Z18" i="23"/>
  <c r="AA18" i="23" s="1"/>
  <c r="AB18" i="23" s="1"/>
  <c r="V19" i="23" s="1"/>
  <c r="AG31" i="21"/>
  <c r="AD18" i="21"/>
  <c r="Y18" i="21"/>
  <c r="Z18" i="21"/>
  <c r="AA18" i="21" s="1"/>
  <c r="AB18" i="21" s="1"/>
  <c r="V19" i="21" s="1"/>
  <c r="AD19" i="20"/>
  <c r="Y19" i="20"/>
  <c r="Z19" i="20"/>
  <c r="AA19" i="20" s="1"/>
  <c r="AB19" i="20" s="1"/>
  <c r="V20" i="20" s="1"/>
  <c r="AK23" i="12"/>
  <c r="AO23" i="12"/>
  <c r="AI28" i="25" l="1"/>
  <c r="AG28" i="25"/>
  <c r="AK28" i="25" s="1"/>
  <c r="Z20" i="22"/>
  <c r="AA20" i="22" s="1"/>
  <c r="AB20" i="22" s="1"/>
  <c r="V21" i="22" s="1"/>
  <c r="W21" i="22" s="1"/>
  <c r="AG30" i="22"/>
  <c r="AI30" i="22"/>
  <c r="Y20" i="22"/>
  <c r="AC20" i="22" s="1"/>
  <c r="X21" i="22" s="1"/>
  <c r="AG31" i="19"/>
  <c r="AK31" i="19" s="1"/>
  <c r="AI32" i="19" s="1"/>
  <c r="AO30" i="19"/>
  <c r="Z21" i="19"/>
  <c r="AA21" i="19" s="1"/>
  <c r="AB21" i="19" s="1"/>
  <c r="V22" i="19" s="1"/>
  <c r="W22" i="19" s="1"/>
  <c r="Y21" i="19"/>
  <c r="AG30" i="24"/>
  <c r="AI30" i="24"/>
  <c r="AI32" i="23"/>
  <c r="AG32" i="23"/>
  <c r="W20" i="25"/>
  <c r="AC19" i="25"/>
  <c r="X20" i="25" s="1"/>
  <c r="AK31" i="21"/>
  <c r="AG32" i="21" s="1"/>
  <c r="W22" i="24"/>
  <c r="AC21" i="24"/>
  <c r="X22" i="24" s="1"/>
  <c r="W19" i="23"/>
  <c r="AC18" i="23"/>
  <c r="X19" i="23" s="1"/>
  <c r="AI33" i="20"/>
  <c r="AG33" i="20"/>
  <c r="AO31" i="21"/>
  <c r="W19" i="21"/>
  <c r="AC18" i="21"/>
  <c r="X19" i="21" s="1"/>
  <c r="W20" i="20"/>
  <c r="AC19" i="20"/>
  <c r="X20" i="20" s="1"/>
  <c r="AI24" i="12"/>
  <c r="AG24" i="12"/>
  <c r="AG29" i="25" l="1"/>
  <c r="AI29" i="25"/>
  <c r="AO28" i="25"/>
  <c r="AD21" i="22"/>
  <c r="AC21" i="19"/>
  <c r="X22" i="19" s="1"/>
  <c r="Y22" i="19" s="1"/>
  <c r="AO30" i="24"/>
  <c r="AO30" i="22"/>
  <c r="AO31" i="19"/>
  <c r="AK30" i="22"/>
  <c r="AK32" i="23"/>
  <c r="AI33" i="23" s="1"/>
  <c r="AG32" i="19"/>
  <c r="AK32" i="19" s="1"/>
  <c r="AI33" i="19" s="1"/>
  <c r="Z21" i="22"/>
  <c r="AA21" i="22" s="1"/>
  <c r="AB21" i="22" s="1"/>
  <c r="V22" i="22" s="1"/>
  <c r="W22" i="22" s="1"/>
  <c r="Y21" i="22"/>
  <c r="AK33" i="20"/>
  <c r="AG34" i="20" s="1"/>
  <c r="AK30" i="24"/>
  <c r="AO32" i="23"/>
  <c r="AI32" i="21"/>
  <c r="AO32" i="21" s="1"/>
  <c r="AD20" i="25"/>
  <c r="Y20" i="25"/>
  <c r="Z20" i="25"/>
  <c r="AA20" i="25" s="1"/>
  <c r="AB20" i="25" s="1"/>
  <c r="V21" i="25" s="1"/>
  <c r="AD22" i="24"/>
  <c r="Y22" i="24"/>
  <c r="Z22" i="24"/>
  <c r="AA22" i="24" s="1"/>
  <c r="AB22" i="24" s="1"/>
  <c r="V23" i="24" s="1"/>
  <c r="AD19" i="23"/>
  <c r="Y19" i="23"/>
  <c r="Z19" i="23"/>
  <c r="AA19" i="23" s="1"/>
  <c r="AB19" i="23" s="1"/>
  <c r="V20" i="23" s="1"/>
  <c r="AO33" i="20"/>
  <c r="AD19" i="21"/>
  <c r="Y19" i="21"/>
  <c r="Z19" i="21"/>
  <c r="AA19" i="21" s="1"/>
  <c r="AB19" i="21" s="1"/>
  <c r="V20" i="21" s="1"/>
  <c r="AD20" i="20"/>
  <c r="Y20" i="20"/>
  <c r="Z20" i="20"/>
  <c r="AA20" i="20" s="1"/>
  <c r="AB20" i="20" s="1"/>
  <c r="V21" i="20" s="1"/>
  <c r="AO24" i="12"/>
  <c r="AK24" i="12"/>
  <c r="AD22" i="19" l="1"/>
  <c r="AK29" i="25"/>
  <c r="AO29" i="25"/>
  <c r="Z22" i="19"/>
  <c r="AA22" i="19" s="1"/>
  <c r="AB22" i="19" s="1"/>
  <c r="V23" i="19" s="1"/>
  <c r="W23" i="19" s="1"/>
  <c r="AO32" i="19"/>
  <c r="AG33" i="23"/>
  <c r="AO33" i="23" s="1"/>
  <c r="AI34" i="20"/>
  <c r="AK34" i="20" s="1"/>
  <c r="AI35" i="20" s="1"/>
  <c r="AG31" i="22"/>
  <c r="AI31" i="22"/>
  <c r="AG33" i="19"/>
  <c r="AK33" i="19" s="1"/>
  <c r="AI34" i="19" s="1"/>
  <c r="AC21" i="22"/>
  <c r="X22" i="22" s="1"/>
  <c r="AD22" i="22" s="1"/>
  <c r="AK33" i="23"/>
  <c r="AI34" i="23" s="1"/>
  <c r="AK32" i="21"/>
  <c r="AG33" i="21" s="1"/>
  <c r="AG31" i="24"/>
  <c r="AI31" i="24"/>
  <c r="W21" i="25"/>
  <c r="AC20" i="25"/>
  <c r="X21" i="25" s="1"/>
  <c r="W23" i="24"/>
  <c r="AC22" i="24"/>
  <c r="X23" i="24" s="1"/>
  <c r="W20" i="23"/>
  <c r="AC19" i="23"/>
  <c r="X20" i="23" s="1"/>
  <c r="W20" i="21"/>
  <c r="AC19" i="21"/>
  <c r="X20" i="21" s="1"/>
  <c r="W21" i="20"/>
  <c r="AC20" i="20"/>
  <c r="X21" i="20" s="1"/>
  <c r="AG25" i="12"/>
  <c r="AI25" i="12"/>
  <c r="AO31" i="22" l="1"/>
  <c r="AG35" i="20"/>
  <c r="AC22" i="19"/>
  <c r="X23" i="19" s="1"/>
  <c r="AD23" i="19" s="1"/>
  <c r="AI30" i="25"/>
  <c r="AG30" i="25"/>
  <c r="AG34" i="19"/>
  <c r="AO34" i="19" s="1"/>
  <c r="AO35" i="20"/>
  <c r="AO34" i="20"/>
  <c r="AO31" i="24"/>
  <c r="AO33" i="19"/>
  <c r="AG34" i="23"/>
  <c r="AO34" i="23" s="1"/>
  <c r="AK31" i="22"/>
  <c r="AI33" i="21"/>
  <c r="AO33" i="21" s="1"/>
  <c r="Z22" i="22"/>
  <c r="AA22" i="22" s="1"/>
  <c r="AB22" i="22" s="1"/>
  <c r="V23" i="22" s="1"/>
  <c r="W23" i="22" s="1"/>
  <c r="Y22" i="22"/>
  <c r="AK31" i="24"/>
  <c r="AK35" i="20"/>
  <c r="AG36" i="20" s="1"/>
  <c r="AD21" i="25"/>
  <c r="Y21" i="25"/>
  <c r="Z21" i="25"/>
  <c r="AA21" i="25" s="1"/>
  <c r="AB21" i="25" s="1"/>
  <c r="V22" i="25" s="1"/>
  <c r="AD23" i="24"/>
  <c r="Y23" i="24"/>
  <c r="Z23" i="24"/>
  <c r="AA23" i="24" s="1"/>
  <c r="AB23" i="24" s="1"/>
  <c r="V24" i="24" s="1"/>
  <c r="AD20" i="23"/>
  <c r="Y20" i="23"/>
  <c r="Z20" i="23"/>
  <c r="AA20" i="23" s="1"/>
  <c r="AB20" i="23" s="1"/>
  <c r="V21" i="23" s="1"/>
  <c r="AD20" i="21"/>
  <c r="Y20" i="21"/>
  <c r="Z20" i="21"/>
  <c r="AA20" i="21" s="1"/>
  <c r="AB20" i="21" s="1"/>
  <c r="V21" i="21" s="1"/>
  <c r="AD21" i="20"/>
  <c r="Y21" i="20"/>
  <c r="Z21" i="20"/>
  <c r="AA21" i="20" s="1"/>
  <c r="AB21" i="20" s="1"/>
  <c r="V22" i="20" s="1"/>
  <c r="AK25" i="12"/>
  <c r="AO25" i="12"/>
  <c r="Z23" i="19" l="1"/>
  <c r="AA23" i="19" s="1"/>
  <c r="AB23" i="19" s="1"/>
  <c r="V24" i="19" s="1"/>
  <c r="W24" i="19" s="1"/>
  <c r="AK34" i="19"/>
  <c r="Y23" i="19"/>
  <c r="AO30" i="25"/>
  <c r="AK30" i="25"/>
  <c r="AK34" i="23"/>
  <c r="AI35" i="23" s="1"/>
  <c r="AK33" i="21"/>
  <c r="AI34" i="21" s="1"/>
  <c r="AC22" i="22"/>
  <c r="X23" i="22" s="1"/>
  <c r="Z23" i="22" s="1"/>
  <c r="AA23" i="22" s="1"/>
  <c r="AB23" i="22" s="1"/>
  <c r="V24" i="22" s="1"/>
  <c r="AG35" i="23"/>
  <c r="AI32" i="22"/>
  <c r="AG32" i="22"/>
  <c r="AI36" i="20"/>
  <c r="AK36" i="20" s="1"/>
  <c r="AI37" i="20" s="1"/>
  <c r="AI32" i="24"/>
  <c r="AG32" i="24"/>
  <c r="W22" i="25"/>
  <c r="AC21" i="25"/>
  <c r="X22" i="25" s="1"/>
  <c r="W24" i="24"/>
  <c r="AC23" i="24"/>
  <c r="X24" i="24" s="1"/>
  <c r="W21" i="23"/>
  <c r="AC20" i="23"/>
  <c r="X21" i="23" s="1"/>
  <c r="W21" i="21"/>
  <c r="AC20" i="21"/>
  <c r="X21" i="21" s="1"/>
  <c r="W22" i="20"/>
  <c r="AC21" i="20"/>
  <c r="X22" i="20" s="1"/>
  <c r="AG26" i="12"/>
  <c r="AI26" i="12"/>
  <c r="AO35" i="23" l="1"/>
  <c r="AC23" i="19"/>
  <c r="X24" i="19" s="1"/>
  <c r="Y24" i="19" s="1"/>
  <c r="AG35" i="19"/>
  <c r="AI35" i="19"/>
  <c r="AO35" i="19" s="1"/>
  <c r="Y23" i="22"/>
  <c r="AC23" i="22" s="1"/>
  <c r="X24" i="22" s="1"/>
  <c r="AK35" i="23"/>
  <c r="AI36" i="23" s="1"/>
  <c r="AG34" i="21"/>
  <c r="AK34" i="21" s="1"/>
  <c r="AI35" i="21" s="1"/>
  <c r="AD23" i="22"/>
  <c r="AG31" i="25"/>
  <c r="AI31" i="25"/>
  <c r="AO31" i="25" s="1"/>
  <c r="AD24" i="19"/>
  <c r="AO36" i="20"/>
  <c r="AO32" i="22"/>
  <c r="AK32" i="22"/>
  <c r="Z24" i="19"/>
  <c r="AA24" i="19" s="1"/>
  <c r="AG37" i="20"/>
  <c r="AK37" i="20" s="1"/>
  <c r="AI38" i="20" s="1"/>
  <c r="AK32" i="24"/>
  <c r="AI33" i="24" s="1"/>
  <c r="AO32" i="24"/>
  <c r="AD22" i="25"/>
  <c r="Y22" i="25"/>
  <c r="Z22" i="25"/>
  <c r="AA22" i="25" s="1"/>
  <c r="AB22" i="25" s="1"/>
  <c r="V23" i="25" s="1"/>
  <c r="AD24" i="24"/>
  <c r="Y24" i="24"/>
  <c r="Z24" i="24"/>
  <c r="AA24" i="24" s="1"/>
  <c r="AB24" i="24" s="1"/>
  <c r="V25" i="24" s="1"/>
  <c r="AD21" i="23"/>
  <c r="Y21" i="23"/>
  <c r="Z21" i="23"/>
  <c r="AA21" i="23" s="1"/>
  <c r="AB21" i="23" s="1"/>
  <c r="V22" i="23" s="1"/>
  <c r="W24" i="22"/>
  <c r="AD21" i="21"/>
  <c r="Y21" i="21"/>
  <c r="Z21" i="21"/>
  <c r="AA21" i="21" s="1"/>
  <c r="AB21" i="21" s="1"/>
  <c r="V22" i="21" s="1"/>
  <c r="AD22" i="20"/>
  <c r="Y22" i="20"/>
  <c r="Z22" i="20"/>
  <c r="AA22" i="20" s="1"/>
  <c r="AB22" i="20" s="1"/>
  <c r="V23" i="20" s="1"/>
  <c r="AO26" i="12"/>
  <c r="AK26" i="12"/>
  <c r="AG35" i="21" l="1"/>
  <c r="AO34" i="21"/>
  <c r="AG36" i="23"/>
  <c r="AK35" i="19"/>
  <c r="AK36" i="23"/>
  <c r="AG37" i="23" s="1"/>
  <c r="AO36" i="23"/>
  <c r="AK31" i="25"/>
  <c r="AG33" i="24"/>
  <c r="AK33" i="24" s="1"/>
  <c r="AI33" i="22"/>
  <c r="AG33" i="22"/>
  <c r="AG38" i="20"/>
  <c r="AK38" i="20" s="1"/>
  <c r="AO37" i="20"/>
  <c r="AB24" i="19"/>
  <c r="V25" i="19" s="1"/>
  <c r="AC24" i="19"/>
  <c r="X25" i="19" s="1"/>
  <c r="AO35" i="21"/>
  <c r="W23" i="25"/>
  <c r="AC22" i="25"/>
  <c r="X23" i="25" s="1"/>
  <c r="W25" i="24"/>
  <c r="AC24" i="24"/>
  <c r="X25" i="24" s="1"/>
  <c r="W22" i="23"/>
  <c r="AC21" i="23"/>
  <c r="X22" i="23" s="1"/>
  <c r="AD24" i="22"/>
  <c r="Y24" i="22"/>
  <c r="Z24" i="22"/>
  <c r="AA24" i="22" s="1"/>
  <c r="AB24" i="22" s="1"/>
  <c r="V25" i="22" s="1"/>
  <c r="AK35" i="21"/>
  <c r="W22" i="21"/>
  <c r="AC21" i="21"/>
  <c r="X22" i="21" s="1"/>
  <c r="W23" i="20"/>
  <c r="AC22" i="20"/>
  <c r="X23" i="20" s="1"/>
  <c r="AG27" i="12"/>
  <c r="AI27" i="12"/>
  <c r="AI37" i="23" l="1"/>
  <c r="AO33" i="24"/>
  <c r="AI36" i="19"/>
  <c r="AG36" i="19"/>
  <c r="AK36" i="19" s="1"/>
  <c r="AG37" i="19" s="1"/>
  <c r="AI32" i="25"/>
  <c r="AG32" i="25"/>
  <c r="AK33" i="22"/>
  <c r="AI34" i="22" s="1"/>
  <c r="AO38" i="20"/>
  <c r="AG34" i="22"/>
  <c r="AO33" i="22"/>
  <c r="Y25" i="19"/>
  <c r="AD25" i="19"/>
  <c r="W25" i="19"/>
  <c r="Z25" i="19"/>
  <c r="AA25" i="19" s="1"/>
  <c r="AO37" i="23"/>
  <c r="AI34" i="24"/>
  <c r="AG34" i="24"/>
  <c r="AK37" i="23"/>
  <c r="AD23" i="25"/>
  <c r="Y23" i="25"/>
  <c r="Z23" i="25"/>
  <c r="AA23" i="25" s="1"/>
  <c r="AB23" i="25" s="1"/>
  <c r="V24" i="25" s="1"/>
  <c r="AD25" i="24"/>
  <c r="Y25" i="24"/>
  <c r="Z25" i="24"/>
  <c r="AA25" i="24" s="1"/>
  <c r="AB25" i="24" s="1"/>
  <c r="V26" i="24" s="1"/>
  <c r="AD22" i="23"/>
  <c r="Y22" i="23"/>
  <c r="Z22" i="23"/>
  <c r="AA22" i="23" s="1"/>
  <c r="AB22" i="23" s="1"/>
  <c r="V23" i="23" s="1"/>
  <c r="W25" i="22"/>
  <c r="AC24" i="22"/>
  <c r="X25" i="22" s="1"/>
  <c r="AG36" i="21"/>
  <c r="AI36" i="21"/>
  <c r="AI39" i="20"/>
  <c r="AG39" i="20"/>
  <c r="AD22" i="21"/>
  <c r="Y22" i="21"/>
  <c r="Z22" i="21"/>
  <c r="AA22" i="21" s="1"/>
  <c r="AB22" i="21" s="1"/>
  <c r="V23" i="21" s="1"/>
  <c r="AD23" i="20"/>
  <c r="Y23" i="20"/>
  <c r="Z23" i="20"/>
  <c r="AA23" i="20" s="1"/>
  <c r="AB23" i="20" s="1"/>
  <c r="V24" i="20" s="1"/>
  <c r="AO27" i="12"/>
  <c r="AK27" i="12"/>
  <c r="AK32" i="25" l="1"/>
  <c r="AI37" i="19"/>
  <c r="AO36" i="19"/>
  <c r="AK34" i="22"/>
  <c r="AI33" i="25"/>
  <c r="AG33" i="25"/>
  <c r="AO32" i="25"/>
  <c r="AI35" i="22"/>
  <c r="AG35" i="22"/>
  <c r="AO34" i="22"/>
  <c r="AB25" i="19"/>
  <c r="V26" i="19" s="1"/>
  <c r="W26" i="19" s="1"/>
  <c r="AC25" i="19"/>
  <c r="X26" i="19" s="1"/>
  <c r="AK34" i="24"/>
  <c r="AI35" i="24" s="1"/>
  <c r="AK39" i="20"/>
  <c r="AG40" i="20" s="1"/>
  <c r="AO34" i="24"/>
  <c r="AG38" i="23"/>
  <c r="AI38" i="23"/>
  <c r="W24" i="25"/>
  <c r="AC23" i="25"/>
  <c r="X24" i="25" s="1"/>
  <c r="AO36" i="21"/>
  <c r="W26" i="24"/>
  <c r="AC25" i="24"/>
  <c r="X26" i="24" s="1"/>
  <c r="W23" i="23"/>
  <c r="AC22" i="23"/>
  <c r="X23" i="23" s="1"/>
  <c r="AD25" i="22"/>
  <c r="Y25" i="22"/>
  <c r="Z25" i="22"/>
  <c r="AA25" i="22" s="1"/>
  <c r="AB25" i="22" s="1"/>
  <c r="V26" i="22" s="1"/>
  <c r="AK36" i="21"/>
  <c r="AO37" i="19"/>
  <c r="AO39" i="20"/>
  <c r="W23" i="21"/>
  <c r="AC22" i="21"/>
  <c r="X23" i="21" s="1"/>
  <c r="W24" i="20"/>
  <c r="AC23" i="20"/>
  <c r="X24" i="20" s="1"/>
  <c r="AK37" i="19"/>
  <c r="AI28" i="12"/>
  <c r="AG28" i="12"/>
  <c r="AG35" i="24" l="1"/>
  <c r="AK35" i="22"/>
  <c r="AK33" i="25"/>
  <c r="AI34" i="25"/>
  <c r="AG34" i="25"/>
  <c r="AO33" i="25"/>
  <c r="AG36" i="22"/>
  <c r="AI36" i="22"/>
  <c r="AO35" i="22"/>
  <c r="AI40" i="20"/>
  <c r="AO40" i="20" s="1"/>
  <c r="Y26" i="19"/>
  <c r="AD26" i="19"/>
  <c r="Z26" i="19"/>
  <c r="AA26" i="19" s="1"/>
  <c r="AB26" i="19" s="1"/>
  <c r="V27" i="19" s="1"/>
  <c r="W27" i="19" s="1"/>
  <c r="AO35" i="24"/>
  <c r="AO38" i="23"/>
  <c r="AK35" i="24"/>
  <c r="AK38" i="23"/>
  <c r="AD24" i="25"/>
  <c r="Y24" i="25"/>
  <c r="Z24" i="25"/>
  <c r="AA24" i="25" s="1"/>
  <c r="AB24" i="25" s="1"/>
  <c r="V25" i="25" s="1"/>
  <c r="AD26" i="24"/>
  <c r="Y26" i="24"/>
  <c r="Z26" i="24"/>
  <c r="AA26" i="24" s="1"/>
  <c r="AB26" i="24" s="1"/>
  <c r="V27" i="24" s="1"/>
  <c r="AD23" i="23"/>
  <c r="Y23" i="23"/>
  <c r="Z23" i="23"/>
  <c r="AA23" i="23" s="1"/>
  <c r="AB23" i="23" s="1"/>
  <c r="V24" i="23" s="1"/>
  <c r="W26" i="22"/>
  <c r="AC25" i="22"/>
  <c r="X26" i="22" s="1"/>
  <c r="AI37" i="21"/>
  <c r="AG37" i="21"/>
  <c r="AD23" i="21"/>
  <c r="Y23" i="21"/>
  <c r="Z23" i="21"/>
  <c r="AA23" i="21" s="1"/>
  <c r="AB23" i="21" s="1"/>
  <c r="V24" i="21" s="1"/>
  <c r="AD24" i="20"/>
  <c r="Y24" i="20"/>
  <c r="Z24" i="20"/>
  <c r="AA24" i="20" s="1"/>
  <c r="AB24" i="20" s="1"/>
  <c r="V25" i="20" s="1"/>
  <c r="AG38" i="19"/>
  <c r="AI38" i="19"/>
  <c r="AO28" i="12"/>
  <c r="AK28" i="12"/>
  <c r="AO36" i="22" l="1"/>
  <c r="AK34" i="25"/>
  <c r="AI35" i="25"/>
  <c r="AG35" i="25"/>
  <c r="AK35" i="25" s="1"/>
  <c r="AO34" i="25"/>
  <c r="AK40" i="20"/>
  <c r="AG41" i="20" s="1"/>
  <c r="AK36" i="22"/>
  <c r="AC26" i="19"/>
  <c r="X27" i="19" s="1"/>
  <c r="AG36" i="24"/>
  <c r="AI36" i="24"/>
  <c r="AG39" i="23"/>
  <c r="AI39" i="23"/>
  <c r="AK37" i="21"/>
  <c r="AG38" i="21" s="1"/>
  <c r="W25" i="25"/>
  <c r="AC24" i="25"/>
  <c r="X25" i="25" s="1"/>
  <c r="W27" i="24"/>
  <c r="AC26" i="24"/>
  <c r="X27" i="24" s="1"/>
  <c r="W24" i="23"/>
  <c r="AC23" i="23"/>
  <c r="X24" i="23" s="1"/>
  <c r="AD26" i="22"/>
  <c r="Y26" i="22"/>
  <c r="Z26" i="22"/>
  <c r="AA26" i="22" s="1"/>
  <c r="AB26" i="22" s="1"/>
  <c r="V27" i="22" s="1"/>
  <c r="AO37" i="21"/>
  <c r="AI41" i="20"/>
  <c r="W24" i="21"/>
  <c r="AC23" i="21"/>
  <c r="X24" i="21" s="1"/>
  <c r="W25" i="20"/>
  <c r="AC24" i="20"/>
  <c r="X25" i="20" s="1"/>
  <c r="AK38" i="19"/>
  <c r="AO38" i="19"/>
  <c r="AI29" i="12"/>
  <c r="AG29" i="12"/>
  <c r="AI36" i="25" l="1"/>
  <c r="AG36" i="25"/>
  <c r="AO35" i="25"/>
  <c r="AG37" i="22"/>
  <c r="AI37" i="22"/>
  <c r="AO37" i="22" s="1"/>
  <c r="AO39" i="23"/>
  <c r="AD27" i="19"/>
  <c r="Z27" i="19"/>
  <c r="AA27" i="19" s="1"/>
  <c r="AB27" i="19" s="1"/>
  <c r="V28" i="19" s="1"/>
  <c r="W28" i="19" s="1"/>
  <c r="Y27" i="19"/>
  <c r="AO36" i="24"/>
  <c r="AI38" i="21"/>
  <c r="AK38" i="21" s="1"/>
  <c r="AG39" i="21" s="1"/>
  <c r="AK36" i="24"/>
  <c r="AK39" i="23"/>
  <c r="AD25" i="25"/>
  <c r="Y25" i="25"/>
  <c r="Z25" i="25"/>
  <c r="AA25" i="25" s="1"/>
  <c r="AB25" i="25" s="1"/>
  <c r="V26" i="25" s="1"/>
  <c r="AD27" i="24"/>
  <c r="Y27" i="24"/>
  <c r="Z27" i="24"/>
  <c r="AA27" i="24" s="1"/>
  <c r="AB27" i="24" s="1"/>
  <c r="V28" i="24" s="1"/>
  <c r="AD24" i="23"/>
  <c r="Y24" i="23"/>
  <c r="Z24" i="23"/>
  <c r="AA24" i="23" s="1"/>
  <c r="AB24" i="23" s="1"/>
  <c r="V25" i="23" s="1"/>
  <c r="W27" i="22"/>
  <c r="AC26" i="22"/>
  <c r="X27" i="22" s="1"/>
  <c r="AO41" i="20"/>
  <c r="AK41" i="20"/>
  <c r="AD24" i="21"/>
  <c r="Y24" i="21"/>
  <c r="Z24" i="21"/>
  <c r="AA24" i="21" s="1"/>
  <c r="AB24" i="21" s="1"/>
  <c r="V25" i="21" s="1"/>
  <c r="AD25" i="20"/>
  <c r="Y25" i="20"/>
  <c r="Z25" i="20"/>
  <c r="AA25" i="20" s="1"/>
  <c r="AB25" i="20" s="1"/>
  <c r="V26" i="20" s="1"/>
  <c r="AG39" i="19"/>
  <c r="AI39" i="19"/>
  <c r="AK29" i="12"/>
  <c r="AI30" i="12" s="1"/>
  <c r="AO29" i="12"/>
  <c r="AO36" i="25" l="1"/>
  <c r="AK36" i="25"/>
  <c r="AO38" i="21"/>
  <c r="AK37" i="22"/>
  <c r="AI39" i="21"/>
  <c r="AC27" i="19"/>
  <c r="X28" i="19" s="1"/>
  <c r="AG37" i="24"/>
  <c r="AI37" i="24"/>
  <c r="AI40" i="23"/>
  <c r="AG40" i="23"/>
  <c r="AO39" i="21"/>
  <c r="W26" i="25"/>
  <c r="AC25" i="25"/>
  <c r="X26" i="25" s="1"/>
  <c r="W28" i="24"/>
  <c r="AC27" i="24"/>
  <c r="X28" i="24" s="1"/>
  <c r="W25" i="23"/>
  <c r="AC24" i="23"/>
  <c r="X25" i="23" s="1"/>
  <c r="AD27" i="22"/>
  <c r="Y27" i="22"/>
  <c r="Z27" i="22"/>
  <c r="AA27" i="22" s="1"/>
  <c r="AB27" i="22" s="1"/>
  <c r="V28" i="22" s="1"/>
  <c r="AO39" i="19"/>
  <c r="AK39" i="21"/>
  <c r="AI42" i="20"/>
  <c r="AG42" i="20"/>
  <c r="W25" i="21"/>
  <c r="AC24" i="21"/>
  <c r="X25" i="21" s="1"/>
  <c r="W26" i="20"/>
  <c r="AC25" i="20"/>
  <c r="X26" i="20" s="1"/>
  <c r="AK39" i="19"/>
  <c r="AG30" i="12"/>
  <c r="AO30" i="12" s="1"/>
  <c r="AG37" i="25" l="1"/>
  <c r="AI37" i="25"/>
  <c r="AO37" i="24"/>
  <c r="AK40" i="23"/>
  <c r="AG38" i="22"/>
  <c r="AI38" i="22"/>
  <c r="AO38" i="22" s="1"/>
  <c r="AD28" i="19"/>
  <c r="Z28" i="19"/>
  <c r="AA28" i="19" s="1"/>
  <c r="AB28" i="19" s="1"/>
  <c r="V29" i="19" s="1"/>
  <c r="W29" i="19" s="1"/>
  <c r="Y28" i="19"/>
  <c r="AK37" i="24"/>
  <c r="AI41" i="23"/>
  <c r="AG41" i="23"/>
  <c r="AO40" i="23"/>
  <c r="AD26" i="25"/>
  <c r="Y26" i="25"/>
  <c r="Z26" i="25"/>
  <c r="AA26" i="25" s="1"/>
  <c r="AB26" i="25" s="1"/>
  <c r="V27" i="25" s="1"/>
  <c r="AD28" i="24"/>
  <c r="Y28" i="24"/>
  <c r="Z28" i="24"/>
  <c r="AA28" i="24" s="1"/>
  <c r="AB28" i="24" s="1"/>
  <c r="V29" i="24" s="1"/>
  <c r="AD25" i="23"/>
  <c r="Y25" i="23"/>
  <c r="Z25" i="23"/>
  <c r="AA25" i="23" s="1"/>
  <c r="AB25" i="23" s="1"/>
  <c r="V26" i="23" s="1"/>
  <c r="W28" i="22"/>
  <c r="AC27" i="22"/>
  <c r="X28" i="22" s="1"/>
  <c r="AK42" i="20"/>
  <c r="AG43" i="20" s="1"/>
  <c r="AI40" i="21"/>
  <c r="AG40" i="21"/>
  <c r="AO42" i="20"/>
  <c r="AD25" i="21"/>
  <c r="Y25" i="21"/>
  <c r="Z25" i="21"/>
  <c r="AA25" i="21" s="1"/>
  <c r="AB25" i="21" s="1"/>
  <c r="V26" i="21" s="1"/>
  <c r="AD26" i="20"/>
  <c r="Y26" i="20"/>
  <c r="Z26" i="20"/>
  <c r="AA26" i="20" s="1"/>
  <c r="AB26" i="20" s="1"/>
  <c r="V27" i="20" s="1"/>
  <c r="AG40" i="19"/>
  <c r="AI40" i="19"/>
  <c r="AK30" i="12"/>
  <c r="AG31" i="12" s="1"/>
  <c r="AO37" i="25" l="1"/>
  <c r="AK37" i="25"/>
  <c r="AI31" i="12"/>
  <c r="AK41" i="23"/>
  <c r="AK38" i="22"/>
  <c r="AC28" i="19"/>
  <c r="X29" i="19" s="1"/>
  <c r="AG38" i="24"/>
  <c r="AI38" i="24"/>
  <c r="AI42" i="23"/>
  <c r="AG42" i="23"/>
  <c r="AO41" i="23"/>
  <c r="AI43" i="20"/>
  <c r="AO43" i="20" s="1"/>
  <c r="W27" i="25"/>
  <c r="AC26" i="25"/>
  <c r="X27" i="25" s="1"/>
  <c r="AK40" i="21"/>
  <c r="AG41" i="21" s="1"/>
  <c r="W29" i="24"/>
  <c r="AC28" i="24"/>
  <c r="X29" i="24" s="1"/>
  <c r="W26" i="23"/>
  <c r="AC25" i="23"/>
  <c r="X26" i="23" s="1"/>
  <c r="AD28" i="22"/>
  <c r="Y28" i="22"/>
  <c r="Z28" i="22"/>
  <c r="AA28" i="22" s="1"/>
  <c r="AB28" i="22" s="1"/>
  <c r="V29" i="22" s="1"/>
  <c r="AO40" i="19"/>
  <c r="AO40" i="21"/>
  <c r="W26" i="21"/>
  <c r="AC25" i="21"/>
  <c r="X26" i="21" s="1"/>
  <c r="W27" i="20"/>
  <c r="AC26" i="20"/>
  <c r="X27" i="20" s="1"/>
  <c r="AK40" i="19"/>
  <c r="AO31" i="12"/>
  <c r="AK31" i="12"/>
  <c r="AG38" i="25" l="1"/>
  <c r="AI38" i="25"/>
  <c r="AK43" i="20"/>
  <c r="AI44" i="20" s="1"/>
  <c r="AK42" i="23"/>
  <c r="AG43" i="23" s="1"/>
  <c r="AG39" i="22"/>
  <c r="AI39" i="22"/>
  <c r="AO39" i="22" s="1"/>
  <c r="AD29" i="19"/>
  <c r="Y29" i="19"/>
  <c r="Z29" i="19"/>
  <c r="AA29" i="19" s="1"/>
  <c r="AB29" i="19" s="1"/>
  <c r="V30" i="19" s="1"/>
  <c r="W30" i="19" s="1"/>
  <c r="AO38" i="24"/>
  <c r="AK38" i="24"/>
  <c r="AI43" i="23"/>
  <c r="AO42" i="23"/>
  <c r="AI41" i="21"/>
  <c r="AO41" i="21" s="1"/>
  <c r="AG44" i="20"/>
  <c r="AD27" i="25"/>
  <c r="Y27" i="25"/>
  <c r="Z27" i="25"/>
  <c r="AA27" i="25" s="1"/>
  <c r="AB27" i="25" s="1"/>
  <c r="V28" i="25" s="1"/>
  <c r="AD29" i="24"/>
  <c r="Y29" i="24"/>
  <c r="Z29" i="24"/>
  <c r="AA29" i="24" s="1"/>
  <c r="AB29" i="24" s="1"/>
  <c r="V30" i="24" s="1"/>
  <c r="AD26" i="23"/>
  <c r="Y26" i="23"/>
  <c r="Z26" i="23"/>
  <c r="AA26" i="23" s="1"/>
  <c r="AB26" i="23" s="1"/>
  <c r="V27" i="23" s="1"/>
  <c r="W29" i="22"/>
  <c r="AC28" i="22"/>
  <c r="X29" i="22" s="1"/>
  <c r="AD26" i="21"/>
  <c r="Y26" i="21"/>
  <c r="Z26" i="21"/>
  <c r="AA26" i="21" s="1"/>
  <c r="AB26" i="21" s="1"/>
  <c r="V27" i="21" s="1"/>
  <c r="AD27" i="20"/>
  <c r="Y27" i="20"/>
  <c r="Z27" i="20"/>
  <c r="AA27" i="20" s="1"/>
  <c r="AB27" i="20" s="1"/>
  <c r="V28" i="20" s="1"/>
  <c r="AG41" i="19"/>
  <c r="AI41" i="19"/>
  <c r="AG32" i="12"/>
  <c r="AI32" i="12"/>
  <c r="AO38" i="25" l="1"/>
  <c r="AK44" i="20"/>
  <c r="AK43" i="23"/>
  <c r="AK38" i="25"/>
  <c r="AK39" i="22"/>
  <c r="AK41" i="21"/>
  <c r="AG42" i="21" s="1"/>
  <c r="AC29" i="19"/>
  <c r="X30" i="19" s="1"/>
  <c r="AO44" i="20"/>
  <c r="AG39" i="24"/>
  <c r="AI39" i="24"/>
  <c r="AG44" i="23"/>
  <c r="AI44" i="23"/>
  <c r="AO43" i="23"/>
  <c r="W28" i="25"/>
  <c r="AC27" i="25"/>
  <c r="X28" i="25" s="1"/>
  <c r="W30" i="24"/>
  <c r="AC29" i="24"/>
  <c r="X30" i="24" s="1"/>
  <c r="W27" i="23"/>
  <c r="AC26" i="23"/>
  <c r="X27" i="23" s="1"/>
  <c r="AD29" i="22"/>
  <c r="Y29" i="22"/>
  <c r="Z29" i="22"/>
  <c r="AA29" i="22" s="1"/>
  <c r="AB29" i="22" s="1"/>
  <c r="V30" i="22" s="1"/>
  <c r="AO41" i="19"/>
  <c r="AI42" i="21"/>
  <c r="W27" i="21"/>
  <c r="AC26" i="21"/>
  <c r="X27" i="21" s="1"/>
  <c r="W28" i="20"/>
  <c r="AC27" i="20"/>
  <c r="X28" i="20" s="1"/>
  <c r="AK41" i="19"/>
  <c r="AO32" i="12"/>
  <c r="AK32" i="12"/>
  <c r="AO39" i="24" l="1"/>
  <c r="AG39" i="25"/>
  <c r="AI39" i="25"/>
  <c r="AO39" i="25" s="1"/>
  <c r="AI40" i="22"/>
  <c r="AG40" i="22"/>
  <c r="AD30" i="19"/>
  <c r="Y30" i="19"/>
  <c r="Z30" i="19"/>
  <c r="AA30" i="19" s="1"/>
  <c r="AB30" i="19" s="1"/>
  <c r="V31" i="19" s="1"/>
  <c r="W31" i="19" s="1"/>
  <c r="AO44" i="23"/>
  <c r="AK39" i="24"/>
  <c r="AK44" i="23"/>
  <c r="AK42" i="21"/>
  <c r="AG43" i="21" s="1"/>
  <c r="AD28" i="25"/>
  <c r="Y28" i="25"/>
  <c r="Z28" i="25"/>
  <c r="AA28" i="25" s="1"/>
  <c r="AB28" i="25" s="1"/>
  <c r="V29" i="25" s="1"/>
  <c r="AD30" i="24"/>
  <c r="Y30" i="24"/>
  <c r="Z30" i="24"/>
  <c r="AA30" i="24" s="1"/>
  <c r="AB30" i="24" s="1"/>
  <c r="V31" i="24" s="1"/>
  <c r="AD27" i="23"/>
  <c r="Y27" i="23"/>
  <c r="Z27" i="23"/>
  <c r="AA27" i="23" s="1"/>
  <c r="AB27" i="23" s="1"/>
  <c r="V28" i="23" s="1"/>
  <c r="W30" i="22"/>
  <c r="AC29" i="22"/>
  <c r="X30" i="22" s="1"/>
  <c r="AO42" i="21"/>
  <c r="AD27" i="21"/>
  <c r="Y27" i="21"/>
  <c r="Z27" i="21"/>
  <c r="AA27" i="21" s="1"/>
  <c r="AB27" i="21" s="1"/>
  <c r="V28" i="21" s="1"/>
  <c r="AD28" i="20"/>
  <c r="Y28" i="20"/>
  <c r="Z28" i="20"/>
  <c r="AA28" i="20" s="1"/>
  <c r="AB28" i="20" s="1"/>
  <c r="V29" i="20" s="1"/>
  <c r="AG42" i="19"/>
  <c r="AI42" i="19"/>
  <c r="AI33" i="12"/>
  <c r="AG33" i="12"/>
  <c r="AK39" i="25" l="1"/>
  <c r="AK40" i="22"/>
  <c r="AI41" i="22" s="1"/>
  <c r="AI43" i="21"/>
  <c r="AG41" i="22"/>
  <c r="AO40" i="22"/>
  <c r="AC30" i="19"/>
  <c r="X31" i="19" s="1"/>
  <c r="AI40" i="24"/>
  <c r="AG40" i="24"/>
  <c r="AO43" i="21"/>
  <c r="W29" i="25"/>
  <c r="AC28" i="25"/>
  <c r="X29" i="25" s="1"/>
  <c r="W31" i="24"/>
  <c r="AC30" i="24"/>
  <c r="X31" i="24" s="1"/>
  <c r="W28" i="23"/>
  <c r="AC27" i="23"/>
  <c r="X28" i="23" s="1"/>
  <c r="AD30" i="22"/>
  <c r="Y30" i="22"/>
  <c r="Z30" i="22"/>
  <c r="AA30" i="22" s="1"/>
  <c r="AB30" i="22" s="1"/>
  <c r="V31" i="22" s="1"/>
  <c r="AO42" i="19"/>
  <c r="AK43" i="21"/>
  <c r="W28" i="21"/>
  <c r="AC27" i="21"/>
  <c r="X28" i="21" s="1"/>
  <c r="W29" i="20"/>
  <c r="AC28" i="20"/>
  <c r="X29" i="20" s="1"/>
  <c r="AK42" i="19"/>
  <c r="AK33" i="12"/>
  <c r="AI34" i="12" s="1"/>
  <c r="AO33" i="12"/>
  <c r="AI40" i="25" l="1"/>
  <c r="AG40" i="25"/>
  <c r="AK41" i="22"/>
  <c r="AG34" i="12"/>
  <c r="AK34" i="12" s="1"/>
  <c r="AG35" i="12" s="1"/>
  <c r="AI42" i="22"/>
  <c r="AG42" i="22"/>
  <c r="AO41" i="22"/>
  <c r="Y31" i="19"/>
  <c r="AD31" i="19"/>
  <c r="Z31" i="19"/>
  <c r="AA31" i="19" s="1"/>
  <c r="AB31" i="19" s="1"/>
  <c r="V32" i="19" s="1"/>
  <c r="W32" i="19" s="1"/>
  <c r="AK40" i="24"/>
  <c r="AG41" i="24" s="1"/>
  <c r="AO40" i="24"/>
  <c r="AD29" i="25"/>
  <c r="Y29" i="25"/>
  <c r="Z29" i="25"/>
  <c r="AA29" i="25" s="1"/>
  <c r="AB29" i="25" s="1"/>
  <c r="V30" i="25" s="1"/>
  <c r="AD31" i="24"/>
  <c r="Y31" i="24"/>
  <c r="Z31" i="24"/>
  <c r="AA31" i="24" s="1"/>
  <c r="AB31" i="24" s="1"/>
  <c r="V32" i="24" s="1"/>
  <c r="AD28" i="23"/>
  <c r="Y28" i="23"/>
  <c r="Z28" i="23"/>
  <c r="AA28" i="23" s="1"/>
  <c r="AB28" i="23" s="1"/>
  <c r="V29" i="23" s="1"/>
  <c r="W31" i="22"/>
  <c r="AC30" i="22"/>
  <c r="X31" i="22" s="1"/>
  <c r="AG44" i="21"/>
  <c r="AI44" i="21"/>
  <c r="AD28" i="21"/>
  <c r="Y28" i="21"/>
  <c r="Z28" i="21"/>
  <c r="AA28" i="21" s="1"/>
  <c r="AB28" i="21" s="1"/>
  <c r="V29" i="21" s="1"/>
  <c r="AD29" i="20"/>
  <c r="Y29" i="20"/>
  <c r="Z29" i="20"/>
  <c r="AA29" i="20" s="1"/>
  <c r="AB29" i="20" s="1"/>
  <c r="V30" i="20" s="1"/>
  <c r="AG43" i="19"/>
  <c r="AI43" i="19"/>
  <c r="AI41" i="24" l="1"/>
  <c r="AO40" i="25"/>
  <c r="AK40" i="25"/>
  <c r="AK42" i="22"/>
  <c r="AO34" i="12"/>
  <c r="AG43" i="22"/>
  <c r="AI43" i="22"/>
  <c r="AO42" i="22"/>
  <c r="AC31" i="19"/>
  <c r="X32" i="19" s="1"/>
  <c r="AK41" i="24"/>
  <c r="AI42" i="24" s="1"/>
  <c r="AO41" i="24"/>
  <c r="AO44" i="21"/>
  <c r="W30" i="25"/>
  <c r="AC29" i="25"/>
  <c r="X30" i="25" s="1"/>
  <c r="W32" i="24"/>
  <c r="AC31" i="24"/>
  <c r="X32" i="24" s="1"/>
  <c r="W29" i="23"/>
  <c r="AC28" i="23"/>
  <c r="X29" i="23" s="1"/>
  <c r="AD31" i="22"/>
  <c r="Y31" i="22"/>
  <c r="Z31" i="22"/>
  <c r="AA31" i="22" s="1"/>
  <c r="AB31" i="22" s="1"/>
  <c r="V32" i="22" s="1"/>
  <c r="AK44" i="21"/>
  <c r="AI35" i="12"/>
  <c r="AO35" i="12" s="1"/>
  <c r="W29" i="21"/>
  <c r="AC28" i="21"/>
  <c r="X29" i="21" s="1"/>
  <c r="W30" i="20"/>
  <c r="AC29" i="20"/>
  <c r="X30" i="20" s="1"/>
  <c r="AO43" i="19"/>
  <c r="AK43" i="19"/>
  <c r="AG42" i="24" l="1"/>
  <c r="AO43" i="22"/>
  <c r="AI41" i="25"/>
  <c r="AG41" i="25"/>
  <c r="AK43" i="22"/>
  <c r="AD32" i="19"/>
  <c r="Z32" i="19"/>
  <c r="AA32" i="19" s="1"/>
  <c r="AB32" i="19" s="1"/>
  <c r="V33" i="19" s="1"/>
  <c r="W33" i="19" s="1"/>
  <c r="Y32" i="19"/>
  <c r="AK42" i="24"/>
  <c r="AI43" i="24" s="1"/>
  <c r="AO42" i="24"/>
  <c r="AD30" i="25"/>
  <c r="Y30" i="25"/>
  <c r="Z30" i="25"/>
  <c r="AA30" i="25" s="1"/>
  <c r="AB30" i="25" s="1"/>
  <c r="V31" i="25" s="1"/>
  <c r="AD32" i="24"/>
  <c r="Y32" i="24"/>
  <c r="Z32" i="24"/>
  <c r="AA32" i="24" s="1"/>
  <c r="AB32" i="24" s="1"/>
  <c r="V33" i="24" s="1"/>
  <c r="AD29" i="23"/>
  <c r="Y29" i="23"/>
  <c r="Z29" i="23"/>
  <c r="AA29" i="23" s="1"/>
  <c r="AB29" i="23" s="1"/>
  <c r="V30" i="23" s="1"/>
  <c r="AK35" i="12"/>
  <c r="AG36" i="12" s="1"/>
  <c r="W32" i="22"/>
  <c r="AC31" i="22"/>
  <c r="X32" i="22" s="1"/>
  <c r="AD29" i="21"/>
  <c r="Y29" i="21"/>
  <c r="Z29" i="21"/>
  <c r="AA29" i="21" s="1"/>
  <c r="AB29" i="21" s="1"/>
  <c r="V30" i="21" s="1"/>
  <c r="AD30" i="20"/>
  <c r="Y30" i="20"/>
  <c r="Z30" i="20"/>
  <c r="AA30" i="20" s="1"/>
  <c r="AB30" i="20" s="1"/>
  <c r="V31" i="20" s="1"/>
  <c r="AG44" i="19"/>
  <c r="AI44" i="19"/>
  <c r="AC32" i="19" l="1"/>
  <c r="X33" i="19" s="1"/>
  <c r="Y33" i="19" s="1"/>
  <c r="AG43" i="24"/>
  <c r="AO43" i="24" s="1"/>
  <c r="AK41" i="25"/>
  <c r="AI42" i="25" s="1"/>
  <c r="AO41" i="25"/>
  <c r="AG44" i="22"/>
  <c r="AI44" i="22"/>
  <c r="AO44" i="22" s="1"/>
  <c r="AI36" i="12"/>
  <c r="AO36" i="12" s="1"/>
  <c r="Z33" i="19"/>
  <c r="AA33" i="19" s="1"/>
  <c r="AB33" i="19" s="1"/>
  <c r="V34" i="19" s="1"/>
  <c r="W34" i="19" s="1"/>
  <c r="AD33" i="19"/>
  <c r="AK43" i="24"/>
  <c r="AG44" i="24" s="1"/>
  <c r="W31" i="25"/>
  <c r="AC30" i="25"/>
  <c r="X31" i="25" s="1"/>
  <c r="W33" i="24"/>
  <c r="AC32" i="24"/>
  <c r="X33" i="24" s="1"/>
  <c r="W30" i="23"/>
  <c r="AC29" i="23"/>
  <c r="X30" i="23" s="1"/>
  <c r="AO44" i="19"/>
  <c r="AD32" i="22"/>
  <c r="Y32" i="22"/>
  <c r="Z32" i="22"/>
  <c r="AA32" i="22" s="1"/>
  <c r="AB32" i="22" s="1"/>
  <c r="V33" i="22" s="1"/>
  <c r="W30" i="21"/>
  <c r="AC29" i="21"/>
  <c r="X30" i="21" s="1"/>
  <c r="W31" i="20"/>
  <c r="AC30" i="20"/>
  <c r="X31" i="20" s="1"/>
  <c r="AK44" i="19"/>
  <c r="AG42" i="25" l="1"/>
  <c r="AK42" i="25" s="1"/>
  <c r="AI43" i="25" s="1"/>
  <c r="AI44" i="24"/>
  <c r="AG43" i="25"/>
  <c r="AO42" i="25"/>
  <c r="AK36" i="12"/>
  <c r="AG37" i="12" s="1"/>
  <c r="AC33" i="19"/>
  <c r="X34" i="19" s="1"/>
  <c r="Z34" i="19" s="1"/>
  <c r="AK44" i="22"/>
  <c r="AO44" i="24"/>
  <c r="AK44" i="24"/>
  <c r="AD31" i="25"/>
  <c r="Y31" i="25"/>
  <c r="Z31" i="25"/>
  <c r="AA31" i="25" s="1"/>
  <c r="AB31" i="25" s="1"/>
  <c r="V32" i="25" s="1"/>
  <c r="AD33" i="24"/>
  <c r="Y33" i="24"/>
  <c r="Z33" i="24"/>
  <c r="AA33" i="24" s="1"/>
  <c r="AB33" i="24" s="1"/>
  <c r="V34" i="24" s="1"/>
  <c r="AD30" i="23"/>
  <c r="Y30" i="23"/>
  <c r="Z30" i="23"/>
  <c r="AA30" i="23" s="1"/>
  <c r="AB30" i="23" s="1"/>
  <c r="V31" i="23" s="1"/>
  <c r="W33" i="22"/>
  <c r="AC32" i="22"/>
  <c r="X33" i="22" s="1"/>
  <c r="AD30" i="21"/>
  <c r="Y30" i="21"/>
  <c r="Z30" i="21"/>
  <c r="AA30" i="21" s="1"/>
  <c r="AB30" i="21" s="1"/>
  <c r="V31" i="21" s="1"/>
  <c r="AD31" i="20"/>
  <c r="Y31" i="20"/>
  <c r="Z31" i="20"/>
  <c r="AA31" i="20" s="1"/>
  <c r="AB31" i="20" s="1"/>
  <c r="V32" i="20" s="1"/>
  <c r="AK43" i="25" l="1"/>
  <c r="AI37" i="12"/>
  <c r="Y34" i="19"/>
  <c r="AD34" i="19"/>
  <c r="AI44" i="25"/>
  <c r="AG44" i="25"/>
  <c r="AO43" i="25"/>
  <c r="W32" i="25"/>
  <c r="AC31" i="25"/>
  <c r="X32" i="25" s="1"/>
  <c r="W34" i="24"/>
  <c r="AC33" i="24"/>
  <c r="X34" i="24" s="1"/>
  <c r="W31" i="23"/>
  <c r="AC30" i="23"/>
  <c r="X31" i="23" s="1"/>
  <c r="AD33" i="22"/>
  <c r="Y33" i="22"/>
  <c r="Z33" i="22"/>
  <c r="AA33" i="22" s="1"/>
  <c r="AB33" i="22" s="1"/>
  <c r="V34" i="22" s="1"/>
  <c r="W31" i="21"/>
  <c r="AC30" i="21"/>
  <c r="X31" i="21" s="1"/>
  <c r="W32" i="20"/>
  <c r="AC31" i="20"/>
  <c r="X32" i="20" s="1"/>
  <c r="O26" i="19"/>
  <c r="O27" i="19" s="1"/>
  <c r="G17" i="19" s="1"/>
  <c r="AA34" i="19"/>
  <c r="AB34" i="19" s="1"/>
  <c r="AO37" i="12"/>
  <c r="AK37" i="12"/>
  <c r="AK44" i="25" l="1"/>
  <c r="AO44" i="25"/>
  <c r="AD32" i="25"/>
  <c r="Y32" i="25"/>
  <c r="Z32" i="25"/>
  <c r="AA32" i="25" s="1"/>
  <c r="AB32" i="25" s="1"/>
  <c r="V33" i="25" s="1"/>
  <c r="AD34" i="24"/>
  <c r="Y34" i="24"/>
  <c r="Z34" i="24"/>
  <c r="AD31" i="23"/>
  <c r="Y31" i="23"/>
  <c r="Z31" i="23"/>
  <c r="AA31" i="23" s="1"/>
  <c r="AB31" i="23" s="1"/>
  <c r="V32" i="23" s="1"/>
  <c r="W34" i="22"/>
  <c r="AC33" i="22"/>
  <c r="X34" i="22" s="1"/>
  <c r="AD31" i="21"/>
  <c r="Y31" i="21"/>
  <c r="Z31" i="21"/>
  <c r="AA31" i="21" s="1"/>
  <c r="AB31" i="21" s="1"/>
  <c r="V32" i="21" s="1"/>
  <c r="AD32" i="20"/>
  <c r="Y32" i="20"/>
  <c r="Z32" i="20"/>
  <c r="AA32" i="20" s="1"/>
  <c r="AB32" i="20" s="1"/>
  <c r="V33" i="20" s="1"/>
  <c r="AC34" i="19"/>
  <c r="G20" i="19"/>
  <c r="G18" i="19"/>
  <c r="AI38" i="12"/>
  <c r="AG38" i="12"/>
  <c r="W33" i="25" l="1"/>
  <c r="AC32" i="25"/>
  <c r="X33" i="25" s="1"/>
  <c r="O26" i="24"/>
  <c r="O27" i="24" s="1"/>
  <c r="G17" i="24" s="1"/>
  <c r="AA34" i="24"/>
  <c r="AB34" i="24" s="1"/>
  <c r="W32" i="23"/>
  <c r="AC31" i="23"/>
  <c r="X32" i="23" s="1"/>
  <c r="AD34" i="22"/>
  <c r="Y34" i="22"/>
  <c r="Z34" i="22"/>
  <c r="W32" i="21"/>
  <c r="AC31" i="21"/>
  <c r="X32" i="21" s="1"/>
  <c r="W33" i="20"/>
  <c r="AC32" i="20"/>
  <c r="X33" i="20" s="1"/>
  <c r="K6" i="19"/>
  <c r="G33" i="19"/>
  <c r="K10" i="19" s="1"/>
  <c r="AK38" i="12"/>
  <c r="AG39" i="12" s="1"/>
  <c r="AO38" i="12"/>
  <c r="K15" i="19" l="1"/>
  <c r="K43" i="19" s="1"/>
  <c r="E8" i="26"/>
  <c r="AD33" i="25"/>
  <c r="Y33" i="25"/>
  <c r="Z33" i="25"/>
  <c r="AA33" i="25" s="1"/>
  <c r="AB33" i="25" s="1"/>
  <c r="V34" i="25" s="1"/>
  <c r="AC34" i="24"/>
  <c r="G20" i="24"/>
  <c r="G18" i="24"/>
  <c r="AD32" i="23"/>
  <c r="Y32" i="23"/>
  <c r="Z32" i="23"/>
  <c r="AA32" i="23" s="1"/>
  <c r="AB32" i="23" s="1"/>
  <c r="V33" i="23" s="1"/>
  <c r="O26" i="22"/>
  <c r="O27" i="22" s="1"/>
  <c r="G17" i="22" s="1"/>
  <c r="AA34" i="22"/>
  <c r="AB34" i="22" s="1"/>
  <c r="AD32" i="21"/>
  <c r="Y32" i="21"/>
  <c r="Z32" i="21"/>
  <c r="AA32" i="21" s="1"/>
  <c r="AB32" i="21" s="1"/>
  <c r="V33" i="21" s="1"/>
  <c r="AD33" i="20"/>
  <c r="Y33" i="20"/>
  <c r="Z33" i="20"/>
  <c r="AA33" i="20" s="1"/>
  <c r="AB33" i="20" s="1"/>
  <c r="V34" i="20" s="1"/>
  <c r="K35" i="19"/>
  <c r="K7" i="19"/>
  <c r="AI39" i="12"/>
  <c r="AO39" i="12" s="1"/>
  <c r="W34" i="25" l="1"/>
  <c r="AC33" i="25"/>
  <c r="X34" i="25" s="1"/>
  <c r="K6" i="24"/>
  <c r="G33" i="24"/>
  <c r="K10" i="24" s="1"/>
  <c r="W33" i="23"/>
  <c r="AC32" i="23"/>
  <c r="X33" i="23" s="1"/>
  <c r="AC34" i="22"/>
  <c r="G20" i="22"/>
  <c r="G18" i="22"/>
  <c r="W33" i="21"/>
  <c r="AC32" i="21"/>
  <c r="X33" i="21" s="1"/>
  <c r="W34" i="20"/>
  <c r="AC33" i="20"/>
  <c r="X34" i="20" s="1"/>
  <c r="AK39" i="12"/>
  <c r="AG40" i="12" s="1"/>
  <c r="K15" i="24" l="1"/>
  <c r="E14" i="26"/>
  <c r="AI40" i="12"/>
  <c r="AO40" i="12" s="1"/>
  <c r="AD34" i="25"/>
  <c r="Y34" i="25"/>
  <c r="Z34" i="25"/>
  <c r="K43" i="24"/>
  <c r="K35" i="24"/>
  <c r="K7" i="24"/>
  <c r="AD33" i="23"/>
  <c r="Y33" i="23"/>
  <c r="Z33" i="23"/>
  <c r="AA33" i="23" s="1"/>
  <c r="AB33" i="23" s="1"/>
  <c r="V34" i="23" s="1"/>
  <c r="K6" i="22"/>
  <c r="G33" i="22"/>
  <c r="K10" i="22" s="1"/>
  <c r="AD33" i="21"/>
  <c r="Y33" i="21"/>
  <c r="Z33" i="21"/>
  <c r="AA33" i="21" s="1"/>
  <c r="AB33" i="21" s="1"/>
  <c r="V34" i="21" s="1"/>
  <c r="AD34" i="20"/>
  <c r="Y34" i="20"/>
  <c r="Z34" i="20"/>
  <c r="AK40" i="12" l="1"/>
  <c r="K15" i="22"/>
  <c r="E12" i="26"/>
  <c r="O26" i="25"/>
  <c r="O27" i="25" s="1"/>
  <c r="G17" i="25" s="1"/>
  <c r="AA34" i="25"/>
  <c r="AB34" i="25" s="1"/>
  <c r="W34" i="23"/>
  <c r="AC33" i="23"/>
  <c r="X34" i="23" s="1"/>
  <c r="K35" i="22"/>
  <c r="K43" i="22"/>
  <c r="K7" i="22"/>
  <c r="K19" i="22"/>
  <c r="K19" i="23" s="1"/>
  <c r="K18" i="22"/>
  <c r="K18" i="23" s="1"/>
  <c r="W34" i="21"/>
  <c r="AC33" i="21"/>
  <c r="X34" i="21" s="1"/>
  <c r="O26" i="20"/>
  <c r="O27" i="20" s="1"/>
  <c r="G17" i="20" s="1"/>
  <c r="AA34" i="20"/>
  <c r="AB34" i="20" s="1"/>
  <c r="AI41" i="12"/>
  <c r="AG41" i="12"/>
  <c r="K18" i="25" l="1"/>
  <c r="K18" i="24"/>
  <c r="K19" i="25"/>
  <c r="K19" i="24"/>
  <c r="K30" i="22"/>
  <c r="AH4" i="22" s="1"/>
  <c r="AC34" i="25"/>
  <c r="G20" i="25"/>
  <c r="G18" i="25"/>
  <c r="AD34" i="23"/>
  <c r="Y34" i="23"/>
  <c r="Z34" i="23"/>
  <c r="K44" i="22"/>
  <c r="K47" i="22" s="1"/>
  <c r="K36" i="22"/>
  <c r="K39" i="22" s="1"/>
  <c r="AD34" i="21"/>
  <c r="Y34" i="21"/>
  <c r="Z34" i="21"/>
  <c r="AC34" i="20"/>
  <c r="G20" i="20"/>
  <c r="G18" i="20"/>
  <c r="AK41" i="12"/>
  <c r="AG42" i="12" s="1"/>
  <c r="AO41" i="12"/>
  <c r="K44" i="24" l="1"/>
  <c r="K47" i="24" s="1"/>
  <c r="K36" i="24"/>
  <c r="K39" i="24" s="1"/>
  <c r="K30" i="24"/>
  <c r="K31" i="22"/>
  <c r="AL4" i="22"/>
  <c r="AJ4" i="22"/>
  <c r="AI42" i="12"/>
  <c r="AO42" i="12" s="1"/>
  <c r="K6" i="25"/>
  <c r="G33" i="25"/>
  <c r="K10" i="25" s="1"/>
  <c r="O26" i="23"/>
  <c r="O27" i="23" s="1"/>
  <c r="G17" i="23" s="1"/>
  <c r="AA34" i="23"/>
  <c r="AB34" i="23" s="1"/>
  <c r="O26" i="21"/>
  <c r="O27" i="21" s="1"/>
  <c r="G17" i="21" s="1"/>
  <c r="AA34" i="21"/>
  <c r="AB34" i="21" s="1"/>
  <c r="K6" i="20"/>
  <c r="G33" i="20"/>
  <c r="K10" i="20" s="1"/>
  <c r="AH4" i="24" l="1"/>
  <c r="K31" i="24"/>
  <c r="AL4" i="24"/>
  <c r="AJ4" i="24"/>
  <c r="K15" i="25"/>
  <c r="K35" i="25" s="1"/>
  <c r="E15" i="26"/>
  <c r="K15" i="20"/>
  <c r="K43" i="20" s="1"/>
  <c r="E9" i="26"/>
  <c r="AK42" i="12"/>
  <c r="AG43" i="12" s="1"/>
  <c r="K7" i="25"/>
  <c r="AC34" i="23"/>
  <c r="G20" i="23"/>
  <c r="G18" i="23"/>
  <c r="AC34" i="21"/>
  <c r="G20" i="21"/>
  <c r="G18" i="21"/>
  <c r="K7" i="20"/>
  <c r="AI43" i="12" l="1"/>
  <c r="K35" i="20"/>
  <c r="K43" i="25"/>
  <c r="K44" i="25"/>
  <c r="K36" i="25"/>
  <c r="K39" i="25" s="1"/>
  <c r="K30" i="25"/>
  <c r="K6" i="23"/>
  <c r="G33" i="23"/>
  <c r="K10" i="23" s="1"/>
  <c r="K6" i="21"/>
  <c r="G33" i="21"/>
  <c r="K10" i="21" s="1"/>
  <c r="AO43" i="12"/>
  <c r="AK43" i="12"/>
  <c r="K47" i="25" l="1"/>
  <c r="K15" i="23"/>
  <c r="K35" i="23" s="1"/>
  <c r="E13" i="26"/>
  <c r="F4" i="26" s="1"/>
  <c r="K15" i="21"/>
  <c r="K43" i="21" s="1"/>
  <c r="E10" i="26"/>
  <c r="K31" i="25"/>
  <c r="AJ4" i="25"/>
  <c r="AH4" i="25"/>
  <c r="AL4" i="25"/>
  <c r="K43" i="23"/>
  <c r="K7" i="23"/>
  <c r="K7" i="21"/>
  <c r="AG44" i="12"/>
  <c r="AI44" i="12"/>
  <c r="K35" i="21" l="1"/>
  <c r="K36" i="23"/>
  <c r="K39" i="23" s="1"/>
  <c r="K44" i="23"/>
  <c r="K47" i="23" s="1"/>
  <c r="K30" i="23"/>
  <c r="AO44" i="12"/>
  <c r="AK44" i="12"/>
  <c r="K31" i="23" l="1"/>
  <c r="AL4" i="23"/>
  <c r="AH4" i="23"/>
  <c r="AJ4" i="23"/>
  <c r="G29" i="12"/>
  <c r="G27" i="12" s="1"/>
  <c r="K29" i="12"/>
  <c r="K29" i="19" s="1"/>
  <c r="K24" i="12"/>
  <c r="K24" i="19" s="1"/>
  <c r="K27" i="12"/>
  <c r="K27" i="19" s="1"/>
  <c r="O4" i="12"/>
  <c r="G7" i="12"/>
  <c r="G26" i="12"/>
  <c r="G10" i="12"/>
  <c r="K14" i="12"/>
  <c r="K34" i="12"/>
  <c r="K20" i="12"/>
  <c r="K20" i="19" s="1"/>
  <c r="K23" i="12"/>
  <c r="K23" i="19" s="1"/>
  <c r="K26" i="12"/>
  <c r="K26" i="19" s="1"/>
  <c r="K21" i="12"/>
  <c r="K21" i="19" s="1"/>
  <c r="O6" i="12"/>
  <c r="K22" i="12"/>
  <c r="K22" i="19" s="1"/>
  <c r="K28" i="12"/>
  <c r="K28" i="19" s="1"/>
  <c r="K46" i="19" l="1"/>
  <c r="K38" i="19"/>
  <c r="K28" i="21"/>
  <c r="K28" i="20"/>
  <c r="K24" i="21"/>
  <c r="K24" i="20"/>
  <c r="K22" i="21"/>
  <c r="K22" i="20"/>
  <c r="K27" i="21"/>
  <c r="K27" i="20"/>
  <c r="K21" i="21"/>
  <c r="K21" i="20"/>
  <c r="K26" i="21"/>
  <c r="K26" i="20"/>
  <c r="K29" i="21"/>
  <c r="K29" i="20"/>
  <c r="K23" i="21"/>
  <c r="K23" i="20"/>
  <c r="K20" i="21"/>
  <c r="K20" i="20"/>
  <c r="G28" i="12"/>
  <c r="K25" i="12"/>
  <c r="G8" i="12"/>
  <c r="G9" i="12" s="1"/>
  <c r="K4" i="12"/>
  <c r="K5" i="12" s="1"/>
  <c r="O12" i="12"/>
  <c r="O13" i="12" s="1"/>
  <c r="K38" i="12"/>
  <c r="K46" i="12"/>
  <c r="K25" i="20" l="1"/>
  <c r="K25" i="19"/>
  <c r="K38" i="21"/>
  <c r="K46" i="21"/>
  <c r="K46" i="20"/>
  <c r="K38" i="20"/>
  <c r="K37" i="20"/>
  <c r="K45" i="20"/>
  <c r="K45" i="12"/>
  <c r="K25" i="21"/>
  <c r="O16" i="12"/>
  <c r="O14" i="12"/>
  <c r="K37" i="12"/>
  <c r="K37" i="19" l="1"/>
  <c r="K45" i="19"/>
  <c r="K45" i="21"/>
  <c r="K37" i="21"/>
  <c r="O20" i="12"/>
  <c r="O15" i="12"/>
  <c r="O23" i="12" l="1"/>
  <c r="O28" i="12"/>
  <c r="O30" i="12" s="1"/>
  <c r="G16" i="12"/>
  <c r="K16" i="12"/>
  <c r="K16" i="21" s="1"/>
  <c r="K16" i="19" l="1"/>
  <c r="K16" i="20"/>
  <c r="G19" i="12"/>
  <c r="AA4" i="12"/>
  <c r="Y4" i="12"/>
  <c r="W4" i="12"/>
  <c r="AB4" i="12" l="1"/>
  <c r="V5" i="12" s="1"/>
  <c r="W5" i="12" s="1"/>
  <c r="AC4" i="12"/>
  <c r="X5" i="12" s="1"/>
  <c r="Y5" i="12" s="1"/>
  <c r="Z5" i="12" l="1"/>
  <c r="AA5" i="12" s="1"/>
  <c r="AC5" i="12" s="1"/>
  <c r="X6" i="12" s="1"/>
  <c r="Y6" i="12" s="1"/>
  <c r="AD5" i="12"/>
  <c r="AB5" i="12" l="1"/>
  <c r="V6" i="12" s="1"/>
  <c r="W6" i="12" s="1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AD7" i="12" l="1"/>
  <c r="W7" i="12"/>
  <c r="AB7" i="12" s="1"/>
  <c r="V8" i="12" s="1"/>
  <c r="Z8" i="12" s="1"/>
  <c r="AA8" i="12" s="1"/>
  <c r="Y8" i="12"/>
  <c r="AD8" i="12" l="1"/>
  <c r="W8" i="12"/>
  <c r="AB8" i="12" s="1"/>
  <c r="V9" i="12" s="1"/>
  <c r="W9" i="12" s="1"/>
  <c r="AC8" i="12"/>
  <c r="X9" i="12" s="1"/>
  <c r="Y9" i="12" s="1"/>
  <c r="AD9" i="12" l="1"/>
  <c r="Z9" i="12"/>
  <c r="AA9" i="12" s="1"/>
  <c r="AB9" i="12" s="1"/>
  <c r="V10" i="12" s="1"/>
  <c r="W10" i="12" s="1"/>
  <c r="AC9" i="12" l="1"/>
  <c r="X10" i="12" s="1"/>
  <c r="Z10" i="12" s="1"/>
  <c r="AA10" i="12" s="1"/>
  <c r="AB10" i="12" s="1"/>
  <c r="V11" i="12" s="1"/>
  <c r="W11" i="12" s="1"/>
  <c r="AD10" i="12" l="1"/>
  <c r="Y10" i="12"/>
  <c r="AC10" i="12" s="1"/>
  <c r="X11" i="12" s="1"/>
  <c r="Y11" i="12" s="1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W14" i="12" s="1"/>
  <c r="AD13" i="12" l="1"/>
  <c r="Y13" i="12"/>
  <c r="AC13" i="12" s="1"/>
  <c r="X14" i="12" s="1"/>
  <c r="AD14" i="12" s="1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Y15" i="12" l="1"/>
  <c r="AC15" i="12" s="1"/>
  <c r="X16" i="12" s="1"/>
  <c r="Z16" i="12" s="1"/>
  <c r="AA16" i="12" s="1"/>
  <c r="AD15" i="12"/>
  <c r="W16" i="12"/>
  <c r="AB16" i="12" l="1"/>
  <c r="V17" i="12" s="1"/>
  <c r="W17" i="12" s="1"/>
  <c r="AD16" i="12"/>
  <c r="Y16" i="12"/>
  <c r="AC16" i="12" s="1"/>
  <c r="X17" i="12" s="1"/>
  <c r="Y17" i="12" l="1"/>
  <c r="AD17" i="12"/>
  <c r="Z17" i="12"/>
  <c r="AA17" i="12" s="1"/>
  <c r="AB17" i="12" s="1"/>
  <c r="V18" i="12" s="1"/>
  <c r="W18" i="12" s="1"/>
  <c r="AC17" i="12" l="1"/>
  <c r="X18" i="12" s="1"/>
  <c r="Y18" i="12" l="1"/>
  <c r="AD18" i="12"/>
  <c r="Z18" i="12"/>
  <c r="AA18" i="12" s="1"/>
  <c r="AB18" i="12" s="1"/>
  <c r="V19" i="12" s="1"/>
  <c r="W19" i="12" s="1"/>
  <c r="AC18" i="12" l="1"/>
  <c r="X19" i="12" s="1"/>
  <c r="Z19" i="12" l="1"/>
  <c r="AA19" i="12" s="1"/>
  <c r="AB19" i="12" s="1"/>
  <c r="V20" i="12" s="1"/>
  <c r="AD19" i="12"/>
  <c r="Y19" i="12"/>
  <c r="AC19" i="12" l="1"/>
  <c r="X20" i="12" s="1"/>
  <c r="Y20" i="12" s="1"/>
  <c r="W20" i="12"/>
  <c r="Z20" i="12" l="1"/>
  <c r="AA20" i="12" s="1"/>
  <c r="AB20" i="12" s="1"/>
  <c r="V21" i="12" s="1"/>
  <c r="W21" i="12" s="1"/>
  <c r="AD20" i="12"/>
  <c r="AC20" i="12" l="1"/>
  <c r="X21" i="12" s="1"/>
  <c r="Z21" i="12" s="1"/>
  <c r="AA21" i="12" s="1"/>
  <c r="AB21" i="12" s="1"/>
  <c r="V22" i="12" s="1"/>
  <c r="Y21" i="12" l="1"/>
  <c r="AC21" i="12" s="1"/>
  <c r="X22" i="12" s="1"/>
  <c r="Z22" i="12" s="1"/>
  <c r="AA22" i="12" s="1"/>
  <c r="AD21" i="12"/>
  <c r="W22" i="12"/>
  <c r="Y22" i="12" l="1"/>
  <c r="AC22" i="12" s="1"/>
  <c r="X23" i="12" s="1"/>
  <c r="Y23" i="12" s="1"/>
  <c r="AD22" i="12"/>
  <c r="AB22" i="12"/>
  <c r="V23" i="12" s="1"/>
  <c r="W23" i="12" s="1"/>
  <c r="Z23" i="12" l="1"/>
  <c r="AA23" i="12" s="1"/>
  <c r="AB23" i="12" s="1"/>
  <c r="V24" i="12" s="1"/>
  <c r="AD23" i="12"/>
  <c r="W24" i="12" l="1"/>
  <c r="AC23" i="12"/>
  <c r="X24" i="12" s="1"/>
  <c r="Y24" i="12" l="1"/>
  <c r="AD24" i="12"/>
  <c r="Z24" i="12"/>
  <c r="AA24" i="12" s="1"/>
  <c r="AB24" i="12" s="1"/>
  <c r="V25" i="12" s="1"/>
  <c r="W25" i="12" l="1"/>
  <c r="AC24" i="12"/>
  <c r="X25" i="12" s="1"/>
  <c r="AD25" i="12" l="1"/>
  <c r="Y25" i="12"/>
  <c r="Z25" i="12"/>
  <c r="AA25" i="12" s="1"/>
  <c r="AB25" i="12" s="1"/>
  <c r="V26" i="12" s="1"/>
  <c r="W26" i="12" l="1"/>
  <c r="AC25" i="12"/>
  <c r="X26" i="12" s="1"/>
  <c r="Z26" i="12" s="1"/>
  <c r="AA26" i="12" s="1"/>
  <c r="Y26" i="12" l="1"/>
  <c r="AC26" i="12" s="1"/>
  <c r="X27" i="12" s="1"/>
  <c r="AD26" i="12"/>
  <c r="AB26" i="12"/>
  <c r="V27" i="12" s="1"/>
  <c r="W27" i="12" l="1"/>
  <c r="Z27" i="12"/>
  <c r="AA27" i="12" s="1"/>
  <c r="Y27" i="12"/>
  <c r="AD27" i="12"/>
  <c r="AB27" i="12" l="1"/>
  <c r="V28" i="12" s="1"/>
  <c r="W28" i="12" s="1"/>
  <c r="AC27" i="12"/>
  <c r="X28" i="12" s="1"/>
  <c r="Z28" i="12" l="1"/>
  <c r="AA28" i="12" s="1"/>
  <c r="AB28" i="12" s="1"/>
  <c r="V29" i="12" s="1"/>
  <c r="AD28" i="12"/>
  <c r="Y28" i="12"/>
  <c r="AC28" i="12" l="1"/>
  <c r="X29" i="12" s="1"/>
  <c r="Y29" i="12" s="1"/>
  <c r="W29" i="12"/>
  <c r="Z29" i="12" l="1"/>
  <c r="AA29" i="12" s="1"/>
  <c r="AB29" i="12" s="1"/>
  <c r="V30" i="12" s="1"/>
  <c r="W30" i="12" s="1"/>
  <c r="AD29" i="12"/>
  <c r="AC29" i="12" l="1"/>
  <c r="X30" i="12" s="1"/>
  <c r="Z30" i="12" s="1"/>
  <c r="AA30" i="12" s="1"/>
  <c r="AB30" i="12" s="1"/>
  <c r="V31" i="12" s="1"/>
  <c r="AD30" i="12" l="1"/>
  <c r="Y30" i="12"/>
  <c r="AC30" i="12" s="1"/>
  <c r="X31" i="12" s="1"/>
  <c r="Y31" i="12" s="1"/>
  <c r="W31" i="12"/>
  <c r="Z31" i="12" l="1"/>
  <c r="AA31" i="12" s="1"/>
  <c r="AB31" i="12" s="1"/>
  <c r="V32" i="12" s="1"/>
  <c r="W32" i="12" s="1"/>
  <c r="AD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AD33" i="12" s="1"/>
  <c r="Z33" i="12" l="1"/>
  <c r="AA33" i="12" s="1"/>
  <c r="AB33" i="12" s="1"/>
  <c r="V34" i="12" s="1"/>
  <c r="W34" i="12" s="1"/>
  <c r="Y33" i="12"/>
  <c r="AC33" i="12" l="1"/>
  <c r="X34" i="12" s="1"/>
  <c r="Z34" i="12" s="1"/>
  <c r="O26" i="12" s="1"/>
  <c r="O27" i="12" s="1"/>
  <c r="G17" i="12" s="1"/>
  <c r="Y34" i="12" l="1"/>
  <c r="AD34" i="12"/>
  <c r="AA34" i="12"/>
  <c r="AB34" i="12" s="1"/>
  <c r="G18" i="12"/>
  <c r="G20" i="12"/>
  <c r="AC34" i="12" l="1"/>
  <c r="G33" i="12"/>
  <c r="K10" i="12" s="1"/>
  <c r="K6" i="12"/>
  <c r="K15" i="12" l="1"/>
  <c r="E7" i="26"/>
  <c r="K7" i="12"/>
  <c r="K18" i="12"/>
  <c r="K18" i="19" s="1"/>
  <c r="K19" i="12"/>
  <c r="K19" i="19" s="1"/>
  <c r="K43" i="12"/>
  <c r="K35" i="12"/>
  <c r="K44" i="19" l="1"/>
  <c r="K47" i="19" s="1"/>
  <c r="K36" i="19"/>
  <c r="K39" i="19" s="1"/>
  <c r="K30" i="19"/>
  <c r="K19" i="21"/>
  <c r="K19" i="20"/>
  <c r="K18" i="21"/>
  <c r="K18" i="20"/>
  <c r="E4" i="26"/>
  <c r="K30" i="12"/>
  <c r="K31" i="12" s="1"/>
  <c r="K36" i="12"/>
  <c r="K39" i="12" s="1"/>
  <c r="K44" i="12"/>
  <c r="K47" i="12" s="1"/>
  <c r="K30" i="21" l="1"/>
  <c r="K31" i="21" s="1"/>
  <c r="K44" i="21"/>
  <c r="K47" i="21" s="1"/>
  <c r="K36" i="21"/>
  <c r="K39" i="21" s="1"/>
  <c r="K31" i="19"/>
  <c r="AL4" i="19"/>
  <c r="AJ4" i="19"/>
  <c r="AH4" i="19"/>
  <c r="K36" i="20"/>
  <c r="K39" i="20" s="1"/>
  <c r="K44" i="20"/>
  <c r="K47" i="20" s="1"/>
  <c r="K30" i="20"/>
  <c r="AL4" i="21"/>
  <c r="AH4" i="21"/>
  <c r="AJ4" i="21"/>
  <c r="AL4" i="12"/>
  <c r="AH4" i="12"/>
  <c r="AJ4" i="12"/>
  <c r="K31" i="20" l="1"/>
  <c r="AH4" i="20"/>
  <c r="AL4" i="20"/>
  <c r="AJ4" i="20"/>
</calcChain>
</file>

<file path=xl/sharedStrings.xml><?xml version="1.0" encoding="utf-8"?>
<sst xmlns="http://schemas.openxmlformats.org/spreadsheetml/2006/main" count="2295" uniqueCount="185">
  <si>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</si>
  <si>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</si>
  <si>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</si>
  <si>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</si>
  <si>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</si>
  <si>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</si>
  <si>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</si>
  <si>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</si>
  <si>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</si>
  <si>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</si>
  <si>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</si>
  <si>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</si>
  <si>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</si>
  <si>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</si>
  <si>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</si>
  <si>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</si>
  <si>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</si>
  <si>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</si>
  <si>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</si>
  <si>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</si>
  <si>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</si>
  <si>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</si>
  <si>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</si>
  <si>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</si>
  <si>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</si>
  <si>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</si>
  <si>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</si>
  <si>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</si>
  <si>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</si>
  <si>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</si>
  <si>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</si>
  <si>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</si>
  <si>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</si>
  <si>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</si>
  <si>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</si>
  <si>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</si>
  <si>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</si>
  <si>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</si>
  <si>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</si>
  <si>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</si>
  <si>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</si>
  <si>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</si>
  <si>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</si>
  <si>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</si>
  <si>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</si>
  <si>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</si>
  <si>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</si>
  <si>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</si>
  <si>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</si>
  <si>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</si>
  <si>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</si>
  <si>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</si>
  <si>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</si>
  <si>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</si>
  <si>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</si>
  <si>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</si>
  <si>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</si>
  <si>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</si>
  <si>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</si>
  <si>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</si>
  <si>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</si>
  <si>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</si>
  <si>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</si>
  <si>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</si>
  <si>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</si>
  <si>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</si>
  <si>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</si>
  <si>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</si>
  <si>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</si>
  <si>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</si>
  <si>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</si>
  <si>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</si>
  <si>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</si>
  <si>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</si>
  <si>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</si>
  <si>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</si>
  <si>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</si>
  <si>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</si>
  <si>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</si>
  <si>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</si>
  <si>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</si>
  <si>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</si>
  <si>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</si>
  <si>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</si>
  <si>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</si>
  <si>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</si>
  <si>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</si>
  <si>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</si>
  <si>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</si>
  <si>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</si>
  <si>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</si>
  <si>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</si>
  <si>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</si>
  <si>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</si>
  <si>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</si>
  <si>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</si>
  <si>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</si>
  <si>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</si>
  <si>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</si>
  <si>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</si>
  <si>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</si>
  <si>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</si>
  <si>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</si>
  <si>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</si>
  <si>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</si>
  <si>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</si>
  <si>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</si>
  <si>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</si>
  <si>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</si>
  <si>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</si>
  <si>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</si>
  <si>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</si>
  <si>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</si>
  <si>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</si>
  <si>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CD0_total</t>
  </si>
  <si>
    <t>type</t>
  </si>
  <si>
    <t>wheeled</t>
  </si>
  <si>
    <t>f_LG</t>
  </si>
  <si>
    <t>eVTOL design parameters</t>
  </si>
  <si>
    <t>lift_rotor_solidity</t>
  </si>
  <si>
    <t>M</t>
  </si>
  <si>
    <t>sound_speed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</si>
  <si>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</si>
  <si>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</si>
  <si>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</si>
  <si>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</si>
  <si>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</si>
  <si>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</si>
  <si>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</si>
  <si>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</si>
  <si>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</si>
  <si>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</si>
  <si>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</si>
  <si>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</si>
  <si>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</si>
  <si>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</si>
  <si>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</si>
  <si>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</si>
  <si>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</si>
  <si>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</si>
  <si>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</si>
  <si>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</si>
  <si>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</si>
  <si>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</si>
  <si>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</si>
  <si>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</si>
  <si>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</si>
  <si>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</si>
  <si>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</si>
  <si>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</si>
  <si>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</si>
  <si>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</si>
  <si>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</si>
  <si>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</si>
  <si>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</si>
  <si>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</si>
  <si>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</si>
  <si>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</si>
  <si>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</si>
  <si>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</si>
  <si>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</si>
  <si>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</si>
  <si>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</si>
  <si>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mission_repetition</t>
  </si>
  <si>
    <t>rho_softmax</t>
  </si>
  <si>
    <t>tf_propulsion</t>
  </si>
  <si>
    <t>tf_structure</t>
  </si>
  <si>
    <t>tf_equipments</t>
  </si>
  <si>
    <t>Propeller|RPM_cruise</t>
  </si>
  <si>
    <t>Environment at 5500 ft</t>
  </si>
  <si>
    <t>Environment at 6500 ft</t>
  </si>
  <si>
    <t>efficiency T/P</t>
  </si>
  <si>
    <t>g/W</t>
  </si>
  <si>
    <t>CT/sigma</t>
  </si>
  <si>
    <t>motor_power_margin</t>
  </si>
  <si>
    <t>Reserve cruise segment</t>
  </si>
  <si>
    <t>reserve cruise duration</t>
  </si>
  <si>
    <t>CD0_wing</t>
  </si>
  <si>
    <t>f_e_non_hub_non_wing</t>
  </si>
  <si>
    <t>uniform</t>
  </si>
  <si>
    <t>linear</t>
  </si>
  <si>
    <t>uniform
coeffs</t>
  </si>
  <si>
    <t>weights</t>
  </si>
  <si>
    <t>linear
coeffs</t>
  </si>
  <si>
    <t>weighted_sum_of_energy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</si>
</sst>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0" applyFont="1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614.53</c:v>
                </c:pt>
                <c:pt idx="2">
                  <c:v>339.49</c:v>
                </c:pt>
                <c:pt idx="3">
                  <c:v>651.37</c:v>
                </c:pt>
                <c:pt idx="4">
                  <c:v>111.83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uniform_250!$K$34:$K$38</c:f>
              <c:numCache>
                <c:formatCode>General</c:formatCode>
                <c:ptCount val="5"/>
                <c:pt idx="0">
                  <c:v>25.89</c:v>
                </c:pt>
                <c:pt idx="1">
                  <c:v>26.52</c:v>
                </c:pt>
                <c:pt idx="2">
                  <c:v>14.65</c:v>
                </c:pt>
                <c:pt idx="3">
                  <c:v>28.11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07-E94B-B13B-C211704CAF6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07-E94B-B13B-C211704CAF6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07-E94B-B13B-C211704CAF6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07-E94B-B13B-C211704CAF6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07-E94B-B13B-C211704CAF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353.25</c:v>
                </c:pt>
                <c:pt idx="2">
                  <c:v>339.49</c:v>
                </c:pt>
                <c:pt idx="3">
                  <c:v>651.37</c:v>
                </c:pt>
                <c:pt idx="4">
                  <c:v>111.83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07-E94B-B13B-C211704CAF6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9E-DA4A-A8F0-5E5709DF7EE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9E-DA4A-A8F0-5E5709DF7EE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9E-DA4A-A8F0-5E5709DF7EE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9E-DA4A-A8F0-5E5709DF7EE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9E-DA4A-A8F0-5E5709DF7E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uniform_400!$K$34:$K$38</c:f>
              <c:numCache>
                <c:formatCode>General</c:formatCode>
                <c:ptCount val="5"/>
                <c:pt idx="0">
                  <c:v>29.18</c:v>
                </c:pt>
                <c:pt idx="1">
                  <c:v>17.18</c:v>
                </c:pt>
                <c:pt idx="2">
                  <c:v>16.510000000000002</c:v>
                </c:pt>
                <c:pt idx="3">
                  <c:v>31.68</c:v>
                </c:pt>
                <c:pt idx="4">
                  <c:v>5.44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9E-DA4A-A8F0-5E5709DF7E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DE-2242-ABB2-61C77477FC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DE-2242-ABB2-61C77477FC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DE-2242-ABB2-61C77477FC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DE-2242-ABB2-61C77477FC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DE-2242-ABB2-61C77477FC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248.49</c:v>
                </c:pt>
                <c:pt idx="2">
                  <c:v>339.49</c:v>
                </c:pt>
                <c:pt idx="3">
                  <c:v>651.37</c:v>
                </c:pt>
                <c:pt idx="4">
                  <c:v>111.83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DE-2242-ABB2-61C77477FC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41-3E40-BF25-7077355B37E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41-3E40-BF25-7077355B37E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41-3E40-BF25-7077355B37E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41-3E40-BF25-7077355B37E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41-3E40-BF25-7077355B37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uniform_550!$K$34:$K$38</c:f>
              <c:numCache>
                <c:formatCode>General</c:formatCode>
                <c:ptCount val="5"/>
                <c:pt idx="0">
                  <c:v>30.75</c:v>
                </c:pt>
                <c:pt idx="1">
                  <c:v>12.74</c:v>
                </c:pt>
                <c:pt idx="2">
                  <c:v>17.399999999999999</c:v>
                </c:pt>
                <c:pt idx="3">
                  <c:v>33.380000000000003</c:v>
                </c:pt>
                <c:pt idx="4">
                  <c:v>5.73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41-3E40-BF25-7077355B37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AC-D547-8F73-C59A2B2BDBB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AC-D547-8F73-C59A2B2BDBB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AC-D547-8F73-C59A2B2BDBB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AC-D547-8F73-C59A2B2BDBB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AC-D547-8F73-C59A2B2BDB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191.76</c:v>
                </c:pt>
                <c:pt idx="2">
                  <c:v>339.49</c:v>
                </c:pt>
                <c:pt idx="3">
                  <c:v>651.37</c:v>
                </c:pt>
                <c:pt idx="4">
                  <c:v>111.83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AC-D547-8F73-C59A2B2BDB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46-984E-B21E-5F01E909243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46-984E-B21E-5F01E909243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746-984E-B21E-5F01E909243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746-984E-B21E-5F01E909243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746-984E-B21E-5F01E90924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uniform_700!$K$34:$K$38</c:f>
              <c:numCache>
                <c:formatCode>General</c:formatCode>
                <c:ptCount val="5"/>
                <c:pt idx="0">
                  <c:v>31.67</c:v>
                </c:pt>
                <c:pt idx="1">
                  <c:v>10.119999999999999</c:v>
                </c:pt>
                <c:pt idx="2">
                  <c:v>17.920000000000002</c:v>
                </c:pt>
                <c:pt idx="3">
                  <c:v>34.380000000000003</c:v>
                </c:pt>
                <c:pt idx="4">
                  <c:v>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46-984E-B21E-5F01E909243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31-F147-8E3B-235EF7FED19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31-F147-8E3B-235EF7FED19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31-F147-8E3B-235EF7FED19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31-F147-8E3B-235EF7FED19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C31-F147-8E3B-235EF7FED1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613.4</c:v>
                </c:pt>
                <c:pt idx="2">
                  <c:v>339.35</c:v>
                </c:pt>
                <c:pt idx="3">
                  <c:v>661.14</c:v>
                </c:pt>
                <c:pt idx="4">
                  <c:v>112.29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31-F147-8E3B-235EF7FED19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9D-054F-BF9D-594ABFFA280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9D-054F-BF9D-594ABFFA280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99D-054F-BF9D-594ABFFA280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99D-054F-BF9D-594ABFFA280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99D-054F-BF9D-594ABFFA28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linear_250!$K$34:$K$38</c:f>
              <c:numCache>
                <c:formatCode>General</c:formatCode>
                <c:ptCount val="5"/>
                <c:pt idx="0">
                  <c:v>25.79</c:v>
                </c:pt>
                <c:pt idx="1">
                  <c:v>26.37</c:v>
                </c:pt>
                <c:pt idx="2">
                  <c:v>14.59</c:v>
                </c:pt>
                <c:pt idx="3">
                  <c:v>28.42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9D-054F-BF9D-594ABFFA28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76F-A94C-9473-768CE60070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76F-A94C-9473-768CE60070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76F-A94C-9473-768CE60070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6F-A94C-9473-768CE60070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76F-A94C-9473-768CE60070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353.13</c:v>
                </c:pt>
                <c:pt idx="2">
                  <c:v>339.35</c:v>
                </c:pt>
                <c:pt idx="3">
                  <c:v>661.14</c:v>
                </c:pt>
                <c:pt idx="4">
                  <c:v>112.29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6F-A94C-9473-768CE600703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98-3C46-B365-7C2FB1EB42A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98-3C46-B365-7C2FB1EB42A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98-3C46-B365-7C2FB1EB42A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98-3C46-B365-7C2FB1EB42A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98-3C46-B365-7C2FB1EB42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linear_400!$K$34:$K$38</c:f>
              <c:numCache>
                <c:formatCode>General</c:formatCode>
                <c:ptCount val="5"/>
                <c:pt idx="0">
                  <c:v>29.04</c:v>
                </c:pt>
                <c:pt idx="1">
                  <c:v>17.09</c:v>
                </c:pt>
                <c:pt idx="2">
                  <c:v>16.43</c:v>
                </c:pt>
                <c:pt idx="3">
                  <c:v>32</c:v>
                </c:pt>
                <c:pt idx="4">
                  <c:v>5.44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98-3C46-B365-7C2FB1EB42A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96-9746-929D-9D379D51AB3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96-9746-929D-9D379D51AB3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196-9746-929D-9D379D51AB3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196-9746-929D-9D379D51AB3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196-9746-929D-9D379D51AB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248.53</c:v>
                </c:pt>
                <c:pt idx="2">
                  <c:v>339.35</c:v>
                </c:pt>
                <c:pt idx="3">
                  <c:v>661.14</c:v>
                </c:pt>
                <c:pt idx="4">
                  <c:v>112.29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96-9746-929D-9D379D51AB3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33-444E-9331-197FAD1AD5B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33-444E-9331-197FAD1AD5B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D33-444E-9331-197FAD1AD5B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D33-444E-9331-197FAD1AD5B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D33-444E-9331-197FAD1AD5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linear_550!$K$34:$K$38</c:f>
              <c:numCache>
                <c:formatCode>General</c:formatCode>
                <c:ptCount val="5"/>
                <c:pt idx="0">
                  <c:v>30.59</c:v>
                </c:pt>
                <c:pt idx="1">
                  <c:v>12.67</c:v>
                </c:pt>
                <c:pt idx="2">
                  <c:v>17.3</c:v>
                </c:pt>
                <c:pt idx="3">
                  <c:v>33.71</c:v>
                </c:pt>
                <c:pt idx="4">
                  <c:v>5.73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33-444E-9331-197FAD1AD5B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C3-6148-854C-757FD56E51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C3-6148-854C-757FD56E51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C3-6148-854C-757FD56E51D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C3-6148-854C-757FD56E51D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C3-6148-854C-757FD56E51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191.85</c:v>
                </c:pt>
                <c:pt idx="2">
                  <c:v>339.35</c:v>
                </c:pt>
                <c:pt idx="3">
                  <c:v>661.14</c:v>
                </c:pt>
                <c:pt idx="4">
                  <c:v>112.29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C3-6148-854C-757FD56E51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EC-C447-8527-1A1FB5EFEF5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EC-C447-8527-1A1FB5EFEF5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EC-C447-8527-1A1FB5EFEF5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EC-C447-8527-1A1FB5EFEF5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6EC-C447-8527-1A1FB5EFEF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linear_700!$K$34:$K$38</c:f>
              <c:numCache>
                <c:formatCode>General</c:formatCode>
                <c:ptCount val="5"/>
                <c:pt idx="0">
                  <c:v>31.5</c:v>
                </c:pt>
                <c:pt idx="1">
                  <c:v>10.07</c:v>
                </c:pt>
                <c:pt idx="2">
                  <c:v>17.82</c:v>
                </c:pt>
                <c:pt idx="3">
                  <c:v>34.71</c:v>
                </c:pt>
                <c:pt idx="4">
                  <c:v>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EC-C447-8527-1A1FB5EFEF5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BDA40-F24D-9343-A762-7E559C61E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6A4612-758F-064D-8F06-F700304E5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8BBB3-E1AB-9E43-84F5-083CA8E5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8A2940-D8F7-A74F-9578-E629963B0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CFFF4-03F9-944C-A86B-ADFDB8ED7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B3E8C7-8FD5-134F-AAB7-3680C5335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15E2C3-5EF0-394D-8F36-27411F4E3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DD1BCB-8546-2A4F-8F83-20501D41B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47B53-0996-E746-AECF-BB2822473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EE131-EC7D-7244-9D52-638B840C2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995307-5CCD-EF42-84F1-5FC73929A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441D2-1031-4742-9CA4-8BAD48BDF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5ED848-C4ED-7F40-8725-CD8BDDF0D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90B7A-8D32-2A45-BEE2-3A493BD17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866A-75E0-C34B-9B47-0CDA4F201F3C}">
  <dimension ref="B3:G15"/>
  <sheetViews>
    <sheetView tabSelected="1" topLeftCell="A2" workbookViewId="0">
      <selection activeCell="G4" sqref="G4"/>
    </sheetView>
  </sheetViews>
  <sheetFormatPr baseColWidth="10" defaultRowHeight="16" x14ac:dyDescent="0.2"/>
  <sheetData>
    <row r="3" spans="2:7" x14ac:dyDescent="0.2">
      <c r="B3" s="2"/>
      <c r="C3" s="2"/>
      <c r="D3" s="2"/>
      <c r="E3" s="2" t="s">
        <v>179</v>
      </c>
      <c r="F3" s="2" t="s">
        <v>180</v>
      </c>
    </row>
    <row r="4" spans="2:7" x14ac:dyDescent="0.2">
      <c r="B4" s="27" t="s">
        <v>184</v>
      </c>
      <c r="C4" s="27"/>
      <c r="D4" s="27"/>
      <c r="E4" s="4">
        <f>C7*E7 + C8*E8 + C9*E9 + C10*E10</f>
        <v>96.191826409293469</v>
      </c>
      <c r="F4" s="4">
        <f xml:space="preserve"> C12*E12 + C13*E13 + C14*E14 + C15*E15</f>
        <v>94.051166024473019</v>
      </c>
    </row>
    <row r="6" spans="2:7" x14ac:dyDescent="0.2">
      <c r="D6" s="2"/>
      <c r="E6" s="2"/>
      <c r="F6" s="2"/>
      <c r="G6" s="2"/>
    </row>
    <row r="7" spans="2:7" x14ac:dyDescent="0.2">
      <c r="B7" s="28" t="s">
        <v>181</v>
      </c>
      <c r="C7" s="2">
        <v>0.25</v>
      </c>
      <c r="D7" s="27" t="s">
        <v>182</v>
      </c>
      <c r="E7" s="2">
        <f>uniform_250!K10</f>
        <v>104.46966989171881</v>
      </c>
      <c r="F7" s="2"/>
      <c r="G7" s="2"/>
    </row>
    <row r="8" spans="2:7" x14ac:dyDescent="0.2">
      <c r="B8" s="27"/>
      <c r="C8" s="2">
        <v>0.25</v>
      </c>
      <c r="D8" s="27"/>
      <c r="E8" s="2">
        <f>uniform_400!K10</f>
        <v>96.084077233968372</v>
      </c>
      <c r="F8" s="2"/>
      <c r="G8" s="2"/>
    </row>
    <row r="9" spans="2:7" x14ac:dyDescent="0.2">
      <c r="B9" s="27"/>
      <c r="C9" s="2">
        <v>0.25</v>
      </c>
      <c r="D9" s="27"/>
      <c r="E9" s="2">
        <f>uniform_550!K10</f>
        <v>92.934000918227468</v>
      </c>
      <c r="F9" s="2"/>
      <c r="G9" s="2"/>
    </row>
    <row r="10" spans="2:7" x14ac:dyDescent="0.2">
      <c r="B10" s="27"/>
      <c r="C10" s="2">
        <v>0.25</v>
      </c>
      <c r="D10" s="27"/>
      <c r="E10" s="2">
        <f>uniform_700!K10</f>
        <v>91.279557593259227</v>
      </c>
      <c r="F10" s="2"/>
      <c r="G10" s="2"/>
    </row>
    <row r="11" spans="2:7" x14ac:dyDescent="0.2">
      <c r="D11" s="2"/>
      <c r="E11" s="2"/>
      <c r="F11" s="2"/>
      <c r="G11" s="2"/>
    </row>
    <row r="12" spans="2:7" x14ac:dyDescent="0.2">
      <c r="B12" s="28" t="s">
        <v>183</v>
      </c>
      <c r="C12" s="2">
        <v>0.1</v>
      </c>
      <c r="D12" s="27" t="s">
        <v>182</v>
      </c>
      <c r="E12" s="2">
        <f>linear_250!K10</f>
        <v>104.2788177732866</v>
      </c>
      <c r="F12" s="2"/>
      <c r="G12" s="2"/>
    </row>
    <row r="13" spans="2:7" x14ac:dyDescent="0.2">
      <c r="B13" s="27"/>
      <c r="C13" s="2">
        <v>0.2</v>
      </c>
      <c r="D13" s="27"/>
      <c r="E13" s="2">
        <f>linear_400!K10</f>
        <v>96.050279849794009</v>
      </c>
      <c r="F13" s="2"/>
      <c r="G13" s="2"/>
    </row>
    <row r="14" spans="2:7" x14ac:dyDescent="0.2">
      <c r="B14" s="27"/>
      <c r="C14" s="2">
        <v>0.3</v>
      </c>
      <c r="D14" s="27"/>
      <c r="E14" s="2">
        <f>linear_550!K10</f>
        <v>92.950298645666692</v>
      </c>
      <c r="F14" s="2"/>
      <c r="G14" s="2"/>
    </row>
    <row r="15" spans="2:7" x14ac:dyDescent="0.2">
      <c r="B15" s="27"/>
      <c r="C15" s="2">
        <v>0.4</v>
      </c>
      <c r="D15" s="27"/>
      <c r="E15" s="2">
        <f>linear_700!K10</f>
        <v>91.320346708713856</v>
      </c>
      <c r="F15" s="2"/>
      <c r="G15" s="2"/>
    </row>
  </sheetData>
  <mergeCells count="5">
    <mergeCell ref="B4:D4"/>
    <mergeCell ref="B7:B10"/>
    <mergeCell ref="D7:D10"/>
    <mergeCell ref="B12:B15"/>
    <mergeCell ref="D12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483.92399620351273</v>
      </c>
      <c r="L4" s="6" t="s">
        <v>97</v>
      </c>
      <c r="N4" s="6" t="s">
        <v>131</v>
      </c>
      <c r="O4" s="6">
        <f xml:space="preserve"> $C$5 * $C$74</f>
        <v>22709.985098055848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1.2404462384396251</v>
      </c>
      <c r="X4" s="3">
        <v>1</v>
      </c>
      <c r="Y4" s="2">
        <f t="shared" ref="Y4:Y34" si="1" xml:space="preserve"> $O$22 * TAN($O$19/180*PI()) + $O$23 / (2 * SQRT($O$22^2 + X4^2)) - X4</f>
        <v>-2.4721761050366609E-2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0.49877320799009994</v>
      </c>
      <c r="AB4" s="2">
        <f>W4*AA4</f>
        <v>0.61870134968578427</v>
      </c>
      <c r="AC4" s="2">
        <f>Y4*AA4</f>
        <v>-1.2330552066256056E-2</v>
      </c>
      <c r="AD4" s="2">
        <f>X4-V4</f>
        <v>1</v>
      </c>
      <c r="AF4" s="2">
        <v>0</v>
      </c>
      <c r="AH4" s="2">
        <f>K30</f>
        <v>1.2913786667922977E-4</v>
      </c>
      <c r="AJ4" s="2">
        <f>K30</f>
        <v>1.2913786667922977E-4</v>
      </c>
      <c r="AL4" s="2">
        <f>K30</f>
        <v>1.2913786667922977E-4</v>
      </c>
    </row>
    <row r="5" spans="2:41" x14ac:dyDescent="0.2">
      <c r="B5" s="9" t="s">
        <v>38</v>
      </c>
      <c r="C5" s="9">
        <v>2317.21450388639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60.490499525439091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0.49877320799009994</v>
      </c>
      <c r="X5" s="2">
        <f>IF(AC4&gt;0, Z4, X4)</f>
        <v>1</v>
      </c>
      <c r="Y5" s="2">
        <f t="shared" si="1"/>
        <v>-2.4721761050366609E-2</v>
      </c>
      <c r="Z5" s="2">
        <f t="shared" ref="Z5:Z34" si="3" xml:space="preserve"> (V5 + X5)/2</f>
        <v>0.75</v>
      </c>
      <c r="AA5" s="2">
        <f t="shared" si="2"/>
        <v>0.23318716102066961</v>
      </c>
      <c r="AB5" s="2">
        <f t="shared" ref="AB5:AB34" si="4">W5*AA5</f>
        <v>0.11630750836438337</v>
      </c>
      <c r="AC5" s="2">
        <f t="shared" ref="AC5:AC34" si="5">Y5*AA5</f>
        <v>-5.7647972747663567E-3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-943.06009169900426</v>
      </c>
      <c r="AI5" s="3">
        <v>10000</v>
      </c>
      <c r="AJ5" s="2">
        <f t="dataTable" ref="AJ5:AJ44" dt2D="0" dtr="0" r1="C5"/>
        <v>3285.9485851648396</v>
      </c>
      <c r="AK5" s="2">
        <f>(AG5+AI5)/2</f>
        <v>5250</v>
      </c>
      <c r="AL5" s="2">
        <f t="dataTable" ref="AL5:AL44" dt2D="0" dtr="0" r1="C5" ca="1"/>
        <v>1052.1994151576841</v>
      </c>
      <c r="AM5" s="2">
        <f>AH5*AL5</f>
        <v>-992287.27694424428</v>
      </c>
      <c r="AN5" s="2">
        <f>AJ5*AL5</f>
        <v>3457473.179548664</v>
      </c>
      <c r="AO5" s="2">
        <f>AI5-AG5</f>
        <v>9500</v>
      </c>
    </row>
    <row r="6" spans="2:41" x14ac:dyDescent="0.2">
      <c r="B6" s="6" t="s">
        <v>168</v>
      </c>
      <c r="C6" s="16">
        <v>472.54527421905101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159.69799804501548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0.22928241136540803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0.23318716102066961</v>
      </c>
      <c r="X6" s="2">
        <f t="shared" ref="X6:X34" si="8">IF(AC5&gt;0, Z5, X5)</f>
        <v>1</v>
      </c>
      <c r="Y6" s="2">
        <f t="shared" si="1"/>
        <v>-2.4721761050366609E-2</v>
      </c>
      <c r="Z6" s="2">
        <f t="shared" si="3"/>
        <v>0.875</v>
      </c>
      <c r="AA6" s="2">
        <f t="shared" si="2"/>
        <v>0.1036754787209645</v>
      </c>
      <c r="AB6" s="2">
        <f t="shared" si="4"/>
        <v>2.4175790550400554E-2</v>
      </c>
      <c r="AC6" s="2">
        <f t="shared" si="5"/>
        <v>-2.5630404117220522E-3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-943.06009169900426</v>
      </c>
      <c r="AI6" s="2">
        <f>IF(AN5&gt;0,AK5,AI5)</f>
        <v>5250</v>
      </c>
      <c r="AJ6" s="2">
        <v>1052.1994151576841</v>
      </c>
      <c r="AK6" s="2">
        <f t="shared" ref="AK6:AK44" si="9">(AG6+AI6)/2</f>
        <v>2875</v>
      </c>
      <c r="AL6" s="2">
        <v>249.55477816102325</v>
      </c>
      <c r="AM6" s="2">
        <f t="shared" ref="AM6:AM44" si="10">AH6*AL6</f>
        <v>-235345.15197645925</v>
      </c>
      <c r="AN6" s="2">
        <f t="shared" ref="AN6:AN44" si="11">AJ6*AL6</f>
        <v>262581.39163083426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2839.0196938432709</v>
      </c>
      <c r="H7" s="6" t="s">
        <v>21</v>
      </c>
      <c r="J7" s="6" t="s">
        <v>133</v>
      </c>
      <c r="K7" s="6">
        <f>K6/$C$28</f>
        <v>159.69799804501548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0.1036754787209645</v>
      </c>
      <c r="X7" s="2">
        <f t="shared" si="8"/>
        <v>1</v>
      </c>
      <c r="Y7" s="2">
        <f t="shared" si="1"/>
        <v>-2.4721761050366609E-2</v>
      </c>
      <c r="Z7" s="2">
        <f t="shared" si="3"/>
        <v>0.9375</v>
      </c>
      <c r="AA7" s="2">
        <f t="shared" si="2"/>
        <v>3.9364949660037563E-2</v>
      </c>
      <c r="AB7" s="2">
        <f t="shared" si="4"/>
        <v>4.0811800008310629E-3</v>
      </c>
      <c r="AC7" s="2">
        <f t="shared" si="5"/>
        <v>-9.731708792551589E-4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-943.06009169900426</v>
      </c>
      <c r="AI7" s="2">
        <f t="shared" ref="AI7:AI44" si="14">IF(AN6&gt;0,AK6,AI6)</f>
        <v>2875</v>
      </c>
      <c r="AJ7" s="2">
        <v>249.55477816102325</v>
      </c>
      <c r="AK7" s="2">
        <f t="shared" si="9"/>
        <v>1687.5</v>
      </c>
      <c r="AL7" s="2">
        <v>-307.76530537807389</v>
      </c>
      <c r="AM7" s="2">
        <f t="shared" si="10"/>
        <v>290241.1771116184</v>
      </c>
      <c r="AN7" s="2">
        <f t="shared" si="11"/>
        <v>-76804.302509284811</v>
      </c>
      <c r="AO7" s="2">
        <f t="shared" si="12"/>
        <v>2375</v>
      </c>
    </row>
    <row r="8" spans="2:41" x14ac:dyDescent="0.2">
      <c r="B8" s="6" t="s">
        <v>91</v>
      </c>
      <c r="C8" s="16">
        <v>2.24224116539648</v>
      </c>
      <c r="D8" s="6" t="s">
        <v>8</v>
      </c>
      <c r="F8" t="s">
        <v>93</v>
      </c>
      <c r="G8" s="6">
        <f>G10/$C$21</f>
        <v>40.326999683626063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3.9364949660037563E-2</v>
      </c>
      <c r="X8" s="2">
        <f t="shared" si="8"/>
        <v>1</v>
      </c>
      <c r="Y8" s="2">
        <f t="shared" si="1"/>
        <v>-2.4721761050366609E-2</v>
      </c>
      <c r="Z8" s="2">
        <f t="shared" si="3"/>
        <v>0.96875</v>
      </c>
      <c r="AA8" s="2">
        <f t="shared" si="2"/>
        <v>7.2962836541193843E-3</v>
      </c>
      <c r="AB8" s="2">
        <f t="shared" si="4"/>
        <v>2.8721783874976451E-4</v>
      </c>
      <c r="AC8" s="2">
        <f t="shared" si="5"/>
        <v>-1.8037698105283516E-4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-307.76530537807389</v>
      </c>
      <c r="AI8" s="2">
        <f t="shared" si="14"/>
        <v>2875</v>
      </c>
      <c r="AJ8" s="2">
        <v>249.55477816102325</v>
      </c>
      <c r="AK8" s="2">
        <f t="shared" si="9"/>
        <v>2281.25</v>
      </c>
      <c r="AL8" s="2">
        <v>-16.850310510502823</v>
      </c>
      <c r="AM8" s="2">
        <f t="shared" si="10"/>
        <v>5185.9409599802693</v>
      </c>
      <c r="AN8" s="2">
        <f t="shared" si="11"/>
        <v>-4205.0755013928901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7.1825778078751004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1.9973185314981656E-2</v>
      </c>
      <c r="U9" s="2">
        <v>5</v>
      </c>
      <c r="V9" s="2">
        <f t="shared" si="7"/>
        <v>0.96875</v>
      </c>
      <c r="W9" s="2">
        <f t="shared" si="0"/>
        <v>7.2962836541193843E-3</v>
      </c>
      <c r="X9" s="2">
        <f t="shared" si="8"/>
        <v>1</v>
      </c>
      <c r="Y9" s="2">
        <f t="shared" si="1"/>
        <v>-2.4721761050366609E-2</v>
      </c>
      <c r="Z9" s="2">
        <f t="shared" si="3"/>
        <v>0.984375</v>
      </c>
      <c r="AA9" s="2">
        <f t="shared" si="2"/>
        <v>-8.7187693828316704E-3</v>
      </c>
      <c r="AB9" s="2">
        <f t="shared" si="4"/>
        <v>-6.3614614531991271E-5</v>
      </c>
      <c r="AC9" s="2">
        <f t="shared" si="5"/>
        <v>2.155433333356169E-4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-16.850310510502823</v>
      </c>
      <c r="AI9" s="2">
        <f t="shared" si="14"/>
        <v>2875</v>
      </c>
      <c r="AJ9" s="2">
        <v>249.55477816102325</v>
      </c>
      <c r="AK9" s="2">
        <f t="shared" si="9"/>
        <v>2578.125</v>
      </c>
      <c r="AL9" s="2">
        <v>119.50973789382647</v>
      </c>
      <c r="AM9" s="2">
        <f t="shared" si="10"/>
        <v>-2013.7761925397815</v>
      </c>
      <c r="AN9" s="2">
        <f t="shared" si="11"/>
        <v>29824.226128175898</v>
      </c>
      <c r="AO9" s="2">
        <f t="shared" si="12"/>
        <v>593.75</v>
      </c>
    </row>
    <row r="10" spans="2:41" x14ac:dyDescent="0.2">
      <c r="B10" s="6" t="s">
        <v>134</v>
      </c>
      <c r="C10" s="16">
        <v>1.4190386317886401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322.61599746900851</v>
      </c>
      <c r="H10" s="22" t="s">
        <v>97</v>
      </c>
      <c r="J10" s="6" t="s">
        <v>92</v>
      </c>
      <c r="K10" s="6">
        <f xml:space="preserve"> $C$18 * (G10*G6 + G20*G13 + G29*G25 + G33*G32)/3600</f>
        <v>104.46966989171881</v>
      </c>
      <c r="L10" s="6" t="s">
        <v>98</v>
      </c>
      <c r="N10" s="6" t="s">
        <v>39</v>
      </c>
      <c r="O10" s="6">
        <f xml:space="preserve"> O5 * $C$12 * O9</f>
        <v>1142.3317962722385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7.2962836541193843E-3</v>
      </c>
      <c r="X10" s="2">
        <f t="shared" si="8"/>
        <v>0.984375</v>
      </c>
      <c r="Y10" s="2">
        <f t="shared" si="1"/>
        <v>-8.7187693828316704E-3</v>
      </c>
      <c r="Z10" s="2">
        <f t="shared" si="3"/>
        <v>0.9765625</v>
      </c>
      <c r="AA10" s="2">
        <f t="shared" si="2"/>
        <v>-7.1278619990589043E-4</v>
      </c>
      <c r="AB10" s="2">
        <f t="shared" si="4"/>
        <v>-5.20069029925522E-6</v>
      </c>
      <c r="AC10" s="2">
        <f t="shared" si="5"/>
        <v>6.2146184962444121E-6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-16.850310510502823</v>
      </c>
      <c r="AI10" s="2">
        <f t="shared" si="14"/>
        <v>2578.125</v>
      </c>
      <c r="AJ10" s="2">
        <v>119.50973789382647</v>
      </c>
      <c r="AK10" s="2">
        <f t="shared" si="9"/>
        <v>2429.6875</v>
      </c>
      <c r="AL10" s="2">
        <v>52.110271135111816</v>
      </c>
      <c r="AM10" s="2">
        <f t="shared" si="10"/>
        <v>-878.07424941312649</v>
      </c>
      <c r="AN10" s="2">
        <f t="shared" si="11"/>
        <v>6227.6848449334439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0.748536815632041</v>
      </c>
      <c r="U11" s="2">
        <v>7</v>
      </c>
      <c r="V11" s="2">
        <f t="shared" si="7"/>
        <v>0.96875</v>
      </c>
      <c r="W11" s="2">
        <f t="shared" si="0"/>
        <v>7.2962836541193843E-3</v>
      </c>
      <c r="X11" s="2">
        <f t="shared" si="8"/>
        <v>0.9765625</v>
      </c>
      <c r="Y11" s="2">
        <f t="shared" si="1"/>
        <v>-7.1278619990589043E-4</v>
      </c>
      <c r="Z11" s="2">
        <f t="shared" si="3"/>
        <v>0.97265625</v>
      </c>
      <c r="AA11" s="2">
        <f t="shared" si="2"/>
        <v>3.2913583121179091E-3</v>
      </c>
      <c r="AB11" s="2">
        <f t="shared" si="4"/>
        <v>2.4014683852555865E-5</v>
      </c>
      <c r="AC11" s="2">
        <f t="shared" si="5"/>
        <v>-2.34603478382319E-6</v>
      </c>
      <c r="AD11" s="2">
        <f t="shared" si="6"/>
        <v>7.8125E-3</v>
      </c>
      <c r="AF11" s="2">
        <v>7</v>
      </c>
      <c r="AG11" s="2">
        <f t="shared" si="13"/>
        <v>2281.25</v>
      </c>
      <c r="AH11" s="2">
        <v>-16.850310510502823</v>
      </c>
      <c r="AI11" s="2">
        <f t="shared" si="14"/>
        <v>2429.6875</v>
      </c>
      <c r="AJ11" s="2">
        <v>52.110271135111816</v>
      </c>
      <c r="AK11" s="2">
        <f t="shared" si="9"/>
        <v>2355.46875</v>
      </c>
      <c r="AL11" s="2">
        <v>17.823830656589735</v>
      </c>
      <c r="AM11" s="2">
        <f t="shared" si="10"/>
        <v>-300.33708105015643</v>
      </c>
      <c r="AN11" s="2">
        <f t="shared" si="11"/>
        <v>928.80464818120913</v>
      </c>
      <c r="AO11" s="2">
        <f t="shared" si="12"/>
        <v>148.4375</v>
      </c>
    </row>
    <row r="12" spans="2:41" x14ac:dyDescent="0.2">
      <c r="B12" s="6" t="s">
        <v>135</v>
      </c>
      <c r="C12" s="16">
        <v>25.223455013504399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0.39707442473731369</v>
      </c>
      <c r="U12" s="2">
        <v>8</v>
      </c>
      <c r="V12" s="2">
        <f t="shared" si="7"/>
        <v>0.97265625</v>
      </c>
      <c r="W12" s="2">
        <f t="shared" si="0"/>
        <v>3.2913583121179091E-3</v>
      </c>
      <c r="X12" s="2">
        <f t="shared" si="8"/>
        <v>0.9765625</v>
      </c>
      <c r="Y12" s="2">
        <f t="shared" si="1"/>
        <v>-7.1278619990589043E-4</v>
      </c>
      <c r="Z12" s="2">
        <f t="shared" si="3"/>
        <v>0.974609375</v>
      </c>
      <c r="AA12" s="2">
        <f t="shared" si="2"/>
        <v>1.2891890306300224E-3</v>
      </c>
      <c r="AB12" s="2">
        <f t="shared" si="4"/>
        <v>4.2431830318553536E-6</v>
      </c>
      <c r="AC12" s="2">
        <f t="shared" si="5"/>
        <v>-9.1891615010313223E-7</v>
      </c>
      <c r="AD12" s="2">
        <f t="shared" si="6"/>
        <v>3.90625E-3</v>
      </c>
      <c r="AF12" s="2">
        <v>8</v>
      </c>
      <c r="AG12" s="2">
        <f t="shared" si="13"/>
        <v>2281.25</v>
      </c>
      <c r="AH12" s="2">
        <v>-16.850310510502823</v>
      </c>
      <c r="AI12" s="2">
        <f t="shared" si="14"/>
        <v>2355.46875</v>
      </c>
      <c r="AJ12" s="2">
        <v>17.823830656589735</v>
      </c>
      <c r="AK12" s="2">
        <f t="shared" si="9"/>
        <v>2318.359375</v>
      </c>
      <c r="AL12" s="2">
        <v>0.53504755424728501</v>
      </c>
      <c r="AM12" s="2">
        <f t="shared" si="10"/>
        <v>-9.0157174269518556</v>
      </c>
      <c r="AN12" s="2">
        <f t="shared" si="11"/>
        <v>9.5365970001261182</v>
      </c>
      <c r="AO12" s="2">
        <f t="shared" si="12"/>
        <v>74.21875</v>
      </c>
    </row>
    <row r="13" spans="2:41" x14ac:dyDescent="0.2">
      <c r="B13" s="6" t="s">
        <v>136</v>
      </c>
      <c r="C13" s="16">
        <v>10.311484396624399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2.6475374536449256E-2</v>
      </c>
      <c r="U13" s="2">
        <v>9</v>
      </c>
      <c r="V13" s="2">
        <f t="shared" si="7"/>
        <v>0.974609375</v>
      </c>
      <c r="W13" s="2">
        <f t="shared" si="0"/>
        <v>1.2891890306300224E-3</v>
      </c>
      <c r="X13" s="2">
        <f t="shared" si="8"/>
        <v>0.9765625</v>
      </c>
      <c r="Y13" s="2">
        <f t="shared" si="1"/>
        <v>-7.1278619990589043E-4</v>
      </c>
      <c r="Z13" s="2">
        <f t="shared" si="3"/>
        <v>0.9755859375</v>
      </c>
      <c r="AA13" s="2">
        <f t="shared" si="2"/>
        <v>2.8817723077967372E-4</v>
      </c>
      <c r="AB13" s="2">
        <f t="shared" si="4"/>
        <v>3.7151492479849181E-7</v>
      </c>
      <c r="AC13" s="2">
        <f t="shared" si="5"/>
        <v>-2.0540875322684642E-7</v>
      </c>
      <c r="AD13" s="2">
        <f t="shared" si="6"/>
        <v>1.953125E-3</v>
      </c>
      <c r="AF13" s="2">
        <v>9</v>
      </c>
      <c r="AG13" s="2">
        <f t="shared" si="13"/>
        <v>2281.25</v>
      </c>
      <c r="AH13" s="2">
        <v>-16.850310510502823</v>
      </c>
      <c r="AI13" s="2">
        <f t="shared" si="14"/>
        <v>2318.359375</v>
      </c>
      <c r="AJ13" s="2">
        <v>0.53504755424728501</v>
      </c>
      <c r="AK13" s="2">
        <f t="shared" si="9"/>
        <v>2299.8046875</v>
      </c>
      <c r="AL13" s="2">
        <v>-8.145582391065318</v>
      </c>
      <c r="AM13" s="2">
        <f t="shared" si="10"/>
        <v>137.25559257833464</v>
      </c>
      <c r="AN13" s="2">
        <f t="shared" si="11"/>
        <v>-4.3582739362592502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70.220878928740063</v>
      </c>
      <c r="H14" s="6" t="s">
        <v>10</v>
      </c>
      <c r="J14" s="9" t="s">
        <v>75</v>
      </c>
      <c r="K14" s="17">
        <f>C5</f>
        <v>2317.21450388639</v>
      </c>
      <c r="L14" s="6" t="s">
        <v>7</v>
      </c>
      <c r="N14" s="6" t="s">
        <v>40</v>
      </c>
      <c r="O14" s="6">
        <f xml:space="preserve"> O5 * O13 * $C$12</f>
        <v>1514.2132651478951</v>
      </c>
      <c r="P14" s="6" t="s">
        <v>21</v>
      </c>
      <c r="U14" s="2">
        <v>10</v>
      </c>
      <c r="V14" s="2">
        <f t="shared" si="7"/>
        <v>0.9755859375</v>
      </c>
      <c r="W14" s="2">
        <f t="shared" si="0"/>
        <v>2.8817723077967372E-4</v>
      </c>
      <c r="X14" s="2">
        <f t="shared" si="8"/>
        <v>0.9765625</v>
      </c>
      <c r="Y14" s="2">
        <f t="shared" si="1"/>
        <v>-7.1278619990589043E-4</v>
      </c>
      <c r="Z14" s="2">
        <f t="shared" si="3"/>
        <v>0.97607421875</v>
      </c>
      <c r="AA14" s="2">
        <f t="shared" si="2"/>
        <v>-2.1231052176617915E-4</v>
      </c>
      <c r="AB14" s="2">
        <f t="shared" si="4"/>
        <v>-6.1183058227965151E-8</v>
      </c>
      <c r="AC14" s="2">
        <f t="shared" si="5"/>
        <v>1.5133201000975168E-7</v>
      </c>
      <c r="AD14" s="2">
        <f t="shared" si="6"/>
        <v>9.765625E-4</v>
      </c>
      <c r="AF14" s="2">
        <v>10</v>
      </c>
      <c r="AG14" s="2">
        <f t="shared" si="13"/>
        <v>2299.8046875</v>
      </c>
      <c r="AH14" s="2">
        <v>-8.145582391065318</v>
      </c>
      <c r="AI14" s="2">
        <f t="shared" si="14"/>
        <v>2318.359375</v>
      </c>
      <c r="AJ14" s="2">
        <v>0.53504755424728501</v>
      </c>
      <c r="AK14" s="2">
        <f t="shared" si="9"/>
        <v>2309.08203125</v>
      </c>
      <c r="AL14" s="2">
        <v>-3.802252286922112</v>
      </c>
      <c r="AM14" s="2">
        <f t="shared" si="10"/>
        <v>30.971559274740592</v>
      </c>
      <c r="AN14" s="2">
        <f t="shared" si="11"/>
        <v>-2.0343857867488224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0.2110498591552411</v>
      </c>
      <c r="H15" s="6" t="s">
        <v>120</v>
      </c>
      <c r="J15" s="10" t="s">
        <v>53</v>
      </c>
      <c r="K15" s="6">
        <f xml:space="preserve"> 1000 * K10 / ($C$60 * $C$61 * $C$62)</f>
        <v>614.52746995128712</v>
      </c>
      <c r="L15" s="6" t="s">
        <v>7</v>
      </c>
      <c r="N15" s="6" t="s">
        <v>140</v>
      </c>
      <c r="O15" s="6">
        <f>O4/O14</f>
        <v>14.997877525420922</v>
      </c>
      <c r="U15" s="2">
        <v>11</v>
      </c>
      <c r="V15" s="2">
        <f t="shared" si="7"/>
        <v>0.9755859375</v>
      </c>
      <c r="W15" s="2">
        <f t="shared" si="0"/>
        <v>2.8817723077967372E-4</v>
      </c>
      <c r="X15" s="2">
        <f t="shared" si="8"/>
        <v>0.97607421875</v>
      </c>
      <c r="Y15" s="2">
        <f t="shared" si="1"/>
        <v>-2.1231052176617915E-4</v>
      </c>
      <c r="Z15" s="2">
        <f t="shared" si="3"/>
        <v>0.975830078125</v>
      </c>
      <c r="AA15" s="2">
        <f t="shared" si="2"/>
        <v>3.7931844089511557E-5</v>
      </c>
      <c r="AB15" s="2">
        <f t="shared" si="4"/>
        <v>1.0931093788081774E-8</v>
      </c>
      <c r="AC15" s="2">
        <f t="shared" si="5"/>
        <v>-8.0533296101975573E-9</v>
      </c>
      <c r="AD15" s="2">
        <f t="shared" si="6"/>
        <v>4.8828125E-4</v>
      </c>
      <c r="AF15" s="2">
        <v>11</v>
      </c>
      <c r="AG15" s="2">
        <f t="shared" si="13"/>
        <v>2309.08203125</v>
      </c>
      <c r="AH15" s="2">
        <v>-3.802252286922112</v>
      </c>
      <c r="AI15" s="2">
        <f t="shared" si="14"/>
        <v>2318.359375</v>
      </c>
      <c r="AJ15" s="2">
        <v>0.53504755424728501</v>
      </c>
      <c r="AK15" s="2">
        <f t="shared" si="9"/>
        <v>2313.720703125</v>
      </c>
      <c r="AL15" s="2">
        <v>-1.6328486437689662</v>
      </c>
      <c r="AM15" s="2">
        <f t="shared" si="10"/>
        <v>6.2085024899682208</v>
      </c>
      <c r="AN15" s="2">
        <f t="shared" si="11"/>
        <v>-0.87365167330458171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1514.2132651478951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170.2424182007949</v>
      </c>
      <c r="L16" s="6" t="s">
        <v>7</v>
      </c>
      <c r="N16" s="6" t="s">
        <v>111</v>
      </c>
      <c r="O16" s="6">
        <f>(O13*$C$12)/(0.3048^2)/($C$5*2.20462/1000)^(2/3)</f>
        <v>2.4233535218954878</v>
      </c>
      <c r="U16" s="2">
        <v>12</v>
      </c>
      <c r="V16" s="2">
        <f t="shared" si="7"/>
        <v>0.975830078125</v>
      </c>
      <c r="W16" s="2">
        <f t="shared" si="0"/>
        <v>3.7931844089511557E-5</v>
      </c>
      <c r="X16" s="2">
        <f t="shared" si="8"/>
        <v>0.97607421875</v>
      </c>
      <c r="Y16" s="2">
        <f t="shared" si="1"/>
        <v>-2.1231052176617915E-4</v>
      </c>
      <c r="Z16" s="2">
        <f t="shared" si="3"/>
        <v>0.9759521484375</v>
      </c>
      <c r="AA16" s="2">
        <f t="shared" si="2"/>
        <v>-8.7189716303059939E-5</v>
      </c>
      <c r="AB16" s="2">
        <f t="shared" si="4"/>
        <v>-3.3072667250164134E-9</v>
      </c>
      <c r="AC16" s="2">
        <f t="shared" si="5"/>
        <v>1.8511294160947791E-8</v>
      </c>
      <c r="AD16" s="2">
        <f t="shared" si="6"/>
        <v>2.44140625E-4</v>
      </c>
      <c r="AF16" s="2">
        <v>12</v>
      </c>
      <c r="AG16" s="2">
        <f t="shared" si="13"/>
        <v>2313.720703125</v>
      </c>
      <c r="AH16" s="2">
        <v>-1.6328486437689662</v>
      </c>
      <c r="AI16" s="2">
        <f t="shared" si="14"/>
        <v>2318.359375</v>
      </c>
      <c r="AJ16" s="2">
        <v>0.53504755424728501</v>
      </c>
      <c r="AK16" s="2">
        <f t="shared" si="9"/>
        <v>2316.0400390625</v>
      </c>
      <c r="AL16" s="2">
        <v>-0.54871206929396976</v>
      </c>
      <c r="AM16" s="2">
        <f t="shared" si="10"/>
        <v>0.89596375816632157</v>
      </c>
      <c r="AN16" s="2">
        <f t="shared" si="11"/>
        <v>-0.29358705066170532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106.46533203001033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0.975830078125</v>
      </c>
      <c r="W17" s="2">
        <f t="shared" si="0"/>
        <v>3.7931844089511557E-5</v>
      </c>
      <c r="X17" s="2">
        <f t="shared" si="8"/>
        <v>0.9759521484375</v>
      </c>
      <c r="Y17" s="2">
        <f t="shared" si="1"/>
        <v>-8.7189716303059939E-5</v>
      </c>
      <c r="Z17" s="2">
        <f t="shared" si="3"/>
        <v>0.97589111328125</v>
      </c>
      <c r="AA17" s="2">
        <f t="shared" si="2"/>
        <v>-2.4629030490386228E-5</v>
      </c>
      <c r="AB17" s="2">
        <f t="shared" si="4"/>
        <v>-9.342245446371568E-10</v>
      </c>
      <c r="AC17" s="2">
        <f t="shared" si="5"/>
        <v>2.1473981812761883E-9</v>
      </c>
      <c r="AD17" s="2">
        <f t="shared" si="6"/>
        <v>1.220703125E-4</v>
      </c>
      <c r="AF17" s="2">
        <v>13</v>
      </c>
      <c r="AG17" s="2">
        <f t="shared" si="13"/>
        <v>2316.0400390625</v>
      </c>
      <c r="AH17" s="2">
        <v>-0.54871206929396976</v>
      </c>
      <c r="AI17" s="2">
        <f t="shared" si="14"/>
        <v>2318.359375</v>
      </c>
      <c r="AJ17" s="2">
        <v>0.53504755424728501</v>
      </c>
      <c r="AK17" s="2">
        <f t="shared" si="9"/>
        <v>2317.19970703125</v>
      </c>
      <c r="AL17" s="2">
        <v>-6.7848512642285641E-3</v>
      </c>
      <c r="AM17" s="2">
        <f t="shared" si="10"/>
        <v>3.7229297770466621E-3</v>
      </c>
      <c r="AN17" s="2">
        <f t="shared" si="11"/>
        <v>-3.6302180748570929E-3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1.4512031838744011</v>
      </c>
      <c r="H18" s="6" t="s">
        <v>172</v>
      </c>
      <c r="J18" s="12" t="s">
        <v>54</v>
      </c>
      <c r="K18" s="6">
        <f xml:space="preserve"> $C$78 * (0.2138 * K4 + 0.2138 * K6)</f>
        <v>110.08510589626826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0.975830078125</v>
      </c>
      <c r="W18" s="2">
        <f t="shared" si="0"/>
        <v>3.7931844089511557E-5</v>
      </c>
      <c r="X18" s="2">
        <f t="shared" si="8"/>
        <v>0.97589111328125</v>
      </c>
      <c r="Y18" s="2">
        <f t="shared" si="1"/>
        <v>-2.4629030490386228E-5</v>
      </c>
      <c r="Z18" s="2">
        <f t="shared" si="3"/>
        <v>0.975860595703125</v>
      </c>
      <c r="AA18" s="2">
        <f t="shared" si="2"/>
        <v>6.6513832014392094E-6</v>
      </c>
      <c r="AB18" s="2">
        <f t="shared" si="4"/>
        <v>2.5229923057658834E-10</v>
      </c>
      <c r="AC18" s="2">
        <f t="shared" si="5"/>
        <v>-1.6381711967148905E-10</v>
      </c>
      <c r="AD18" s="2">
        <f t="shared" si="6"/>
        <v>6.103515625E-5</v>
      </c>
      <c r="AF18" s="2">
        <v>14</v>
      </c>
      <c r="AG18" s="2">
        <f t="shared" si="13"/>
        <v>2317.19970703125</v>
      </c>
      <c r="AH18" s="2">
        <v>-6.7848512642285641E-3</v>
      </c>
      <c r="AI18" s="2">
        <f t="shared" si="14"/>
        <v>2318.359375</v>
      </c>
      <c r="AJ18" s="2">
        <v>0.53504755424728501</v>
      </c>
      <c r="AK18" s="2">
        <f t="shared" si="9"/>
        <v>2317.779541015625</v>
      </c>
      <c r="AL18" s="2">
        <v>0.26414320378330558</v>
      </c>
      <c r="AM18" s="2">
        <f t="shared" si="10"/>
        <v>-1.7921723501265442E-3</v>
      </c>
      <c r="AN18" s="2">
        <f t="shared" si="11"/>
        <v>0.14132917515529986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5.6625358258906598E-2</v>
      </c>
      <c r="J19" s="12" t="s">
        <v>73</v>
      </c>
      <c r="K19" s="6">
        <f xml:space="preserve"> $C$78 * (0.1149 * K4 + 0.1149 * K6)</f>
        <v>59.161733711324715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0.975860595703125</v>
      </c>
      <c r="W19" s="2">
        <f t="shared" si="0"/>
        <v>6.6513832014392094E-6</v>
      </c>
      <c r="X19" s="2">
        <f t="shared" si="8"/>
        <v>0.97589111328125</v>
      </c>
      <c r="Y19" s="2">
        <f t="shared" si="1"/>
        <v>-2.4629030490386228E-5</v>
      </c>
      <c r="Z19" s="2">
        <f t="shared" si="3"/>
        <v>0.9758758544921875</v>
      </c>
      <c r="AA19" s="2">
        <f t="shared" si="2"/>
        <v>-8.9888295436990617E-6</v>
      </c>
      <c r="AB19" s="2">
        <f t="shared" si="4"/>
        <v>-5.978814982756041E-11</v>
      </c>
      <c r="AC19" s="2">
        <f t="shared" si="5"/>
        <v>2.2138615690464872E-10</v>
      </c>
      <c r="AD19" s="2">
        <f t="shared" si="6"/>
        <v>3.0517578125E-5</v>
      </c>
      <c r="AF19" s="2">
        <v>15</v>
      </c>
      <c r="AG19" s="2">
        <f t="shared" si="13"/>
        <v>2317.19970703125</v>
      </c>
      <c r="AH19" s="2">
        <v>-6.7848512642285641E-3</v>
      </c>
      <c r="AI19" s="2">
        <f t="shared" si="14"/>
        <v>2317.779541015625</v>
      </c>
      <c r="AJ19" s="2">
        <v>0.26414320378330558</v>
      </c>
      <c r="AK19" s="2">
        <f t="shared" si="9"/>
        <v>2317.4896240234375</v>
      </c>
      <c r="AL19" s="2">
        <v>0.12868206878579258</v>
      </c>
      <c r="AM19" s="2">
        <f t="shared" si="10"/>
        <v>-8.7308869708483186E-4</v>
      </c>
      <c r="AN19" s="2">
        <f t="shared" si="11"/>
        <v>3.3990493918542954E-2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106.46533203001033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216.52132142008182</v>
      </c>
      <c r="L20" s="6" t="s">
        <v>7</v>
      </c>
      <c r="N20" s="6" t="s">
        <v>20</v>
      </c>
      <c r="O20" s="6">
        <f xml:space="preserve"> O14 / $C$28</f>
        <v>1514.2132651478951</v>
      </c>
      <c r="P20" s="6" t="s">
        <v>21</v>
      </c>
      <c r="U20" s="2">
        <v>16</v>
      </c>
      <c r="V20" s="2">
        <f t="shared" si="7"/>
        <v>0.975860595703125</v>
      </c>
      <c r="W20" s="2">
        <f t="shared" si="0"/>
        <v>6.6513832014392094E-6</v>
      </c>
      <c r="X20" s="2">
        <f t="shared" si="8"/>
        <v>0.9758758544921875</v>
      </c>
      <c r="Y20" s="2">
        <f t="shared" si="1"/>
        <v>-8.9888295436990617E-6</v>
      </c>
      <c r="Z20" s="2">
        <f t="shared" si="3"/>
        <v>0.97586822509765625</v>
      </c>
      <c r="AA20" s="2">
        <f t="shared" si="2"/>
        <v>-1.1687246459501921E-6</v>
      </c>
      <c r="AB20" s="2">
        <f t="shared" si="4"/>
        <v>-7.7736354771810945E-12</v>
      </c>
      <c r="AC20" s="2">
        <f t="shared" si="5"/>
        <v>1.0505466625966312E-11</v>
      </c>
      <c r="AD20" s="2">
        <f t="shared" si="6"/>
        <v>1.52587890625E-5</v>
      </c>
      <c r="AF20" s="2">
        <v>16</v>
      </c>
      <c r="AG20" s="2">
        <f t="shared" si="13"/>
        <v>2317.19970703125</v>
      </c>
      <c r="AH20" s="2">
        <v>-6.7848512642285641E-3</v>
      </c>
      <c r="AI20" s="2">
        <f t="shared" si="14"/>
        <v>2317.4896240234375</v>
      </c>
      <c r="AJ20" s="2">
        <v>0.12868206878579258</v>
      </c>
      <c r="AK20" s="2">
        <f t="shared" si="9"/>
        <v>2317.3446655273438</v>
      </c>
      <c r="AL20" s="2">
        <v>6.0949331882966362E-2</v>
      </c>
      <c r="AM20" s="2">
        <f t="shared" si="10"/>
        <v>-4.1353215148003065E-4</v>
      </c>
      <c r="AN20" s="2">
        <f t="shared" si="11"/>
        <v>7.843086117811978E-3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60.247577101046147</v>
      </c>
      <c r="L21" s="6" t="s">
        <v>7</v>
      </c>
      <c r="N21" s="6" t="s">
        <v>27</v>
      </c>
      <c r="O21" s="6">
        <f>$C$6*2*PI()/60</f>
        <v>49.484825399171498</v>
      </c>
      <c r="P21" s="6" t="s">
        <v>28</v>
      </c>
      <c r="U21" s="2">
        <v>17</v>
      </c>
      <c r="V21" s="2">
        <f t="shared" si="7"/>
        <v>0.975860595703125</v>
      </c>
      <c r="W21" s="2">
        <f t="shared" si="0"/>
        <v>6.6513832014392094E-6</v>
      </c>
      <c r="X21" s="2">
        <f t="shared" si="8"/>
        <v>0.97586822509765625</v>
      </c>
      <c r="Y21" s="2">
        <f t="shared" si="1"/>
        <v>-1.1687246459501921E-6</v>
      </c>
      <c r="Z21" s="2">
        <f t="shared" si="3"/>
        <v>0.97586441040039062</v>
      </c>
      <c r="AA21" s="2">
        <f t="shared" si="2"/>
        <v>2.7413289090949533E-6</v>
      </c>
      <c r="AB21" s="2">
        <f t="shared" si="4"/>
        <v>1.8233629055573844E-11</v>
      </c>
      <c r="AC21" s="2">
        <f t="shared" si="5"/>
        <v>-3.2038586587150256E-12</v>
      </c>
      <c r="AD21" s="2">
        <f t="shared" si="6"/>
        <v>7.62939453125E-6</v>
      </c>
      <c r="AF21" s="2">
        <v>17</v>
      </c>
      <c r="AG21" s="2">
        <f t="shared" si="13"/>
        <v>2317.19970703125</v>
      </c>
      <c r="AH21" s="2">
        <v>-6.7848512642285641E-3</v>
      </c>
      <c r="AI21" s="2">
        <f t="shared" si="14"/>
        <v>2317.3446655273438</v>
      </c>
      <c r="AJ21" s="2">
        <v>6.0949331882966362E-2</v>
      </c>
      <c r="AK21" s="2">
        <f t="shared" si="9"/>
        <v>2317.2721862792969</v>
      </c>
      <c r="AL21" s="2">
        <v>2.7082139278263639E-2</v>
      </c>
      <c r="AM21" s="2">
        <f t="shared" si="10"/>
        <v>-1.8374828692014112E-4</v>
      </c>
      <c r="AN21" s="2">
        <f t="shared" si="11"/>
        <v>1.6506382949716097E-3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 xml:space="preserve"> $C$79 * (0.04674 * ($C$5*2.20462)^0.397 * ($C$12*3.28084^2)^0.36 * $C$46^0.397 * $C$13^1.712 * 0.453592)</f>
        <v>317.70282098337231</v>
      </c>
      <c r="L22" s="6" t="s">
        <v>7</v>
      </c>
      <c r="N22" s="6" t="s">
        <v>29</v>
      </c>
      <c r="O22" s="6">
        <f xml:space="preserve"> $C$7 * COS(O19/180*PI()) / (O21 * $C$10)</f>
        <v>8.3227603739021438E-2</v>
      </c>
      <c r="U22" s="2">
        <v>18</v>
      </c>
      <c r="V22" s="2">
        <f t="shared" si="7"/>
        <v>0.97586441040039062</v>
      </c>
      <c r="W22" s="2">
        <f t="shared" si="0"/>
        <v>2.7413289090949533E-6</v>
      </c>
      <c r="X22" s="2">
        <f t="shared" si="8"/>
        <v>0.97586822509765625</v>
      </c>
      <c r="Y22" s="2">
        <f t="shared" si="1"/>
        <v>-1.1687246459501921E-6</v>
      </c>
      <c r="Z22" s="2">
        <f t="shared" si="3"/>
        <v>0.97586631774902344</v>
      </c>
      <c r="AA22" s="2">
        <f t="shared" si="2"/>
        <v>7.8630203936835841E-7</v>
      </c>
      <c r="AB22" s="2">
        <f t="shared" si="4"/>
        <v>2.1555125118007991E-12</v>
      </c>
      <c r="AC22" s="2">
        <f t="shared" si="5"/>
        <v>-9.1897057257069878E-13</v>
      </c>
      <c r="AD22" s="2">
        <f t="shared" si="6"/>
        <v>3.814697265625E-6</v>
      </c>
      <c r="AF22" s="2">
        <v>18</v>
      </c>
      <c r="AG22" s="2">
        <f t="shared" si="13"/>
        <v>2317.19970703125</v>
      </c>
      <c r="AH22" s="2">
        <v>-6.7848512642285641E-3</v>
      </c>
      <c r="AI22" s="2">
        <f t="shared" si="14"/>
        <v>2317.2721862792969</v>
      </c>
      <c r="AJ22" s="2">
        <v>2.7082139278263639E-2</v>
      </c>
      <c r="AK22" s="2">
        <f t="shared" si="9"/>
        <v>2317.2359466552734</v>
      </c>
      <c r="AL22" s="2">
        <v>1.0148689202878813E-2</v>
      </c>
      <c r="AM22" s="2">
        <f t="shared" si="10"/>
        <v>-6.8857346768415098E-5</v>
      </c>
      <c r="AN22" s="2">
        <f t="shared" si="11"/>
        <v>2.7484821448417441E-4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25.991923068800549</v>
      </c>
      <c r="L23" s="6" t="s">
        <v>7</v>
      </c>
      <c r="N23" s="6" t="s">
        <v>30</v>
      </c>
      <c r="O23" s="6">
        <f xml:space="preserve"> O20 / ( $C$71 * PI() * $C$10^2 * O21^2 * $C$10^2)</f>
        <v>4.8130585607901601E-2</v>
      </c>
      <c r="U23" s="2">
        <v>19</v>
      </c>
      <c r="V23" s="2">
        <f t="shared" si="7"/>
        <v>0.97586631774902344</v>
      </c>
      <c r="W23" s="2">
        <f t="shared" si="0"/>
        <v>7.8630203936835841E-7</v>
      </c>
      <c r="X23" s="2">
        <f t="shared" si="8"/>
        <v>0.97586822509765625</v>
      </c>
      <c r="Y23" s="2">
        <f t="shared" si="1"/>
        <v>-1.1687246459501921E-6</v>
      </c>
      <c r="Z23" s="2">
        <f t="shared" si="3"/>
        <v>0.97586727142333984</v>
      </c>
      <c r="AA23" s="2">
        <f t="shared" si="2"/>
        <v>-1.9121132632804461E-7</v>
      </c>
      <c r="AB23" s="2">
        <f t="shared" si="4"/>
        <v>-1.5034985584207016E-13</v>
      </c>
      <c r="AC23" s="2">
        <f t="shared" si="5"/>
        <v>2.2347338966441058E-13</v>
      </c>
      <c r="AD23" s="2">
        <f t="shared" si="6"/>
        <v>1.9073486328125E-6</v>
      </c>
      <c r="AF23" s="2">
        <v>19</v>
      </c>
      <c r="AG23" s="2">
        <f t="shared" si="13"/>
        <v>2317.19970703125</v>
      </c>
      <c r="AH23" s="2">
        <v>-6.7848512642285641E-3</v>
      </c>
      <c r="AI23" s="2">
        <f t="shared" si="14"/>
        <v>2317.2359466552734</v>
      </c>
      <c r="AJ23" s="2">
        <v>1.0148689202878813E-2</v>
      </c>
      <c r="AK23" s="2">
        <f t="shared" si="9"/>
        <v>2317.2178268432617</v>
      </c>
      <c r="AL23" s="2">
        <v>1.6819302686599258E-3</v>
      </c>
      <c r="AM23" s="2">
        <f t="shared" si="10"/>
        <v>-1.1411646709661586E-5</v>
      </c>
      <c r="AN23" s="2">
        <f t="shared" si="11"/>
        <v>1.7069387557544049E-5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8.9225954670526697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0.97586631774902344</v>
      </c>
      <c r="W24" s="2">
        <f t="shared" si="0"/>
        <v>7.8630203936835841E-7</v>
      </c>
      <c r="X24" s="2">
        <f t="shared" si="8"/>
        <v>0.97586727142333984</v>
      </c>
      <c r="Y24" s="2">
        <f t="shared" si="1"/>
        <v>-1.9121132632804461E-7</v>
      </c>
      <c r="Z24" s="2">
        <f t="shared" si="3"/>
        <v>0.97586679458618164</v>
      </c>
      <c r="AA24" s="2">
        <f t="shared" si="2"/>
        <v>2.9754535080250832E-7</v>
      </c>
      <c r="AB24" s="2">
        <f t="shared" si="4"/>
        <v>2.339605161405859E-13</v>
      </c>
      <c r="AC24" s="2">
        <f t="shared" si="5"/>
        <v>-5.6894041169690931E-14</v>
      </c>
      <c r="AD24" s="2">
        <f t="shared" si="6"/>
        <v>9.5367431640625E-7</v>
      </c>
      <c r="AF24" s="2">
        <v>20</v>
      </c>
      <c r="AG24" s="2">
        <f t="shared" si="13"/>
        <v>2317.19970703125</v>
      </c>
      <c r="AH24" s="2">
        <v>-6.7848512642285641E-3</v>
      </c>
      <c r="AI24" s="2">
        <f t="shared" si="14"/>
        <v>2317.2178268432617</v>
      </c>
      <c r="AJ24" s="2">
        <v>1.6819302686599258E-3</v>
      </c>
      <c r="AK24" s="2">
        <f t="shared" si="9"/>
        <v>2317.2087669372559</v>
      </c>
      <c r="AL24" s="2">
        <v>-2.5517394794860593E-3</v>
      </c>
      <c r="AM24" s="2">
        <f t="shared" si="10"/>
        <v>1.7313172833372927E-5</v>
      </c>
      <c r="AN24" s="2">
        <f t="shared" si="11"/>
        <v>-4.2918478682821269E-6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21.978860102834652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2156.3057119003365</v>
      </c>
      <c r="P25" s="6" t="s">
        <v>19</v>
      </c>
      <c r="U25" s="2">
        <v>21</v>
      </c>
      <c r="V25" s="2">
        <f t="shared" si="7"/>
        <v>0.97586679458618164</v>
      </c>
      <c r="W25" s="2">
        <f t="shared" si="0"/>
        <v>2.9754535080250832E-7</v>
      </c>
      <c r="X25" s="2">
        <f t="shared" si="8"/>
        <v>0.97586727142333984</v>
      </c>
      <c r="Y25" s="2">
        <f t="shared" si="1"/>
        <v>-1.9121132632804461E-7</v>
      </c>
      <c r="Z25" s="2">
        <f t="shared" si="3"/>
        <v>0.97586703300476074</v>
      </c>
      <c r="AA25" s="2">
        <f t="shared" si="2"/>
        <v>5.3167010793941927E-8</v>
      </c>
      <c r="AB25" s="2">
        <f t="shared" si="4"/>
        <v>1.5819596877804198E-14</v>
      </c>
      <c r="AC25" s="2">
        <f t="shared" si="5"/>
        <v>-1.01661346508071E-14</v>
      </c>
      <c r="AD25" s="2">
        <f t="shared" si="6"/>
        <v>4.76837158203125E-7</v>
      </c>
      <c r="AF25" s="2">
        <v>21</v>
      </c>
      <c r="AG25" s="2">
        <f t="shared" si="13"/>
        <v>2317.2087669372559</v>
      </c>
      <c r="AH25" s="2">
        <v>-2.5517394794860593E-3</v>
      </c>
      <c r="AI25" s="2">
        <f t="shared" si="14"/>
        <v>2317.2178268432617</v>
      </c>
      <c r="AJ25" s="2">
        <v>1.6819302686599258E-3</v>
      </c>
      <c r="AK25" s="2">
        <f t="shared" si="9"/>
        <v>2317.2132968902588</v>
      </c>
      <c r="AL25" s="2">
        <v>-4.35185706237462E-4</v>
      </c>
      <c r="AM25" s="2">
        <f t="shared" si="10"/>
        <v>1.1104805475141543E-6</v>
      </c>
      <c r="AN25" s="2">
        <f t="shared" si="11"/>
        <v>-7.3195201180893396E-7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2839.0196938432709</v>
      </c>
      <c r="H26" s="6" t="s">
        <v>21</v>
      </c>
      <c r="J26" s="14" t="s">
        <v>65</v>
      </c>
      <c r="K26" s="6">
        <f xml:space="preserve"> $C$80 * (0.0268 * $C$5)</f>
        <v>49.681078963324211</v>
      </c>
      <c r="L26" s="6" t="s">
        <v>7</v>
      </c>
      <c r="N26" s="6" t="s">
        <v>32</v>
      </c>
      <c r="O26" s="17">
        <f>Z34</f>
        <v>0.97586708469316363</v>
      </c>
      <c r="U26" s="2">
        <v>22</v>
      </c>
      <c r="V26" s="2">
        <f t="shared" si="7"/>
        <v>0.97586703300476074</v>
      </c>
      <c r="W26" s="2">
        <f t="shared" si="0"/>
        <v>5.3167010793941927E-8</v>
      </c>
      <c r="X26" s="2">
        <f t="shared" si="8"/>
        <v>0.97586727142333984</v>
      </c>
      <c r="Y26" s="2">
        <f t="shared" si="1"/>
        <v>-1.9121132632804461E-7</v>
      </c>
      <c r="Z26" s="2">
        <f t="shared" si="3"/>
        <v>0.97586715221405029</v>
      </c>
      <c r="AA26" s="2">
        <f t="shared" si="2"/>
        <v>-6.9022158100118247E-8</v>
      </c>
      <c r="AB26" s="2">
        <f t="shared" si="4"/>
        <v>-3.6697018247301529E-15</v>
      </c>
      <c r="AC26" s="2">
        <f t="shared" si="5"/>
        <v>1.3197818396347598E-14</v>
      </c>
      <c r="AD26" s="2">
        <f t="shared" si="6"/>
        <v>2.384185791015625E-7</v>
      </c>
      <c r="AF26" s="2">
        <v>22</v>
      </c>
      <c r="AG26" s="2">
        <f t="shared" si="13"/>
        <v>2317.2132968902588</v>
      </c>
      <c r="AH26" s="2">
        <v>-4.35185706237462E-4</v>
      </c>
      <c r="AI26" s="2">
        <f t="shared" si="14"/>
        <v>2317.2178268432617</v>
      </c>
      <c r="AJ26" s="2">
        <v>1.6819302686599258E-3</v>
      </c>
      <c r="AK26" s="2">
        <f t="shared" si="9"/>
        <v>2317.2155618667603</v>
      </c>
      <c r="AL26" s="2">
        <v>6.2337245776689088E-4</v>
      </c>
      <c r="AM26" s="2">
        <f t="shared" si="10"/>
        <v>-2.7128278328226686E-7</v>
      </c>
      <c r="AN26" s="2">
        <f t="shared" si="11"/>
        <v>1.048469005367065E-6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35.192759596674634</v>
      </c>
      <c r="H27" t="s">
        <v>97</v>
      </c>
      <c r="J27" s="14" t="s">
        <v>66</v>
      </c>
      <c r="K27" s="6">
        <f xml:space="preserve"> $C$80 * (11.5 * ($C$5*2.20462/1000)^0.4 * 0.453592)</f>
        <v>8.0125952656530757</v>
      </c>
      <c r="L27" s="6" t="s">
        <v>7</v>
      </c>
      <c r="N27" s="6" t="s">
        <v>33</v>
      </c>
      <c r="O27" s="6">
        <f xml:space="preserve"> O21 * $C$10 * O26 - $C$7 * SIN(O19/180*PI())</f>
        <v>1.7254127295410768</v>
      </c>
      <c r="P27" s="6" t="s">
        <v>10</v>
      </c>
      <c r="U27" s="2">
        <v>23</v>
      </c>
      <c r="V27" s="2">
        <f t="shared" si="7"/>
        <v>0.97586703300476074</v>
      </c>
      <c r="W27" s="2">
        <f t="shared" si="0"/>
        <v>5.3167010793941927E-8</v>
      </c>
      <c r="X27" s="2">
        <f t="shared" si="8"/>
        <v>0.97586715221405029</v>
      </c>
      <c r="Y27" s="2">
        <f t="shared" si="1"/>
        <v>-6.9022158100118247E-8</v>
      </c>
      <c r="Z27" s="2">
        <f t="shared" si="3"/>
        <v>0.97586709260940552</v>
      </c>
      <c r="AA27" s="2">
        <f t="shared" si="2"/>
        <v>-7.9275738196216139E-9</v>
      </c>
      <c r="AB27" s="2">
        <f t="shared" si="4"/>
        <v>-4.2148540283759377E-16</v>
      </c>
      <c r="AC27" s="2">
        <f t="shared" si="5"/>
        <v>5.4717825352828134E-16</v>
      </c>
      <c r="AD27" s="2">
        <f t="shared" si="6"/>
        <v>1.1920928955078125E-7</v>
      </c>
      <c r="AF27" s="2">
        <v>23</v>
      </c>
      <c r="AG27" s="2">
        <f t="shared" si="13"/>
        <v>2317.2132968902588</v>
      </c>
      <c r="AH27" s="2">
        <v>-4.35185706237462E-4</v>
      </c>
      <c r="AI27" s="2">
        <f t="shared" si="14"/>
        <v>2317.2155618667603</v>
      </c>
      <c r="AJ27" s="2">
        <v>6.2337245776689088E-4</v>
      </c>
      <c r="AK27" s="2">
        <f t="shared" si="9"/>
        <v>2317.2144293785095</v>
      </c>
      <c r="AL27" s="2">
        <v>9.4093419647833798E-5</v>
      </c>
      <c r="AM27" s="2">
        <f t="shared" si="10"/>
        <v>-4.0948111281740433E-8</v>
      </c>
      <c r="AN27" s="2">
        <f t="shared" si="11"/>
        <v>5.8655246265561615E-8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8.2304376327785338</v>
      </c>
      <c r="H28" s="6" t="s">
        <v>172</v>
      </c>
      <c r="J28" s="14" t="s">
        <v>67</v>
      </c>
      <c r="K28" s="6">
        <f xml:space="preserve"> $C$80 * (8 * ($C$5/1000))</f>
        <v>14.830172824872896</v>
      </c>
      <c r="L28" s="6" t="s">
        <v>7</v>
      </c>
      <c r="N28" s="6" t="s">
        <v>34</v>
      </c>
      <c r="O28" s="6">
        <f xml:space="preserve"> 1/$C$31 - O25 * SQRT( (2*$C$71*PI()*$C$10^2) / O20^3 )</f>
        <v>1.2026074904520034</v>
      </c>
      <c r="U28" s="2">
        <v>24</v>
      </c>
      <c r="V28" s="2">
        <f t="shared" si="7"/>
        <v>0.97586703300476074</v>
      </c>
      <c r="W28" s="2">
        <f t="shared" si="0"/>
        <v>5.3167010793941927E-8</v>
      </c>
      <c r="X28" s="2">
        <f t="shared" si="8"/>
        <v>0.97586709260940552</v>
      </c>
      <c r="Y28" s="2">
        <f t="shared" si="1"/>
        <v>-7.9275738196216139E-9</v>
      </c>
      <c r="Z28" s="2">
        <f t="shared" si="3"/>
        <v>0.97586706280708313</v>
      </c>
      <c r="AA28" s="2">
        <f t="shared" si="2"/>
        <v>2.2619718431649005E-8</v>
      </c>
      <c r="AB28" s="2">
        <f t="shared" si="4"/>
        <v>1.2026228140114099E-15</v>
      </c>
      <c r="AC28" s="2">
        <f t="shared" si="5"/>
        <v>-1.7931948764595314E-16</v>
      </c>
      <c r="AD28" s="2">
        <f t="shared" si="6"/>
        <v>5.9604644775390625E-8</v>
      </c>
      <c r="AF28" s="2">
        <v>24</v>
      </c>
      <c r="AG28" s="2">
        <f t="shared" si="13"/>
        <v>2317.2132968902588</v>
      </c>
      <c r="AH28" s="2">
        <v>-4.35185706237462E-4</v>
      </c>
      <c r="AI28" s="2">
        <f t="shared" si="14"/>
        <v>2317.2144293785095</v>
      </c>
      <c r="AJ28" s="2">
        <v>9.4093419647833798E-5</v>
      </c>
      <c r="AK28" s="2">
        <f t="shared" si="9"/>
        <v>2317.2138631343842</v>
      </c>
      <c r="AL28" s="2">
        <v>-1.7054613249456452E-4</v>
      </c>
      <c r="AM28" s="2">
        <f t="shared" si="10"/>
        <v>7.421923911571483E-8</v>
      </c>
      <c r="AN28" s="2">
        <f t="shared" si="11"/>
        <v>-1.6047268814126122E-8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281.54207677339707</v>
      </c>
      <c r="H29" s="22" t="s">
        <v>97</v>
      </c>
      <c r="J29" s="14" t="s">
        <v>68</v>
      </c>
      <c r="K29" s="6">
        <f xml:space="preserve"> $C$80 * (13 * ($C$5*2.20462/1000)^1.3 * 0.453592)</f>
        <v>39.308701791810194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0.97586706280708313</v>
      </c>
      <c r="W29" s="2">
        <f t="shared" si="0"/>
        <v>2.2619718431649005E-8</v>
      </c>
      <c r="X29" s="2">
        <f t="shared" si="8"/>
        <v>0.97586709260940552</v>
      </c>
      <c r="Y29" s="2">
        <f t="shared" si="1"/>
        <v>-7.9275738196216139E-9</v>
      </c>
      <c r="Z29" s="2">
        <f t="shared" si="3"/>
        <v>0.97586707770824432</v>
      </c>
      <c r="AA29" s="2">
        <f t="shared" si="2"/>
        <v>7.3460723060136957E-9</v>
      </c>
      <c r="AB29" s="2">
        <f t="shared" si="4"/>
        <v>1.6616608714056432E-16</v>
      </c>
      <c r="AC29" s="2">
        <f t="shared" si="5"/>
        <v>-5.8236530490201551E-17</v>
      </c>
      <c r="AD29" s="2">
        <f t="shared" si="6"/>
        <v>2.9802322387695312E-8</v>
      </c>
      <c r="AF29" s="2">
        <v>25</v>
      </c>
      <c r="AG29" s="2">
        <f t="shared" si="13"/>
        <v>2317.2138631343842</v>
      </c>
      <c r="AH29" s="2">
        <v>-1.7054613249456452E-4</v>
      </c>
      <c r="AI29" s="2">
        <f t="shared" si="14"/>
        <v>2317.2144293785095</v>
      </c>
      <c r="AJ29" s="2">
        <v>9.4093419647833798E-5</v>
      </c>
      <c r="AK29" s="2">
        <f t="shared" si="9"/>
        <v>2317.2141462564468</v>
      </c>
      <c r="AL29" s="2">
        <v>-3.7944546647850075E-5</v>
      </c>
      <c r="AM29" s="2">
        <f t="shared" si="10"/>
        <v>6.4712956800504224E-9</v>
      </c>
      <c r="AN29" s="2">
        <f t="shared" si="11"/>
        <v>-3.5703321510829621E-9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1.2913786667922977E-4</v>
      </c>
      <c r="L30" s="9" t="s">
        <v>7</v>
      </c>
      <c r="N30" s="6" t="s">
        <v>36</v>
      </c>
      <c r="O30" s="6">
        <f xml:space="preserve"> 1/$C$77 * LN( EXP($C$77 * O28) + EXP($C$77 * O29) )</f>
        <v>1.2088605532520709</v>
      </c>
      <c r="U30" s="2">
        <v>26</v>
      </c>
      <c r="V30" s="2">
        <f>IF(AB29&gt;0, Z29, V29)</f>
        <v>0.97586707770824432</v>
      </c>
      <c r="W30" s="2">
        <f t="shared" si="0"/>
        <v>7.3460723060136957E-9</v>
      </c>
      <c r="X30" s="2">
        <f t="shared" si="8"/>
        <v>0.97586709260940552</v>
      </c>
      <c r="Y30" s="2">
        <f t="shared" si="1"/>
        <v>-7.9275738196216139E-9</v>
      </c>
      <c r="Z30" s="2">
        <f t="shared" si="3"/>
        <v>0.97586708515882492</v>
      </c>
      <c r="AA30" s="2">
        <f t="shared" si="2"/>
        <v>-2.9075075680395912E-10</v>
      </c>
      <c r="AB30" s="2">
        <f t="shared" si="4"/>
        <v>-2.1358760825100872E-18</v>
      </c>
      <c r="AC30" s="2">
        <f t="shared" si="5"/>
        <v>2.3049480876742371E-18</v>
      </c>
      <c r="AD30" s="2">
        <f t="shared" si="6"/>
        <v>1.4901161193847656E-8</v>
      </c>
      <c r="AF30" s="2">
        <v>26</v>
      </c>
      <c r="AG30" s="2">
        <f t="shared" si="13"/>
        <v>2317.2141462564468</v>
      </c>
      <c r="AH30" s="2">
        <v>-3.7944546647850075E-5</v>
      </c>
      <c r="AI30" s="2">
        <f t="shared" si="14"/>
        <v>2317.2144293785095</v>
      </c>
      <c r="AJ30" s="2">
        <v>9.4093419647833798E-5</v>
      </c>
      <c r="AK30" s="2">
        <f t="shared" si="9"/>
        <v>2317.2142878174782</v>
      </c>
      <c r="AL30" s="2">
        <v>2.8074437295799726E-5</v>
      </c>
      <c r="AM30" s="2">
        <f t="shared" si="10"/>
        <v>-1.0652717955826145E-9</v>
      </c>
      <c r="AN30" s="2">
        <f t="shared" si="11"/>
        <v>2.6416198098504797E-9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0.97586707770824432</v>
      </c>
      <c r="W31" s="2">
        <f t="shared" si="0"/>
        <v>7.3460723060136957E-9</v>
      </c>
      <c r="X31" s="2">
        <f t="shared" si="8"/>
        <v>0.97586708515882492</v>
      </c>
      <c r="Y31" s="2">
        <f t="shared" si="1"/>
        <v>-2.9075075680395912E-10</v>
      </c>
      <c r="Z31" s="2">
        <f t="shared" si="3"/>
        <v>0.97586708143353462</v>
      </c>
      <c r="AA31" s="2">
        <f t="shared" si="2"/>
        <v>3.5276608301160195E-9</v>
      </c>
      <c r="AB31" s="2">
        <f t="shared" si="4"/>
        <v>2.5914451529124575E-17</v>
      </c>
      <c r="AC31" s="2">
        <f t="shared" si="5"/>
        <v>-1.0256700561039153E-18</v>
      </c>
      <c r="AD31" s="2">
        <f t="shared" si="6"/>
        <v>7.4505805969238281E-9</v>
      </c>
      <c r="AF31" s="2">
        <v>27</v>
      </c>
      <c r="AG31" s="2">
        <f t="shared" si="13"/>
        <v>2317.2141462564468</v>
      </c>
      <c r="AH31" s="2">
        <v>-3.7944546647850075E-5</v>
      </c>
      <c r="AI31" s="2">
        <f t="shared" si="14"/>
        <v>2317.2142878174782</v>
      </c>
      <c r="AJ31" s="2">
        <v>2.8074437295799726E-5</v>
      </c>
      <c r="AK31" s="2">
        <f t="shared" si="9"/>
        <v>2317.2142170369625</v>
      </c>
      <c r="AL31" s="2">
        <v>-5.2168611546221655E-6</v>
      </c>
      <c r="AM31" s="2">
        <f t="shared" si="10"/>
        <v>1.9795143143691776E-10</v>
      </c>
      <c r="AN31" s="2">
        <f t="shared" si="11"/>
        <v>-1.4646044136633334E-10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0.97586708143353462</v>
      </c>
      <c r="W32" s="2">
        <f t="shared" si="0"/>
        <v>3.5276608301160195E-9</v>
      </c>
      <c r="X32" s="2">
        <f t="shared" si="8"/>
        <v>0.97586708515882492</v>
      </c>
      <c r="Y32" s="2">
        <f t="shared" si="1"/>
        <v>-2.9075075680395912E-10</v>
      </c>
      <c r="Z32" s="2">
        <f t="shared" si="3"/>
        <v>0.97586708329617977</v>
      </c>
      <c r="AA32" s="2">
        <f t="shared" si="2"/>
        <v>1.6184550366560302E-9</v>
      </c>
      <c r="AB32" s="2">
        <f t="shared" si="4"/>
        <v>5.7093604381154642E-18</v>
      </c>
      <c r="AC32" s="2">
        <f t="shared" si="5"/>
        <v>-4.7056702676092018E-19</v>
      </c>
      <c r="AD32" s="2">
        <f t="shared" si="6"/>
        <v>3.7252902984619141E-9</v>
      </c>
      <c r="AF32" s="2">
        <v>28</v>
      </c>
      <c r="AG32" s="2">
        <f t="shared" si="13"/>
        <v>2317.2142170369625</v>
      </c>
      <c r="AH32" s="2">
        <v>-5.2168611546221655E-6</v>
      </c>
      <c r="AI32" s="2">
        <f t="shared" si="14"/>
        <v>2317.2142878174782</v>
      </c>
      <c r="AJ32" s="2">
        <v>2.8074437295799726E-5</v>
      </c>
      <c r="AK32" s="2">
        <f t="shared" si="9"/>
        <v>2317.2142524272203</v>
      </c>
      <c r="AL32" s="2">
        <v>1.1428788184275618E-5</v>
      </c>
      <c r="AM32" s="2">
        <f t="shared" si="10"/>
        <v>-5.9622401122952262E-11</v>
      </c>
      <c r="AN32" s="2">
        <f t="shared" si="11"/>
        <v>3.2085679724642263E-10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106.46533203001033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0.97586708329617977</v>
      </c>
      <c r="W33" s="2">
        <f t="shared" si="0"/>
        <v>1.6184550366560302E-9</v>
      </c>
      <c r="X33" s="2">
        <f t="shared" si="8"/>
        <v>0.97586708515882492</v>
      </c>
      <c r="Y33" s="2">
        <f t="shared" si="1"/>
        <v>-2.9075075680395912E-10</v>
      </c>
      <c r="Z33" s="2">
        <f t="shared" si="3"/>
        <v>0.97586708422750235</v>
      </c>
      <c r="AA33" s="2">
        <f t="shared" si="2"/>
        <v>6.6385219543718677E-10</v>
      </c>
      <c r="AB33" s="2">
        <f t="shared" si="4"/>
        <v>1.0744149293004782E-18</v>
      </c>
      <c r="AC33" s="2">
        <f t="shared" si="5"/>
        <v>-1.9301552822933183E-19</v>
      </c>
      <c r="AD33" s="2">
        <f t="shared" si="6"/>
        <v>1.862645149230957E-9</v>
      </c>
      <c r="AF33" s="2">
        <v>29</v>
      </c>
      <c r="AG33" s="2">
        <f t="shared" si="13"/>
        <v>2317.2142170369625</v>
      </c>
      <c r="AH33" s="2">
        <v>-5.2168611546221655E-6</v>
      </c>
      <c r="AI33" s="2">
        <f t="shared" si="14"/>
        <v>2317.2142524272203</v>
      </c>
      <c r="AJ33" s="2">
        <v>1.1428788184275618E-5</v>
      </c>
      <c r="AK33" s="2">
        <f t="shared" si="9"/>
        <v>2317.2142347320914</v>
      </c>
      <c r="AL33" s="2">
        <v>3.1059632874530507E-6</v>
      </c>
      <c r="AM33" s="2">
        <f t="shared" si="10"/>
        <v>-1.6203379221996379E-11</v>
      </c>
      <c r="AN33" s="2">
        <f t="shared" si="11"/>
        <v>3.549739652043728E-11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25.89</v>
      </c>
      <c r="L34" s="6" t="s">
        <v>59</v>
      </c>
      <c r="U34" s="2">
        <v>30</v>
      </c>
      <c r="V34" s="2">
        <f t="shared" si="7"/>
        <v>0.97586708422750235</v>
      </c>
      <c r="W34" s="2">
        <f t="shared" si="0"/>
        <v>6.6385219543718677E-10</v>
      </c>
      <c r="X34" s="2">
        <f t="shared" si="8"/>
        <v>0.97586708515882492</v>
      </c>
      <c r="Y34" s="2">
        <f t="shared" si="1"/>
        <v>-2.9075075680395912E-10</v>
      </c>
      <c r="Z34" s="2">
        <f t="shared" si="3"/>
        <v>0.97586708469316363</v>
      </c>
      <c r="AA34" s="2">
        <f t="shared" si="2"/>
        <v>1.8655077482776505E-10</v>
      </c>
      <c r="AB34" s="2">
        <f t="shared" si="4"/>
        <v>1.2384214142992011E-19</v>
      </c>
      <c r="AC34" s="2">
        <f t="shared" si="5"/>
        <v>-5.4239778963537656E-20</v>
      </c>
      <c r="AD34" s="2">
        <f t="shared" si="6"/>
        <v>9.3132257461547852E-10</v>
      </c>
      <c r="AF34" s="2">
        <v>30</v>
      </c>
      <c r="AG34" s="2">
        <f t="shared" si="13"/>
        <v>2317.2142170369625</v>
      </c>
      <c r="AH34" s="2">
        <v>-5.2168611546221655E-6</v>
      </c>
      <c r="AI34" s="2">
        <f t="shared" si="14"/>
        <v>2317.2142347320914</v>
      </c>
      <c r="AJ34" s="2">
        <v>3.1059632874530507E-6</v>
      </c>
      <c r="AK34" s="2">
        <f t="shared" si="9"/>
        <v>2317.214225884527</v>
      </c>
      <c r="AL34" s="2">
        <v>-1.0554490472713951E-6</v>
      </c>
      <c r="AM34" s="2">
        <f t="shared" si="10"/>
        <v>5.5061311353931148E-12</v>
      </c>
      <c r="AN34" s="2">
        <f t="shared" si="11"/>
        <v>-3.2781859926022527E-12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26.52</v>
      </c>
      <c r="L35" s="6" t="s">
        <v>59</v>
      </c>
      <c r="AF35" s="2">
        <v>31</v>
      </c>
      <c r="AG35" s="2">
        <f t="shared" si="13"/>
        <v>2317.214225884527</v>
      </c>
      <c r="AH35" s="2">
        <v>-1.0554490472713951E-6</v>
      </c>
      <c r="AI35" s="2">
        <f t="shared" si="14"/>
        <v>2317.2142347320914</v>
      </c>
      <c r="AJ35" s="2">
        <v>3.1059632874530507E-6</v>
      </c>
      <c r="AK35" s="2">
        <f t="shared" si="9"/>
        <v>2317.2142303083092</v>
      </c>
      <c r="AL35" s="2">
        <v>1.0252572337776655E-6</v>
      </c>
      <c r="AM35" s="2">
        <f t="shared" si="10"/>
        <v>-1.0821067705987431E-12</v>
      </c>
      <c r="AN35" s="2">
        <f t="shared" si="11"/>
        <v>3.184411328309099E-12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14.65</v>
      </c>
      <c r="L36" s="6" t="s">
        <v>59</v>
      </c>
      <c r="AF36" s="2">
        <v>32</v>
      </c>
      <c r="AG36" s="2">
        <f t="shared" si="13"/>
        <v>2317.214225884527</v>
      </c>
      <c r="AH36" s="2">
        <v>-1.0554490472713951E-6</v>
      </c>
      <c r="AI36" s="2">
        <f t="shared" si="14"/>
        <v>2317.2142303083092</v>
      </c>
      <c r="AJ36" s="2">
        <v>1.0252572337776655E-6</v>
      </c>
      <c r="AK36" s="2">
        <f t="shared" si="9"/>
        <v>2317.2142280964181</v>
      </c>
      <c r="AL36" s="2">
        <v>-1.5096020433702506E-8</v>
      </c>
      <c r="AM36" s="2">
        <f t="shared" si="10"/>
        <v>1.5933080384340823E-14</v>
      </c>
      <c r="AN36" s="2">
        <f t="shared" si="11"/>
        <v>-1.5477304150908946E-14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28.11</v>
      </c>
      <c r="L37" s="6" t="s">
        <v>59</v>
      </c>
      <c r="AF37" s="2">
        <v>33</v>
      </c>
      <c r="AG37" s="2">
        <f t="shared" si="13"/>
        <v>2317.2142280964181</v>
      </c>
      <c r="AH37" s="2">
        <v>-1.5096020433702506E-8</v>
      </c>
      <c r="AI37" s="2">
        <f t="shared" si="14"/>
        <v>2317.2142303083092</v>
      </c>
      <c r="AJ37" s="2">
        <v>1.0252572337776655E-6</v>
      </c>
      <c r="AK37" s="2">
        <f t="shared" si="9"/>
        <v>2317.2142292023636</v>
      </c>
      <c r="AL37" s="2">
        <v>5.0508037929830607E-7</v>
      </c>
      <c r="AM37" s="2">
        <f t="shared" si="10"/>
        <v>-7.6247037265494407E-15</v>
      </c>
      <c r="AN37" s="2">
        <f t="shared" si="11"/>
        <v>5.1783731251475537E-13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4.83</v>
      </c>
      <c r="L38" s="6" t="s">
        <v>59</v>
      </c>
      <c r="AF38" s="2">
        <v>34</v>
      </c>
      <c r="AG38" s="2">
        <f t="shared" si="13"/>
        <v>2317.2142280964181</v>
      </c>
      <c r="AH38" s="2">
        <v>-1.5096020433702506E-8</v>
      </c>
      <c r="AI38" s="2">
        <f t="shared" si="14"/>
        <v>2317.2142292023636</v>
      </c>
      <c r="AJ38" s="2">
        <v>5.0508037929830607E-7</v>
      </c>
      <c r="AK38" s="2">
        <f t="shared" si="9"/>
        <v>2317.2142286493909</v>
      </c>
      <c r="AL38" s="2">
        <v>2.4499240680597723E-7</v>
      </c>
      <c r="AM38" s="2">
        <f t="shared" si="10"/>
        <v>-3.6984103792449891E-15</v>
      </c>
      <c r="AN38" s="2">
        <f t="shared" si="11"/>
        <v>1.2374085775476788E-13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2317.2142280964181</v>
      </c>
      <c r="AH39" s="2">
        <v>-1.5096020433702506E-8</v>
      </c>
      <c r="AI39" s="2">
        <f t="shared" si="14"/>
        <v>2317.2142286493909</v>
      </c>
      <c r="AJ39" s="2">
        <v>2.4499240680597723E-7</v>
      </c>
      <c r="AK39" s="2">
        <f t="shared" si="9"/>
        <v>2317.2142283729045</v>
      </c>
      <c r="AL39" s="2">
        <v>1.1494876162032597E-7</v>
      </c>
      <c r="AM39" s="2">
        <f t="shared" si="10"/>
        <v>-1.7352688542492392E-15</v>
      </c>
      <c r="AN39" s="2">
        <f t="shared" si="11"/>
        <v>2.8161573768730201E-14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2317.2142280964181</v>
      </c>
      <c r="AH40" s="2">
        <v>-1.5096020433702506E-8</v>
      </c>
      <c r="AI40" s="2">
        <f t="shared" si="14"/>
        <v>2317.2142283729045</v>
      </c>
      <c r="AJ40" s="2">
        <v>1.1494876162032597E-7</v>
      </c>
      <c r="AK40" s="2">
        <f t="shared" si="9"/>
        <v>2317.2142282346613</v>
      </c>
      <c r="AL40" s="2">
        <v>4.9925802159123123E-8</v>
      </c>
      <c r="AM40" s="2">
        <f t="shared" si="10"/>
        <v>-7.5368092956311136E-16</v>
      </c>
      <c r="AN40" s="2">
        <f t="shared" si="11"/>
        <v>5.7389091310925993E-15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2317.2142280964181</v>
      </c>
      <c r="AH41" s="2">
        <v>-1.5096020433702506E-8</v>
      </c>
      <c r="AI41" s="2">
        <f t="shared" si="14"/>
        <v>2317.2142282346613</v>
      </c>
      <c r="AJ41" s="2">
        <v>4.9925802159123123E-8</v>
      </c>
      <c r="AK41" s="2">
        <f t="shared" si="9"/>
        <v>2317.2142281655397</v>
      </c>
      <c r="AL41" s="2">
        <v>1.7415231923223473E-8</v>
      </c>
      <c r="AM41" s="2">
        <f t="shared" si="10"/>
        <v>-2.6290069697064974E-16</v>
      </c>
      <c r="AN41" s="2">
        <f t="shared" si="11"/>
        <v>8.6946942355410041E-16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2317.2142280964181</v>
      </c>
      <c r="AH42" s="2">
        <v>-1.5096020433702506E-8</v>
      </c>
      <c r="AI42" s="2">
        <f t="shared" si="14"/>
        <v>2317.2142281655397</v>
      </c>
      <c r="AJ42" s="2">
        <v>1.7415231923223473E-8</v>
      </c>
      <c r="AK42" s="2">
        <f t="shared" si="9"/>
        <v>2317.2142281309789</v>
      </c>
      <c r="AL42" s="2">
        <v>1.1593783710850403E-9</v>
      </c>
      <c r="AM42" s="2">
        <f t="shared" si="10"/>
        <v>-1.7501999580292495E-17</v>
      </c>
      <c r="AN42" s="2">
        <f t="shared" si="11"/>
        <v>2.0190843219215023E-17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614.53</v>
      </c>
      <c r="L43" s="6" t="s">
        <v>7</v>
      </c>
      <c r="AF43" s="2">
        <v>39</v>
      </c>
      <c r="AG43" s="2">
        <f t="shared" si="13"/>
        <v>2317.2142280964181</v>
      </c>
      <c r="AH43" s="2">
        <v>-1.5096020433702506E-8</v>
      </c>
      <c r="AI43" s="2">
        <f t="shared" si="14"/>
        <v>2317.2142281309789</v>
      </c>
      <c r="AJ43" s="2">
        <v>1.1593783710850403E-9</v>
      </c>
      <c r="AK43" s="2">
        <f t="shared" si="9"/>
        <v>2317.2142281136985</v>
      </c>
      <c r="AL43" s="2">
        <v>-6.9680936576332897E-9</v>
      </c>
      <c r="AM43" s="2">
        <f t="shared" si="10"/>
        <v>1.0519048423958498E-16</v>
      </c>
      <c r="AN43" s="2">
        <f t="shared" si="11"/>
        <v>-8.0786570743548837E-18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339.49</v>
      </c>
      <c r="L44" s="6" t="s">
        <v>7</v>
      </c>
      <c r="AF44" s="2">
        <v>40</v>
      </c>
      <c r="AG44" s="2">
        <f t="shared" si="13"/>
        <v>2317.2142281136985</v>
      </c>
      <c r="AH44" s="2">
        <v>-6.9680936576332897E-9</v>
      </c>
      <c r="AI44" s="2">
        <f t="shared" si="14"/>
        <v>2317.2142281309789</v>
      </c>
      <c r="AJ44" s="2">
        <v>1.1593783710850403E-9</v>
      </c>
      <c r="AK44" s="5">
        <f t="shared" si="9"/>
        <v>2317.2142281223387</v>
      </c>
      <c r="AL44" s="2">
        <v>-2.9044713301118463E-9</v>
      </c>
      <c r="AM44" s="2">
        <f t="shared" si="10"/>
        <v>2.0238628254130081E-17</v>
      </c>
      <c r="AN44" s="2">
        <f t="shared" si="11"/>
        <v>-3.3673812395682727E-18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651.37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111.83</v>
      </c>
      <c r="L46" s="6" t="s">
        <v>7</v>
      </c>
    </row>
    <row r="47" spans="2:41" x14ac:dyDescent="0.2">
      <c r="J47" s="9" t="s">
        <v>60</v>
      </c>
      <c r="K47" s="9">
        <f>SUM(K42:K46)</f>
        <v>2317.2199999999998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J9:L9"/>
    <mergeCell ref="F12:H12"/>
    <mergeCell ref="B15:D15"/>
    <mergeCell ref="N18:P18"/>
    <mergeCell ref="B20:D20"/>
    <mergeCell ref="F22:H22"/>
    <mergeCell ref="B27:D27"/>
    <mergeCell ref="B39:D39"/>
    <mergeCell ref="J41:L41"/>
    <mergeCell ref="B45:D45"/>
    <mergeCell ref="B34:D34"/>
    <mergeCell ref="F31:H31"/>
    <mergeCell ref="B48:D48"/>
    <mergeCell ref="B53:D53"/>
    <mergeCell ref="B76:D76"/>
    <mergeCell ref="B59:D59"/>
    <mergeCell ref="B64:D64"/>
    <mergeCell ref="B70:D70"/>
  </mergeCells>
  <conditionalFormatting sqref="K31">
    <cfRule type="containsText" dxfId="47" priority="7" operator="containsText" text="FALSE">
      <formula>NOT(ISERROR(SEARCH("FALSE",K31)))</formula>
    </cfRule>
    <cfRule type="containsText" dxfId="46" priority="8" operator="containsText" text="TRUE">
      <formula>NOT(ISERROR(SEARCH("TRUE",K31)))</formula>
    </cfRule>
    <cfRule type="cellIs" dxfId="45" priority="9" operator="equal">
      <formula>1</formula>
    </cfRule>
    <cfRule type="cellIs" dxfId="44" priority="10" operator="equal">
      <formula>TRUE</formula>
    </cfRule>
    <cfRule type="containsText" dxfId="43" priority="11" operator="containsText" text="YES">
      <formula>NOT(ISERROR(SEARCH("YES",K31)))</formula>
    </cfRule>
    <cfRule type="cellIs" dxfId="42" priority="12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599-B8DB-7C45-AD35-81934DFC24D5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407.81554445933193</v>
      </c>
      <c r="L4" s="6" t="s">
        <v>97</v>
      </c>
      <c r="N4" s="6" t="s">
        <v>131</v>
      </c>
      <c r="O4" s="6">
        <f xml:space="preserve"> $C$5 * $C$74</f>
        <v>20149.322248046727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1.2253348245405036</v>
      </c>
      <c r="X4" s="3">
        <v>1</v>
      </c>
      <c r="Y4" s="2">
        <f t="shared" ref="Y4:Y34" si="1" xml:space="preserve"> $O$22 * TAN($O$19/180*PI()) + $O$23 / (2 * SQRT($O$22^2 + X4^2)) - X4</f>
        <v>-2.5975114424127588E-2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0.49629197378746648</v>
      </c>
      <c r="AB4" s="2">
        <f>W4*AA4</f>
        <v>0.60812383862172548</v>
      </c>
      <c r="AC4" s="2">
        <f>Y4*AA4</f>
        <v>-1.2891240806905572E-2</v>
      </c>
      <c r="AD4" s="2">
        <f>X4-V4</f>
        <v>1</v>
      </c>
      <c r="AF4" s="2">
        <v>0</v>
      </c>
      <c r="AH4" s="2">
        <f>K30</f>
        <v>-5.1180039235987351E-5</v>
      </c>
      <c r="AJ4" s="2">
        <f>K30</f>
        <v>-5.1180039235987351E-5</v>
      </c>
      <c r="AL4" s="2">
        <f>K30</f>
        <v>-5.1180039235987351E-5</v>
      </c>
    </row>
    <row r="5" spans="2:41" x14ac:dyDescent="0.2">
      <c r="B5" s="9" t="s">
        <v>38</v>
      </c>
      <c r="C5" s="9">
        <v>2055.9371375656101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50.976943057416491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0.49629197378746648</v>
      </c>
      <c r="X5" s="2">
        <f>IF(AC4&gt;0, Z4, X4)</f>
        <v>1</v>
      </c>
      <c r="Y5" s="2">
        <f t="shared" si="1"/>
        <v>-2.5975114424127588E-2</v>
      </c>
      <c r="Z5" s="2">
        <f t="shared" ref="Z5:Z34" si="3" xml:space="preserve"> (V5 + X5)/2</f>
        <v>0.75</v>
      </c>
      <c r="AA5" s="2">
        <f t="shared" si="2"/>
        <v>0.23152047601955705</v>
      </c>
      <c r="AB5" s="2">
        <f t="shared" ref="AB5:AB34" si="4">W5*AA5</f>
        <v>0.11490175401595977</v>
      </c>
      <c r="AC5" s="2">
        <f t="shared" ref="AC5:AC34" si="5">Y5*AA5</f>
        <v>-6.0137708561364819E-3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-1432.590836119402</v>
      </c>
      <c r="AI5" s="3">
        <v>10000</v>
      </c>
      <c r="AJ5" s="2">
        <f t="dataTable" ref="AJ5:AJ44" dt2D="0" dtr="0" r1="C5" ca="1"/>
        <v>6904.4926767820116</v>
      </c>
      <c r="AK5" s="2">
        <f>(AG5+AI5)/2</f>
        <v>5250</v>
      </c>
      <c r="AL5" s="2">
        <f t="dataTable" ref="AL5:AL44" dt2D="0" dtr="0" r1="C5" ca="1"/>
        <v>2631.0597915193293</v>
      </c>
      <c r="AM5" s="2">
        <f>AH5*AL5</f>
        <v>-3769232.1466128156</v>
      </c>
      <c r="AN5" s="2">
        <f>AJ5*AL5</f>
        <v>18166133.062720817</v>
      </c>
      <c r="AO5" s="2">
        <f>AI5-AG5</f>
        <v>9500</v>
      </c>
    </row>
    <row r="6" spans="2:41" x14ac:dyDescent="0.2">
      <c r="B6" s="6" t="s">
        <v>168</v>
      </c>
      <c r="C6" s="16">
        <v>472.54527421905101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151.26072032504814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0.21170598513544192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0.23152047601955705</v>
      </c>
      <c r="X6" s="2">
        <f t="shared" ref="X6:X34" si="8">IF(AC5&gt;0, Z5, X5)</f>
        <v>1</v>
      </c>
      <c r="Y6" s="2">
        <f t="shared" si="1"/>
        <v>-2.5975114424127588E-2</v>
      </c>
      <c r="Z6" s="2">
        <f t="shared" si="3"/>
        <v>0.875</v>
      </c>
      <c r="AA6" s="2">
        <f t="shared" si="2"/>
        <v>0.10224458071715459</v>
      </c>
      <c r="AB6" s="2">
        <f t="shared" si="4"/>
        <v>2.3671713998055652E-2</v>
      </c>
      <c r="AC6" s="2">
        <f t="shared" si="5"/>
        <v>-2.6558146833750395E-3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-1432.590836119402</v>
      </c>
      <c r="AI6" s="2">
        <f>IF(AN5&gt;0,AK5,AI5)</f>
        <v>5250</v>
      </c>
      <c r="AJ6" s="2">
        <v>2631.0597915193293</v>
      </c>
      <c r="AK6" s="2">
        <f t="shared" ref="AK6:AK44" si="9">(AG6+AI6)/2</f>
        <v>2875</v>
      </c>
      <c r="AL6" s="2">
        <v>713.24611117464428</v>
      </c>
      <c r="AM6" s="2">
        <f t="shared" ref="AM6:AM44" si="10">AH6*AL6</f>
        <v>-1021789.8427665955</v>
      </c>
      <c r="AN6" s="2">
        <f t="shared" ref="AN6:AN44" si="11">AJ6*AL6</f>
        <v>1876593.164569132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2518.9062182474158</v>
      </c>
      <c r="H7" s="6" t="s">
        <v>21</v>
      </c>
      <c r="J7" s="6" t="s">
        <v>133</v>
      </c>
      <c r="K7" s="6">
        <f>K6/$C$28</f>
        <v>151.26072032504814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0.10224458071715459</v>
      </c>
      <c r="X7" s="2">
        <f t="shared" si="8"/>
        <v>1</v>
      </c>
      <c r="Y7" s="2">
        <f t="shared" si="1"/>
        <v>-2.5975114424127588E-2</v>
      </c>
      <c r="Z7" s="2">
        <f t="shared" si="3"/>
        <v>0.9375</v>
      </c>
      <c r="AA7" s="2">
        <f t="shared" si="2"/>
        <v>3.8028672505491135E-2</v>
      </c>
      <c r="AB7" s="2">
        <f t="shared" si="4"/>
        <v>3.8882256755539257E-3</v>
      </c>
      <c r="AC7" s="2">
        <f t="shared" si="5"/>
        <v>-9.8779911972780702E-4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-1432.590836119402</v>
      </c>
      <c r="AI7" s="2">
        <f t="shared" ref="AI7:AI44" si="14">IF(AN6&gt;0,AK6,AI6)</f>
        <v>2875</v>
      </c>
      <c r="AJ7" s="2">
        <v>713.24611117464428</v>
      </c>
      <c r="AK7" s="2">
        <f t="shared" si="9"/>
        <v>1687.5</v>
      </c>
      <c r="AL7" s="2">
        <v>-329.71094814986304</v>
      </c>
      <c r="AM7" s="2">
        <f t="shared" si="10"/>
        <v>472340.88288773311</v>
      </c>
      <c r="AN7" s="2">
        <f t="shared" si="11"/>
        <v>-235165.05157959458</v>
      </c>
      <c r="AO7" s="2">
        <f t="shared" si="12"/>
        <v>2375</v>
      </c>
    </row>
    <row r="8" spans="2:41" x14ac:dyDescent="0.2">
      <c r="B8" s="6" t="s">
        <v>91</v>
      </c>
      <c r="C8" s="16">
        <v>2.24224116539648</v>
      </c>
      <c r="D8" s="6" t="s">
        <v>8</v>
      </c>
      <c r="F8" t="s">
        <v>93</v>
      </c>
      <c r="G8" s="6">
        <f>G10/$C$21</f>
        <v>33.984628704944328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3.8028672505491135E-2</v>
      </c>
      <c r="X8" s="2">
        <f t="shared" si="8"/>
        <v>1</v>
      </c>
      <c r="Y8" s="2">
        <f t="shared" si="1"/>
        <v>-2.5975114424127588E-2</v>
      </c>
      <c r="Z8" s="2">
        <f t="shared" si="3"/>
        <v>0.96875</v>
      </c>
      <c r="AA8" s="2">
        <f t="shared" si="2"/>
        <v>6.0027911609269458E-3</v>
      </c>
      <c r="AB8" s="2">
        <f t="shared" si="4"/>
        <v>2.2827817917774775E-4</v>
      </c>
      <c r="AC8" s="2">
        <f t="shared" si="5"/>
        <v>-1.559231872692191E-4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-329.71094814986304</v>
      </c>
      <c r="AI8" s="2">
        <f t="shared" si="14"/>
        <v>2875</v>
      </c>
      <c r="AJ8" s="2">
        <v>713.24611117464428</v>
      </c>
      <c r="AK8" s="2">
        <f t="shared" si="9"/>
        <v>2281.25</v>
      </c>
      <c r="AL8" s="2">
        <v>198.89101532404311</v>
      </c>
      <c r="AM8" s="2">
        <f t="shared" si="10"/>
        <v>-65576.545240979191</v>
      </c>
      <c r="AN8" s="2">
        <f t="shared" si="11"/>
        <v>141858.24322745032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7.5620111794339593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1.9973185314981656E-2</v>
      </c>
      <c r="U9" s="2">
        <v>5</v>
      </c>
      <c r="V9" s="2">
        <f t="shared" si="7"/>
        <v>0.96875</v>
      </c>
      <c r="W9" s="2">
        <f t="shared" si="0"/>
        <v>6.0027911609269458E-3</v>
      </c>
      <c r="X9" s="2">
        <f t="shared" si="8"/>
        <v>1</v>
      </c>
      <c r="Y9" s="2">
        <f t="shared" si="1"/>
        <v>-2.5975114424127588E-2</v>
      </c>
      <c r="Z9" s="2">
        <f t="shared" si="3"/>
        <v>0.984375</v>
      </c>
      <c r="AA9" s="2">
        <f t="shared" si="2"/>
        <v>-9.9918771440633547E-3</v>
      </c>
      <c r="AB9" s="2">
        <f t="shared" si="4"/>
        <v>-5.9979151801451478E-5</v>
      </c>
      <c r="AC9" s="2">
        <f t="shared" si="5"/>
        <v>2.5954015212887081E-4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-329.71094814986304</v>
      </c>
      <c r="AI9" s="2">
        <f t="shared" si="14"/>
        <v>2281.25</v>
      </c>
      <c r="AJ9" s="2">
        <v>198.89101532404311</v>
      </c>
      <c r="AK9" s="2">
        <f t="shared" si="9"/>
        <v>1984.375</v>
      </c>
      <c r="AL9" s="2">
        <v>-63.602651056349487</v>
      </c>
      <c r="AM9" s="2">
        <f t="shared" si="10"/>
        <v>20970.490384633878</v>
      </c>
      <c r="AN9" s="2">
        <f t="shared" si="11"/>
        <v>-12649.995845898173</v>
      </c>
      <c r="AO9" s="2">
        <f t="shared" si="12"/>
        <v>593.75</v>
      </c>
    </row>
    <row r="10" spans="2:41" x14ac:dyDescent="0.2">
      <c r="B10" s="6" t="s">
        <v>134</v>
      </c>
      <c r="C10" s="16">
        <v>1.4190386317886401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271.87702963955462</v>
      </c>
      <c r="H10" s="22" t="s">
        <v>97</v>
      </c>
      <c r="J10" s="6" t="s">
        <v>92</v>
      </c>
      <c r="K10" s="6">
        <f xml:space="preserve"> $C$18 * (G10*G6 + G20*G13 + G29*G25 + G33*G32)/3600</f>
        <v>96.084077233968372</v>
      </c>
      <c r="L10" s="6" t="s">
        <v>98</v>
      </c>
      <c r="N10" s="6" t="s">
        <v>39</v>
      </c>
      <c r="O10" s="6">
        <f xml:space="preserve"> O5 * $C$12 * O9</f>
        <v>1142.3317962722385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6.0027911609269458E-3</v>
      </c>
      <c r="X10" s="2">
        <f t="shared" si="8"/>
        <v>0.984375</v>
      </c>
      <c r="Y10" s="2">
        <f t="shared" si="1"/>
        <v>-9.9918771440633547E-3</v>
      </c>
      <c r="Z10" s="2">
        <f t="shared" si="3"/>
        <v>0.9765625</v>
      </c>
      <c r="AA10" s="2">
        <f t="shared" si="2"/>
        <v>-1.996005670185319E-3</v>
      </c>
      <c r="AB10" s="2">
        <f t="shared" si="4"/>
        <v>-1.1981605194148497E-5</v>
      </c>
      <c r="AC10" s="2">
        <f t="shared" si="5"/>
        <v>1.9943843435345548E-5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-63.602651056349487</v>
      </c>
      <c r="AI10" s="2">
        <f t="shared" si="14"/>
        <v>2281.25</v>
      </c>
      <c r="AJ10" s="2">
        <v>198.89101532404311</v>
      </c>
      <c r="AK10" s="2">
        <f t="shared" si="9"/>
        <v>2132.8125</v>
      </c>
      <c r="AL10" s="2">
        <v>68.091956748379744</v>
      </c>
      <c r="AM10" s="2">
        <f t="shared" si="10"/>
        <v>-4330.8289648112386</v>
      </c>
      <c r="AN10" s="2">
        <f t="shared" si="11"/>
        <v>13542.878413086077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0.748536815632041</v>
      </c>
      <c r="U11" s="2">
        <v>7</v>
      </c>
      <c r="V11" s="2">
        <f t="shared" si="7"/>
        <v>0.96875</v>
      </c>
      <c r="W11" s="2">
        <f t="shared" si="0"/>
        <v>6.0027911609269458E-3</v>
      </c>
      <c r="X11" s="2">
        <f t="shared" si="8"/>
        <v>0.9765625</v>
      </c>
      <c r="Y11" s="2">
        <f t="shared" si="1"/>
        <v>-1.996005670185319E-3</v>
      </c>
      <c r="Z11" s="2">
        <f t="shared" si="3"/>
        <v>0.97265625</v>
      </c>
      <c r="AA11" s="2">
        <f t="shared" si="2"/>
        <v>2.0030227340299689E-3</v>
      </c>
      <c r="AB11" s="2">
        <f t="shared" si="4"/>
        <v>1.2023727162970822E-5</v>
      </c>
      <c r="AC11" s="2">
        <f t="shared" si="5"/>
        <v>-3.9980447346339181E-6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-63.602651056349487</v>
      </c>
      <c r="AI11" s="2">
        <f t="shared" si="14"/>
        <v>2132.8125</v>
      </c>
      <c r="AJ11" s="2">
        <v>68.091956748379744</v>
      </c>
      <c r="AK11" s="2">
        <f t="shared" si="9"/>
        <v>2058.59375</v>
      </c>
      <c r="AL11" s="2">
        <v>2.3570488979007678</v>
      </c>
      <c r="AM11" s="2">
        <f t="shared" si="10"/>
        <v>-149.91455857593567</v>
      </c>
      <c r="AN11" s="2">
        <f t="shared" si="11"/>
        <v>160.49607160967523</v>
      </c>
      <c r="AO11" s="2">
        <f t="shared" si="12"/>
        <v>148.4375</v>
      </c>
    </row>
    <row r="12" spans="2:41" x14ac:dyDescent="0.2">
      <c r="B12" s="6" t="s">
        <v>135</v>
      </c>
      <c r="C12" s="16">
        <v>25.223455013504399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0.35230232454775318</v>
      </c>
      <c r="U12" s="2">
        <v>8</v>
      </c>
      <c r="V12" s="2">
        <f t="shared" si="7"/>
        <v>0.97265625</v>
      </c>
      <c r="W12" s="2">
        <f t="shared" si="0"/>
        <v>2.0030227340299689E-3</v>
      </c>
      <c r="X12" s="2">
        <f t="shared" si="8"/>
        <v>0.9765625</v>
      </c>
      <c r="Y12" s="2">
        <f t="shared" si="1"/>
        <v>-1.996005670185319E-3</v>
      </c>
      <c r="Z12" s="2">
        <f t="shared" si="3"/>
        <v>0.974609375</v>
      </c>
      <c r="AA12" s="2">
        <f t="shared" si="2"/>
        <v>3.4165771369831788E-6</v>
      </c>
      <c r="AB12" s="2">
        <f t="shared" si="4"/>
        <v>6.8434816779443301E-9</v>
      </c>
      <c r="AC12" s="2">
        <f t="shared" si="5"/>
        <v>-6.8195073380439481E-9</v>
      </c>
      <c r="AD12" s="2">
        <f t="shared" si="6"/>
        <v>3.90625E-3</v>
      </c>
      <c r="AF12" s="2">
        <v>8</v>
      </c>
      <c r="AG12" s="2">
        <f t="shared" si="13"/>
        <v>1984.375</v>
      </c>
      <c r="AH12" s="2">
        <v>-63.602651056349487</v>
      </c>
      <c r="AI12" s="2">
        <f t="shared" si="14"/>
        <v>2058.59375</v>
      </c>
      <c r="AJ12" s="2">
        <v>2.3570488979007678</v>
      </c>
      <c r="AK12" s="2">
        <f t="shared" si="9"/>
        <v>2021.484375</v>
      </c>
      <c r="AL12" s="2">
        <v>-30.594641109589929</v>
      </c>
      <c r="AM12" s="2">
        <f t="shared" si="10"/>
        <v>1945.9002826874932</v>
      </c>
      <c r="AN12" s="2">
        <f t="shared" si="11"/>
        <v>-72.113065109028469</v>
      </c>
      <c r="AO12" s="2">
        <f t="shared" si="12"/>
        <v>74.21875</v>
      </c>
    </row>
    <row r="13" spans="2:41" x14ac:dyDescent="0.2">
      <c r="B13" s="6" t="s">
        <v>136</v>
      </c>
      <c r="C13" s="16">
        <v>10.311484396624399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2.5091733435474127E-2</v>
      </c>
      <c r="U13" s="2">
        <v>9</v>
      </c>
      <c r="V13" s="2">
        <f t="shared" si="7"/>
        <v>0.974609375</v>
      </c>
      <c r="W13" s="2">
        <f t="shared" si="0"/>
        <v>3.4165771369831788E-6</v>
      </c>
      <c r="X13" s="2">
        <f t="shared" si="8"/>
        <v>0.9765625</v>
      </c>
      <c r="Y13" s="2">
        <f t="shared" si="1"/>
        <v>-1.996005670185319E-3</v>
      </c>
      <c r="Z13" s="2">
        <f t="shared" si="3"/>
        <v>0.9755859375</v>
      </c>
      <c r="AA13" s="2">
        <f t="shared" si="2"/>
        <v>-9.9631746718553682E-4</v>
      </c>
      <c r="AB13" s="2">
        <f t="shared" si="4"/>
        <v>-3.4039954795630935E-9</v>
      </c>
      <c r="AC13" s="2">
        <f t="shared" si="5"/>
        <v>1.9886553138070069E-6</v>
      </c>
      <c r="AD13" s="2">
        <f t="shared" si="6"/>
        <v>1.953125E-3</v>
      </c>
      <c r="AF13" s="2">
        <v>9</v>
      </c>
      <c r="AG13" s="2">
        <f t="shared" si="13"/>
        <v>2021.484375</v>
      </c>
      <c r="AH13" s="2">
        <v>-30.594641109589929</v>
      </c>
      <c r="AI13" s="2">
        <f t="shared" si="14"/>
        <v>2058.59375</v>
      </c>
      <c r="AJ13" s="2">
        <v>2.3570488979007678</v>
      </c>
      <c r="AK13" s="2">
        <f t="shared" si="9"/>
        <v>2040.0390625</v>
      </c>
      <c r="AL13" s="2">
        <v>-14.111763769844856</v>
      </c>
      <c r="AM13" s="2">
        <f t="shared" si="10"/>
        <v>431.74434796171721</v>
      </c>
      <c r="AN13" s="2">
        <f t="shared" si="11"/>
        <v>-33.2621172411488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70.220878928740063</v>
      </c>
      <c r="H14" s="6" t="s">
        <v>10</v>
      </c>
      <c r="J14" s="9" t="s">
        <v>75</v>
      </c>
      <c r="K14" s="17">
        <f>C5</f>
        <v>2055.9371375656101</v>
      </c>
      <c r="L14" s="6" t="s">
        <v>7</v>
      </c>
      <c r="N14" s="6" t="s">
        <v>40</v>
      </c>
      <c r="O14" s="6">
        <f xml:space="preserve"> O5 * O13 * $C$12</f>
        <v>1435.0783049827057</v>
      </c>
      <c r="P14" s="6" t="s">
        <v>21</v>
      </c>
      <c r="U14" s="2">
        <v>10</v>
      </c>
      <c r="V14" s="2">
        <f t="shared" si="7"/>
        <v>0.974609375</v>
      </c>
      <c r="W14" s="2">
        <f t="shared" si="0"/>
        <v>3.4165771369831788E-6</v>
      </c>
      <c r="X14" s="2">
        <f t="shared" si="8"/>
        <v>0.9755859375</v>
      </c>
      <c r="Y14" s="2">
        <f t="shared" si="1"/>
        <v>-9.9631746718553682E-4</v>
      </c>
      <c r="Z14" s="2">
        <f t="shared" si="3"/>
        <v>0.97509765625</v>
      </c>
      <c r="AA14" s="2">
        <f t="shared" si="2"/>
        <v>-4.9645618367311073E-4</v>
      </c>
      <c r="AB14" s="2">
        <f t="shared" si="4"/>
        <v>-1.6961808466514719E-9</v>
      </c>
      <c r="AC14" s="2">
        <f t="shared" si="5"/>
        <v>4.946279674857913E-7</v>
      </c>
      <c r="AD14" s="2">
        <f t="shared" si="6"/>
        <v>9.765625E-4</v>
      </c>
      <c r="AF14" s="2">
        <v>10</v>
      </c>
      <c r="AG14" s="2">
        <f t="shared" si="13"/>
        <v>2040.0390625</v>
      </c>
      <c r="AH14" s="2">
        <v>-14.111763769844856</v>
      </c>
      <c r="AI14" s="2">
        <f t="shared" si="14"/>
        <v>2058.59375</v>
      </c>
      <c r="AJ14" s="2">
        <v>2.3570488979007678</v>
      </c>
      <c r="AK14" s="2">
        <f t="shared" si="9"/>
        <v>2049.31640625</v>
      </c>
      <c r="AL14" s="2">
        <v>-5.8756002665991218</v>
      </c>
      <c r="AM14" s="2">
        <f t="shared" si="10"/>
        <v>82.915082968284267</v>
      </c>
      <c r="AN14" s="2">
        <f t="shared" si="11"/>
        <v>-13.849077132892917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0.2110498591552411</v>
      </c>
      <c r="H15" s="6" t="s">
        <v>120</v>
      </c>
      <c r="J15" s="10" t="s">
        <v>53</v>
      </c>
      <c r="K15" s="6">
        <f xml:space="preserve"> 1000 * K10 / ($C$60 * $C$61 * $C$62)</f>
        <v>353.25028394841314</v>
      </c>
      <c r="L15" s="6" t="s">
        <v>7</v>
      </c>
      <c r="N15" s="6" t="s">
        <v>140</v>
      </c>
      <c r="O15" s="6">
        <f>O4/O14</f>
        <v>14.040573380620891</v>
      </c>
      <c r="U15" s="2">
        <v>11</v>
      </c>
      <c r="V15" s="2">
        <f t="shared" si="7"/>
        <v>0.974609375</v>
      </c>
      <c r="W15" s="2">
        <f t="shared" si="0"/>
        <v>3.4165771369831788E-6</v>
      </c>
      <c r="X15" s="2">
        <f t="shared" si="8"/>
        <v>0.97509765625</v>
      </c>
      <c r="Y15" s="2">
        <f t="shared" si="1"/>
        <v>-4.9645618367311073E-4</v>
      </c>
      <c r="Z15" s="2">
        <f t="shared" si="3"/>
        <v>0.974853515625</v>
      </c>
      <c r="AA15" s="2">
        <f t="shared" si="2"/>
        <v>-2.4652123899249201E-4</v>
      </c>
      <c r="AB15" s="2">
        <f t="shared" si="4"/>
        <v>-8.4225882892251433E-10</v>
      </c>
      <c r="AC15" s="2">
        <f t="shared" si="5"/>
        <v>1.2238699350457943E-7</v>
      </c>
      <c r="AD15" s="2">
        <f t="shared" si="6"/>
        <v>4.8828125E-4</v>
      </c>
      <c r="AF15" s="2">
        <v>11</v>
      </c>
      <c r="AG15" s="2">
        <f t="shared" si="13"/>
        <v>2049.31640625</v>
      </c>
      <c r="AH15" s="2">
        <v>-5.8756002665991218</v>
      </c>
      <c r="AI15" s="2">
        <f t="shared" si="14"/>
        <v>2058.59375</v>
      </c>
      <c r="AJ15" s="2">
        <v>2.3570488979007678</v>
      </c>
      <c r="AK15" s="2">
        <f t="shared" si="9"/>
        <v>2053.955078125</v>
      </c>
      <c r="AL15" s="2">
        <v>-1.7588363581430713</v>
      </c>
      <c r="AM15" s="2">
        <f t="shared" si="10"/>
        <v>10.334219374809658</v>
      </c>
      <c r="AN15" s="2">
        <f t="shared" si="11"/>
        <v>-4.145663299548926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1435.0783049827057</v>
      </c>
      <c r="H16" s="6" t="s">
        <v>21</v>
      </c>
      <c r="J16" s="11" t="s">
        <v>123</v>
      </c>
      <c r="K16" s="6">
        <f>uniform_250!K16</f>
        <v>170.2424182007949</v>
      </c>
      <c r="L16" s="6" t="s">
        <v>7</v>
      </c>
      <c r="N16" s="6" t="s">
        <v>111</v>
      </c>
      <c r="O16" s="6">
        <f>(O13*$C$12)/(0.3048^2)/($C$5*2.20462/1000)^(2/3)</f>
        <v>2.4873845424588565</v>
      </c>
      <c r="U16" s="2">
        <v>12</v>
      </c>
      <c r="V16" s="2">
        <f t="shared" si="7"/>
        <v>0.974609375</v>
      </c>
      <c r="W16" s="2">
        <f t="shared" si="0"/>
        <v>3.4165771369831788E-6</v>
      </c>
      <c r="X16" s="2">
        <f t="shared" si="8"/>
        <v>0.974853515625</v>
      </c>
      <c r="Y16" s="2">
        <f t="shared" si="1"/>
        <v>-2.4652123899249201E-4</v>
      </c>
      <c r="Z16" s="2">
        <f t="shared" si="3"/>
        <v>0.9747314453125</v>
      </c>
      <c r="AA16" s="2">
        <f t="shared" si="2"/>
        <v>-1.2155268999169966E-4</v>
      </c>
      <c r="AB16" s="2">
        <f t="shared" si="4"/>
        <v>-4.152941415644451E-10</v>
      </c>
      <c r="AC16" s="2">
        <f t="shared" si="5"/>
        <v>2.9965319739624084E-8</v>
      </c>
      <c r="AD16" s="2">
        <f t="shared" si="6"/>
        <v>2.44140625E-4</v>
      </c>
      <c r="AF16" s="2">
        <v>12</v>
      </c>
      <c r="AG16" s="2">
        <f t="shared" si="13"/>
        <v>2053.955078125</v>
      </c>
      <c r="AH16" s="2">
        <v>-1.7588363581430713</v>
      </c>
      <c r="AI16" s="2">
        <f t="shared" si="14"/>
        <v>2058.59375</v>
      </c>
      <c r="AJ16" s="2">
        <v>2.3570488979007678</v>
      </c>
      <c r="AK16" s="2">
        <f t="shared" si="9"/>
        <v>2056.2744140625</v>
      </c>
      <c r="AL16" s="2">
        <v>0.29921597294651292</v>
      </c>
      <c r="AM16" s="2">
        <f t="shared" si="10"/>
        <v>-0.52627193215548052</v>
      </c>
      <c r="AN16" s="2">
        <f t="shared" si="11"/>
        <v>0.70526667926788422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100.84048021669877</v>
      </c>
      <c r="H17" s="6" t="s">
        <v>97</v>
      </c>
      <c r="J17" s="11" t="s">
        <v>124</v>
      </c>
      <c r="K17" s="6">
        <f>uniform_250!K17</f>
        <v>0</v>
      </c>
      <c r="L17" s="6" t="s">
        <v>7</v>
      </c>
      <c r="U17" s="2">
        <v>13</v>
      </c>
      <c r="V17" s="2">
        <f t="shared" si="7"/>
        <v>0.974609375</v>
      </c>
      <c r="W17" s="2">
        <f t="shared" si="0"/>
        <v>3.4165771369831788E-6</v>
      </c>
      <c r="X17" s="2">
        <f t="shared" si="8"/>
        <v>0.9747314453125</v>
      </c>
      <c r="Y17" s="2">
        <f t="shared" si="1"/>
        <v>-1.2155268999169966E-4</v>
      </c>
      <c r="Z17" s="2">
        <f t="shared" si="3"/>
        <v>0.97467041015625</v>
      </c>
      <c r="AA17" s="2">
        <f t="shared" si="2"/>
        <v>-5.9068146209928507E-5</v>
      </c>
      <c r="AB17" s="2">
        <f t="shared" si="4"/>
        <v>-2.0181087786482134E-10</v>
      </c>
      <c r="AC17" s="2">
        <f t="shared" si="5"/>
        <v>7.1798920646398287E-9</v>
      </c>
      <c r="AD17" s="2">
        <f t="shared" si="6"/>
        <v>1.220703125E-4</v>
      </c>
      <c r="AF17" s="2">
        <v>13</v>
      </c>
      <c r="AG17" s="2">
        <f t="shared" si="13"/>
        <v>2053.955078125</v>
      </c>
      <c r="AH17" s="2">
        <v>-1.7588363581430713</v>
      </c>
      <c r="AI17" s="2">
        <f t="shared" si="14"/>
        <v>2056.2744140625</v>
      </c>
      <c r="AJ17" s="2">
        <v>0.29921597294651292</v>
      </c>
      <c r="AK17" s="2">
        <f t="shared" si="9"/>
        <v>2055.11474609375</v>
      </c>
      <c r="AL17" s="2">
        <v>-0.72978291678327878</v>
      </c>
      <c r="AM17" s="2">
        <f t="shared" si="10"/>
        <v>1.2835687275901302</v>
      </c>
      <c r="AN17" s="2">
        <f t="shared" si="11"/>
        <v>-0.21836270548505282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1.4520784584400495</v>
      </c>
      <c r="H18" s="6" t="s">
        <v>172</v>
      </c>
      <c r="J18" s="12" t="s">
        <v>54</v>
      </c>
      <c r="K18" s="6">
        <f>uniform_250!K18</f>
        <v>110.08510589626826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0.974609375</v>
      </c>
      <c r="W18" s="2">
        <f t="shared" si="0"/>
        <v>3.4165771369831788E-6</v>
      </c>
      <c r="X18" s="2">
        <f t="shared" si="8"/>
        <v>0.97467041015625</v>
      </c>
      <c r="Y18" s="2">
        <f t="shared" si="1"/>
        <v>-5.9068146209928507E-5</v>
      </c>
      <c r="Z18" s="2">
        <f t="shared" si="3"/>
        <v>0.974639892578125</v>
      </c>
      <c r="AA18" s="2">
        <f t="shared" si="2"/>
        <v>-2.7825806984238532E-5</v>
      </c>
      <c r="AB18" s="2">
        <f t="shared" si="4"/>
        <v>-9.5069015960456219E-11</v>
      </c>
      <c r="AC18" s="2">
        <f t="shared" si="5"/>
        <v>1.6436188353542515E-9</v>
      </c>
      <c r="AD18" s="2">
        <f t="shared" si="6"/>
        <v>6.103515625E-5</v>
      </c>
      <c r="AF18" s="2">
        <v>14</v>
      </c>
      <c r="AG18" s="2">
        <f t="shared" si="13"/>
        <v>2055.11474609375</v>
      </c>
      <c r="AH18" s="2">
        <v>-0.72978291678327878</v>
      </c>
      <c r="AI18" s="2">
        <f t="shared" si="14"/>
        <v>2056.2744140625</v>
      </c>
      <c r="AJ18" s="2">
        <v>0.29921597294651292</v>
      </c>
      <c r="AK18" s="2">
        <f t="shared" si="9"/>
        <v>2055.694580078125</v>
      </c>
      <c r="AL18" s="2">
        <v>-0.21527657730189276</v>
      </c>
      <c r="AM18" s="2">
        <f t="shared" si="10"/>
        <v>0.15710516849849629</v>
      </c>
      <c r="AN18" s="2">
        <f t="shared" si="11"/>
        <v>-6.4414190529981041E-2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5.3666035702898955E-2</v>
      </c>
      <c r="J19" s="12" t="s">
        <v>73</v>
      </c>
      <c r="K19" s="6">
        <f>uniform_250!K19</f>
        <v>59.161733711324715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0.974609375</v>
      </c>
      <c r="W19" s="2">
        <f t="shared" si="0"/>
        <v>3.4165771369831788E-6</v>
      </c>
      <c r="X19" s="2">
        <f t="shared" si="8"/>
        <v>0.974639892578125</v>
      </c>
      <c r="Y19" s="2">
        <f t="shared" si="1"/>
        <v>-2.7825806984238532E-5</v>
      </c>
      <c r="Z19" s="2">
        <f t="shared" si="3"/>
        <v>0.9746246337890625</v>
      </c>
      <c r="AA19" s="2">
        <f t="shared" si="2"/>
        <v>-1.2204620535749555E-5</v>
      </c>
      <c r="AB19" s="2">
        <f t="shared" si="4"/>
        <v>-4.1698027487997323E-11</v>
      </c>
      <c r="AC19" s="2">
        <f t="shared" si="5"/>
        <v>3.3960341534364098E-10</v>
      </c>
      <c r="AD19" s="2">
        <f t="shared" si="6"/>
        <v>3.0517578125E-5</v>
      </c>
      <c r="AF19" s="2">
        <v>15</v>
      </c>
      <c r="AG19" s="2">
        <f t="shared" si="13"/>
        <v>2055.694580078125</v>
      </c>
      <c r="AH19" s="2">
        <v>-0.21527657730189276</v>
      </c>
      <c r="AI19" s="2">
        <f t="shared" si="14"/>
        <v>2056.2744140625</v>
      </c>
      <c r="AJ19" s="2">
        <v>0.29921597294651292</v>
      </c>
      <c r="AK19" s="2">
        <f t="shared" si="9"/>
        <v>2055.9844970703125</v>
      </c>
      <c r="AL19" s="2">
        <v>4.1971383492864334E-2</v>
      </c>
      <c r="AM19" s="2">
        <f t="shared" si="10"/>
        <v>-9.0354557829689947E-3</v>
      </c>
      <c r="AN19" s="2">
        <f t="shared" si="11"/>
        <v>1.2558508347728613E-2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100.84048021669877</v>
      </c>
      <c r="H20" s="22" t="s">
        <v>97</v>
      </c>
      <c r="J20" s="13" t="s">
        <v>61</v>
      </c>
      <c r="K20" s="6">
        <f>uniform_250!K20</f>
        <v>216.52132142008182</v>
      </c>
      <c r="L20" s="6" t="s">
        <v>7</v>
      </c>
      <c r="N20" s="6" t="s">
        <v>20</v>
      </c>
      <c r="O20" s="6">
        <f xml:space="preserve"> O14 / $C$28</f>
        <v>1435.0783049827057</v>
      </c>
      <c r="P20" s="6" t="s">
        <v>21</v>
      </c>
      <c r="U20" s="2">
        <v>16</v>
      </c>
      <c r="V20" s="2">
        <f t="shared" si="7"/>
        <v>0.974609375</v>
      </c>
      <c r="W20" s="2">
        <f t="shared" si="0"/>
        <v>3.4165771369831788E-6</v>
      </c>
      <c r="X20" s="2">
        <f t="shared" si="8"/>
        <v>0.9746246337890625</v>
      </c>
      <c r="Y20" s="2">
        <f t="shared" si="1"/>
        <v>-1.2204620535749555E-5</v>
      </c>
      <c r="Z20" s="2">
        <f t="shared" si="3"/>
        <v>0.97461700439453125</v>
      </c>
      <c r="AA20" s="2">
        <f t="shared" si="2"/>
        <v>-4.3940231024830467E-6</v>
      </c>
      <c r="AB20" s="2">
        <f t="shared" si="4"/>
        <v>-1.5012518871319472E-11</v>
      </c>
      <c r="AC20" s="2">
        <f t="shared" si="5"/>
        <v>5.3627384591122564E-11</v>
      </c>
      <c r="AD20" s="2">
        <f t="shared" si="6"/>
        <v>1.52587890625E-5</v>
      </c>
      <c r="AF20" s="2">
        <v>16</v>
      </c>
      <c r="AG20" s="2">
        <f t="shared" si="13"/>
        <v>2055.694580078125</v>
      </c>
      <c r="AH20" s="2">
        <v>-0.21527657730189276</v>
      </c>
      <c r="AI20" s="2">
        <f t="shared" si="14"/>
        <v>2055.9844970703125</v>
      </c>
      <c r="AJ20" s="2">
        <v>4.1971383492864334E-2</v>
      </c>
      <c r="AK20" s="2">
        <f t="shared" si="9"/>
        <v>2055.8395385742188</v>
      </c>
      <c r="AL20" s="2">
        <v>-8.6652023660917621E-2</v>
      </c>
      <c r="AM20" s="2">
        <f t="shared" si="10"/>
        <v>1.8654151070004971E-2</v>
      </c>
      <c r="AN20" s="2">
        <f t="shared" si="11"/>
        <v>-3.6369053155051274E-3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>uniform_250!K21</f>
        <v>60.247577101046147</v>
      </c>
      <c r="L21" s="6" t="s">
        <v>7</v>
      </c>
      <c r="N21" s="6" t="s">
        <v>27</v>
      </c>
      <c r="O21" s="6">
        <f>$C$6*2*PI()/60</f>
        <v>49.484825399171498</v>
      </c>
      <c r="P21" s="6" t="s">
        <v>28</v>
      </c>
      <c r="U21" s="2">
        <v>17</v>
      </c>
      <c r="V21" s="2">
        <f t="shared" si="7"/>
        <v>0.974609375</v>
      </c>
      <c r="W21" s="2">
        <f t="shared" si="0"/>
        <v>3.4165771369831788E-6</v>
      </c>
      <c r="X21" s="2">
        <f t="shared" si="8"/>
        <v>0.97461700439453125</v>
      </c>
      <c r="Y21" s="2">
        <f t="shared" si="1"/>
        <v>-4.3940231024830467E-6</v>
      </c>
      <c r="Z21" s="2">
        <f t="shared" si="3"/>
        <v>0.97461318969726562</v>
      </c>
      <c r="AA21" s="2">
        <f t="shared" si="2"/>
        <v>-4.8872333346938746E-7</v>
      </c>
      <c r="AB21" s="2">
        <f t="shared" si="4"/>
        <v>-1.6697609674417152E-12</v>
      </c>
      <c r="AC21" s="2">
        <f t="shared" si="5"/>
        <v>2.1474616179870145E-12</v>
      </c>
      <c r="AD21" s="2">
        <f t="shared" si="6"/>
        <v>7.62939453125E-6</v>
      </c>
      <c r="AF21" s="2">
        <v>17</v>
      </c>
      <c r="AG21" s="2">
        <f t="shared" si="13"/>
        <v>2055.8395385742188</v>
      </c>
      <c r="AH21" s="2">
        <v>-8.6652023660917621E-2</v>
      </c>
      <c r="AI21" s="2">
        <f t="shared" si="14"/>
        <v>2055.9844970703125</v>
      </c>
      <c r="AJ21" s="2">
        <v>4.1971383492864334E-2</v>
      </c>
      <c r="AK21" s="2">
        <f t="shared" si="9"/>
        <v>2055.9120178222656</v>
      </c>
      <c r="AL21" s="2">
        <v>-2.234021472781933E-2</v>
      </c>
      <c r="AM21" s="2">
        <f t="shared" si="10"/>
        <v>1.9358248151849808E-3</v>
      </c>
      <c r="AN21" s="2">
        <f t="shared" si="11"/>
        <v>-9.3764971965424086E-4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>uniform_250!K22</f>
        <v>317.70282098337231</v>
      </c>
      <c r="L22" s="6" t="s">
        <v>7</v>
      </c>
      <c r="N22" s="6" t="s">
        <v>29</v>
      </c>
      <c r="O22" s="6">
        <f xml:space="preserve"> $C$7 * COS(O19/180*PI()) / (O21 * $C$10)</f>
        <v>8.3227603739021438E-2</v>
      </c>
      <c r="U22" s="2">
        <v>18</v>
      </c>
      <c r="V22" s="2">
        <f t="shared" si="7"/>
        <v>0.974609375</v>
      </c>
      <c r="W22" s="2">
        <f t="shared" si="0"/>
        <v>3.4165771369831788E-6</v>
      </c>
      <c r="X22" s="2">
        <f t="shared" si="8"/>
        <v>0.97461318969726562</v>
      </c>
      <c r="Y22" s="2">
        <f t="shared" si="1"/>
        <v>-4.8872333346938746E-7</v>
      </c>
      <c r="Z22" s="2">
        <f t="shared" si="3"/>
        <v>0.97461128234863281</v>
      </c>
      <c r="AA22" s="2">
        <f t="shared" si="2"/>
        <v>1.4639268141047879E-6</v>
      </c>
      <c r="AB22" s="2">
        <f t="shared" si="4"/>
        <v>5.0016188832870423E-12</v>
      </c>
      <c r="AC22" s="2">
        <f t="shared" si="5"/>
        <v>-7.1545519254451221E-13</v>
      </c>
      <c r="AD22" s="2">
        <f t="shared" si="6"/>
        <v>3.814697265625E-6</v>
      </c>
      <c r="AF22" s="2">
        <v>18</v>
      </c>
      <c r="AG22" s="2">
        <f t="shared" si="13"/>
        <v>2055.9120178222656</v>
      </c>
      <c r="AH22" s="2">
        <v>-2.234021472781933E-2</v>
      </c>
      <c r="AI22" s="2">
        <f t="shared" si="14"/>
        <v>2055.9844970703125</v>
      </c>
      <c r="AJ22" s="2">
        <v>4.1971383492864334E-2</v>
      </c>
      <c r="AK22" s="2">
        <f t="shared" si="9"/>
        <v>2055.9482574462891</v>
      </c>
      <c r="AL22" s="2">
        <v>9.8156107212616917E-3</v>
      </c>
      <c r="AM22" s="2">
        <f t="shared" si="10"/>
        <v>-2.1928285119767176E-4</v>
      </c>
      <c r="AN22" s="2">
        <f t="shared" si="11"/>
        <v>4.1197476179874514E-4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>uniform_250!K23</f>
        <v>25.991923068800549</v>
      </c>
      <c r="L23" s="6" t="s">
        <v>7</v>
      </c>
      <c r="N23" s="6" t="s">
        <v>30</v>
      </c>
      <c r="O23" s="6">
        <f xml:space="preserve"> O20 / ( $C$71 * PI() * $C$10^2 * O21^2 * $C$10^2)</f>
        <v>4.5615212072036747E-2</v>
      </c>
      <c r="U23" s="2">
        <v>19</v>
      </c>
      <c r="V23" s="2">
        <f t="shared" si="7"/>
        <v>0.97461128234863281</v>
      </c>
      <c r="W23" s="2">
        <f t="shared" si="0"/>
        <v>1.4639268141047879E-6</v>
      </c>
      <c r="X23" s="2">
        <f t="shared" si="8"/>
        <v>0.97461318969726562</v>
      </c>
      <c r="Y23" s="2">
        <f t="shared" si="1"/>
        <v>-4.8872333346938746E-7</v>
      </c>
      <c r="Z23" s="2">
        <f t="shared" si="3"/>
        <v>0.97461223602294922</v>
      </c>
      <c r="AA23" s="2">
        <f t="shared" si="2"/>
        <v>4.8760171833528432E-7</v>
      </c>
      <c r="AB23" s="2">
        <f t="shared" si="4"/>
        <v>7.1381323007459292E-13</v>
      </c>
      <c r="AC23" s="2">
        <f t="shared" si="5"/>
        <v>-2.3830233719022151E-13</v>
      </c>
      <c r="AD23" s="2">
        <f t="shared" si="6"/>
        <v>1.9073486328125E-6</v>
      </c>
      <c r="AF23" s="2">
        <v>19</v>
      </c>
      <c r="AG23" s="2">
        <f t="shared" si="13"/>
        <v>2055.9120178222656</v>
      </c>
      <c r="AH23" s="2">
        <v>-2.234021472781933E-2</v>
      </c>
      <c r="AI23" s="2">
        <f t="shared" si="14"/>
        <v>2055.9482574462891</v>
      </c>
      <c r="AJ23" s="2">
        <v>9.8156107212616917E-3</v>
      </c>
      <c r="AK23" s="2">
        <f t="shared" si="9"/>
        <v>2055.9301376342773</v>
      </c>
      <c r="AL23" s="2">
        <v>-6.2622954185371782E-3</v>
      </c>
      <c r="AM23" s="2">
        <f t="shared" si="10"/>
        <v>1.3990102433915978E-4</v>
      </c>
      <c r="AN23" s="2">
        <f t="shared" si="11"/>
        <v>-6.1468254049901492E-5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>uniform_250!K24</f>
        <v>8.9225954670526697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0.97461223602294922</v>
      </c>
      <c r="W24" s="2">
        <f t="shared" si="0"/>
        <v>4.8760171833528432E-7</v>
      </c>
      <c r="X24" s="2">
        <f t="shared" si="8"/>
        <v>0.97461318969726562</v>
      </c>
      <c r="Y24" s="2">
        <f t="shared" si="1"/>
        <v>-4.8872333346938746E-7</v>
      </c>
      <c r="Z24" s="2">
        <f t="shared" si="3"/>
        <v>0.97461271286010742</v>
      </c>
      <c r="AA24" s="2">
        <f t="shared" si="2"/>
        <v>-5.6081306265554076E-10</v>
      </c>
      <c r="AB24" s="2">
        <f t="shared" si="4"/>
        <v>-2.7345341301571517E-16</v>
      </c>
      <c r="AC24" s="2">
        <f t="shared" si="5"/>
        <v>2.7408242943419234E-16</v>
      </c>
      <c r="AD24" s="2">
        <f t="shared" si="6"/>
        <v>9.5367431640625E-7</v>
      </c>
      <c r="AF24" s="2">
        <v>20</v>
      </c>
      <c r="AG24" s="2">
        <f t="shared" si="13"/>
        <v>2055.9301376342773</v>
      </c>
      <c r="AH24" s="2">
        <v>-6.2622954185371782E-3</v>
      </c>
      <c r="AI24" s="2">
        <f t="shared" si="14"/>
        <v>2055.9482574462891</v>
      </c>
      <c r="AJ24" s="2">
        <v>9.8156107212616917E-3</v>
      </c>
      <c r="AK24" s="2">
        <f t="shared" si="9"/>
        <v>2055.9391975402832</v>
      </c>
      <c r="AL24" s="2">
        <v>1.7766592975476669E-3</v>
      </c>
      <c r="AM24" s="2">
        <f t="shared" si="10"/>
        <v>-1.1125965379334236E-5</v>
      </c>
      <c r="AN24" s="2">
        <f t="shared" si="11"/>
        <v>1.7438996049038145E-5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uniform_250!K25</f>
        <v>21.978860102834652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2156.3057119003365</v>
      </c>
      <c r="P25" s="6" t="s">
        <v>19</v>
      </c>
      <c r="U25" s="2">
        <v>21</v>
      </c>
      <c r="V25" s="2">
        <f t="shared" si="7"/>
        <v>0.97461223602294922</v>
      </c>
      <c r="W25" s="2">
        <f t="shared" si="0"/>
        <v>4.8760171833528432E-7</v>
      </c>
      <c r="X25" s="2">
        <f t="shared" si="8"/>
        <v>0.97461271286010742</v>
      </c>
      <c r="Y25" s="2">
        <f t="shared" si="1"/>
        <v>-5.6081306265554076E-10</v>
      </c>
      <c r="Z25" s="2">
        <f t="shared" si="3"/>
        <v>0.97461247444152832</v>
      </c>
      <c r="AA25" s="2">
        <f t="shared" si="2"/>
        <v>2.4352045135955791E-7</v>
      </c>
      <c r="AB25" s="2">
        <f t="shared" si="4"/>
        <v>1.1874099053270446E-13</v>
      </c>
      <c r="AC25" s="2">
        <f t="shared" si="5"/>
        <v>-1.3656945014621332E-16</v>
      </c>
      <c r="AD25" s="2">
        <f t="shared" si="6"/>
        <v>4.76837158203125E-7</v>
      </c>
      <c r="AF25" s="2">
        <v>21</v>
      </c>
      <c r="AG25" s="2">
        <f t="shared" si="13"/>
        <v>2055.9301376342773</v>
      </c>
      <c r="AH25" s="2">
        <v>-6.2622954185371782E-3</v>
      </c>
      <c r="AI25" s="2">
        <f t="shared" si="14"/>
        <v>2055.9391975402832</v>
      </c>
      <c r="AJ25" s="2">
        <v>1.7766592975476669E-3</v>
      </c>
      <c r="AK25" s="2">
        <f t="shared" si="9"/>
        <v>2055.9346675872803</v>
      </c>
      <c r="AL25" s="2">
        <v>-2.2428176487210294E-3</v>
      </c>
      <c r="AM25" s="2">
        <f t="shared" si="10"/>
        <v>1.4045186686200029E-5</v>
      </c>
      <c r="AN25" s="2">
        <f t="shared" si="11"/>
        <v>-3.984722828304214E-6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2518.9062182474158</v>
      </c>
      <c r="H26" s="6" t="s">
        <v>21</v>
      </c>
      <c r="J26" s="14" t="s">
        <v>65</v>
      </c>
      <c r="K26" s="6">
        <f>uniform_250!K26</f>
        <v>49.681078963324211</v>
      </c>
      <c r="L26" s="6" t="s">
        <v>7</v>
      </c>
      <c r="N26" s="6" t="s">
        <v>32</v>
      </c>
      <c r="O26" s="17">
        <f>Z34</f>
        <v>0.97461271239444613</v>
      </c>
      <c r="U26" s="2">
        <v>22</v>
      </c>
      <c r="V26" s="2">
        <f t="shared" si="7"/>
        <v>0.97461247444152832</v>
      </c>
      <c r="W26" s="2">
        <f t="shared" si="0"/>
        <v>2.4352045135955791E-7</v>
      </c>
      <c r="X26" s="2">
        <f t="shared" si="8"/>
        <v>0.97461271286010742</v>
      </c>
      <c r="Y26" s="2">
        <f t="shared" si="1"/>
        <v>-5.6081306265554076E-10</v>
      </c>
      <c r="Z26" s="2">
        <f t="shared" si="3"/>
        <v>0.97461259365081787</v>
      </c>
      <c r="AA26" s="2">
        <f t="shared" si="2"/>
        <v>1.2147981875987313E-7</v>
      </c>
      <c r="AB26" s="2">
        <f t="shared" si="4"/>
        <v>2.9582820295481593E-14</v>
      </c>
      <c r="AC26" s="2">
        <f t="shared" si="5"/>
        <v>-6.8127469209564463E-17</v>
      </c>
      <c r="AD26" s="2">
        <f t="shared" si="6"/>
        <v>2.384185791015625E-7</v>
      </c>
      <c r="AF26" s="2">
        <v>22</v>
      </c>
      <c r="AG26" s="2">
        <f t="shared" si="13"/>
        <v>2055.9346675872803</v>
      </c>
      <c r="AH26" s="2">
        <v>-2.2428176487210294E-3</v>
      </c>
      <c r="AI26" s="2">
        <f t="shared" si="14"/>
        <v>2055.9391975402832</v>
      </c>
      <c r="AJ26" s="2">
        <v>1.7766592975476669E-3</v>
      </c>
      <c r="AK26" s="2">
        <f t="shared" si="9"/>
        <v>2055.9369325637817</v>
      </c>
      <c r="AL26" s="2">
        <v>-2.3307907258640626E-4</v>
      </c>
      <c r="AM26" s="2">
        <f t="shared" si="10"/>
        <v>5.227538575443218E-7</v>
      </c>
      <c r="AN26" s="2">
        <f t="shared" si="11"/>
        <v>-4.1410210137442624E-7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29.411604195909284</v>
      </c>
      <c r="H27" t="s">
        <v>97</v>
      </c>
      <c r="J27" s="14" t="s">
        <v>66</v>
      </c>
      <c r="K27" s="6">
        <f>uniform_250!K27</f>
        <v>8.0125952656530757</v>
      </c>
      <c r="L27" s="6" t="s">
        <v>7</v>
      </c>
      <c r="N27" s="6" t="s">
        <v>33</v>
      </c>
      <c r="O27" s="6">
        <f xml:space="preserve"> O21 * $C$10 * O26 - $C$7 * SIN(O19/180*PI())</f>
        <v>1.6373296042212786</v>
      </c>
      <c r="P27" s="6" t="s">
        <v>10</v>
      </c>
      <c r="U27" s="2">
        <v>23</v>
      </c>
      <c r="V27" s="2">
        <f t="shared" si="7"/>
        <v>0.97461259365081787</v>
      </c>
      <c r="W27" s="2">
        <f t="shared" si="0"/>
        <v>1.2147981875987313E-7</v>
      </c>
      <c r="X27" s="2">
        <f t="shared" si="8"/>
        <v>0.97461271286010742</v>
      </c>
      <c r="Y27" s="2">
        <f t="shared" si="1"/>
        <v>-5.6081306265554076E-10</v>
      </c>
      <c r="Z27" s="2">
        <f t="shared" si="3"/>
        <v>0.97461265325546265</v>
      </c>
      <c r="AA27" s="2">
        <f t="shared" si="2"/>
        <v>6.0459502848608793E-8</v>
      </c>
      <c r="AB27" s="2">
        <f t="shared" si="4"/>
        <v>7.3446094483610296E-15</v>
      </c>
      <c r="AC27" s="2">
        <f t="shared" si="5"/>
        <v>-3.3906478959159688E-17</v>
      </c>
      <c r="AD27" s="2">
        <f t="shared" si="6"/>
        <v>1.1920928955078125E-7</v>
      </c>
      <c r="AF27" s="2">
        <v>23</v>
      </c>
      <c r="AG27" s="2">
        <f t="shared" si="13"/>
        <v>2055.9369325637817</v>
      </c>
      <c r="AH27" s="2">
        <v>-2.3307907258640626E-4</v>
      </c>
      <c r="AI27" s="2">
        <f t="shared" si="14"/>
        <v>2055.9391975402832</v>
      </c>
      <c r="AJ27" s="2">
        <v>1.7766592975476669E-3</v>
      </c>
      <c r="AK27" s="2">
        <f t="shared" si="9"/>
        <v>2055.9380650520325</v>
      </c>
      <c r="AL27" s="2">
        <v>7.7194196319396724E-4</v>
      </c>
      <c r="AM27" s="2">
        <f t="shared" si="10"/>
        <v>-1.7992351687177963E-7</v>
      </c>
      <c r="AN27" s="2">
        <f t="shared" si="11"/>
        <v>1.3714778660757608E-6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8.7377805196849838</v>
      </c>
      <c r="H28" s="6" t="s">
        <v>172</v>
      </c>
      <c r="J28" s="14" t="s">
        <v>67</v>
      </c>
      <c r="K28" s="6">
        <f>uniform_250!K28</f>
        <v>14.830172824872896</v>
      </c>
      <c r="L28" s="6" t="s">
        <v>7</v>
      </c>
      <c r="N28" s="6" t="s">
        <v>34</v>
      </c>
      <c r="O28" s="6">
        <f xml:space="preserve"> 1/$C$31 - O25 * SQRT( (2*$C$71*PI()*$C$10^2) / O20^3 )</f>
        <v>1.1916467845110632</v>
      </c>
      <c r="U28" s="2">
        <v>24</v>
      </c>
      <c r="V28" s="2">
        <f t="shared" si="7"/>
        <v>0.97461265325546265</v>
      </c>
      <c r="W28" s="2">
        <f t="shared" si="0"/>
        <v>6.0459502848608793E-8</v>
      </c>
      <c r="X28" s="2">
        <f t="shared" si="8"/>
        <v>0.97461271286010742</v>
      </c>
      <c r="Y28" s="2">
        <f t="shared" si="1"/>
        <v>-5.6081306265554076E-10</v>
      </c>
      <c r="Z28" s="2">
        <f t="shared" si="3"/>
        <v>0.97461268305778503</v>
      </c>
      <c r="AA28" s="2">
        <f t="shared" si="2"/>
        <v>2.9949344892976626E-8</v>
      </c>
      <c r="AB28" s="2">
        <f t="shared" si="4"/>
        <v>1.8107225028708876E-15</v>
      </c>
      <c r="AC28" s="2">
        <f t="shared" si="5"/>
        <v>-1.67959838339573E-17</v>
      </c>
      <c r="AD28" s="2">
        <f t="shared" si="6"/>
        <v>5.9604644775390625E-8</v>
      </c>
      <c r="AF28" s="2">
        <v>24</v>
      </c>
      <c r="AG28" s="2">
        <f t="shared" si="13"/>
        <v>2055.9369325637817</v>
      </c>
      <c r="AH28" s="2">
        <v>-2.3307907258640626E-4</v>
      </c>
      <c r="AI28" s="2">
        <f t="shared" si="14"/>
        <v>2055.9380650520325</v>
      </c>
      <c r="AJ28" s="2">
        <v>7.7194196319396724E-4</v>
      </c>
      <c r="AK28" s="2">
        <f t="shared" si="9"/>
        <v>2055.9374988079071</v>
      </c>
      <c r="AL28" s="2">
        <v>2.6927962653644499E-4</v>
      </c>
      <c r="AM28" s="2">
        <f t="shared" si="10"/>
        <v>-6.2763445619528425E-8</v>
      </c>
      <c r="AN28" s="2">
        <f t="shared" si="11"/>
        <v>2.0786824355668167E-7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235.29283356727427</v>
      </c>
      <c r="H29" s="22" t="s">
        <v>97</v>
      </c>
      <c r="J29" s="14" t="s">
        <v>68</v>
      </c>
      <c r="K29" s="6">
        <f>uniform_250!K29</f>
        <v>39.308701791810194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0.97461268305778503</v>
      </c>
      <c r="W29" s="2">
        <f t="shared" si="0"/>
        <v>2.9949344892976626E-8</v>
      </c>
      <c r="X29" s="2">
        <f t="shared" si="8"/>
        <v>0.97461271286010742</v>
      </c>
      <c r="Y29" s="2">
        <f t="shared" si="1"/>
        <v>-5.6081306265554076E-10</v>
      </c>
      <c r="Z29" s="2">
        <f t="shared" si="3"/>
        <v>0.97461269795894623</v>
      </c>
      <c r="AA29" s="2">
        <f t="shared" si="2"/>
        <v>1.4694265915160543E-8</v>
      </c>
      <c r="AB29" s="2">
        <f t="shared" si="4"/>
        <v>4.4008363784225389E-16</v>
      </c>
      <c r="AC29" s="2">
        <f t="shared" si="5"/>
        <v>-8.2407362713561064E-18</v>
      </c>
      <c r="AD29" s="2">
        <f t="shared" si="6"/>
        <v>2.9802322387695312E-8</v>
      </c>
      <c r="AF29" s="2">
        <v>25</v>
      </c>
      <c r="AG29" s="2">
        <f t="shared" si="13"/>
        <v>2055.9369325637817</v>
      </c>
      <c r="AH29" s="2">
        <v>-2.3307907258640626E-4</v>
      </c>
      <c r="AI29" s="2">
        <f t="shared" si="14"/>
        <v>2055.9374988079071</v>
      </c>
      <c r="AJ29" s="2">
        <v>2.6927962653644499E-4</v>
      </c>
      <c r="AK29" s="2">
        <f t="shared" si="9"/>
        <v>2055.9372156858444</v>
      </c>
      <c r="AL29" s="2">
        <v>1.8252103700433508E-5</v>
      </c>
      <c r="AM29" s="2">
        <f t="shared" si="10"/>
        <v>-4.2541834032479562E-9</v>
      </c>
      <c r="AN29" s="2">
        <f t="shared" si="11"/>
        <v>4.9149196679572008E-9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-5.1180039235987351E-5</v>
      </c>
      <c r="L30" s="9" t="s">
        <v>7</v>
      </c>
      <c r="N30" s="6" t="s">
        <v>36</v>
      </c>
      <c r="O30" s="6">
        <f xml:space="preserve"> 1/$C$77 * LN( EXP($C$77 * O28) + EXP($C$77 * O29) )</f>
        <v>1.2000488493412602</v>
      </c>
      <c r="U30" s="2">
        <v>26</v>
      </c>
      <c r="V30" s="2">
        <f>IF(AB29&gt;0, Z29, V29)</f>
        <v>0.97461269795894623</v>
      </c>
      <c r="W30" s="2">
        <f t="shared" si="0"/>
        <v>1.4694265915160543E-8</v>
      </c>
      <c r="X30" s="2">
        <f t="shared" si="8"/>
        <v>0.97461271286010742</v>
      </c>
      <c r="Y30" s="2">
        <f t="shared" si="1"/>
        <v>-5.6081306265554076E-10</v>
      </c>
      <c r="Z30" s="2">
        <f t="shared" si="3"/>
        <v>0.97461270540952682</v>
      </c>
      <c r="AA30" s="2">
        <f t="shared" si="2"/>
        <v>7.0667264262525009E-9</v>
      </c>
      <c r="AB30" s="2">
        <f t="shared" si="4"/>
        <v>1.038403572570464E-16</v>
      </c>
      <c r="AC30" s="2">
        <f t="shared" si="5"/>
        <v>-3.9631124900555094E-18</v>
      </c>
      <c r="AD30" s="2">
        <f t="shared" si="6"/>
        <v>1.4901161193847656E-8</v>
      </c>
      <c r="AF30" s="2">
        <v>26</v>
      </c>
      <c r="AG30" s="2">
        <f t="shared" si="13"/>
        <v>2055.9369325637817</v>
      </c>
      <c r="AH30" s="2">
        <v>-2.3307907258640626E-4</v>
      </c>
      <c r="AI30" s="2">
        <f t="shared" si="14"/>
        <v>2055.9372156858444</v>
      </c>
      <c r="AJ30" s="2">
        <v>1.8252103700433508E-5</v>
      </c>
      <c r="AK30" s="2">
        <f t="shared" si="9"/>
        <v>2055.9370741248131</v>
      </c>
      <c r="AL30" s="2">
        <v>-1.0756530923572427E-4</v>
      </c>
      <c r="AM30" s="2">
        <f t="shared" si="10"/>
        <v>2.5071222519132611E-8</v>
      </c>
      <c r="AN30" s="2">
        <f t="shared" si="11"/>
        <v>-1.9632931787396376E-9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0.97461270540952682</v>
      </c>
      <c r="W31" s="2">
        <f t="shared" si="0"/>
        <v>7.0667264262525009E-9</v>
      </c>
      <c r="X31" s="2">
        <f t="shared" si="8"/>
        <v>0.97461271286010742</v>
      </c>
      <c r="Y31" s="2">
        <f t="shared" si="1"/>
        <v>-5.6081306265554076E-10</v>
      </c>
      <c r="Z31" s="2">
        <f t="shared" si="3"/>
        <v>0.97461270913481712</v>
      </c>
      <c r="AA31" s="2">
        <f t="shared" si="2"/>
        <v>3.2529566817984801E-9</v>
      </c>
      <c r="AB31" s="2">
        <f t="shared" si="4"/>
        <v>2.2987754946719967E-17</v>
      </c>
      <c r="AC31" s="2">
        <f t="shared" si="5"/>
        <v>-1.824300599405211E-18</v>
      </c>
      <c r="AD31" s="2">
        <f t="shared" si="6"/>
        <v>7.4505805969238281E-9</v>
      </c>
      <c r="AF31" s="2">
        <v>27</v>
      </c>
      <c r="AG31" s="2">
        <f t="shared" si="13"/>
        <v>2055.9370741248131</v>
      </c>
      <c r="AH31" s="2">
        <v>-1.0756530923572427E-4</v>
      </c>
      <c r="AI31" s="2">
        <f t="shared" si="14"/>
        <v>2055.9372156858444</v>
      </c>
      <c r="AJ31" s="2">
        <v>1.8252103700433508E-5</v>
      </c>
      <c r="AK31" s="2">
        <f t="shared" si="9"/>
        <v>2055.9371449053288</v>
      </c>
      <c r="AL31" s="2">
        <v>-4.4656602540271706E-5</v>
      </c>
      <c r="AM31" s="2">
        <f t="shared" si="10"/>
        <v>4.8035012616611557E-9</v>
      </c>
      <c r="AN31" s="2">
        <f t="shared" si="11"/>
        <v>-8.1507694047408167E-10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0.97461270913481712</v>
      </c>
      <c r="W32" s="2">
        <f t="shared" si="0"/>
        <v>3.2529566817984801E-9</v>
      </c>
      <c r="X32" s="2">
        <f t="shared" si="8"/>
        <v>0.97461271286010742</v>
      </c>
      <c r="Y32" s="2">
        <f t="shared" si="1"/>
        <v>-5.6081306265554076E-10</v>
      </c>
      <c r="Z32" s="2">
        <f t="shared" si="3"/>
        <v>0.97461271099746227</v>
      </c>
      <c r="AA32" s="2">
        <f t="shared" si="2"/>
        <v>1.3460718095714697E-9</v>
      </c>
      <c r="AB32" s="2">
        <f t="shared" si="4"/>
        <v>4.3787132871260835E-18</v>
      </c>
      <c r="AC32" s="2">
        <f t="shared" si="5"/>
        <v>-7.5489465408006175E-19</v>
      </c>
      <c r="AD32" s="2">
        <f t="shared" si="6"/>
        <v>3.7252902984619141E-9</v>
      </c>
      <c r="AF32" s="2">
        <v>28</v>
      </c>
      <c r="AG32" s="2">
        <f t="shared" si="13"/>
        <v>2055.9371449053288</v>
      </c>
      <c r="AH32" s="2">
        <v>-4.4656602540271706E-5</v>
      </c>
      <c r="AI32" s="2">
        <f t="shared" si="14"/>
        <v>2055.9372156858444</v>
      </c>
      <c r="AJ32" s="2">
        <v>1.8252103700433508E-5</v>
      </c>
      <c r="AK32" s="2">
        <f t="shared" si="9"/>
        <v>2055.9371802955866</v>
      </c>
      <c r="AL32" s="2">
        <v>-1.3202249419919099E-5</v>
      </c>
      <c r="AM32" s="2">
        <f t="shared" si="10"/>
        <v>5.8956760498285983E-10</v>
      </c>
      <c r="AN32" s="2">
        <f t="shared" si="11"/>
        <v>-2.4096882549135152E-10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100.84048021669877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0.97461271099746227</v>
      </c>
      <c r="W33" s="2">
        <f t="shared" si="0"/>
        <v>1.3460718095714697E-9</v>
      </c>
      <c r="X33" s="2">
        <f t="shared" si="8"/>
        <v>0.97461271286010742</v>
      </c>
      <c r="Y33" s="2">
        <f t="shared" si="1"/>
        <v>-5.6081306265554076E-10</v>
      </c>
      <c r="Z33" s="2">
        <f t="shared" si="3"/>
        <v>0.97461271192878485</v>
      </c>
      <c r="AA33" s="2">
        <f t="shared" si="2"/>
        <v>3.9262937345796445E-10</v>
      </c>
      <c r="AB33" s="2">
        <f t="shared" si="4"/>
        <v>5.2850733122147456E-19</v>
      </c>
      <c r="AC33" s="2">
        <f t="shared" si="5"/>
        <v>-2.2019168141748713E-19</v>
      </c>
      <c r="AD33" s="2">
        <f t="shared" si="6"/>
        <v>1.862645149230957E-9</v>
      </c>
      <c r="AF33" s="2">
        <v>29</v>
      </c>
      <c r="AG33" s="2">
        <f t="shared" si="13"/>
        <v>2055.9371802955866</v>
      </c>
      <c r="AH33" s="2">
        <v>-1.3202249419919099E-5</v>
      </c>
      <c r="AI33" s="2">
        <f t="shared" si="14"/>
        <v>2055.9372156858444</v>
      </c>
      <c r="AJ33" s="2">
        <v>1.8252103700433508E-5</v>
      </c>
      <c r="AK33" s="2">
        <f t="shared" si="9"/>
        <v>2055.9371979907155</v>
      </c>
      <c r="AL33" s="2">
        <v>2.5249271402572049E-6</v>
      </c>
      <c r="AM33" s="2">
        <f t="shared" si="10"/>
        <v>-3.3334717872798672E-11</v>
      </c>
      <c r="AN33" s="2">
        <f t="shared" si="11"/>
        <v>4.6085232000013526E-11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29.18</v>
      </c>
      <c r="L34" s="6" t="s">
        <v>59</v>
      </c>
      <c r="U34" s="2">
        <v>30</v>
      </c>
      <c r="V34" s="2">
        <f t="shared" si="7"/>
        <v>0.97461271192878485</v>
      </c>
      <c r="W34" s="2">
        <f t="shared" si="0"/>
        <v>3.9262937345796445E-10</v>
      </c>
      <c r="X34" s="2">
        <f t="shared" si="8"/>
        <v>0.97461271286010742</v>
      </c>
      <c r="Y34" s="2">
        <f t="shared" si="1"/>
        <v>-5.6081306265554076E-10</v>
      </c>
      <c r="Z34" s="2">
        <f t="shared" si="3"/>
        <v>0.97461271239444613</v>
      </c>
      <c r="AA34" s="2">
        <f t="shared" si="2"/>
        <v>-8.4091844598788157E-11</v>
      </c>
      <c r="AB34" s="2">
        <f t="shared" si="4"/>
        <v>-3.3016928257746706E-20</v>
      </c>
      <c r="AC34" s="2">
        <f t="shared" si="5"/>
        <v>4.715980491380018E-20</v>
      </c>
      <c r="AD34" s="2">
        <f t="shared" si="6"/>
        <v>9.3132257461547852E-10</v>
      </c>
      <c r="AF34" s="2">
        <v>30</v>
      </c>
      <c r="AG34" s="2">
        <f t="shared" si="13"/>
        <v>2055.9371802955866</v>
      </c>
      <c r="AH34" s="2">
        <v>-1.3202249419919099E-5</v>
      </c>
      <c r="AI34" s="2">
        <f t="shared" si="14"/>
        <v>2055.9371979907155</v>
      </c>
      <c r="AJ34" s="2">
        <v>2.5249271402572049E-6</v>
      </c>
      <c r="AK34" s="2">
        <f t="shared" si="9"/>
        <v>2055.937189143151</v>
      </c>
      <c r="AL34" s="2">
        <v>-5.3386611398309469E-6</v>
      </c>
      <c r="AM34" s="2">
        <f t="shared" si="10"/>
        <v>7.0482335936477753E-11</v>
      </c>
      <c r="AN34" s="2">
        <f t="shared" si="11"/>
        <v>-1.3479730404595623E-11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17.18</v>
      </c>
      <c r="L35" s="6" t="s">
        <v>59</v>
      </c>
      <c r="AF35" s="2">
        <v>31</v>
      </c>
      <c r="AG35" s="2">
        <f t="shared" si="13"/>
        <v>2055.937189143151</v>
      </c>
      <c r="AH35" s="2">
        <v>-5.3386611398309469E-6</v>
      </c>
      <c r="AI35" s="2">
        <f t="shared" si="14"/>
        <v>2055.9371979907155</v>
      </c>
      <c r="AJ35" s="2">
        <v>2.5249271402572049E-6</v>
      </c>
      <c r="AK35" s="2">
        <f t="shared" si="9"/>
        <v>2055.9371935669333</v>
      </c>
      <c r="AL35" s="2">
        <v>-1.4068671134737087E-6</v>
      </c>
      <c r="AM35" s="2">
        <f t="shared" si="10"/>
        <v>7.5107867876082241E-12</v>
      </c>
      <c r="AN35" s="2">
        <f t="shared" si="11"/>
        <v>-3.55223695754508E-12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16.510000000000002</v>
      </c>
      <c r="L36" s="6" t="s">
        <v>59</v>
      </c>
      <c r="AF36" s="2">
        <v>32</v>
      </c>
      <c r="AG36" s="2">
        <f t="shared" si="13"/>
        <v>2055.9371935669333</v>
      </c>
      <c r="AH36" s="2">
        <v>-1.4068671134737087E-6</v>
      </c>
      <c r="AI36" s="2">
        <f t="shared" si="14"/>
        <v>2055.9371979907155</v>
      </c>
      <c r="AJ36" s="2">
        <v>2.5249271402572049E-6</v>
      </c>
      <c r="AK36" s="2">
        <f t="shared" si="9"/>
        <v>2055.9371957788244</v>
      </c>
      <c r="AL36" s="2">
        <v>5.5903001339174807E-7</v>
      </c>
      <c r="AM36" s="2">
        <f t="shared" si="10"/>
        <v>-7.8648094128561735E-13</v>
      </c>
      <c r="AN36" s="2">
        <f t="shared" si="11"/>
        <v>1.4115100530311734E-12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31.68</v>
      </c>
      <c r="L37" s="6" t="s">
        <v>59</v>
      </c>
      <c r="AF37" s="2">
        <v>33</v>
      </c>
      <c r="AG37" s="2">
        <f t="shared" si="13"/>
        <v>2055.9371935669333</v>
      </c>
      <c r="AH37" s="2">
        <v>-1.4068671134737087E-6</v>
      </c>
      <c r="AI37" s="2">
        <f t="shared" si="14"/>
        <v>2055.9371957788244</v>
      </c>
      <c r="AJ37" s="2">
        <v>2.5249271402572049E-6</v>
      </c>
      <c r="AK37" s="2">
        <f t="shared" si="9"/>
        <v>2055.9371946728788</v>
      </c>
      <c r="AL37" s="2">
        <v>1.5419784631376388E-6</v>
      </c>
      <c r="AM37" s="2">
        <f t="shared" si="10"/>
        <v>-2.1693587894730754E-12</v>
      </c>
      <c r="AN37" s="2">
        <f t="shared" si="11"/>
        <v>3.893383271268318E-12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5.44</v>
      </c>
      <c r="L38" s="6" t="s">
        <v>59</v>
      </c>
      <c r="AF38" s="2">
        <v>34</v>
      </c>
      <c r="AG38" s="2">
        <f t="shared" si="13"/>
        <v>2055.9371935669333</v>
      </c>
      <c r="AH38" s="2">
        <v>-1.4068671134737087E-6</v>
      </c>
      <c r="AI38" s="2">
        <f t="shared" si="14"/>
        <v>2055.9371946728788</v>
      </c>
      <c r="AJ38" s="2">
        <v>2.5249271402572049E-6</v>
      </c>
      <c r="AK38" s="2">
        <f t="shared" si="9"/>
        <v>2055.9371941199061</v>
      </c>
      <c r="AL38" s="2">
        <v>2.0334528016974218E-6</v>
      </c>
      <c r="AM38" s="2">
        <f t="shared" si="10"/>
        <v>-2.8607978735090777E-12</v>
      </c>
      <c r="AN38" s="2">
        <f t="shared" si="11"/>
        <v>5.1343201674378724E-12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99.990000000000009</v>
      </c>
      <c r="L39" s="9" t="s">
        <v>59</v>
      </c>
      <c r="AF39" s="2">
        <v>35</v>
      </c>
      <c r="AG39" s="2">
        <f t="shared" si="13"/>
        <v>2055.9371935669333</v>
      </c>
      <c r="AH39" s="2">
        <v>-1.4068671134737087E-6</v>
      </c>
      <c r="AI39" s="2">
        <f t="shared" si="14"/>
        <v>2055.9371941199061</v>
      </c>
      <c r="AJ39" s="2">
        <v>2.5249271402572049E-6</v>
      </c>
      <c r="AK39" s="2">
        <f t="shared" si="9"/>
        <v>2055.9371938434197</v>
      </c>
      <c r="AL39" s="2">
        <v>2.2791900846641511E-6</v>
      </c>
      <c r="AM39" s="2">
        <f t="shared" si="10"/>
        <v>-3.2065175754693521E-12</v>
      </c>
      <c r="AN39" s="2">
        <f t="shared" si="11"/>
        <v>5.7547889025736316E-12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2055.9371935669333</v>
      </c>
      <c r="AH40" s="2">
        <v>-1.4068671134737087E-6</v>
      </c>
      <c r="AI40" s="2">
        <f t="shared" si="14"/>
        <v>2055.9371938434197</v>
      </c>
      <c r="AJ40" s="2">
        <v>2.5249271402572049E-6</v>
      </c>
      <c r="AK40" s="2">
        <f t="shared" si="9"/>
        <v>2055.9371937051765</v>
      </c>
      <c r="AL40" s="2">
        <v>2.4020584987738403E-6</v>
      </c>
      <c r="AM40" s="2">
        <f t="shared" si="10"/>
        <v>-3.3793771065649428E-12</v>
      </c>
      <c r="AN40" s="2">
        <f t="shared" si="11"/>
        <v>6.0650226960395472E-12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2055.9371935669333</v>
      </c>
      <c r="AH41" s="2">
        <v>-1.4068671134737087E-6</v>
      </c>
      <c r="AI41" s="2">
        <f t="shared" si="14"/>
        <v>2055.9371937051765</v>
      </c>
      <c r="AJ41" s="2">
        <v>2.5249271402572049E-6</v>
      </c>
      <c r="AK41" s="2">
        <f t="shared" si="9"/>
        <v>2055.9371936360549</v>
      </c>
      <c r="AL41" s="2">
        <v>2.4634925921418471E-6</v>
      </c>
      <c r="AM41" s="2">
        <f t="shared" si="10"/>
        <v>-3.4658067121704649E-12</v>
      </c>
      <c r="AN41" s="2">
        <f t="shared" si="11"/>
        <v>6.2201393057215229E-12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2055.9371935669333</v>
      </c>
      <c r="AH42" s="2">
        <v>-1.4068671134737087E-6</v>
      </c>
      <c r="AI42" s="2">
        <f t="shared" si="14"/>
        <v>2055.9371936360549</v>
      </c>
      <c r="AJ42" s="2">
        <v>2.5249271402572049E-6</v>
      </c>
      <c r="AK42" s="2">
        <f t="shared" si="9"/>
        <v>2055.9371936014941</v>
      </c>
      <c r="AL42" s="2">
        <v>2.494209866199526E-6</v>
      </c>
      <c r="AM42" s="2">
        <f t="shared" si="10"/>
        <v>-3.5090218348577724E-12</v>
      </c>
      <c r="AN42" s="2">
        <f t="shared" si="11"/>
        <v>6.2976981846644748E-12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353.25</v>
      </c>
      <c r="L43" s="6" t="s">
        <v>7</v>
      </c>
      <c r="AF43" s="2">
        <v>39</v>
      </c>
      <c r="AG43" s="2">
        <f t="shared" si="13"/>
        <v>2055.9371935669333</v>
      </c>
      <c r="AH43" s="2">
        <v>-1.4068671134737087E-6</v>
      </c>
      <c r="AI43" s="2">
        <f t="shared" si="14"/>
        <v>2055.9371936014941</v>
      </c>
      <c r="AJ43" s="2">
        <v>2.5249271402572049E-6</v>
      </c>
      <c r="AK43" s="2">
        <f t="shared" si="9"/>
        <v>2055.9371935842137</v>
      </c>
      <c r="AL43" s="2">
        <v>2.5095685032283654E-6</v>
      </c>
      <c r="AM43" s="2">
        <f t="shared" si="10"/>
        <v>-3.5306293962014262E-12</v>
      </c>
      <c r="AN43" s="2">
        <f t="shared" si="11"/>
        <v>6.3364776241359508E-12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339.49</v>
      </c>
      <c r="L44" s="6" t="s">
        <v>7</v>
      </c>
      <c r="AF44" s="2">
        <v>40</v>
      </c>
      <c r="AG44" s="2">
        <f t="shared" si="13"/>
        <v>2055.9371935669333</v>
      </c>
      <c r="AH44" s="2">
        <v>-1.4068671134737087E-6</v>
      </c>
      <c r="AI44" s="2">
        <f t="shared" si="14"/>
        <v>2055.9371935842137</v>
      </c>
      <c r="AJ44" s="2">
        <v>2.5249271402572049E-6</v>
      </c>
      <c r="AK44" s="5">
        <f t="shared" si="9"/>
        <v>2055.9371935755735</v>
      </c>
      <c r="AL44" s="2">
        <v>2.5172478217427852E-6</v>
      </c>
      <c r="AM44" s="2">
        <f t="shared" si="10"/>
        <v>-3.5414331768732531E-12</v>
      </c>
      <c r="AN44" s="2">
        <f t="shared" si="11"/>
        <v>6.3558673438716888E-12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651.37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111.83</v>
      </c>
      <c r="L46" s="6" t="s">
        <v>7</v>
      </c>
    </row>
    <row r="47" spans="2:41" x14ac:dyDescent="0.2">
      <c r="J47" s="9" t="s">
        <v>60</v>
      </c>
      <c r="K47" s="9">
        <f>SUM(K42:K46)</f>
        <v>2055.94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400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41" priority="1" operator="containsText" text="FALSE">
      <formula>NOT(ISERROR(SEARCH("FALSE",K31)))</formula>
    </cfRule>
    <cfRule type="containsText" dxfId="40" priority="2" operator="containsText" text="TRUE">
      <formula>NOT(ISERROR(SEARCH("TRUE",K31)))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NOT(ISERROR(SEARCH("YES",K31)))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287B-15E3-F74A-8EAB-6E6701AC89FE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378.48080813341375</v>
      </c>
      <c r="L4" s="6" t="s">
        <v>97</v>
      </c>
      <c r="N4" s="6" t="s">
        <v>131</v>
      </c>
      <c r="O4" s="6">
        <f xml:space="preserve"> $C$5 * $C$74</f>
        <v>19122.580269607908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1.2197828072272627</v>
      </c>
      <c r="X4" s="3">
        <v>1</v>
      </c>
      <c r="Y4" s="2">
        <f t="shared" ref="Y4:Y34" si="1" xml:space="preserve"> $O$22 * TAN($O$19/180*PI()) + $O$23 / (2 * SQRT($O$22^2 + X4^2)) - X4</f>
        <v>-2.643560340796336E-2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0.49538035457412288</v>
      </c>
      <c r="AB4" s="2">
        <f>W4*AA4</f>
        <v>0.6042564395476604</v>
      </c>
      <c r="AC4" s="2">
        <f>Y4*AA4</f>
        <v>-1.3095678589617779E-2</v>
      </c>
      <c r="AD4" s="2">
        <f>X4-V4</f>
        <v>1</v>
      </c>
      <c r="AF4" s="2">
        <v>0</v>
      </c>
      <c r="AH4" s="2">
        <f>K30</f>
        <v>-7.1568952535017161E-5</v>
      </c>
      <c r="AJ4" s="2">
        <f>K30</f>
        <v>-7.1568952535017161E-5</v>
      </c>
      <c r="AL4" s="2">
        <f>K30</f>
        <v>-7.1568952535017161E-5</v>
      </c>
    </row>
    <row r="5" spans="2:41" x14ac:dyDescent="0.2">
      <c r="B5" s="9" t="s">
        <v>38</v>
      </c>
      <c r="C5" s="9">
        <v>1951.1734666994801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47.310101016676718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0.49538035457412288</v>
      </c>
      <c r="X5" s="2">
        <f>IF(AC4&gt;0, Z4, X4)</f>
        <v>1</v>
      </c>
      <c r="Y5" s="2">
        <f t="shared" si="1"/>
        <v>-2.643560340796336E-2</v>
      </c>
      <c r="Z5" s="2">
        <f t="shared" ref="Z5:Z34" si="3" xml:space="preserve"> (V5 + X5)/2</f>
        <v>0.75</v>
      </c>
      <c r="AA5" s="2">
        <f t="shared" si="2"/>
        <v>0.23090812670243366</v>
      </c>
      <c r="AB5" s="2">
        <f t="shared" ref="AB5:AB34" si="4">W5*AA5</f>
        <v>0.11438734967989808</v>
      </c>
      <c r="AC5" s="2">
        <f t="shared" ref="AC5:AC34" si="5">Y5*AA5</f>
        <v>-6.10419566118129E-3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-1369.8897639406296</v>
      </c>
      <c r="AI5" s="3">
        <v>10000</v>
      </c>
      <c r="AJ5" s="2">
        <f t="dataTable" ref="AJ5:AJ44" dt2D="0" dtr="0" r1="C5"/>
        <v>7284.3527908967626</v>
      </c>
      <c r="AK5" s="2">
        <f>(AG5+AI5)/2</f>
        <v>5250</v>
      </c>
      <c r="AL5" s="2">
        <f t="dataTable" ref="AL5:AL44" dt2D="0" dtr="0" r1="C5" ca="1"/>
        <v>2880.9470561602657</v>
      </c>
      <c r="AM5" s="2">
        <f>AH5*AL5</f>
        <v>-3946579.8826888381</v>
      </c>
      <c r="AN5" s="2">
        <f>AJ5*AL5</f>
        <v>20985834.728966843</v>
      </c>
      <c r="AO5" s="2">
        <f>AI5-AG5</f>
        <v>9500</v>
      </c>
    </row>
    <row r="6" spans="2:41" x14ac:dyDescent="0.2">
      <c r="B6" s="6" t="s">
        <v>168</v>
      </c>
      <c r="C6" s="16">
        <v>472.54527421905101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148.16822376761968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0.20445159491061157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0.23090812670243366</v>
      </c>
      <c r="X6" s="2">
        <f t="shared" ref="X6:X34" si="8">IF(AC5&gt;0, Z5, X5)</f>
        <v>1</v>
      </c>
      <c r="Y6" s="2">
        <f t="shared" si="1"/>
        <v>-2.643560340796336E-2</v>
      </c>
      <c r="Z6" s="2">
        <f t="shared" si="3"/>
        <v>0.875</v>
      </c>
      <c r="AA6" s="2">
        <f t="shared" si="2"/>
        <v>0.10171886085112036</v>
      </c>
      <c r="AB6" s="2">
        <f t="shared" si="4"/>
        <v>2.348771160943772E-2</v>
      </c>
      <c r="AC6" s="2">
        <f t="shared" si="5"/>
        <v>-2.6889994645700284E-3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-1369.8897639406296</v>
      </c>
      <c r="AI6" s="2">
        <f>IF(AN5&gt;0,AK5,AI5)</f>
        <v>5250</v>
      </c>
      <c r="AJ6" s="2">
        <v>2880.9470561602657</v>
      </c>
      <c r="AK6" s="2">
        <f t="shared" ref="AK6:AK44" si="9">(AG6+AI6)/2</f>
        <v>2875</v>
      </c>
      <c r="AL6" s="2">
        <v>838.44619772776764</v>
      </c>
      <c r="AM6" s="2">
        <f t="shared" ref="AM6:AM44" si="10">AH6*AL6</f>
        <v>-1148578.8638822101</v>
      </c>
      <c r="AN6" s="2">
        <f t="shared" ref="AN6:AN44" si="11">AJ6*AL6</f>
        <v>2415519.1050925804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2390.5511935876702</v>
      </c>
      <c r="H7" s="6" t="s">
        <v>21</v>
      </c>
      <c r="J7" s="6" t="s">
        <v>133</v>
      </c>
      <c r="K7" s="6">
        <f>K6/$C$28</f>
        <v>148.16822376761968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0.10171886085112036</v>
      </c>
      <c r="X7" s="2">
        <f t="shared" si="8"/>
        <v>1</v>
      </c>
      <c r="Y7" s="2">
        <f t="shared" si="1"/>
        <v>-2.643560340796336E-2</v>
      </c>
      <c r="Z7" s="2">
        <f t="shared" si="3"/>
        <v>0.9375</v>
      </c>
      <c r="AA7" s="2">
        <f t="shared" si="2"/>
        <v>3.7537716864486592E-2</v>
      </c>
      <c r="AB7" s="2">
        <f t="shared" si="4"/>
        <v>3.818293798407466E-3</v>
      </c>
      <c r="AC7" s="2">
        <f t="shared" si="5"/>
        <v>-9.9233219586998545E-4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-1369.8897639406296</v>
      </c>
      <c r="AI7" s="2">
        <f t="shared" ref="AI7:AI44" si="14">IF(AN6&gt;0,AK6,AI6)</f>
        <v>2875</v>
      </c>
      <c r="AJ7" s="2">
        <v>838.44619772776764</v>
      </c>
      <c r="AK7" s="2">
        <f t="shared" si="9"/>
        <v>1687.5</v>
      </c>
      <c r="AL7" s="2">
        <v>-243.93166359914676</v>
      </c>
      <c r="AM7" s="2">
        <f t="shared" si="10"/>
        <v>334159.48906548024</v>
      </c>
      <c r="AN7" s="2">
        <f t="shared" si="11"/>
        <v>-204523.5758501135</v>
      </c>
      <c r="AO7" s="2">
        <f t="shared" si="12"/>
        <v>2375</v>
      </c>
    </row>
    <row r="8" spans="2:41" x14ac:dyDescent="0.2">
      <c r="B8" s="6" t="s">
        <v>91</v>
      </c>
      <c r="C8" s="16">
        <v>2.24224116539648</v>
      </c>
      <c r="D8" s="6" t="s">
        <v>8</v>
      </c>
      <c r="F8" t="s">
        <v>93</v>
      </c>
      <c r="G8" s="6">
        <f>G10/$C$21</f>
        <v>31.540067344451145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3.7537716864486592E-2</v>
      </c>
      <c r="X8" s="2">
        <f t="shared" si="8"/>
        <v>1</v>
      </c>
      <c r="Y8" s="2">
        <f t="shared" si="1"/>
        <v>-2.643560340796336E-2</v>
      </c>
      <c r="Z8" s="2">
        <f t="shared" si="3"/>
        <v>0.96875</v>
      </c>
      <c r="AA8" s="2">
        <f t="shared" si="2"/>
        <v>5.5275548418973752E-3</v>
      </c>
      <c r="AB8" s="2">
        <f t="shared" si="4"/>
        <v>2.0749178860806562E-4</v>
      </c>
      <c r="AC8" s="2">
        <f t="shared" si="5"/>
        <v>-1.4612424761616661E-4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-243.93166359914676</v>
      </c>
      <c r="AI8" s="2">
        <f t="shared" si="14"/>
        <v>2875</v>
      </c>
      <c r="AJ8" s="2">
        <v>838.44619772776764</v>
      </c>
      <c r="AK8" s="2">
        <f t="shared" si="9"/>
        <v>2281.25</v>
      </c>
      <c r="AL8" s="2">
        <v>302.4379462000577</v>
      </c>
      <c r="AM8" s="2">
        <f t="shared" si="10"/>
        <v>-73774.191352089314</v>
      </c>
      <c r="AN8" s="2">
        <f t="shared" si="11"/>
        <v>253577.94604003354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7.732915744085874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1.9973185314981656E-2</v>
      </c>
      <c r="U9" s="2">
        <v>5</v>
      </c>
      <c r="V9" s="2">
        <f t="shared" si="7"/>
        <v>0.96875</v>
      </c>
      <c r="W9" s="2">
        <f t="shared" si="0"/>
        <v>5.5275548418973752E-3</v>
      </c>
      <c r="X9" s="2">
        <f t="shared" si="8"/>
        <v>1</v>
      </c>
      <c r="Y9" s="2">
        <f t="shared" si="1"/>
        <v>-2.643560340796336E-2</v>
      </c>
      <c r="Z9" s="2">
        <f t="shared" si="3"/>
        <v>0.984375</v>
      </c>
      <c r="AA9" s="2">
        <f t="shared" si="2"/>
        <v>-1.045962399946454E-2</v>
      </c>
      <c r="AB9" s="2">
        <f t="shared" si="4"/>
        <v>-5.7816145282666211E-5</v>
      </c>
      <c r="AC9" s="2">
        <f t="shared" si="5"/>
        <v>2.7650647184626013E-4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-243.93166359914676</v>
      </c>
      <c r="AI9" s="2">
        <f t="shared" si="14"/>
        <v>2281.25</v>
      </c>
      <c r="AJ9" s="2">
        <v>302.4379462000577</v>
      </c>
      <c r="AK9" s="2">
        <f t="shared" si="9"/>
        <v>1984.375</v>
      </c>
      <c r="AL9" s="2">
        <v>30.567552468863141</v>
      </c>
      <c r="AM9" s="2">
        <f t="shared" si="10"/>
        <v>-7456.3939258839919</v>
      </c>
      <c r="AN9" s="2">
        <f t="shared" si="11"/>
        <v>9244.7877890454711</v>
      </c>
      <c r="AO9" s="2">
        <f t="shared" si="12"/>
        <v>593.75</v>
      </c>
    </row>
    <row r="10" spans="2:41" x14ac:dyDescent="0.2">
      <c r="B10" s="6" t="s">
        <v>134</v>
      </c>
      <c r="C10" s="16">
        <v>1.4190386317886401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252.32053875560916</v>
      </c>
      <c r="H10" s="22" t="s">
        <v>97</v>
      </c>
      <c r="J10" s="6" t="s">
        <v>92</v>
      </c>
      <c r="K10" s="6">
        <f xml:space="preserve"> $C$18 * (G10*G6 + G20*G13 + G29*G25 + G33*G32)/3600</f>
        <v>92.934000918227468</v>
      </c>
      <c r="L10" s="6" t="s">
        <v>98</v>
      </c>
      <c r="N10" s="6" t="s">
        <v>39</v>
      </c>
      <c r="O10" s="6">
        <f xml:space="preserve"> O5 * $C$12 * O9</f>
        <v>1142.3317962722385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5.5275548418973752E-3</v>
      </c>
      <c r="X10" s="2">
        <f t="shared" si="8"/>
        <v>0.984375</v>
      </c>
      <c r="Y10" s="2">
        <f t="shared" si="1"/>
        <v>-1.045962399946454E-2</v>
      </c>
      <c r="Z10" s="2">
        <f t="shared" si="3"/>
        <v>0.9765625</v>
      </c>
      <c r="AA10" s="2">
        <f t="shared" si="2"/>
        <v>-2.4674676235961757E-3</v>
      </c>
      <c r="AB10" s="2">
        <f t="shared" si="4"/>
        <v>-1.3639062610034051E-5</v>
      </c>
      <c r="AC10" s="2">
        <f t="shared" si="5"/>
        <v>2.5808783573668296E-5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-243.93166359914676</v>
      </c>
      <c r="AI10" s="2">
        <f t="shared" si="14"/>
        <v>1984.375</v>
      </c>
      <c r="AJ10" s="2">
        <v>30.567552468863141</v>
      </c>
      <c r="AK10" s="2">
        <f t="shared" si="9"/>
        <v>1835.9375</v>
      </c>
      <c r="AL10" s="2">
        <v>-106.35023937021833</v>
      </c>
      <c r="AM10" s="2">
        <f t="shared" si="10"/>
        <v>25942.190813744834</v>
      </c>
      <c r="AN10" s="2">
        <f t="shared" si="11"/>
        <v>-3250.8665220253033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0.748536815632041</v>
      </c>
      <c r="U11" s="2">
        <v>7</v>
      </c>
      <c r="V11" s="2">
        <f t="shared" si="7"/>
        <v>0.96875</v>
      </c>
      <c r="W11" s="2">
        <f t="shared" si="0"/>
        <v>5.5275548418973752E-3</v>
      </c>
      <c r="X11" s="2">
        <f t="shared" si="8"/>
        <v>0.9765625</v>
      </c>
      <c r="Y11" s="2">
        <f t="shared" si="1"/>
        <v>-2.4674676235961757E-3</v>
      </c>
      <c r="Z11" s="2">
        <f t="shared" si="3"/>
        <v>0.97265625</v>
      </c>
      <c r="AA11" s="2">
        <f t="shared" si="2"/>
        <v>1.5296810942233563E-3</v>
      </c>
      <c r="AB11" s="2">
        <f t="shared" si="4"/>
        <v>8.4553961389331878E-6</v>
      </c>
      <c r="AC11" s="2">
        <f t="shared" si="5"/>
        <v>-3.7744385744233028E-6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-106.35023937021833</v>
      </c>
      <c r="AI11" s="2">
        <f t="shared" si="14"/>
        <v>1984.375</v>
      </c>
      <c r="AJ11" s="2">
        <v>30.567552468863141</v>
      </c>
      <c r="AK11" s="2">
        <f t="shared" si="9"/>
        <v>1910.15625</v>
      </c>
      <c r="AL11" s="2">
        <v>-37.808834573225113</v>
      </c>
      <c r="AM11" s="2">
        <f t="shared" si="10"/>
        <v>4020.9786071714775</v>
      </c>
      <c r="AN11" s="2">
        <f t="shared" si="11"/>
        <v>-1155.7235346036255</v>
      </c>
      <c r="AO11" s="2">
        <f t="shared" si="12"/>
        <v>148.4375</v>
      </c>
    </row>
    <row r="12" spans="2:41" x14ac:dyDescent="0.2">
      <c r="B12" s="6" t="s">
        <v>135</v>
      </c>
      <c r="C12" s="16">
        <v>25.223455013504399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0.33435017800595968</v>
      </c>
      <c r="U12" s="2">
        <v>8</v>
      </c>
      <c r="V12" s="2">
        <f t="shared" si="7"/>
        <v>0.97265625</v>
      </c>
      <c r="W12" s="2">
        <f t="shared" si="0"/>
        <v>1.5296810942233563E-3</v>
      </c>
      <c r="X12" s="2">
        <f t="shared" si="8"/>
        <v>0.9765625</v>
      </c>
      <c r="Y12" s="2">
        <f t="shared" si="1"/>
        <v>-2.4674676235961757E-3</v>
      </c>
      <c r="Z12" s="2">
        <f t="shared" si="3"/>
        <v>0.974609375</v>
      </c>
      <c r="AA12" s="2">
        <f t="shared" si="2"/>
        <v>-4.6898335647183043E-4</v>
      </c>
      <c r="AB12" s="2">
        <f t="shared" si="4"/>
        <v>-7.1739497390037197E-7</v>
      </c>
      <c r="AC12" s="2">
        <f t="shared" si="5"/>
        <v>1.1572012480997055E-6</v>
      </c>
      <c r="AD12" s="2">
        <f t="shared" si="6"/>
        <v>3.90625E-3</v>
      </c>
      <c r="AF12" s="2">
        <v>8</v>
      </c>
      <c r="AG12" s="2">
        <f t="shared" si="13"/>
        <v>1910.15625</v>
      </c>
      <c r="AH12" s="2">
        <v>-37.808834573225113</v>
      </c>
      <c r="AI12" s="2">
        <f t="shared" si="14"/>
        <v>1984.375</v>
      </c>
      <c r="AJ12" s="2">
        <v>30.567552468863141</v>
      </c>
      <c r="AK12" s="2">
        <f t="shared" si="9"/>
        <v>1947.265625</v>
      </c>
      <c r="AL12" s="2">
        <v>-3.600065331840824</v>
      </c>
      <c r="AM12" s="2">
        <f t="shared" si="10"/>
        <v>136.11427458437248</v>
      </c>
      <c r="AN12" s="2">
        <f t="shared" si="11"/>
        <v>-110.04518592237959</v>
      </c>
      <c r="AO12" s="2">
        <f t="shared" si="12"/>
        <v>74.21875</v>
      </c>
    </row>
    <row r="13" spans="2:41" x14ac:dyDescent="0.2">
      <c r="B13" s="6" t="s">
        <v>136</v>
      </c>
      <c r="C13" s="16">
        <v>10.311484396624399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2.4583376017749493E-2</v>
      </c>
      <c r="U13" s="2">
        <v>9</v>
      </c>
      <c r="V13" s="2">
        <f t="shared" si="7"/>
        <v>0.97265625</v>
      </c>
      <c r="W13" s="2">
        <f t="shared" si="0"/>
        <v>1.5296810942233563E-3</v>
      </c>
      <c r="X13" s="2">
        <f t="shared" si="8"/>
        <v>0.974609375</v>
      </c>
      <c r="Y13" s="2">
        <f t="shared" si="1"/>
        <v>-4.6898335647183043E-4</v>
      </c>
      <c r="Z13" s="2">
        <f t="shared" si="3"/>
        <v>0.9736328125</v>
      </c>
      <c r="AA13" s="2">
        <f t="shared" si="2"/>
        <v>5.3032627914151309E-4</v>
      </c>
      <c r="AB13" s="2">
        <f t="shared" si="4"/>
        <v>8.1123008297259089E-7</v>
      </c>
      <c r="AC13" s="2">
        <f t="shared" si="5"/>
        <v>-2.4871419841700368E-7</v>
      </c>
      <c r="AD13" s="2">
        <f t="shared" si="6"/>
        <v>1.953125E-3</v>
      </c>
      <c r="AF13" s="2">
        <v>9</v>
      </c>
      <c r="AG13" s="2">
        <f t="shared" si="13"/>
        <v>1947.265625</v>
      </c>
      <c r="AH13" s="2">
        <v>-3.600065331840824</v>
      </c>
      <c r="AI13" s="2">
        <f t="shared" si="14"/>
        <v>1984.375</v>
      </c>
      <c r="AJ13" s="2">
        <v>30.567552468863141</v>
      </c>
      <c r="AK13" s="2">
        <f t="shared" si="9"/>
        <v>1965.8203125</v>
      </c>
      <c r="AL13" s="2">
        <v>13.48888122667131</v>
      </c>
      <c r="AM13" s="2">
        <f t="shared" si="10"/>
        <v>-48.560853669457913</v>
      </c>
      <c r="AN13" s="2">
        <f t="shared" si="11"/>
        <v>412.3220846425383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70.220878928740063</v>
      </c>
      <c r="H14" s="6" t="s">
        <v>10</v>
      </c>
      <c r="J14" s="9" t="s">
        <v>75</v>
      </c>
      <c r="K14" s="17">
        <f>C5</f>
        <v>1951.1734666994801</v>
      </c>
      <c r="L14" s="6" t="s">
        <v>7</v>
      </c>
      <c r="N14" s="6" t="s">
        <v>40</v>
      </c>
      <c r="O14" s="6">
        <f xml:space="preserve"> O5 * O13 * $C$12</f>
        <v>1406.0036815323285</v>
      </c>
      <c r="P14" s="6" t="s">
        <v>21</v>
      </c>
      <c r="U14" s="2">
        <v>10</v>
      </c>
      <c r="V14" s="2">
        <f t="shared" si="7"/>
        <v>0.9736328125</v>
      </c>
      <c r="W14" s="2">
        <f t="shared" si="0"/>
        <v>5.3032627914151309E-4</v>
      </c>
      <c r="X14" s="2">
        <f t="shared" si="8"/>
        <v>0.974609375</v>
      </c>
      <c r="Y14" s="2">
        <f t="shared" si="1"/>
        <v>-4.6898335647183043E-4</v>
      </c>
      <c r="Z14" s="2">
        <f t="shared" si="3"/>
        <v>0.97412109375</v>
      </c>
      <c r="AA14" s="2">
        <f t="shared" si="2"/>
        <v>3.0665822270292686E-5</v>
      </c>
      <c r="AB14" s="2">
        <f t="shared" si="4"/>
        <v>1.6262891421419269E-8</v>
      </c>
      <c r="AC14" s="2">
        <f t="shared" si="5"/>
        <v>-1.438176025729047E-8</v>
      </c>
      <c r="AD14" s="2">
        <f t="shared" si="6"/>
        <v>9.765625E-4</v>
      </c>
      <c r="AF14" s="2">
        <v>10</v>
      </c>
      <c r="AG14" s="2">
        <f t="shared" si="13"/>
        <v>1947.265625</v>
      </c>
      <c r="AH14" s="2">
        <v>-3.600065331840824</v>
      </c>
      <c r="AI14" s="2">
        <f t="shared" si="14"/>
        <v>1965.8203125</v>
      </c>
      <c r="AJ14" s="2">
        <v>13.48888122667131</v>
      </c>
      <c r="AK14" s="2">
        <f t="shared" si="9"/>
        <v>1956.54296875</v>
      </c>
      <c r="AL14" s="2">
        <v>4.9456931491222349</v>
      </c>
      <c r="AM14" s="2">
        <f t="shared" si="10"/>
        <v>-17.804818448077629</v>
      </c>
      <c r="AN14" s="2">
        <f t="shared" si="11"/>
        <v>66.71186747207183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0.2110498591552411</v>
      </c>
      <c r="H15" s="6" t="s">
        <v>120</v>
      </c>
      <c r="J15" s="10" t="s">
        <v>53</v>
      </c>
      <c r="K15" s="6">
        <f xml:space="preserve"> 1000 * K10 / ($C$60 * $C$61 * $C$62)</f>
        <v>248.48663347119643</v>
      </c>
      <c r="L15" s="6" t="s">
        <v>7</v>
      </c>
      <c r="N15" s="6" t="s">
        <v>140</v>
      </c>
      <c r="O15" s="6">
        <f>O4/O14</f>
        <v>13.60066159198618</v>
      </c>
      <c r="U15" s="2">
        <v>11</v>
      </c>
      <c r="V15" s="2">
        <f t="shared" si="7"/>
        <v>0.97412109375</v>
      </c>
      <c r="W15" s="2">
        <f t="shared" si="0"/>
        <v>3.0665822270292686E-5</v>
      </c>
      <c r="X15" s="2">
        <f t="shared" si="8"/>
        <v>0.974609375</v>
      </c>
      <c r="Y15" s="2">
        <f t="shared" si="1"/>
        <v>-4.6898335647183043E-4</v>
      </c>
      <c r="Z15" s="2">
        <f t="shared" si="3"/>
        <v>0.974365234375</v>
      </c>
      <c r="AA15" s="2">
        <f t="shared" si="2"/>
        <v>-2.1916017582257474E-4</v>
      </c>
      <c r="AB15" s="2">
        <f t="shared" si="4"/>
        <v>-6.7207270005011731E-9</v>
      </c>
      <c r="AC15" s="2">
        <f t="shared" si="5"/>
        <v>1.0278247486222761E-7</v>
      </c>
      <c r="AD15" s="2">
        <f t="shared" si="6"/>
        <v>4.8828125E-4</v>
      </c>
      <c r="AF15" s="2">
        <v>11</v>
      </c>
      <c r="AG15" s="2">
        <f t="shared" si="13"/>
        <v>1947.265625</v>
      </c>
      <c r="AH15" s="2">
        <v>-3.600065331840824</v>
      </c>
      <c r="AI15" s="2">
        <f t="shared" si="14"/>
        <v>1956.54296875</v>
      </c>
      <c r="AJ15" s="2">
        <v>4.9456931491222349</v>
      </c>
      <c r="AK15" s="2">
        <f t="shared" si="9"/>
        <v>1951.904296875</v>
      </c>
      <c r="AL15" s="2">
        <v>0.67313530497449392</v>
      </c>
      <c r="AM15" s="2">
        <f t="shared" si="10"/>
        <v>-2.4233310750767756</v>
      </c>
      <c r="AN15" s="2">
        <f t="shared" si="11"/>
        <v>3.3291206662446609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1406.0036815323285</v>
      </c>
      <c r="H16" s="6" t="s">
        <v>21</v>
      </c>
      <c r="J16" s="11" t="s">
        <v>123</v>
      </c>
      <c r="K16" s="6">
        <f>uniform_250!K16</f>
        <v>170.2424182007949</v>
      </c>
      <c r="L16" s="6" t="s">
        <v>7</v>
      </c>
      <c r="N16" s="6" t="s">
        <v>111</v>
      </c>
      <c r="O16" s="6">
        <f>(O13*$C$12)/(0.3048^2)/($C$5*2.20462/1000)^(2/3)</f>
        <v>2.5234599902632859</v>
      </c>
      <c r="U16" s="2">
        <v>12</v>
      </c>
      <c r="V16" s="2">
        <f t="shared" si="7"/>
        <v>0.97412109375</v>
      </c>
      <c r="W16" s="2">
        <f t="shared" si="0"/>
        <v>3.0665822270292686E-5</v>
      </c>
      <c r="X16" s="2">
        <f t="shared" si="8"/>
        <v>0.974365234375</v>
      </c>
      <c r="Y16" s="2">
        <f t="shared" si="1"/>
        <v>-2.1916017582257474E-4</v>
      </c>
      <c r="Z16" s="2">
        <f t="shared" si="3"/>
        <v>0.9742431640625</v>
      </c>
      <c r="AA16" s="2">
        <f t="shared" si="2"/>
        <v>-9.4247529087043702E-5</v>
      </c>
      <c r="AB16" s="2">
        <f t="shared" si="4"/>
        <v>-2.8901779763975227E-9</v>
      </c>
      <c r="AC16" s="2">
        <f t="shared" si="5"/>
        <v>2.0655305045559725E-8</v>
      </c>
      <c r="AD16" s="2">
        <f t="shared" si="6"/>
        <v>2.44140625E-4</v>
      </c>
      <c r="AF16" s="2">
        <v>12</v>
      </c>
      <c r="AG16" s="2">
        <f t="shared" si="13"/>
        <v>1947.265625</v>
      </c>
      <c r="AH16" s="2">
        <v>-3.600065331840824</v>
      </c>
      <c r="AI16" s="2">
        <f t="shared" si="14"/>
        <v>1951.904296875</v>
      </c>
      <c r="AJ16" s="2">
        <v>0.67313530497449392</v>
      </c>
      <c r="AK16" s="2">
        <f t="shared" si="9"/>
        <v>1949.5849609375</v>
      </c>
      <c r="AL16" s="2">
        <v>-1.4633845983848914</v>
      </c>
      <c r="AM16" s="2">
        <f t="shared" si="10"/>
        <v>5.2682801597952551</v>
      </c>
      <c r="AN16" s="2">
        <f t="shared" si="11"/>
        <v>-0.98505583792879114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98.778815845079777</v>
      </c>
      <c r="H17" s="6" t="s">
        <v>97</v>
      </c>
      <c r="J17" s="11" t="s">
        <v>124</v>
      </c>
      <c r="K17" s="6">
        <f>uniform_250!K17</f>
        <v>0</v>
      </c>
      <c r="L17" s="6" t="s">
        <v>7</v>
      </c>
      <c r="U17" s="2">
        <v>13</v>
      </c>
      <c r="V17" s="2">
        <f t="shared" si="7"/>
        <v>0.97412109375</v>
      </c>
      <c r="W17" s="2">
        <f t="shared" si="0"/>
        <v>3.0665822270292686E-5</v>
      </c>
      <c r="X17" s="2">
        <f t="shared" si="8"/>
        <v>0.9742431640625</v>
      </c>
      <c r="Y17" s="2">
        <f t="shared" si="1"/>
        <v>-9.4247529087043702E-5</v>
      </c>
      <c r="Z17" s="2">
        <f t="shared" si="3"/>
        <v>0.97418212890625</v>
      </c>
      <c r="AA17" s="2">
        <f t="shared" si="2"/>
        <v>-3.1790941502407577E-5</v>
      </c>
      <c r="AB17" s="2">
        <f t="shared" si="4"/>
        <v>-9.7489536191810241E-10</v>
      </c>
      <c r="AC17" s="2">
        <f t="shared" si="5"/>
        <v>2.9962176839526629E-9</v>
      </c>
      <c r="AD17" s="2">
        <f t="shared" si="6"/>
        <v>1.220703125E-4</v>
      </c>
      <c r="AF17" s="2">
        <v>13</v>
      </c>
      <c r="AG17" s="2">
        <f t="shared" si="13"/>
        <v>1949.5849609375</v>
      </c>
      <c r="AH17" s="2">
        <v>-1.4633845983848914</v>
      </c>
      <c r="AI17" s="2">
        <f t="shared" si="14"/>
        <v>1951.904296875</v>
      </c>
      <c r="AJ17" s="2">
        <v>0.67313530497449392</v>
      </c>
      <c r="AK17" s="2">
        <f t="shared" si="9"/>
        <v>1950.74462890625</v>
      </c>
      <c r="AL17" s="2">
        <v>-0.39510446354142914</v>
      </c>
      <c r="AM17" s="2">
        <f t="shared" si="10"/>
        <v>0.57818978669965226</v>
      </c>
      <c r="AN17" s="2">
        <f t="shared" si="11"/>
        <v>-0.26595876356274373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1.452352481924015</v>
      </c>
      <c r="H18" s="6" t="s">
        <v>172</v>
      </c>
      <c r="J18" s="12" t="s">
        <v>54</v>
      </c>
      <c r="K18" s="6">
        <f>uniform_250!K18</f>
        <v>110.08510589626826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0.97412109375</v>
      </c>
      <c r="W18" s="2">
        <f t="shared" si="0"/>
        <v>3.0665822270292686E-5</v>
      </c>
      <c r="X18" s="2">
        <f t="shared" si="8"/>
        <v>0.97418212890625</v>
      </c>
      <c r="Y18" s="2">
        <f t="shared" si="1"/>
        <v>-3.1790941502407577E-5</v>
      </c>
      <c r="Z18" s="2">
        <f t="shared" si="3"/>
        <v>0.974151611328125</v>
      </c>
      <c r="AA18" s="2">
        <f t="shared" si="2"/>
        <v>-5.625816416054974E-7</v>
      </c>
      <c r="AB18" s="2">
        <f t="shared" si="4"/>
        <v>-1.7252028634003679E-11</v>
      </c>
      <c r="AC18" s="2">
        <f t="shared" si="5"/>
        <v>1.7885000058608792E-11</v>
      </c>
      <c r="AD18" s="2">
        <f t="shared" si="6"/>
        <v>6.103515625E-5</v>
      </c>
      <c r="AF18" s="2">
        <v>14</v>
      </c>
      <c r="AG18" s="2">
        <f t="shared" si="13"/>
        <v>1950.74462890625</v>
      </c>
      <c r="AH18" s="2">
        <v>-0.39510446354142914</v>
      </c>
      <c r="AI18" s="2">
        <f t="shared" si="14"/>
        <v>1951.904296875</v>
      </c>
      <c r="AJ18" s="2">
        <v>0.67313530497449392</v>
      </c>
      <c r="AK18" s="2">
        <f t="shared" si="9"/>
        <v>1951.324462890625</v>
      </c>
      <c r="AL18" s="2">
        <v>0.13902046632824749</v>
      </c>
      <c r="AM18" s="2">
        <f t="shared" si="10"/>
        <v>-5.4927606769901542E-2</v>
      </c>
      <c r="AN18" s="2">
        <f t="shared" si="11"/>
        <v>9.3579583999561233E-2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5.2578764175820102E-2</v>
      </c>
      <c r="J19" s="12" t="s">
        <v>73</v>
      </c>
      <c r="K19" s="6">
        <f>uniform_250!K19</f>
        <v>59.161733711324715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0.97412109375</v>
      </c>
      <c r="W19" s="2">
        <f t="shared" si="0"/>
        <v>3.0665822270292686E-5</v>
      </c>
      <c r="X19" s="2">
        <f t="shared" si="8"/>
        <v>0.974151611328125</v>
      </c>
      <c r="Y19" s="2">
        <f t="shared" si="1"/>
        <v>-5.625816416054974E-7</v>
      </c>
      <c r="Z19" s="2">
        <f t="shared" si="3"/>
        <v>0.9741363525390625</v>
      </c>
      <c r="AA19" s="2">
        <f t="shared" si="2"/>
        <v>1.5051614807748415E-5</v>
      </c>
      <c r="AB19" s="2">
        <f t="shared" si="4"/>
        <v>4.6157014457531851E-10</v>
      </c>
      <c r="AC19" s="2">
        <f t="shared" si="5"/>
        <v>-8.4677621673567161E-12</v>
      </c>
      <c r="AD19" s="2">
        <f t="shared" si="6"/>
        <v>3.0517578125E-5</v>
      </c>
      <c r="AF19" s="2">
        <v>15</v>
      </c>
      <c r="AG19" s="2">
        <f t="shared" si="13"/>
        <v>1950.74462890625</v>
      </c>
      <c r="AH19" s="2">
        <v>-0.39510446354142914</v>
      </c>
      <c r="AI19" s="2">
        <f t="shared" si="14"/>
        <v>1951.324462890625</v>
      </c>
      <c r="AJ19" s="2">
        <v>0.13902046632824749</v>
      </c>
      <c r="AK19" s="2">
        <f t="shared" si="9"/>
        <v>1951.0345458984375</v>
      </c>
      <c r="AL19" s="2">
        <v>-0.12804087202243863</v>
      </c>
      <c r="AM19" s="2">
        <f t="shared" si="10"/>
        <v>5.0589520051802402E-2</v>
      </c>
      <c r="AN19" s="2">
        <f t="shared" si="11"/>
        <v>-1.7800301737634878E-2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98.778815845079777</v>
      </c>
      <c r="H20" s="22" t="s">
        <v>97</v>
      </c>
      <c r="J20" s="13" t="s">
        <v>61</v>
      </c>
      <c r="K20" s="6">
        <f>uniform_250!K20</f>
        <v>216.52132142008182</v>
      </c>
      <c r="L20" s="6" t="s">
        <v>7</v>
      </c>
      <c r="N20" s="6" t="s">
        <v>20</v>
      </c>
      <c r="O20" s="6">
        <f xml:space="preserve"> O14 / $C$28</f>
        <v>1406.0036815323285</v>
      </c>
      <c r="P20" s="6" t="s">
        <v>21</v>
      </c>
      <c r="U20" s="2">
        <v>16</v>
      </c>
      <c r="V20" s="2">
        <f t="shared" si="7"/>
        <v>0.9741363525390625</v>
      </c>
      <c r="W20" s="2">
        <f t="shared" si="0"/>
        <v>1.5051614807748415E-5</v>
      </c>
      <c r="X20" s="2">
        <f t="shared" si="8"/>
        <v>0.974151611328125</v>
      </c>
      <c r="Y20" s="2">
        <f t="shared" si="1"/>
        <v>-5.625816416054974E-7</v>
      </c>
      <c r="Z20" s="2">
        <f t="shared" si="3"/>
        <v>0.97414398193359375</v>
      </c>
      <c r="AA20" s="2">
        <f t="shared" si="2"/>
        <v>7.2445152065059304E-6</v>
      </c>
      <c r="AB20" s="2">
        <f t="shared" si="4"/>
        <v>1.0904165235720323E-10</v>
      </c>
      <c r="AC20" s="2">
        <f t="shared" si="5"/>
        <v>-4.0756312575120952E-12</v>
      </c>
      <c r="AD20" s="2">
        <f t="shared" si="6"/>
        <v>1.52587890625E-5</v>
      </c>
      <c r="AF20" s="2">
        <v>16</v>
      </c>
      <c r="AG20" s="2">
        <f t="shared" si="13"/>
        <v>1951.0345458984375</v>
      </c>
      <c r="AH20" s="2">
        <v>-0.12804087202243863</v>
      </c>
      <c r="AI20" s="2">
        <f t="shared" si="14"/>
        <v>1951.324462890625</v>
      </c>
      <c r="AJ20" s="2">
        <v>0.13902046632824749</v>
      </c>
      <c r="AK20" s="2">
        <f t="shared" si="9"/>
        <v>1951.1795043945312</v>
      </c>
      <c r="AL20" s="2">
        <v>5.4901057617371407E-3</v>
      </c>
      <c r="AM20" s="2">
        <f t="shared" si="10"/>
        <v>-7.0295792922823823E-4</v>
      </c>
      <c r="AN20" s="2">
        <f t="shared" si="11"/>
        <v>7.6323706318809576E-4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>uniform_250!K21</f>
        <v>60.247577101046147</v>
      </c>
      <c r="L21" s="6" t="s">
        <v>7</v>
      </c>
      <c r="N21" s="6" t="s">
        <v>27</v>
      </c>
      <c r="O21" s="6">
        <f>$C$6*2*PI()/60</f>
        <v>49.484825399171498</v>
      </c>
      <c r="P21" s="6" t="s">
        <v>28</v>
      </c>
      <c r="U21" s="2">
        <v>17</v>
      </c>
      <c r="V21" s="2">
        <f t="shared" si="7"/>
        <v>0.97414398193359375</v>
      </c>
      <c r="W21" s="2">
        <f t="shared" si="0"/>
        <v>7.2445152065059304E-6</v>
      </c>
      <c r="X21" s="2">
        <f t="shared" si="8"/>
        <v>0.974151611328125</v>
      </c>
      <c r="Y21" s="2">
        <f t="shared" si="1"/>
        <v>-5.625816416054974E-7</v>
      </c>
      <c r="Z21" s="2">
        <f t="shared" si="3"/>
        <v>0.97414779663085938</v>
      </c>
      <c r="AA21" s="2">
        <f t="shared" si="2"/>
        <v>3.3409664382810789E-6</v>
      </c>
      <c r="AB21" s="2">
        <f t="shared" si="4"/>
        <v>2.4203682166553234E-11</v>
      </c>
      <c r="AC21" s="2">
        <f t="shared" si="5"/>
        <v>-1.879566383397041E-12</v>
      </c>
      <c r="AD21" s="2">
        <f t="shared" si="6"/>
        <v>7.62939453125E-6</v>
      </c>
      <c r="AF21" s="2">
        <v>17</v>
      </c>
      <c r="AG21" s="2">
        <f t="shared" si="13"/>
        <v>1951.0345458984375</v>
      </c>
      <c r="AH21" s="2">
        <v>-0.12804087202243863</v>
      </c>
      <c r="AI21" s="2">
        <f t="shared" si="14"/>
        <v>1951.1795043945312</v>
      </c>
      <c r="AJ21" s="2">
        <v>5.4901057617371407E-3</v>
      </c>
      <c r="AK21" s="2">
        <f t="shared" si="9"/>
        <v>1951.1070251464844</v>
      </c>
      <c r="AL21" s="2">
        <v>-6.1275305977687822E-2</v>
      </c>
      <c r="AM21" s="2">
        <f t="shared" si="10"/>
        <v>7.8457436108248946E-3</v>
      </c>
      <c r="AN21" s="2">
        <f t="shared" si="11"/>
        <v>-3.3640791040031014E-4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>uniform_250!K22</f>
        <v>317.70282098337231</v>
      </c>
      <c r="L22" s="6" t="s">
        <v>7</v>
      </c>
      <c r="N22" s="6" t="s">
        <v>29</v>
      </c>
      <c r="O22" s="6">
        <f xml:space="preserve"> $C$7 * COS(O19/180*PI()) / (O21 * $C$10)</f>
        <v>8.3227603739021438E-2</v>
      </c>
      <c r="U22" s="2">
        <v>18</v>
      </c>
      <c r="V22" s="2">
        <f t="shared" si="7"/>
        <v>0.97414779663085938</v>
      </c>
      <c r="W22" s="2">
        <f t="shared" si="0"/>
        <v>3.3409664382810789E-6</v>
      </c>
      <c r="X22" s="2">
        <f t="shared" si="8"/>
        <v>0.974151611328125</v>
      </c>
      <c r="Y22" s="2">
        <f t="shared" si="1"/>
        <v>-5.625816416054974E-7</v>
      </c>
      <c r="Z22" s="2">
        <f t="shared" si="3"/>
        <v>0.97414970397949219</v>
      </c>
      <c r="AA22" s="2">
        <f t="shared" si="2"/>
        <v>1.3891923122955063E-6</v>
      </c>
      <c r="AB22" s="2">
        <f t="shared" si="4"/>
        <v>4.6412448916973743E-12</v>
      </c>
      <c r="AC22" s="2">
        <f t="shared" si="5"/>
        <v>-7.815340915569428E-13</v>
      </c>
      <c r="AD22" s="2">
        <f t="shared" si="6"/>
        <v>3.814697265625E-6</v>
      </c>
      <c r="AF22" s="2">
        <v>18</v>
      </c>
      <c r="AG22" s="2">
        <f t="shared" si="13"/>
        <v>1951.1070251464844</v>
      </c>
      <c r="AH22" s="2">
        <v>-6.1275305977687822E-2</v>
      </c>
      <c r="AI22" s="2">
        <f t="shared" si="14"/>
        <v>1951.1795043945312</v>
      </c>
      <c r="AJ22" s="2">
        <v>5.4901057617371407E-3</v>
      </c>
      <c r="AK22" s="2">
        <f t="shared" si="9"/>
        <v>1951.1432647705078</v>
      </c>
      <c r="AL22" s="2">
        <v>-2.7892580819752766E-2</v>
      </c>
      <c r="AM22" s="2">
        <f t="shared" si="10"/>
        <v>1.7091264242377374E-3</v>
      </c>
      <c r="AN22" s="2">
        <f t="shared" si="11"/>
        <v>-1.5313321866824352E-4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>uniform_250!K23</f>
        <v>25.991923068800549</v>
      </c>
      <c r="L23" s="6" t="s">
        <v>7</v>
      </c>
      <c r="N23" s="6" t="s">
        <v>30</v>
      </c>
      <c r="O23" s="6">
        <f xml:space="preserve"> O20 / ( $C$71 * PI() * $C$10^2 * O21^2 * $C$10^2)</f>
        <v>4.4691049878239561E-2</v>
      </c>
      <c r="U23" s="2">
        <v>19</v>
      </c>
      <c r="V23" s="2">
        <f t="shared" si="7"/>
        <v>0.97414970397949219</v>
      </c>
      <c r="W23" s="2">
        <f t="shared" si="0"/>
        <v>1.3891923122955063E-6</v>
      </c>
      <c r="X23" s="2">
        <f t="shared" si="8"/>
        <v>0.974151611328125</v>
      </c>
      <c r="Y23" s="2">
        <f t="shared" si="1"/>
        <v>-5.625816416054974E-7</v>
      </c>
      <c r="Z23" s="2">
        <f t="shared" si="3"/>
        <v>0.97415065765380859</v>
      </c>
      <c r="AA23" s="2">
        <f t="shared" si="2"/>
        <v>4.1330531386218894E-7</v>
      </c>
      <c r="AB23" s="2">
        <f t="shared" si="4"/>
        <v>5.7416056464823427E-13</v>
      </c>
      <c r="AC23" s="2">
        <f t="shared" si="5"/>
        <v>-2.3251798195686562E-13</v>
      </c>
      <c r="AD23" s="2">
        <f t="shared" si="6"/>
        <v>1.9073486328125E-6</v>
      </c>
      <c r="AF23" s="2">
        <v>19</v>
      </c>
      <c r="AG23" s="2">
        <f t="shared" si="13"/>
        <v>1951.1432647705078</v>
      </c>
      <c r="AH23" s="2">
        <v>-2.7892580819752766E-2</v>
      </c>
      <c r="AI23" s="2">
        <f t="shared" si="14"/>
        <v>1951.1795043945312</v>
      </c>
      <c r="AJ23" s="2">
        <v>5.4901057617371407E-3</v>
      </c>
      <c r="AK23" s="2">
        <f t="shared" si="9"/>
        <v>1951.1613845825195</v>
      </c>
      <c r="AL23" s="2">
        <v>-1.1201124830904519E-2</v>
      </c>
      <c r="AM23" s="2">
        <f t="shared" si="10"/>
        <v>3.1242827961814381E-4</v>
      </c>
      <c r="AN23" s="2">
        <f t="shared" si="11"/>
        <v>-6.1495359972085851E-5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>uniform_250!K24</f>
        <v>8.9225954670526697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0.97415065765380859</v>
      </c>
      <c r="W24" s="2">
        <f t="shared" si="0"/>
        <v>4.1330531386218894E-7</v>
      </c>
      <c r="X24" s="2">
        <f t="shared" si="8"/>
        <v>0.974151611328125</v>
      </c>
      <c r="Y24" s="2">
        <f t="shared" si="1"/>
        <v>-5.625816416054974E-7</v>
      </c>
      <c r="Z24" s="2">
        <f t="shared" si="3"/>
        <v>0.9741511344909668</v>
      </c>
      <c r="AA24" s="2">
        <f t="shared" si="2"/>
        <v>-7.4638169200724747E-8</v>
      </c>
      <c r="AB24" s="2">
        <f t="shared" si="4"/>
        <v>-3.0848351947604707E-14</v>
      </c>
      <c r="AC24" s="2">
        <f t="shared" si="5"/>
        <v>4.1990063755372606E-14</v>
      </c>
      <c r="AD24" s="2">
        <f t="shared" si="6"/>
        <v>9.5367431640625E-7</v>
      </c>
      <c r="AF24" s="2">
        <v>20</v>
      </c>
      <c r="AG24" s="2">
        <f t="shared" si="13"/>
        <v>1951.1613845825195</v>
      </c>
      <c r="AH24" s="2">
        <v>-1.1201124830904519E-2</v>
      </c>
      <c r="AI24" s="2">
        <f t="shared" si="14"/>
        <v>1951.1795043945312</v>
      </c>
      <c r="AJ24" s="2">
        <v>5.4901057617371407E-3</v>
      </c>
      <c r="AK24" s="2">
        <f t="shared" si="9"/>
        <v>1951.1704444885254</v>
      </c>
      <c r="AL24" s="2">
        <v>-2.8555083288210881E-3</v>
      </c>
      <c r="AM24" s="2">
        <f t="shared" si="10"/>
        <v>3.1984905246812553E-5</v>
      </c>
      <c r="AN24" s="2">
        <f t="shared" si="11"/>
        <v>-1.5677042728749049E-5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uniform_250!K25</f>
        <v>21.978860102834652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2156.3057119003365</v>
      </c>
      <c r="P25" s="6" t="s">
        <v>19</v>
      </c>
      <c r="U25" s="2">
        <v>21</v>
      </c>
      <c r="V25" s="2">
        <f t="shared" si="7"/>
        <v>0.97415065765380859</v>
      </c>
      <c r="W25" s="2">
        <f t="shared" si="0"/>
        <v>4.1330531386218894E-7</v>
      </c>
      <c r="X25" s="2">
        <f t="shared" si="8"/>
        <v>0.9741511344909668</v>
      </c>
      <c r="Y25" s="2">
        <f t="shared" si="1"/>
        <v>-7.4638169200724747E-8</v>
      </c>
      <c r="Z25" s="2">
        <f t="shared" si="3"/>
        <v>0.9741508960723877</v>
      </c>
      <c r="AA25" s="2">
        <f t="shared" si="2"/>
        <v>1.6933357094295332E-7</v>
      </c>
      <c r="AB25" s="2">
        <f t="shared" si="4"/>
        <v>6.9986464685982556E-14</v>
      </c>
      <c r="AC25" s="2">
        <f t="shared" si="5"/>
        <v>-1.2638747719403077E-14</v>
      </c>
      <c r="AD25" s="2">
        <f t="shared" si="6"/>
        <v>4.76837158203125E-7</v>
      </c>
      <c r="AF25" s="2">
        <v>21</v>
      </c>
      <c r="AG25" s="2">
        <f t="shared" si="13"/>
        <v>1951.1704444885254</v>
      </c>
      <c r="AH25" s="2">
        <v>-2.8555083288210881E-3</v>
      </c>
      <c r="AI25" s="2">
        <f t="shared" si="14"/>
        <v>1951.1795043945312</v>
      </c>
      <c r="AJ25" s="2">
        <v>5.4901057617371407E-3</v>
      </c>
      <c r="AK25" s="2">
        <f t="shared" si="9"/>
        <v>1951.1749744415283</v>
      </c>
      <c r="AL25" s="2">
        <v>1.31729901795552E-3</v>
      </c>
      <c r="AM25" s="2">
        <f t="shared" si="10"/>
        <v>-3.7615583173198274E-6</v>
      </c>
      <c r="AN25" s="2">
        <f t="shared" si="11"/>
        <v>7.2321109284082771E-6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2390.5511935876702</v>
      </c>
      <c r="H26" s="6" t="s">
        <v>21</v>
      </c>
      <c r="J26" s="14" t="s">
        <v>65</v>
      </c>
      <c r="K26" s="6">
        <f>uniform_250!K26</f>
        <v>49.681078963324211</v>
      </c>
      <c r="L26" s="6" t="s">
        <v>7</v>
      </c>
      <c r="N26" s="6" t="s">
        <v>32</v>
      </c>
      <c r="O26" s="17">
        <f>Z34</f>
        <v>0.97415106138214469</v>
      </c>
      <c r="U26" s="2">
        <v>22</v>
      </c>
      <c r="V26" s="2">
        <f t="shared" si="7"/>
        <v>0.9741508960723877</v>
      </c>
      <c r="W26" s="2">
        <f t="shared" si="0"/>
        <v>1.6933357094295332E-7</v>
      </c>
      <c r="X26" s="2">
        <f t="shared" si="8"/>
        <v>0.9741511344909668</v>
      </c>
      <c r="Y26" s="2">
        <f t="shared" si="1"/>
        <v>-7.4638169200724747E-8</v>
      </c>
      <c r="Z26" s="2">
        <f t="shared" si="3"/>
        <v>0.97415101528167725</v>
      </c>
      <c r="AA26" s="2">
        <f t="shared" si="2"/>
        <v>4.7347700538047377E-8</v>
      </c>
      <c r="AB26" s="2">
        <f t="shared" si="4"/>
        <v>8.0175552080451539E-15</v>
      </c>
      <c r="AC26" s="2">
        <f t="shared" si="5"/>
        <v>-3.5339456840240262E-15</v>
      </c>
      <c r="AD26" s="2">
        <f t="shared" si="6"/>
        <v>2.384185791015625E-7</v>
      </c>
      <c r="AF26" s="2">
        <v>22</v>
      </c>
      <c r="AG26" s="2">
        <f t="shared" si="13"/>
        <v>1951.1704444885254</v>
      </c>
      <c r="AH26" s="2">
        <v>-2.8555083288210881E-3</v>
      </c>
      <c r="AI26" s="2">
        <f t="shared" si="14"/>
        <v>1951.1749744415283</v>
      </c>
      <c r="AJ26" s="2">
        <v>1.31729901795552E-3</v>
      </c>
      <c r="AK26" s="2">
        <f t="shared" si="9"/>
        <v>1951.1727094650269</v>
      </c>
      <c r="AL26" s="2">
        <v>-7.6921245636185631E-4</v>
      </c>
      <c r="AM26" s="2">
        <f t="shared" si="10"/>
        <v>2.1964925757742084E-6</v>
      </c>
      <c r="AN26" s="2">
        <f t="shared" si="11"/>
        <v>-1.0132828133646266E-6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27.192415514959503</v>
      </c>
      <c r="H27" t="s">
        <v>97</v>
      </c>
      <c r="J27" s="14" t="s">
        <v>66</v>
      </c>
      <c r="K27" s="6">
        <f>uniform_250!K27</f>
        <v>8.0125952656530757</v>
      </c>
      <c r="L27" s="6" t="s">
        <v>7</v>
      </c>
      <c r="N27" s="6" t="s">
        <v>33</v>
      </c>
      <c r="O27" s="6">
        <f xml:space="preserve"> O21 * $C$10 * O26 - $C$7 * SIN(O19/180*PI())</f>
        <v>1.6049120643791213</v>
      </c>
      <c r="P27" s="6" t="s">
        <v>10</v>
      </c>
      <c r="U27" s="2">
        <v>23</v>
      </c>
      <c r="V27" s="2">
        <f t="shared" si="7"/>
        <v>0.97415101528167725</v>
      </c>
      <c r="W27" s="2">
        <f t="shared" si="0"/>
        <v>4.7347700538047377E-8</v>
      </c>
      <c r="X27" s="2">
        <f t="shared" si="8"/>
        <v>0.9741511344909668</v>
      </c>
      <c r="Y27" s="2">
        <f t="shared" si="1"/>
        <v>-7.4638169200724747E-8</v>
      </c>
      <c r="Z27" s="2">
        <f t="shared" si="3"/>
        <v>0.97415107488632202</v>
      </c>
      <c r="AA27" s="2">
        <f t="shared" si="2"/>
        <v>-1.3645234386849836E-8</v>
      </c>
      <c r="AB27" s="2">
        <f t="shared" si="4"/>
        <v>-6.4607047152003259E-16</v>
      </c>
      <c r="AC27" s="2">
        <f t="shared" si="5"/>
        <v>1.0184553129492457E-15</v>
      </c>
      <c r="AD27" s="2">
        <f t="shared" si="6"/>
        <v>1.1920928955078125E-7</v>
      </c>
      <c r="AF27" s="2">
        <v>23</v>
      </c>
      <c r="AG27" s="2">
        <f t="shared" si="13"/>
        <v>1951.1727094650269</v>
      </c>
      <c r="AH27" s="2">
        <v>-7.6921245636185631E-4</v>
      </c>
      <c r="AI27" s="2">
        <f t="shared" si="14"/>
        <v>1951.1749744415283</v>
      </c>
      <c r="AJ27" s="2">
        <v>1.31729901795552E-3</v>
      </c>
      <c r="AK27" s="2">
        <f t="shared" si="9"/>
        <v>1951.1738419532776</v>
      </c>
      <c r="AL27" s="2">
        <v>2.7404329944147321E-4</v>
      </c>
      <c r="AM27" s="2">
        <f t="shared" si="10"/>
        <v>-2.1079751951288333E-7</v>
      </c>
      <c r="AN27" s="2">
        <f t="shared" si="11"/>
        <v>3.6099696923154316E-7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8.9692908378536238</v>
      </c>
      <c r="H28" s="6" t="s">
        <v>172</v>
      </c>
      <c r="J28" s="14" t="s">
        <v>67</v>
      </c>
      <c r="K28" s="6">
        <f>uniform_250!K28</f>
        <v>14.830172824872896</v>
      </c>
      <c r="L28" s="6" t="s">
        <v>7</v>
      </c>
      <c r="N28" s="6" t="s">
        <v>34</v>
      </c>
      <c r="O28" s="6">
        <f xml:space="preserve"> 1/$C$31 - O25 * SQRT( (2*$C$71*PI()*$C$10^2) / O20^3 )</f>
        <v>1.1872292567914957</v>
      </c>
      <c r="U28" s="2">
        <v>24</v>
      </c>
      <c r="V28" s="2">
        <f t="shared" si="7"/>
        <v>0.97415101528167725</v>
      </c>
      <c r="W28" s="2">
        <f t="shared" si="0"/>
        <v>4.7347700538047377E-8</v>
      </c>
      <c r="X28" s="2">
        <f t="shared" si="8"/>
        <v>0.97415107488632202</v>
      </c>
      <c r="Y28" s="2">
        <f t="shared" si="1"/>
        <v>-1.3645234386849836E-8</v>
      </c>
      <c r="Z28" s="2">
        <f t="shared" si="3"/>
        <v>0.97415104508399963</v>
      </c>
      <c r="AA28" s="2">
        <f t="shared" si="2"/>
        <v>1.685123307559877E-8</v>
      </c>
      <c r="AB28" s="2">
        <f t="shared" si="4"/>
        <v>7.9786713736028969E-16</v>
      </c>
      <c r="AC28" s="2">
        <f t="shared" si="5"/>
        <v>-2.2993902502398169E-16</v>
      </c>
      <c r="AD28" s="2">
        <f t="shared" si="6"/>
        <v>5.9604644775390625E-8</v>
      </c>
      <c r="AF28" s="2">
        <v>24</v>
      </c>
      <c r="AG28" s="2">
        <f t="shared" si="13"/>
        <v>1951.1727094650269</v>
      </c>
      <c r="AH28" s="2">
        <v>-7.6921245636185631E-4</v>
      </c>
      <c r="AI28" s="2">
        <f t="shared" si="14"/>
        <v>1951.1738419532776</v>
      </c>
      <c r="AJ28" s="2">
        <v>2.7404329944147321E-4</v>
      </c>
      <c r="AK28" s="2">
        <f t="shared" si="9"/>
        <v>1951.1732757091522</v>
      </c>
      <c r="AL28" s="2">
        <v>-2.4747669749558554E-4</v>
      </c>
      <c r="AM28" s="2">
        <f t="shared" si="10"/>
        <v>1.9036215837289941E-7</v>
      </c>
      <c r="AN28" s="2">
        <f t="shared" si="11"/>
        <v>-6.7819330716569637E-8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217.53932411967602</v>
      </c>
      <c r="H29" s="22" t="s">
        <v>97</v>
      </c>
      <c r="J29" s="14" t="s">
        <v>68</v>
      </c>
      <c r="K29" s="6">
        <f>uniform_250!K29</f>
        <v>39.308701791810194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0.97415104508399963</v>
      </c>
      <c r="W29" s="2">
        <f t="shared" si="0"/>
        <v>1.685123307559877E-8</v>
      </c>
      <c r="X29" s="2">
        <f t="shared" si="8"/>
        <v>0.97415107488632202</v>
      </c>
      <c r="Y29" s="2">
        <f t="shared" si="1"/>
        <v>-1.3645234386849836E-8</v>
      </c>
      <c r="Z29" s="2">
        <f t="shared" si="3"/>
        <v>0.97415105998516083</v>
      </c>
      <c r="AA29" s="2">
        <f t="shared" si="2"/>
        <v>1.602999288863316E-9</v>
      </c>
      <c r="AB29" s="2">
        <f t="shared" si="4"/>
        <v>2.7012514636654818E-17</v>
      </c>
      <c r="AC29" s="2">
        <f t="shared" si="5"/>
        <v>-2.1873301018493553E-17</v>
      </c>
      <c r="AD29" s="2">
        <f t="shared" si="6"/>
        <v>2.9802322387695312E-8</v>
      </c>
      <c r="AF29" s="2">
        <v>25</v>
      </c>
      <c r="AG29" s="2">
        <f t="shared" si="13"/>
        <v>1951.1732757091522</v>
      </c>
      <c r="AH29" s="2">
        <v>-2.4747669749558554E-4</v>
      </c>
      <c r="AI29" s="2">
        <f t="shared" si="14"/>
        <v>1951.1738419532776</v>
      </c>
      <c r="AJ29" s="2">
        <v>2.7404329944147321E-4</v>
      </c>
      <c r="AK29" s="2">
        <f t="shared" si="9"/>
        <v>1951.1735588312149</v>
      </c>
      <c r="AL29" s="2">
        <v>1.3175425920053385E-5</v>
      </c>
      <c r="AM29" s="2">
        <f t="shared" si="10"/>
        <v>-3.2606108947925484E-9</v>
      </c>
      <c r="AN29" s="2">
        <f t="shared" si="11"/>
        <v>3.6106371906781375E-9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-7.1568952535017161E-5</v>
      </c>
      <c r="L30" s="9" t="s">
        <v>7</v>
      </c>
      <c r="N30" s="6" t="s">
        <v>36</v>
      </c>
      <c r="O30" s="6">
        <f xml:space="preserve"> 1/$C$77 * LN( EXP($C$77 * O28) + EXP($C$77 * O29) )</f>
        <v>1.1966674868161713</v>
      </c>
      <c r="U30" s="2">
        <v>26</v>
      </c>
      <c r="V30" s="2">
        <f>IF(AB29&gt;0, Z29, V29)</f>
        <v>0.97415105998516083</v>
      </c>
      <c r="W30" s="2">
        <f t="shared" si="0"/>
        <v>1.602999288863316E-9</v>
      </c>
      <c r="X30" s="2">
        <f t="shared" si="8"/>
        <v>0.97415107488632202</v>
      </c>
      <c r="Y30" s="2">
        <f t="shared" si="1"/>
        <v>-1.3645234386849836E-8</v>
      </c>
      <c r="Z30" s="2">
        <f t="shared" si="3"/>
        <v>0.97415106743574142</v>
      </c>
      <c r="AA30" s="2">
        <f t="shared" si="2"/>
        <v>-6.0211176045044112E-9</v>
      </c>
      <c r="AB30" s="2">
        <f t="shared" si="4"/>
        <v>-9.651847238182964E-18</v>
      </c>
      <c r="AC30" s="2">
        <f t="shared" si="5"/>
        <v>8.2159560984250504E-17</v>
      </c>
      <c r="AD30" s="2">
        <f t="shared" si="6"/>
        <v>1.4901161193847656E-8</v>
      </c>
      <c r="AF30" s="2">
        <v>26</v>
      </c>
      <c r="AG30" s="2">
        <f t="shared" si="13"/>
        <v>1951.1732757091522</v>
      </c>
      <c r="AH30" s="2">
        <v>-2.4747669749558554E-4</v>
      </c>
      <c r="AI30" s="2">
        <f t="shared" si="14"/>
        <v>1951.1735588312149</v>
      </c>
      <c r="AJ30" s="2">
        <v>1.3175425920053385E-5</v>
      </c>
      <c r="AK30" s="2">
        <f t="shared" si="9"/>
        <v>1951.1734172701836</v>
      </c>
      <c r="AL30" s="2">
        <v>-1.171506355603924E-4</v>
      </c>
      <c r="AM30" s="2">
        <f t="shared" si="10"/>
        <v>2.8992052397994818E-8</v>
      </c>
      <c r="AN30" s="2">
        <f t="shared" si="11"/>
        <v>-1.5435095203131219E-9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0.97415105998516083</v>
      </c>
      <c r="W31" s="2">
        <f t="shared" si="0"/>
        <v>1.602999288863316E-9</v>
      </c>
      <c r="X31" s="2">
        <f t="shared" si="8"/>
        <v>0.97415106743574142</v>
      </c>
      <c r="Y31" s="2">
        <f t="shared" si="1"/>
        <v>-6.0211176045044112E-9</v>
      </c>
      <c r="Z31" s="2">
        <f t="shared" si="3"/>
        <v>0.97415106371045113</v>
      </c>
      <c r="AA31" s="2">
        <f t="shared" si="2"/>
        <v>-2.2090591578205476E-9</v>
      </c>
      <c r="AB31" s="2">
        <f t="shared" si="4"/>
        <v>-3.5411202590433336E-18</v>
      </c>
      <c r="AC31" s="2">
        <f t="shared" si="5"/>
        <v>1.3301004984544988E-17</v>
      </c>
      <c r="AD31" s="2">
        <f t="shared" si="6"/>
        <v>7.4505805969238281E-9</v>
      </c>
      <c r="AF31" s="2">
        <v>27</v>
      </c>
      <c r="AG31" s="2">
        <f t="shared" si="13"/>
        <v>1951.1734172701836</v>
      </c>
      <c r="AH31" s="2">
        <v>-1.171506355603924E-4</v>
      </c>
      <c r="AI31" s="2">
        <f t="shared" si="14"/>
        <v>1951.1735588312149</v>
      </c>
      <c r="AJ31" s="2">
        <v>1.3175425920053385E-5</v>
      </c>
      <c r="AK31" s="2">
        <f t="shared" si="9"/>
        <v>1951.1734880506992</v>
      </c>
      <c r="AL31" s="2">
        <v>-5.1879728289350169E-5</v>
      </c>
      <c r="AM31" s="2">
        <f t="shared" si="10"/>
        <v>6.0777431417978416E-9</v>
      </c>
      <c r="AN31" s="2">
        <f t="shared" si="11"/>
        <v>-6.8353751682883108E-10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0.97415105998516083</v>
      </c>
      <c r="W32" s="2">
        <f t="shared" si="0"/>
        <v>1.602999288863316E-9</v>
      </c>
      <c r="X32" s="2">
        <f t="shared" si="8"/>
        <v>0.97415106371045113</v>
      </c>
      <c r="Y32" s="2">
        <f t="shared" si="1"/>
        <v>-2.2090591578205476E-9</v>
      </c>
      <c r="Z32" s="2">
        <f t="shared" si="3"/>
        <v>0.97415106184780598</v>
      </c>
      <c r="AA32" s="2">
        <f t="shared" si="2"/>
        <v>-3.0302993447861581E-10</v>
      </c>
      <c r="AB32" s="2">
        <f t="shared" si="4"/>
        <v>-4.8575676947351839E-19</v>
      </c>
      <c r="AC32" s="2">
        <f t="shared" si="5"/>
        <v>6.6941105185374678E-19</v>
      </c>
      <c r="AD32" s="2">
        <f t="shared" si="6"/>
        <v>3.7252902984619141E-9</v>
      </c>
      <c r="AF32" s="2">
        <v>28</v>
      </c>
      <c r="AG32" s="2">
        <f t="shared" si="13"/>
        <v>1951.1734880506992</v>
      </c>
      <c r="AH32" s="2">
        <v>-5.1879728289350169E-5</v>
      </c>
      <c r="AI32" s="2">
        <f t="shared" si="14"/>
        <v>1951.1735588312149</v>
      </c>
      <c r="AJ32" s="2">
        <v>1.3175425920053385E-5</v>
      </c>
      <c r="AK32" s="2">
        <f t="shared" si="9"/>
        <v>1951.1735234409571</v>
      </c>
      <c r="AL32" s="2">
        <v>-1.9244274881202728E-5</v>
      </c>
      <c r="AM32" s="2">
        <f t="shared" si="10"/>
        <v>9.98387751962364E-10</v>
      </c>
      <c r="AN32" s="2">
        <f t="shared" si="11"/>
        <v>-2.535515180824307E-10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98.778815845079777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0.97415105998516083</v>
      </c>
      <c r="W33" s="2">
        <f t="shared" si="0"/>
        <v>1.602999288863316E-9</v>
      </c>
      <c r="X33" s="2">
        <f t="shared" si="8"/>
        <v>0.97415106184780598</v>
      </c>
      <c r="Y33" s="2">
        <f t="shared" si="1"/>
        <v>-3.0302993447861581E-10</v>
      </c>
      <c r="Z33" s="2">
        <f t="shared" si="3"/>
        <v>0.9741510609164834</v>
      </c>
      <c r="AA33" s="2">
        <f t="shared" si="2"/>
        <v>6.4998473270350132E-10</v>
      </c>
      <c r="AB33" s="2">
        <f t="shared" si="4"/>
        <v>1.0419250642957252E-18</v>
      </c>
      <c r="AC33" s="2">
        <f t="shared" si="5"/>
        <v>-1.9696483096324262E-19</v>
      </c>
      <c r="AD33" s="2">
        <f t="shared" si="6"/>
        <v>1.862645149230957E-9</v>
      </c>
      <c r="AF33" s="2">
        <v>29</v>
      </c>
      <c r="AG33" s="2">
        <f t="shared" si="13"/>
        <v>1951.1735234409571</v>
      </c>
      <c r="AH33" s="2">
        <v>-1.9244274881202728E-5</v>
      </c>
      <c r="AI33" s="2">
        <f t="shared" si="14"/>
        <v>1951.1735588312149</v>
      </c>
      <c r="AJ33" s="2">
        <v>1.3175425920053385E-5</v>
      </c>
      <c r="AK33" s="2">
        <f t="shared" si="9"/>
        <v>1951.173541136086</v>
      </c>
      <c r="AL33" s="2">
        <v>-3.1423007840203354E-6</v>
      </c>
      <c r="AM33" s="2">
        <f t="shared" si="10"/>
        <v>6.0471300047106178E-11</v>
      </c>
      <c r="AN33" s="2">
        <f t="shared" si="11"/>
        <v>-4.1401151198385601E-11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30.75</v>
      </c>
      <c r="L34" s="6" t="s">
        <v>59</v>
      </c>
      <c r="U34" s="2">
        <v>30</v>
      </c>
      <c r="V34" s="2">
        <f t="shared" si="7"/>
        <v>0.9741510609164834</v>
      </c>
      <c r="W34" s="2">
        <f t="shared" si="0"/>
        <v>6.4998473270350132E-10</v>
      </c>
      <c r="X34" s="2">
        <f t="shared" si="8"/>
        <v>0.97415106184780598</v>
      </c>
      <c r="Y34" s="2">
        <f t="shared" si="1"/>
        <v>-3.0302993447861581E-10</v>
      </c>
      <c r="Z34" s="2">
        <f t="shared" si="3"/>
        <v>0.97415106138214469</v>
      </c>
      <c r="AA34" s="2">
        <f t="shared" si="2"/>
        <v>1.7347734360129152E-10</v>
      </c>
      <c r="AB34" s="2">
        <f t="shared" si="4"/>
        <v>1.1275762481079893E-19</v>
      </c>
      <c r="AC34" s="2">
        <f t="shared" si="5"/>
        <v>-5.2568828065023693E-20</v>
      </c>
      <c r="AD34" s="2">
        <f t="shared" si="6"/>
        <v>9.3132257461547852E-10</v>
      </c>
      <c r="AF34" s="2">
        <v>30</v>
      </c>
      <c r="AG34" s="2">
        <f t="shared" si="13"/>
        <v>1951.173541136086</v>
      </c>
      <c r="AH34" s="2">
        <v>-3.1423007840203354E-6</v>
      </c>
      <c r="AI34" s="2">
        <f t="shared" si="14"/>
        <v>1951.1735588312149</v>
      </c>
      <c r="AJ34" s="2">
        <v>1.3175425920053385E-5</v>
      </c>
      <c r="AK34" s="2">
        <f t="shared" si="9"/>
        <v>1951.1735499836504</v>
      </c>
      <c r="AL34" s="2">
        <v>5.0165624543296872E-6</v>
      </c>
      <c r="AM34" s="2">
        <f t="shared" si="10"/>
        <v>-1.5763548133327154E-11</v>
      </c>
      <c r="AN34" s="2">
        <f t="shared" si="11"/>
        <v>6.6095346990341987E-11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12.74</v>
      </c>
      <c r="L35" s="6" t="s">
        <v>59</v>
      </c>
      <c r="AF35" s="2">
        <v>31</v>
      </c>
      <c r="AG35" s="2">
        <f t="shared" si="13"/>
        <v>1951.173541136086</v>
      </c>
      <c r="AH35" s="2">
        <v>-3.1423007840203354E-6</v>
      </c>
      <c r="AI35" s="2">
        <f t="shared" si="14"/>
        <v>1951.1735499836504</v>
      </c>
      <c r="AJ35" s="2">
        <v>5.0165624543296872E-6</v>
      </c>
      <c r="AK35" s="2">
        <f t="shared" si="9"/>
        <v>1951.1735455598682</v>
      </c>
      <c r="AL35" s="2">
        <v>9.3713083515467588E-7</v>
      </c>
      <c r="AM35" s="2">
        <f t="shared" si="10"/>
        <v>-2.9447469580361697E-12</v>
      </c>
      <c r="AN35" s="2">
        <f t="shared" si="11"/>
        <v>4.7011753624315703E-12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17.399999999999999</v>
      </c>
      <c r="L36" s="6" t="s">
        <v>59</v>
      </c>
      <c r="AF36" s="2">
        <v>32</v>
      </c>
      <c r="AG36" s="2">
        <f t="shared" si="13"/>
        <v>1951.173541136086</v>
      </c>
      <c r="AH36" s="2">
        <v>-3.1423007840203354E-6</v>
      </c>
      <c r="AI36" s="2">
        <f t="shared" si="14"/>
        <v>1951.1735455598682</v>
      </c>
      <c r="AJ36" s="2">
        <v>9.3713083515467588E-7</v>
      </c>
      <c r="AK36" s="2">
        <f t="shared" si="9"/>
        <v>1951.1735433479771</v>
      </c>
      <c r="AL36" s="2">
        <v>-1.1025849744328298E-6</v>
      </c>
      <c r="AM36" s="2">
        <f t="shared" si="10"/>
        <v>3.4646536296093225E-12</v>
      </c>
      <c r="AN36" s="2">
        <f t="shared" si="11"/>
        <v>-1.0332663779192347E-12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33.380000000000003</v>
      </c>
      <c r="L37" s="6" t="s">
        <v>59</v>
      </c>
      <c r="AF37" s="2">
        <v>33</v>
      </c>
      <c r="AG37" s="2">
        <f t="shared" si="13"/>
        <v>1951.1735433479771</v>
      </c>
      <c r="AH37" s="2">
        <v>-1.1025849744328298E-6</v>
      </c>
      <c r="AI37" s="2">
        <f t="shared" si="14"/>
        <v>1951.1735455598682</v>
      </c>
      <c r="AJ37" s="2">
        <v>9.3713083515467588E-7</v>
      </c>
      <c r="AK37" s="2">
        <f t="shared" si="9"/>
        <v>1951.1735444539227</v>
      </c>
      <c r="AL37" s="2">
        <v>-8.2726955952239223E-8</v>
      </c>
      <c r="AM37" s="2">
        <f t="shared" si="10"/>
        <v>9.1213498613505518E-14</v>
      </c>
      <c r="AN37" s="2">
        <f t="shared" si="11"/>
        <v>-7.7525981321326028E-14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5.73</v>
      </c>
      <c r="L38" s="6" t="s">
        <v>59</v>
      </c>
      <c r="AF38" s="2">
        <v>34</v>
      </c>
      <c r="AG38" s="2">
        <f t="shared" si="13"/>
        <v>1951.1735444539227</v>
      </c>
      <c r="AH38" s="2">
        <v>-8.2726955952239223E-8</v>
      </c>
      <c r="AI38" s="2">
        <f t="shared" si="14"/>
        <v>1951.1735455598682</v>
      </c>
      <c r="AJ38" s="2">
        <v>9.3713083515467588E-7</v>
      </c>
      <c r="AK38" s="2">
        <f t="shared" si="9"/>
        <v>1951.1735450068954</v>
      </c>
      <c r="AL38" s="2">
        <v>4.2720193960121833E-7</v>
      </c>
      <c r="AM38" s="2">
        <f t="shared" si="10"/>
        <v>-3.534111604010115E-14</v>
      </c>
      <c r="AN38" s="2">
        <f t="shared" si="11"/>
        <v>4.0034411043818713E-13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100.00000000000001</v>
      </c>
      <c r="L39" s="9" t="s">
        <v>59</v>
      </c>
      <c r="AF39" s="2">
        <v>35</v>
      </c>
      <c r="AG39" s="2">
        <f t="shared" si="13"/>
        <v>1951.1735444539227</v>
      </c>
      <c r="AH39" s="2">
        <v>-8.2726955952239223E-8</v>
      </c>
      <c r="AI39" s="2">
        <f t="shared" si="14"/>
        <v>1951.1735450068954</v>
      </c>
      <c r="AJ39" s="2">
        <v>4.2720193960121833E-7</v>
      </c>
      <c r="AK39" s="2">
        <f t="shared" si="9"/>
        <v>1951.173544730409</v>
      </c>
      <c r="AL39" s="2">
        <v>1.7223737813765183E-7</v>
      </c>
      <c r="AM39" s="2">
        <f t="shared" si="10"/>
        <v>-1.4248673994522694E-14</v>
      </c>
      <c r="AN39" s="2">
        <f t="shared" si="11"/>
        <v>7.358014201223334E-14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1951.1735444539227</v>
      </c>
      <c r="AH40" s="2">
        <v>-8.2726955952239223E-8</v>
      </c>
      <c r="AI40" s="2">
        <f t="shared" si="14"/>
        <v>1951.173544730409</v>
      </c>
      <c r="AJ40" s="2">
        <v>1.7223737813765183E-7</v>
      </c>
      <c r="AK40" s="2">
        <f t="shared" si="9"/>
        <v>1951.1735445921659</v>
      </c>
      <c r="AL40" s="2">
        <v>4.4755097405868582E-8</v>
      </c>
      <c r="AM40" s="2">
        <f t="shared" si="10"/>
        <v>-3.7024529717334661E-15</v>
      </c>
      <c r="AN40" s="2">
        <f t="shared" si="11"/>
        <v>7.7085006354820276E-15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1951.1735444539227</v>
      </c>
      <c r="AH41" s="2">
        <v>-8.2726955952239223E-8</v>
      </c>
      <c r="AI41" s="2">
        <f t="shared" si="14"/>
        <v>1951.1735445921659</v>
      </c>
      <c r="AJ41" s="2">
        <v>4.4755097405868582E-8</v>
      </c>
      <c r="AK41" s="2">
        <f t="shared" si="9"/>
        <v>1951.1735445230443</v>
      </c>
      <c r="AL41" s="2">
        <v>-1.898592927318532E-8</v>
      </c>
      <c r="AM41" s="2">
        <f t="shared" si="10"/>
        <v>1.5706481346951312E-15</v>
      </c>
      <c r="AN41" s="2">
        <f t="shared" si="11"/>
        <v>-8.497171139623407E-16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1951.1735445230443</v>
      </c>
      <c r="AH42" s="2">
        <v>-8.2726955952239223E-8</v>
      </c>
      <c r="AI42" s="2">
        <f t="shared" si="14"/>
        <v>1951.1735445921659</v>
      </c>
      <c r="AJ42" s="2">
        <v>4.4755097405868582E-8</v>
      </c>
      <c r="AK42" s="2">
        <f t="shared" si="9"/>
        <v>1951.1735445576051</v>
      </c>
      <c r="AL42" s="2">
        <v>-5.0856442612712272E-8</v>
      </c>
      <c r="AM42" s="2">
        <f t="shared" si="10"/>
        <v>4.2071986879094299E-15</v>
      </c>
      <c r="AN42" s="2">
        <f t="shared" si="11"/>
        <v>-2.2760850428479034E-15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248.49</v>
      </c>
      <c r="L43" s="6" t="s">
        <v>7</v>
      </c>
      <c r="AF43" s="2">
        <v>39</v>
      </c>
      <c r="AG43" s="2">
        <f t="shared" si="13"/>
        <v>1951.1735445576051</v>
      </c>
      <c r="AH43" s="2">
        <v>-8.2726955952239223E-8</v>
      </c>
      <c r="AI43" s="2">
        <f t="shared" si="14"/>
        <v>1951.1735445921659</v>
      </c>
      <c r="AJ43" s="2">
        <v>4.4755097405868582E-8</v>
      </c>
      <c r="AK43" s="2">
        <f t="shared" si="9"/>
        <v>1951.1735445748855</v>
      </c>
      <c r="AL43" s="2">
        <v>-6.6791699282475747E-8</v>
      </c>
      <c r="AM43" s="2">
        <f t="shared" si="10"/>
        <v>5.5254739645165792E-15</v>
      </c>
      <c r="AN43" s="2">
        <f t="shared" si="11"/>
        <v>-2.9892690072906848E-15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339.49</v>
      </c>
      <c r="L44" s="6" t="s">
        <v>7</v>
      </c>
      <c r="AF44" s="2">
        <v>40</v>
      </c>
      <c r="AG44" s="2">
        <f t="shared" si="13"/>
        <v>1951.1735445748855</v>
      </c>
      <c r="AH44" s="2">
        <v>-8.2726955952239223E-8</v>
      </c>
      <c r="AI44" s="2">
        <f t="shared" si="14"/>
        <v>1951.1735445921659</v>
      </c>
      <c r="AJ44" s="2">
        <v>4.4755097405868582E-8</v>
      </c>
      <c r="AK44" s="5">
        <f t="shared" si="9"/>
        <v>1951.1735445835257</v>
      </c>
      <c r="AL44" s="2">
        <v>-7.4759327617357485E-8</v>
      </c>
      <c r="AM44" s="2">
        <f t="shared" si="10"/>
        <v>6.1846116028201539E-15</v>
      </c>
      <c r="AN44" s="2">
        <f t="shared" si="11"/>
        <v>-3.3458609895120754E-15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651.37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111.83</v>
      </c>
      <c r="L46" s="6" t="s">
        <v>7</v>
      </c>
    </row>
    <row r="47" spans="2:41" x14ac:dyDescent="0.2">
      <c r="J47" s="9" t="s">
        <v>60</v>
      </c>
      <c r="K47" s="9">
        <f>SUM(K42:K46)</f>
        <v>1951.1799999999998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35" priority="1" operator="containsText" text="FALSE">
      <formula>NOT(ISERROR(SEARCH("FALSE",K31)))</formula>
    </cfRule>
    <cfRule type="containsText" dxfId="34" priority="2" operator="containsText" text="TRUE">
      <formula>NOT(ISERROR(SEARCH("TRUE",K31)))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NOT(ISERROR(SEARCH("YES",K31)))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D9D-F2B2-6B44-A3B6-9B79311720B3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362.89007614948707</v>
      </c>
      <c r="L4" s="6" t="s">
        <v>97</v>
      </c>
      <c r="N4" s="6" t="s">
        <v>131</v>
      </c>
      <c r="O4" s="6">
        <f xml:space="preserve"> $C$5 * $C$74</f>
        <v>18566.664989924899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1.2168978883610766</v>
      </c>
      <c r="X4" s="3">
        <v>1</v>
      </c>
      <c r="Y4" s="2">
        <f t="shared" ref="Y4:Y34" si="1" xml:space="preserve"> $O$22 * TAN($O$19/180*PI()) + $O$23 / (2 * SQRT($O$22^2 + X4^2)) - X4</f>
        <v>-2.6674881004229323E-2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0.49490666234317815</v>
      </c>
      <c r="AB4" s="2">
        <f>W4*AA4</f>
        <v>0.60225087234124186</v>
      </c>
      <c r="AC4" s="2">
        <f>Y4*AA4</f>
        <v>-1.3201576326204579E-2</v>
      </c>
      <c r="AD4" s="2">
        <f>X4-V4</f>
        <v>1</v>
      </c>
      <c r="AF4" s="2">
        <v>0</v>
      </c>
      <c r="AH4" s="2">
        <f>K30</f>
        <v>-5.8864803122560261E-5</v>
      </c>
      <c r="AJ4" s="2">
        <f>K30</f>
        <v>-5.8864803122560261E-5</v>
      </c>
      <c r="AL4" s="2">
        <f>K30</f>
        <v>-5.8864803122560261E-5</v>
      </c>
    </row>
    <row r="5" spans="2:41" x14ac:dyDescent="0.2">
      <c r="B5" s="9" t="s">
        <v>38</v>
      </c>
      <c r="C5" s="9">
        <v>1894.45062238886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45.361259518685884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0.49490666234317815</v>
      </c>
      <c r="X5" s="2">
        <f>IF(AC4&gt;0, Z4, X4)</f>
        <v>1</v>
      </c>
      <c r="Y5" s="2">
        <f t="shared" si="1"/>
        <v>-2.6674881004229323E-2</v>
      </c>
      <c r="Z5" s="2">
        <f t="shared" ref="Z5:Z34" si="3" xml:space="preserve"> (V5 + X5)/2</f>
        <v>0.75</v>
      </c>
      <c r="AA5" s="2">
        <f t="shared" si="2"/>
        <v>0.2305899399969541</v>
      </c>
      <c r="AB5" s="2">
        <f t="shared" ref="AB5:AB34" si="4">W5*AA5</f>
        <v>0.11412049757380627</v>
      </c>
      <c r="AC5" s="2">
        <f t="shared" ref="AC5:AC34" si="5">Y5*AA5</f>
        <v>-6.1509592101911302E-3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-1334.0605798384738</v>
      </c>
      <c r="AI5" s="3">
        <v>10000</v>
      </c>
      <c r="AJ5" s="2">
        <f t="dataTable" ref="AJ5:AJ44" dt2D="0" dtr="0" r1="C5" ca="1"/>
        <v>7501.4157132480486</v>
      </c>
      <c r="AK5" s="2">
        <f>(AG5+AI5)/2</f>
        <v>5250</v>
      </c>
      <c r="AL5" s="2">
        <f t="dataTable" ref="AL5:AL44" dt2D="0" dtr="0" r1="C5" ca="1"/>
        <v>3023.7397788122298</v>
      </c>
      <c r="AM5" s="2">
        <f>AH5*AL5</f>
        <v>-4033852.0426029018</v>
      </c>
      <c r="AN5" s="2">
        <f>AJ5*AL5</f>
        <v>22682329.089555241</v>
      </c>
      <c r="AO5" s="2">
        <f>AI5-AG5</f>
        <v>9500</v>
      </c>
    </row>
    <row r="6" spans="2:41" x14ac:dyDescent="0.2">
      <c r="B6" s="6" t="s">
        <v>168</v>
      </c>
      <c r="C6" s="16">
        <v>472.54527421905101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146.56290639858284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0.20046971604326708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0.2305899399969541</v>
      </c>
      <c r="X6" s="2">
        <f t="shared" ref="X6:X34" si="8">IF(AC5&gt;0, Z5, X5)</f>
        <v>1</v>
      </c>
      <c r="Y6" s="2">
        <f t="shared" si="1"/>
        <v>-2.6674881004229323E-2</v>
      </c>
      <c r="Z6" s="2">
        <f t="shared" si="3"/>
        <v>0.875</v>
      </c>
      <c r="AA6" s="2">
        <f t="shared" si="2"/>
        <v>0.1014456882231759</v>
      </c>
      <c r="AB6" s="2">
        <f t="shared" si="4"/>
        <v>2.3392355160331845E-2</v>
      </c>
      <c r="AC6" s="2">
        <f t="shared" si="5"/>
        <v>-2.7060516617453652E-3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-1334.0605798384738</v>
      </c>
      <c r="AI6" s="2">
        <f>IF(AN5&gt;0,AK5,AI5)</f>
        <v>5250</v>
      </c>
      <c r="AJ6" s="2">
        <v>3023.7397788122298</v>
      </c>
      <c r="AK6" s="2">
        <f t="shared" ref="AK6:AK44" si="9">(AG6+AI6)/2</f>
        <v>2875</v>
      </c>
      <c r="AL6" s="2">
        <v>909.98910432955267</v>
      </c>
      <c r="AM6" s="2">
        <f t="shared" ref="AM6:AM44" si="10">AH6*AL6</f>
        <v>-1213980.5921685765</v>
      </c>
      <c r="AN6" s="2">
        <f t="shared" ref="AN6:AN44" si="11">AJ6*AL6</f>
        <v>2751570.2530469806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2321.0551362228612</v>
      </c>
      <c r="H7" s="6" t="s">
        <v>21</v>
      </c>
      <c r="J7" s="6" t="s">
        <v>133</v>
      </c>
      <c r="K7" s="6">
        <f>K6/$C$28</f>
        <v>146.56290639858284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0.1014456882231759</v>
      </c>
      <c r="X7" s="2">
        <f t="shared" si="8"/>
        <v>1</v>
      </c>
      <c r="Y7" s="2">
        <f t="shared" si="1"/>
        <v>-2.6674881004229323E-2</v>
      </c>
      <c r="Z7" s="2">
        <f t="shared" si="3"/>
        <v>0.9375</v>
      </c>
      <c r="AA7" s="2">
        <f t="shared" si="2"/>
        <v>3.7282608295603481E-2</v>
      </c>
      <c r="AB7" s="2">
        <f t="shared" si="4"/>
        <v>3.782159857302582E-3</v>
      </c>
      <c r="AC7" s="2">
        <f t="shared" si="5"/>
        <v>-9.9450913981251592E-4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-1334.0605798384738</v>
      </c>
      <c r="AI7" s="2">
        <f t="shared" ref="AI7:AI44" si="14">IF(AN6&gt;0,AK6,AI6)</f>
        <v>2875</v>
      </c>
      <c r="AJ7" s="2">
        <v>909.98910432955267</v>
      </c>
      <c r="AK7" s="2">
        <f t="shared" si="9"/>
        <v>1687.5</v>
      </c>
      <c r="AL7" s="2">
        <v>-194.9149295701659</v>
      </c>
      <c r="AM7" s="2">
        <f t="shared" si="10"/>
        <v>260028.32396155081</v>
      </c>
      <c r="AN7" s="2">
        <f t="shared" si="11"/>
        <v>-177370.4621800131</v>
      </c>
      <c r="AO7" s="2">
        <f t="shared" si="12"/>
        <v>2375</v>
      </c>
    </row>
    <row r="8" spans="2:41" x14ac:dyDescent="0.2">
      <c r="B8" s="6" t="s">
        <v>91</v>
      </c>
      <c r="C8" s="16">
        <v>2.24224116539648</v>
      </c>
      <c r="D8" s="6" t="s">
        <v>8</v>
      </c>
      <c r="F8" t="s">
        <v>93</v>
      </c>
      <c r="G8" s="6">
        <f>G10/$C$21</f>
        <v>30.240839679123923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3.7282608295603481E-2</v>
      </c>
      <c r="X8" s="2">
        <f t="shared" si="8"/>
        <v>1</v>
      </c>
      <c r="Y8" s="2">
        <f t="shared" si="1"/>
        <v>-2.6674881004229323E-2</v>
      </c>
      <c r="Z8" s="2">
        <f t="shared" si="3"/>
        <v>0.96875</v>
      </c>
      <c r="AA8" s="2">
        <f t="shared" si="2"/>
        <v>5.2806142894253894E-3</v>
      </c>
      <c r="AB8" s="2">
        <f t="shared" si="4"/>
        <v>1.968750741128133E-4</v>
      </c>
      <c r="AC8" s="2">
        <f t="shared" si="5"/>
        <v>-1.4085975779965524E-4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-194.9149295701659</v>
      </c>
      <c r="AI8" s="2">
        <f t="shared" si="14"/>
        <v>2875</v>
      </c>
      <c r="AJ8" s="2">
        <v>909.98910432955267</v>
      </c>
      <c r="AK8" s="2">
        <f t="shared" si="9"/>
        <v>2281.25</v>
      </c>
      <c r="AL8" s="2">
        <v>361.607620986352</v>
      </c>
      <c r="AM8" s="2">
        <f t="shared" si="10"/>
        <v>-70482.723976590045</v>
      </c>
      <c r="AN8" s="2">
        <f t="shared" si="11"/>
        <v>329058.99514011084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7.8306796474993838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1.9973185314981656E-2</v>
      </c>
      <c r="U9" s="2">
        <v>5</v>
      </c>
      <c r="V9" s="2">
        <f t="shared" si="7"/>
        <v>0.96875</v>
      </c>
      <c r="W9" s="2">
        <f t="shared" si="0"/>
        <v>5.2806142894253894E-3</v>
      </c>
      <c r="X9" s="2">
        <f t="shared" si="8"/>
        <v>1</v>
      </c>
      <c r="Y9" s="2">
        <f t="shared" si="1"/>
        <v>-2.6674881004229323E-2</v>
      </c>
      <c r="Z9" s="2">
        <f t="shared" si="3"/>
        <v>0.984375</v>
      </c>
      <c r="AA9" s="2">
        <f t="shared" si="2"/>
        <v>-1.0702672904324362E-2</v>
      </c>
      <c r="AB9" s="2">
        <f t="shared" si="4"/>
        <v>-5.6516687473621161E-5</v>
      </c>
      <c r="AC9" s="2">
        <f t="shared" si="5"/>
        <v>2.8549252615004181E-4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-194.9149295701659</v>
      </c>
      <c r="AI9" s="2">
        <f t="shared" si="14"/>
        <v>2281.25</v>
      </c>
      <c r="AJ9" s="2">
        <v>361.607620986352</v>
      </c>
      <c r="AK9" s="2">
        <f t="shared" si="9"/>
        <v>1984.375</v>
      </c>
      <c r="AL9" s="2">
        <v>84.379097340413409</v>
      </c>
      <c r="AM9" s="2">
        <f t="shared" si="10"/>
        <v>-16446.745815300852</v>
      </c>
      <c r="AN9" s="2">
        <f t="shared" si="11"/>
        <v>30512.124650242713</v>
      </c>
      <c r="AO9" s="2">
        <f t="shared" si="12"/>
        <v>593.75</v>
      </c>
    </row>
    <row r="10" spans="2:41" x14ac:dyDescent="0.2">
      <c r="B10" s="6" t="s">
        <v>134</v>
      </c>
      <c r="C10" s="16">
        <v>1.4190386317886401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241.92671743299138</v>
      </c>
      <c r="H10" s="22" t="s">
        <v>97</v>
      </c>
      <c r="J10" s="6" t="s">
        <v>92</v>
      </c>
      <c r="K10" s="6">
        <f xml:space="preserve"> $C$18 * (G10*G6 + G20*G13 + G29*G25 + G33*G32)/3600</f>
        <v>91.279557593259227</v>
      </c>
      <c r="L10" s="6" t="s">
        <v>98</v>
      </c>
      <c r="N10" s="6" t="s">
        <v>39</v>
      </c>
      <c r="O10" s="6">
        <f xml:space="preserve"> O5 * $C$12 * O9</f>
        <v>1142.3317962722385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5.2806142894253894E-3</v>
      </c>
      <c r="X10" s="2">
        <f t="shared" si="8"/>
        <v>0.984375</v>
      </c>
      <c r="Y10" s="2">
        <f t="shared" si="1"/>
        <v>-1.0702672904324362E-2</v>
      </c>
      <c r="Z10" s="2">
        <f t="shared" si="3"/>
        <v>0.9765625</v>
      </c>
      <c r="AA10" s="2">
        <f t="shared" si="2"/>
        <v>-2.7124469540532603E-3</v>
      </c>
      <c r="AB10" s="2">
        <f t="shared" si="4"/>
        <v>-1.4323386144882018E-5</v>
      </c>
      <c r="AC10" s="2">
        <f t="shared" si="5"/>
        <v>2.9030432519562976E-5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-194.9149295701659</v>
      </c>
      <c r="AI10" s="2">
        <f t="shared" si="14"/>
        <v>1984.375</v>
      </c>
      <c r="AJ10" s="2">
        <v>84.379097340413409</v>
      </c>
      <c r="AK10" s="2">
        <f t="shared" si="9"/>
        <v>1835.9375</v>
      </c>
      <c r="AL10" s="2">
        <v>-55.007203390293625</v>
      </c>
      <c r="AM10" s="2">
        <f t="shared" si="10"/>
        <v>10721.725174670873</v>
      </c>
      <c r="AN10" s="2">
        <f t="shared" si="11"/>
        <v>-4641.4581692935044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0.748536815632041</v>
      </c>
      <c r="U11" s="2">
        <v>7</v>
      </c>
      <c r="V11" s="2">
        <f t="shared" si="7"/>
        <v>0.96875</v>
      </c>
      <c r="W11" s="2">
        <f t="shared" si="0"/>
        <v>5.2806142894253894E-3</v>
      </c>
      <c r="X11" s="2">
        <f t="shared" si="8"/>
        <v>0.9765625</v>
      </c>
      <c r="Y11" s="2">
        <f t="shared" si="1"/>
        <v>-2.7124469540532603E-3</v>
      </c>
      <c r="Z11" s="2">
        <f t="shared" si="3"/>
        <v>0.97265625</v>
      </c>
      <c r="AA11" s="2">
        <f t="shared" si="2"/>
        <v>1.2837250480176587E-3</v>
      </c>
      <c r="AB11" s="2">
        <f t="shared" si="4"/>
        <v>6.7788568322553429E-6</v>
      </c>
      <c r="AC11" s="2">
        <f t="shared" si="5"/>
        <v>-3.4820360963373736E-6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-55.007203390293625</v>
      </c>
      <c r="AI11" s="2">
        <f t="shared" si="14"/>
        <v>1984.375</v>
      </c>
      <c r="AJ11" s="2">
        <v>84.379097340413409</v>
      </c>
      <c r="AK11" s="2">
        <f t="shared" si="9"/>
        <v>1910.15625</v>
      </c>
      <c r="AL11" s="2">
        <v>14.75077537877246</v>
      </c>
      <c r="AM11" s="2">
        <f t="shared" si="10"/>
        <v>-811.3989014246722</v>
      </c>
      <c r="AN11" s="2">
        <f t="shared" si="11"/>
        <v>1244.6571115320148</v>
      </c>
      <c r="AO11" s="2">
        <f t="shared" si="12"/>
        <v>148.4375</v>
      </c>
    </row>
    <row r="12" spans="2:41" x14ac:dyDescent="0.2">
      <c r="B12" s="6" t="s">
        <v>135</v>
      </c>
      <c r="C12" s="16">
        <v>25.223455013504399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0.32463023592190654</v>
      </c>
      <c r="U12" s="2">
        <v>8</v>
      </c>
      <c r="V12" s="2">
        <f t="shared" si="7"/>
        <v>0.97265625</v>
      </c>
      <c r="W12" s="2">
        <f t="shared" si="0"/>
        <v>1.2837250480176587E-3</v>
      </c>
      <c r="X12" s="2">
        <f t="shared" si="8"/>
        <v>0.9765625</v>
      </c>
      <c r="Y12" s="2">
        <f t="shared" si="1"/>
        <v>-2.7124469540532603E-3</v>
      </c>
      <c r="Z12" s="2">
        <f t="shared" si="3"/>
        <v>0.974609375</v>
      </c>
      <c r="AA12" s="2">
        <f t="shared" si="2"/>
        <v>-7.1445007675796646E-4</v>
      </c>
      <c r="AB12" s="2">
        <f t="shared" si="4"/>
        <v>-9.171574590923405E-7</v>
      </c>
      <c r="AC12" s="2">
        <f t="shared" si="5"/>
        <v>1.9379079345252641E-6</v>
      </c>
      <c r="AD12" s="2">
        <f t="shared" si="6"/>
        <v>3.90625E-3</v>
      </c>
      <c r="AF12" s="2">
        <v>8</v>
      </c>
      <c r="AG12" s="2">
        <f t="shared" si="13"/>
        <v>1835.9375</v>
      </c>
      <c r="AH12" s="2">
        <v>-55.007203390293625</v>
      </c>
      <c r="AI12" s="2">
        <f t="shared" si="14"/>
        <v>1910.15625</v>
      </c>
      <c r="AJ12" s="2">
        <v>14.75077537877246</v>
      </c>
      <c r="AK12" s="2">
        <f t="shared" si="9"/>
        <v>1873.046875</v>
      </c>
      <c r="AL12" s="2">
        <v>-20.111965478051616</v>
      </c>
      <c r="AM12" s="2">
        <f t="shared" si="10"/>
        <v>1106.3029756297492</v>
      </c>
      <c r="AN12" s="2">
        <f t="shared" si="11"/>
        <v>-296.66708519236545</v>
      </c>
      <c r="AO12" s="2">
        <f t="shared" si="12"/>
        <v>74.21875</v>
      </c>
    </row>
    <row r="13" spans="2:41" x14ac:dyDescent="0.2">
      <c r="B13" s="6" t="s">
        <v>136</v>
      </c>
      <c r="C13" s="16">
        <v>10.311484396624399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2.4319225201493606E-2</v>
      </c>
      <c r="U13" s="2">
        <v>9</v>
      </c>
      <c r="V13" s="2">
        <f t="shared" si="7"/>
        <v>0.97265625</v>
      </c>
      <c r="W13" s="2">
        <f t="shared" si="0"/>
        <v>1.2837250480176587E-3</v>
      </c>
      <c r="X13" s="2">
        <f t="shared" si="8"/>
        <v>0.974609375</v>
      </c>
      <c r="Y13" s="2">
        <f t="shared" si="1"/>
        <v>-7.1445007675796646E-4</v>
      </c>
      <c r="Z13" s="2">
        <f t="shared" si="3"/>
        <v>0.9736328125</v>
      </c>
      <c r="AA13" s="2">
        <f t="shared" si="2"/>
        <v>2.8461513862465537E-4</v>
      </c>
      <c r="AB13" s="2">
        <f t="shared" si="4"/>
        <v>3.653675824974883E-7</v>
      </c>
      <c r="AC13" s="2">
        <f t="shared" si="5"/>
        <v>-2.033433076368643E-7</v>
      </c>
      <c r="AD13" s="2">
        <f t="shared" si="6"/>
        <v>1.953125E-3</v>
      </c>
      <c r="AF13" s="2">
        <v>9</v>
      </c>
      <c r="AG13" s="2">
        <f t="shared" si="13"/>
        <v>1873.046875</v>
      </c>
      <c r="AH13" s="2">
        <v>-20.111965478051616</v>
      </c>
      <c r="AI13" s="2">
        <f t="shared" si="14"/>
        <v>1910.15625</v>
      </c>
      <c r="AJ13" s="2">
        <v>14.75077537877246</v>
      </c>
      <c r="AK13" s="2">
        <f t="shared" si="9"/>
        <v>1891.6015625</v>
      </c>
      <c r="AL13" s="2">
        <v>-2.6765382403364129</v>
      </c>
      <c r="AM13" s="2">
        <f t="shared" si="10"/>
        <v>53.830444690330957</v>
      </c>
      <c r="AN13" s="2">
        <f t="shared" si="11"/>
        <v>-39.481014375897324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70.220878928740063</v>
      </c>
      <c r="H14" s="6" t="s">
        <v>10</v>
      </c>
      <c r="J14" s="9" t="s">
        <v>75</v>
      </c>
      <c r="K14" s="17">
        <f>C5</f>
        <v>1894.45062238886</v>
      </c>
      <c r="L14" s="6" t="s">
        <v>7</v>
      </c>
      <c r="N14" s="6" t="s">
        <v>40</v>
      </c>
      <c r="O14" s="6">
        <f xml:space="preserve"> O5 * O13 * $C$12</f>
        <v>1390.8960323686256</v>
      </c>
      <c r="P14" s="6" t="s">
        <v>21</v>
      </c>
      <c r="U14" s="2">
        <v>10</v>
      </c>
      <c r="V14" s="2">
        <f t="shared" si="7"/>
        <v>0.9736328125</v>
      </c>
      <c r="W14" s="2">
        <f t="shared" si="0"/>
        <v>2.8461513862465537E-4</v>
      </c>
      <c r="X14" s="2">
        <f t="shared" si="8"/>
        <v>0.974609375</v>
      </c>
      <c r="Y14" s="2">
        <f t="shared" si="1"/>
        <v>-7.1445007675796646E-4</v>
      </c>
      <c r="Z14" s="2">
        <f t="shared" si="3"/>
        <v>0.97412109375</v>
      </c>
      <c r="AA14" s="2">
        <f t="shared" si="2"/>
        <v>-2.1492304753889524E-4</v>
      </c>
      <c r="AB14" s="2">
        <f t="shared" si="4"/>
        <v>-6.1170352968916069E-8</v>
      </c>
      <c r="AC14" s="2">
        <f t="shared" si="5"/>
        <v>1.5355178781121978E-7</v>
      </c>
      <c r="AD14" s="2">
        <f t="shared" si="6"/>
        <v>9.765625E-4</v>
      </c>
      <c r="AF14" s="2">
        <v>10</v>
      </c>
      <c r="AG14" s="2">
        <f t="shared" si="13"/>
        <v>1891.6015625</v>
      </c>
      <c r="AH14" s="2">
        <v>-2.6765382403364129</v>
      </c>
      <c r="AI14" s="2">
        <f t="shared" si="14"/>
        <v>1910.15625</v>
      </c>
      <c r="AJ14" s="2">
        <v>14.75077537877246</v>
      </c>
      <c r="AK14" s="2">
        <f t="shared" si="9"/>
        <v>1900.87890625</v>
      </c>
      <c r="AL14" s="2">
        <v>6.0381321867291717</v>
      </c>
      <c r="AM14" s="2">
        <f t="shared" si="10"/>
        <v>-16.161291697986755</v>
      </c>
      <c r="AN14" s="2">
        <f t="shared" si="11"/>
        <v>89.067131593778171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0.2110498591552411</v>
      </c>
      <c r="H15" s="6" t="s">
        <v>120</v>
      </c>
      <c r="J15" s="10" t="s">
        <v>53</v>
      </c>
      <c r="K15" s="6">
        <f xml:space="preserve"> 1000 * K10 / ($C$60 * $C$61 * $C$62)</f>
        <v>191.76377645642697</v>
      </c>
      <c r="L15" s="6" t="s">
        <v>7</v>
      </c>
      <c r="N15" s="6" t="s">
        <v>140</v>
      </c>
      <c r="O15" s="6">
        <f>O4/O14</f>
        <v>13.348707996748548</v>
      </c>
      <c r="U15" s="2">
        <v>11</v>
      </c>
      <c r="V15" s="2">
        <f t="shared" si="7"/>
        <v>0.9736328125</v>
      </c>
      <c r="W15" s="2">
        <f t="shared" si="0"/>
        <v>2.8461513862465537E-4</v>
      </c>
      <c r="X15" s="2">
        <f t="shared" si="8"/>
        <v>0.97412109375</v>
      </c>
      <c r="Y15" s="2">
        <f t="shared" si="1"/>
        <v>-2.1492304753889524E-4</v>
      </c>
      <c r="Z15" s="2">
        <f t="shared" si="3"/>
        <v>0.973876953125</v>
      </c>
      <c r="AA15" s="2">
        <f t="shared" si="2"/>
        <v>3.4844649891230262E-5</v>
      </c>
      <c r="AB15" s="2">
        <f t="shared" si="4"/>
        <v>9.9173148591200838E-9</v>
      </c>
      <c r="AC15" s="2">
        <f t="shared" si="5"/>
        <v>-7.4889183450490425E-9</v>
      </c>
      <c r="AD15" s="2">
        <f t="shared" si="6"/>
        <v>4.8828125E-4</v>
      </c>
      <c r="AF15" s="2">
        <v>11</v>
      </c>
      <c r="AG15" s="2">
        <f t="shared" si="13"/>
        <v>1891.6015625</v>
      </c>
      <c r="AH15" s="2">
        <v>-2.6765382403364129</v>
      </c>
      <c r="AI15" s="2">
        <f t="shared" si="14"/>
        <v>1900.87890625</v>
      </c>
      <c r="AJ15" s="2">
        <v>6.0381321867291717</v>
      </c>
      <c r="AK15" s="2">
        <f t="shared" si="9"/>
        <v>1896.240234375</v>
      </c>
      <c r="AL15" s="2">
        <v>1.681050520757708</v>
      </c>
      <c r="AM15" s="2">
        <f t="shared" si="10"/>
        <v>-4.4993960027454465</v>
      </c>
      <c r="AN15" s="2">
        <f t="shared" si="11"/>
        <v>10.150405256904952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1390.8960323686256</v>
      </c>
      <c r="H16" s="6" t="s">
        <v>21</v>
      </c>
      <c r="J16" s="11" t="s">
        <v>123</v>
      </c>
      <c r="K16" s="6">
        <f>uniform_250!K16</f>
        <v>170.2424182007949</v>
      </c>
      <c r="L16" s="6" t="s">
        <v>7</v>
      </c>
      <c r="N16" s="6" t="s">
        <v>111</v>
      </c>
      <c r="O16" s="6">
        <f>(O13*$C$12)/(0.3048^2)/($C$5*2.20462/1000)^(2/3)</f>
        <v>2.5459294297102528</v>
      </c>
      <c r="U16" s="2">
        <v>12</v>
      </c>
      <c r="V16" s="2">
        <f t="shared" si="7"/>
        <v>0.973876953125</v>
      </c>
      <c r="W16" s="2">
        <f t="shared" si="0"/>
        <v>3.4844649891230262E-5</v>
      </c>
      <c r="X16" s="2">
        <f t="shared" si="8"/>
        <v>0.97412109375</v>
      </c>
      <c r="Y16" s="2">
        <f t="shared" si="1"/>
        <v>-2.1492304753889524E-4</v>
      </c>
      <c r="Z16" s="2">
        <f t="shared" si="3"/>
        <v>0.9739990234375</v>
      </c>
      <c r="AA16" s="2">
        <f t="shared" si="2"/>
        <v>-9.0039547607556614E-5</v>
      </c>
      <c r="AB16" s="2">
        <f t="shared" si="4"/>
        <v>-3.1373965127500694E-9</v>
      </c>
      <c r="AC16" s="2">
        <f t="shared" si="5"/>
        <v>1.9351573970839511E-8</v>
      </c>
      <c r="AD16" s="2">
        <f t="shared" si="6"/>
        <v>2.44140625E-4</v>
      </c>
      <c r="AF16" s="2">
        <v>12</v>
      </c>
      <c r="AG16" s="2">
        <f t="shared" si="13"/>
        <v>1891.6015625</v>
      </c>
      <c r="AH16" s="2">
        <v>-2.6765382403364129</v>
      </c>
      <c r="AI16" s="2">
        <f t="shared" si="14"/>
        <v>1896.240234375</v>
      </c>
      <c r="AJ16" s="2">
        <v>1.681050520757708</v>
      </c>
      <c r="AK16" s="2">
        <f t="shared" si="9"/>
        <v>1893.9208984375</v>
      </c>
      <c r="AL16" s="2">
        <v>-0.49768052561512377</v>
      </c>
      <c r="AM16" s="2">
        <f t="shared" si="10"/>
        <v>1.3320609582796044</v>
      </c>
      <c r="AN16" s="2">
        <f t="shared" si="11"/>
        <v>-0.83662610675627369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97.708604265721888</v>
      </c>
      <c r="H17" s="6" t="s">
        <v>97</v>
      </c>
      <c r="J17" s="11" t="s">
        <v>124</v>
      </c>
      <c r="K17" s="6">
        <f>uniform_250!K17</f>
        <v>0</v>
      </c>
      <c r="L17" s="6" t="s">
        <v>7</v>
      </c>
      <c r="U17" s="2">
        <v>13</v>
      </c>
      <c r="V17" s="2">
        <f t="shared" si="7"/>
        <v>0.973876953125</v>
      </c>
      <c r="W17" s="2">
        <f t="shared" si="0"/>
        <v>3.4844649891230262E-5</v>
      </c>
      <c r="X17" s="2">
        <f t="shared" si="8"/>
        <v>0.9739990234375</v>
      </c>
      <c r="Y17" s="2">
        <f t="shared" si="1"/>
        <v>-9.0039547607556614E-5</v>
      </c>
      <c r="Z17" s="2">
        <f t="shared" si="3"/>
        <v>0.97393798828125</v>
      </c>
      <c r="AA17" s="2">
        <f t="shared" si="2"/>
        <v>-2.7597536070178563E-5</v>
      </c>
      <c r="AB17" s="2">
        <f t="shared" si="4"/>
        <v>-9.6162648222597069E-10</v>
      </c>
      <c r="AC17" s="2">
        <f t="shared" si="5"/>
        <v>2.4848696628421037E-9</v>
      </c>
      <c r="AD17" s="2">
        <f t="shared" si="6"/>
        <v>1.220703125E-4</v>
      </c>
      <c r="AF17" s="2">
        <v>13</v>
      </c>
      <c r="AG17" s="2">
        <f t="shared" si="13"/>
        <v>1893.9208984375</v>
      </c>
      <c r="AH17" s="2">
        <v>-0.49768052561512377</v>
      </c>
      <c r="AI17" s="2">
        <f t="shared" si="14"/>
        <v>1896.240234375</v>
      </c>
      <c r="AJ17" s="2">
        <v>1.681050520757708</v>
      </c>
      <c r="AK17" s="2">
        <f t="shared" si="9"/>
        <v>1895.08056640625</v>
      </c>
      <c r="AL17" s="2">
        <v>0.59170082984223882</v>
      </c>
      <c r="AM17" s="2">
        <f t="shared" si="10"/>
        <v>-0.29447798000279035</v>
      </c>
      <c r="AN17" s="2">
        <f t="shared" si="11"/>
        <v>0.99467898813906352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1.4524836339333707</v>
      </c>
      <c r="H18" s="6" t="s">
        <v>172</v>
      </c>
      <c r="J18" s="12" t="s">
        <v>54</v>
      </c>
      <c r="K18" s="6">
        <f>uniform_250!K18</f>
        <v>110.08510589626826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0.973876953125</v>
      </c>
      <c r="W18" s="2">
        <f t="shared" si="0"/>
        <v>3.4844649891230262E-5</v>
      </c>
      <c r="X18" s="2">
        <f t="shared" si="8"/>
        <v>0.97393798828125</v>
      </c>
      <c r="Y18" s="2">
        <f t="shared" si="1"/>
        <v>-2.7597536070178563E-5</v>
      </c>
      <c r="Z18" s="2">
        <f t="shared" si="3"/>
        <v>0.973907470703125</v>
      </c>
      <c r="AA18" s="2">
        <f t="shared" si="2"/>
        <v>3.6235351054125786E-6</v>
      </c>
      <c r="AB18" s="2">
        <f t="shared" si="4"/>
        <v>1.2626081211668343E-10</v>
      </c>
      <c r="AC18" s="2">
        <f t="shared" si="5"/>
        <v>-1.0000064077318192E-10</v>
      </c>
      <c r="AD18" s="2">
        <f t="shared" si="6"/>
        <v>6.103515625E-5</v>
      </c>
      <c r="AF18" s="2">
        <v>14</v>
      </c>
      <c r="AG18" s="2">
        <f t="shared" si="13"/>
        <v>1893.9208984375</v>
      </c>
      <c r="AH18" s="2">
        <v>-0.49768052561512377</v>
      </c>
      <c r="AI18" s="2">
        <f t="shared" si="14"/>
        <v>1895.08056640625</v>
      </c>
      <c r="AJ18" s="2">
        <v>0.59170082984223882</v>
      </c>
      <c r="AK18" s="2">
        <f t="shared" si="9"/>
        <v>1894.500732421875</v>
      </c>
      <c r="AL18" s="2">
        <v>4.7014131271453152E-2</v>
      </c>
      <c r="AM18" s="2">
        <f t="shared" si="10"/>
        <v>-2.3398017562515232E-2</v>
      </c>
      <c r="AN18" s="2">
        <f t="shared" si="11"/>
        <v>2.781830048763078E-2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5.2013800134073314E-2</v>
      </c>
      <c r="J19" s="12" t="s">
        <v>73</v>
      </c>
      <c r="K19" s="6">
        <f>uniform_250!K19</f>
        <v>59.161733711324715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0.973907470703125</v>
      </c>
      <c r="W19" s="2">
        <f t="shared" si="0"/>
        <v>3.6235351054125786E-6</v>
      </c>
      <c r="X19" s="2">
        <f t="shared" si="8"/>
        <v>0.97393798828125</v>
      </c>
      <c r="Y19" s="2">
        <f t="shared" si="1"/>
        <v>-2.7597536070178563E-5</v>
      </c>
      <c r="Z19" s="2">
        <f t="shared" si="3"/>
        <v>0.9739227294921875</v>
      </c>
      <c r="AA19" s="2">
        <f t="shared" si="2"/>
        <v>-1.198700593341151E-5</v>
      </c>
      <c r="AB19" s="2">
        <f t="shared" si="4"/>
        <v>-4.3435336808505482E-11</v>
      </c>
      <c r="AC19" s="2">
        <f t="shared" si="5"/>
        <v>3.3081182862076861E-10</v>
      </c>
      <c r="AD19" s="2">
        <f t="shared" si="6"/>
        <v>3.0517578125E-5</v>
      </c>
      <c r="AF19" s="2">
        <v>15</v>
      </c>
      <c r="AG19" s="2">
        <f t="shared" si="13"/>
        <v>1893.9208984375</v>
      </c>
      <c r="AH19" s="2">
        <v>-0.49768052561512377</v>
      </c>
      <c r="AI19" s="2">
        <f t="shared" si="14"/>
        <v>1894.500732421875</v>
      </c>
      <c r="AJ19" s="2">
        <v>4.7014131271453152E-2</v>
      </c>
      <c r="AK19" s="2">
        <f t="shared" si="9"/>
        <v>1894.2108154296875</v>
      </c>
      <c r="AL19" s="2">
        <v>-0.22533222329343516</v>
      </c>
      <c r="AM19" s="2">
        <f t="shared" si="10"/>
        <v>0.11214345932670125</v>
      </c>
      <c r="AN19" s="2">
        <f t="shared" si="11"/>
        <v>-1.0593798725605955E-2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97.708604265721888</v>
      </c>
      <c r="H20" s="22" t="s">
        <v>97</v>
      </c>
      <c r="J20" s="13" t="s">
        <v>61</v>
      </c>
      <c r="K20" s="6">
        <f>uniform_250!K20</f>
        <v>216.52132142008182</v>
      </c>
      <c r="L20" s="6" t="s">
        <v>7</v>
      </c>
      <c r="N20" s="6" t="s">
        <v>20</v>
      </c>
      <c r="O20" s="6">
        <f xml:space="preserve"> O14 / $C$28</f>
        <v>1390.8960323686256</v>
      </c>
      <c r="P20" s="6" t="s">
        <v>21</v>
      </c>
      <c r="U20" s="2">
        <v>16</v>
      </c>
      <c r="V20" s="2">
        <f t="shared" si="7"/>
        <v>0.973907470703125</v>
      </c>
      <c r="W20" s="2">
        <f t="shared" si="0"/>
        <v>3.6235351054125786E-6</v>
      </c>
      <c r="X20" s="2">
        <f t="shared" si="8"/>
        <v>0.9739227294921875</v>
      </c>
      <c r="Y20" s="2">
        <f t="shared" si="1"/>
        <v>-1.198700593341151E-5</v>
      </c>
      <c r="Z20" s="2">
        <f t="shared" si="3"/>
        <v>0.97391510009765625</v>
      </c>
      <c r="AA20" s="2">
        <f t="shared" si="2"/>
        <v>-4.1817367767427172E-6</v>
      </c>
      <c r="AB20" s="2">
        <f t="shared" si="4"/>
        <v>-1.5152670012122077E-11</v>
      </c>
      <c r="AC20" s="2">
        <f t="shared" si="5"/>
        <v>5.0126503554780075E-11</v>
      </c>
      <c r="AD20" s="2">
        <f t="shared" si="6"/>
        <v>1.52587890625E-5</v>
      </c>
      <c r="AF20" s="2">
        <v>16</v>
      </c>
      <c r="AG20" s="2">
        <f t="shared" si="13"/>
        <v>1894.2108154296875</v>
      </c>
      <c r="AH20" s="2">
        <v>-0.22533222329343516</v>
      </c>
      <c r="AI20" s="2">
        <f t="shared" si="14"/>
        <v>1894.500732421875</v>
      </c>
      <c r="AJ20" s="2">
        <v>4.7014131271453152E-2</v>
      </c>
      <c r="AK20" s="2">
        <f t="shared" si="9"/>
        <v>1894.3557739257812</v>
      </c>
      <c r="AL20" s="2">
        <v>-8.9158802544261562E-2</v>
      </c>
      <c r="AM20" s="2">
        <f t="shared" si="10"/>
        <v>2.0090351203478841E-2</v>
      </c>
      <c r="AN20" s="2">
        <f t="shared" si="11"/>
        <v>-4.191723646821484E-3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>uniform_250!K21</f>
        <v>60.247577101046147</v>
      </c>
      <c r="L21" s="6" t="s">
        <v>7</v>
      </c>
      <c r="N21" s="6" t="s">
        <v>27</v>
      </c>
      <c r="O21" s="6">
        <f>$C$6*2*PI()/60</f>
        <v>49.484825399171498</v>
      </c>
      <c r="P21" s="6" t="s">
        <v>28</v>
      </c>
      <c r="U21" s="2">
        <v>17</v>
      </c>
      <c r="V21" s="2">
        <f t="shared" si="7"/>
        <v>0.973907470703125</v>
      </c>
      <c r="W21" s="2">
        <f t="shared" si="0"/>
        <v>3.6235351054125786E-6</v>
      </c>
      <c r="X21" s="2">
        <f t="shared" si="8"/>
        <v>0.97391510009765625</v>
      </c>
      <c r="Y21" s="2">
        <f t="shared" si="1"/>
        <v>-4.1817367767427172E-6</v>
      </c>
      <c r="Z21" s="2">
        <f t="shared" si="3"/>
        <v>0.97391128540039062</v>
      </c>
      <c r="AA21" s="2">
        <f t="shared" si="2"/>
        <v>-2.7910117639251553E-7</v>
      </c>
      <c r="AB21" s="2">
        <f t="shared" si="4"/>
        <v>-1.0113329106202284E-12</v>
      </c>
      <c r="AC21" s="2">
        <f t="shared" si="5"/>
        <v>1.1671276537527385E-12</v>
      </c>
      <c r="AD21" s="2">
        <f t="shared" si="6"/>
        <v>7.62939453125E-6</v>
      </c>
      <c r="AF21" s="2">
        <v>17</v>
      </c>
      <c r="AG21" s="2">
        <f t="shared" si="13"/>
        <v>1894.3557739257812</v>
      </c>
      <c r="AH21" s="2">
        <v>-8.9158802544261562E-2</v>
      </c>
      <c r="AI21" s="2">
        <f t="shared" si="14"/>
        <v>1894.500732421875</v>
      </c>
      <c r="AJ21" s="2">
        <v>4.7014131271453152E-2</v>
      </c>
      <c r="AK21" s="2">
        <f t="shared" si="9"/>
        <v>1894.4282531738281</v>
      </c>
      <c r="AL21" s="2">
        <v>-2.1072191045959698E-2</v>
      </c>
      <c r="AM21" s="2">
        <f t="shared" si="10"/>
        <v>1.8787713206416773E-3</v>
      </c>
      <c r="AN21" s="2">
        <f t="shared" si="11"/>
        <v>-9.9069075601188896E-4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>uniform_250!K22</f>
        <v>317.70282098337231</v>
      </c>
      <c r="L22" s="6" t="s">
        <v>7</v>
      </c>
      <c r="N22" s="6" t="s">
        <v>29</v>
      </c>
      <c r="O22" s="6">
        <f xml:space="preserve"> $C$7 * COS(O19/180*PI()) / (O21 * $C$10)</f>
        <v>8.3227603739021438E-2</v>
      </c>
      <c r="U22" s="2">
        <v>18</v>
      </c>
      <c r="V22" s="2">
        <f t="shared" si="7"/>
        <v>0.973907470703125</v>
      </c>
      <c r="W22" s="2">
        <f t="shared" si="0"/>
        <v>3.6235351054125786E-6</v>
      </c>
      <c r="X22" s="2">
        <f t="shared" si="8"/>
        <v>0.97391128540039062</v>
      </c>
      <c r="Y22" s="2">
        <f t="shared" si="1"/>
        <v>-2.7910117639251553E-7</v>
      </c>
      <c r="Z22" s="2">
        <f t="shared" si="3"/>
        <v>0.97390937805175781</v>
      </c>
      <c r="AA22" s="2">
        <f t="shared" si="2"/>
        <v>1.6722168794114367E-6</v>
      </c>
      <c r="AB22" s="2">
        <f t="shared" si="4"/>
        <v>6.0593365664108138E-12</v>
      </c>
      <c r="AC22" s="2">
        <f t="shared" si="5"/>
        <v>-4.6671769822715327E-13</v>
      </c>
      <c r="AD22" s="2">
        <f t="shared" si="6"/>
        <v>3.814697265625E-6</v>
      </c>
      <c r="AF22" s="2">
        <v>18</v>
      </c>
      <c r="AG22" s="2">
        <f t="shared" si="13"/>
        <v>1894.4282531738281</v>
      </c>
      <c r="AH22" s="2">
        <v>-2.1072191045959698E-2</v>
      </c>
      <c r="AI22" s="2">
        <f t="shared" si="14"/>
        <v>1894.500732421875</v>
      </c>
      <c r="AJ22" s="2">
        <v>4.7014131271453152E-2</v>
      </c>
      <c r="AK22" s="2">
        <f t="shared" si="9"/>
        <v>1894.4644927978516</v>
      </c>
      <c r="AL22" s="2">
        <v>1.2970901605058316E-2</v>
      </c>
      <c r="AM22" s="2">
        <f t="shared" si="10"/>
        <v>-2.7332531666013414E-4</v>
      </c>
      <c r="AN22" s="2">
        <f t="shared" si="11"/>
        <v>6.098156707693141E-4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>uniform_250!K23</f>
        <v>25.991923068800549</v>
      </c>
      <c r="L23" s="6" t="s">
        <v>7</v>
      </c>
      <c r="N23" s="6" t="s">
        <v>30</v>
      </c>
      <c r="O23" s="6">
        <f xml:space="preserve"> O20 / ( $C$71 * PI() * $C$10^2 * O21^2 * $C$10^2)</f>
        <v>4.4210840109811245E-2</v>
      </c>
      <c r="U23" s="2">
        <v>19</v>
      </c>
      <c r="V23" s="2">
        <f t="shared" si="7"/>
        <v>0.97390937805175781</v>
      </c>
      <c r="W23" s="2">
        <f t="shared" si="0"/>
        <v>1.6722168794114367E-6</v>
      </c>
      <c r="X23" s="2">
        <f t="shared" si="8"/>
        <v>0.97391128540039062</v>
      </c>
      <c r="Y23" s="2">
        <f t="shared" si="1"/>
        <v>-2.7910117639251553E-7</v>
      </c>
      <c r="Z23" s="2">
        <f t="shared" si="3"/>
        <v>0.97391033172607422</v>
      </c>
      <c r="AA23" s="2">
        <f t="shared" si="2"/>
        <v>6.9655783019317852E-7</v>
      </c>
      <c r="AB23" s="2">
        <f t="shared" si="4"/>
        <v>1.1647957611352384E-12</v>
      </c>
      <c r="AC23" s="2">
        <f t="shared" si="5"/>
        <v>-1.9441010983233418E-13</v>
      </c>
      <c r="AD23" s="2">
        <f t="shared" si="6"/>
        <v>1.9073486328125E-6</v>
      </c>
      <c r="AF23" s="2">
        <v>19</v>
      </c>
      <c r="AG23" s="2">
        <f t="shared" si="13"/>
        <v>1894.4282531738281</v>
      </c>
      <c r="AH23" s="2">
        <v>-2.1072191045959698E-2</v>
      </c>
      <c r="AI23" s="2">
        <f t="shared" si="14"/>
        <v>1894.4644927978516</v>
      </c>
      <c r="AJ23" s="2">
        <v>1.2970901605058316E-2</v>
      </c>
      <c r="AK23" s="2">
        <f t="shared" si="9"/>
        <v>1894.4463729858398</v>
      </c>
      <c r="AL23" s="2">
        <v>-4.0507246403649333E-3</v>
      </c>
      <c r="AM23" s="2">
        <f t="shared" si="10"/>
        <v>8.5357643496346272E-5</v>
      </c>
      <c r="AN23" s="2">
        <f t="shared" si="11"/>
        <v>-5.2541550739358785E-5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>uniform_250!K24</f>
        <v>8.9225954670526697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0.97391033172607422</v>
      </c>
      <c r="W24" s="2">
        <f t="shared" si="0"/>
        <v>6.9655783019317852E-7</v>
      </c>
      <c r="X24" s="2">
        <f t="shared" si="8"/>
        <v>0.97391128540039062</v>
      </c>
      <c r="Y24" s="2">
        <f t="shared" si="1"/>
        <v>-2.7910117639251553E-7</v>
      </c>
      <c r="Z24" s="2">
        <f t="shared" si="3"/>
        <v>0.97391080856323242</v>
      </c>
      <c r="AA24" s="2">
        <f t="shared" si="2"/>
        <v>2.0872832162677213E-7</v>
      </c>
      <c r="AB24" s="2">
        <f t="shared" si="4"/>
        <v>1.4539134681220828E-13</v>
      </c>
      <c r="AC24" s="2">
        <f t="shared" si="5"/>
        <v>-5.8256320112467447E-14</v>
      </c>
      <c r="AD24" s="2">
        <f t="shared" si="6"/>
        <v>9.5367431640625E-7</v>
      </c>
      <c r="AF24" s="2">
        <v>20</v>
      </c>
      <c r="AG24" s="2">
        <f t="shared" si="13"/>
        <v>1894.4463729858398</v>
      </c>
      <c r="AH24" s="2">
        <v>-4.0507246403649333E-3</v>
      </c>
      <c r="AI24" s="2">
        <f t="shared" si="14"/>
        <v>1894.4644927978516</v>
      </c>
      <c r="AJ24" s="2">
        <v>1.2970901605058316E-2</v>
      </c>
      <c r="AK24" s="2">
        <f t="shared" si="9"/>
        <v>1894.4554328918457</v>
      </c>
      <c r="AL24" s="2">
        <v>4.4601731576676684E-3</v>
      </c>
      <c r="AM24" s="2">
        <f t="shared" si="10"/>
        <v>-1.8066933310058696E-5</v>
      </c>
      <c r="AN24" s="2">
        <f t="shared" si="11"/>
        <v>5.7852467169629574E-5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uniform_250!K25</f>
        <v>21.978860102834652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2156.3057119003365</v>
      </c>
      <c r="P25" s="6" t="s">
        <v>19</v>
      </c>
      <c r="U25" s="2">
        <v>21</v>
      </c>
      <c r="V25" s="2">
        <f t="shared" si="7"/>
        <v>0.97391080856323242</v>
      </c>
      <c r="W25" s="2">
        <f t="shared" si="0"/>
        <v>2.0872832162677213E-7</v>
      </c>
      <c r="X25" s="2">
        <f t="shared" si="8"/>
        <v>0.97391128540039062</v>
      </c>
      <c r="Y25" s="2">
        <f t="shared" si="1"/>
        <v>-2.7910117639251553E-7</v>
      </c>
      <c r="Z25" s="2">
        <f t="shared" si="3"/>
        <v>0.97391104698181152</v>
      </c>
      <c r="AA25" s="2">
        <f t="shared" si="2"/>
        <v>-3.5186428659628177E-8</v>
      </c>
      <c r="AB25" s="2">
        <f t="shared" si="4"/>
        <v>-7.344404198164342E-15</v>
      </c>
      <c r="AC25" s="2">
        <f t="shared" si="5"/>
        <v>9.820573631953548E-15</v>
      </c>
      <c r="AD25" s="2">
        <f t="shared" si="6"/>
        <v>4.76837158203125E-7</v>
      </c>
      <c r="AF25" s="2">
        <v>21</v>
      </c>
      <c r="AG25" s="2">
        <f t="shared" si="13"/>
        <v>1894.4463729858398</v>
      </c>
      <c r="AH25" s="2">
        <v>-4.0507246403649333E-3</v>
      </c>
      <c r="AI25" s="2">
        <f t="shared" si="14"/>
        <v>1894.4554328918457</v>
      </c>
      <c r="AJ25" s="2">
        <v>4.4601731576676684E-3</v>
      </c>
      <c r="AK25" s="2">
        <f t="shared" si="9"/>
        <v>1894.4509029388428</v>
      </c>
      <c r="AL25" s="2">
        <v>2.0472449637054524E-4</v>
      </c>
      <c r="AM25" s="2">
        <f t="shared" si="10"/>
        <v>-8.2928256193446898E-7</v>
      </c>
      <c r="AN25" s="2">
        <f t="shared" si="11"/>
        <v>9.1310670342893786E-7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2321.0551362228612</v>
      </c>
      <c r="H26" s="6" t="s">
        <v>21</v>
      </c>
      <c r="J26" s="14" t="s">
        <v>65</v>
      </c>
      <c r="K26" s="6">
        <f>uniform_250!K26</f>
        <v>49.681078963324211</v>
      </c>
      <c r="L26" s="6" t="s">
        <v>7</v>
      </c>
      <c r="N26" s="6" t="s">
        <v>32</v>
      </c>
      <c r="O26" s="17">
        <f>Z34</f>
        <v>0.97391101298853755</v>
      </c>
      <c r="U26" s="2">
        <v>22</v>
      </c>
      <c r="V26" s="2">
        <f t="shared" si="7"/>
        <v>0.97391080856323242</v>
      </c>
      <c r="W26" s="2">
        <f t="shared" si="0"/>
        <v>2.0872832162677213E-7</v>
      </c>
      <c r="X26" s="2">
        <f t="shared" si="8"/>
        <v>0.97391104698181152</v>
      </c>
      <c r="Y26" s="2">
        <f t="shared" si="1"/>
        <v>-3.5186428659628177E-8</v>
      </c>
      <c r="Z26" s="2">
        <f t="shared" si="3"/>
        <v>0.97391092777252197</v>
      </c>
      <c r="AA26" s="2">
        <f t="shared" si="2"/>
        <v>8.6770946094993917E-8</v>
      </c>
      <c r="AB26" s="2">
        <f t="shared" si="4"/>
        <v>1.8111553944375198E-14</v>
      </c>
      <c r="AC26" s="2">
        <f t="shared" si="5"/>
        <v>-3.0531597044999456E-15</v>
      </c>
      <c r="AD26" s="2">
        <f t="shared" si="6"/>
        <v>2.384185791015625E-7</v>
      </c>
      <c r="AF26" s="2">
        <v>22</v>
      </c>
      <c r="AG26" s="2">
        <f t="shared" si="13"/>
        <v>1894.4463729858398</v>
      </c>
      <c r="AH26" s="2">
        <v>-4.0507246403649333E-3</v>
      </c>
      <c r="AI26" s="2">
        <f t="shared" si="14"/>
        <v>1894.4509029388428</v>
      </c>
      <c r="AJ26" s="2">
        <v>2.0472449637054524E-4</v>
      </c>
      <c r="AK26" s="2">
        <f t="shared" si="9"/>
        <v>1894.4486379623413</v>
      </c>
      <c r="AL26" s="2">
        <v>-1.9230000125389779E-3</v>
      </c>
      <c r="AM26" s="2">
        <f t="shared" si="10"/>
        <v>7.7895435342137135E-6</v>
      </c>
      <c r="AN26" s="2">
        <f t="shared" si="11"/>
        <v>-3.9368520908759444E-7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26.015303738917815</v>
      </c>
      <c r="H27" t="s">
        <v>97</v>
      </c>
      <c r="J27" s="14" t="s">
        <v>66</v>
      </c>
      <c r="K27" s="6">
        <f>uniform_250!K27</f>
        <v>8.0125952656530757</v>
      </c>
      <c r="L27" s="6" t="s">
        <v>7</v>
      </c>
      <c r="N27" s="6" t="s">
        <v>33</v>
      </c>
      <c r="O27" s="6">
        <f xml:space="preserve"> O21 * $C$10 * O26 - $C$7 * SIN(O19/180*PI())</f>
        <v>1.5880556551945944</v>
      </c>
      <c r="P27" s="6" t="s">
        <v>10</v>
      </c>
      <c r="U27" s="2">
        <v>23</v>
      </c>
      <c r="V27" s="2">
        <f t="shared" si="7"/>
        <v>0.97391092777252197</v>
      </c>
      <c r="W27" s="2">
        <f t="shared" si="0"/>
        <v>8.6770946094993917E-8</v>
      </c>
      <c r="X27" s="2">
        <f t="shared" si="8"/>
        <v>0.97391104698181152</v>
      </c>
      <c r="Y27" s="2">
        <f t="shared" si="1"/>
        <v>-3.5186428659628177E-8</v>
      </c>
      <c r="Z27" s="2">
        <f t="shared" si="3"/>
        <v>0.97391098737716675</v>
      </c>
      <c r="AA27" s="2">
        <f t="shared" si="2"/>
        <v>2.5792258662171719E-8</v>
      </c>
      <c r="AB27" s="2">
        <f t="shared" si="4"/>
        <v>2.238018686043442E-15</v>
      </c>
      <c r="AC27" s="2">
        <f t="shared" si="5"/>
        <v>-9.075374693871821E-16</v>
      </c>
      <c r="AD27" s="2">
        <f t="shared" si="6"/>
        <v>1.1920928955078125E-7</v>
      </c>
      <c r="AF27" s="2">
        <v>23</v>
      </c>
      <c r="AG27" s="2">
        <f t="shared" si="13"/>
        <v>1894.4486379623413</v>
      </c>
      <c r="AH27" s="2">
        <v>-1.9230000125389779E-3</v>
      </c>
      <c r="AI27" s="2">
        <f t="shared" si="14"/>
        <v>1894.4509029388428</v>
      </c>
      <c r="AJ27" s="2">
        <v>2.0472449637054524E-4</v>
      </c>
      <c r="AK27" s="2">
        <f t="shared" si="9"/>
        <v>1894.449770450592</v>
      </c>
      <c r="AL27" s="2">
        <v>-8.5913774319124059E-4</v>
      </c>
      <c r="AM27" s="2">
        <f t="shared" si="10"/>
        <v>1.6521218909294647E-6</v>
      </c>
      <c r="AN27" s="2">
        <f t="shared" si="11"/>
        <v>-1.7588654178775355E-7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9.102577858599247</v>
      </c>
      <c r="H28" s="6" t="s">
        <v>172</v>
      </c>
      <c r="J28" s="14" t="s">
        <v>67</v>
      </c>
      <c r="K28" s="6">
        <f>uniform_250!K28</f>
        <v>14.830172824872896</v>
      </c>
      <c r="L28" s="6" t="s">
        <v>7</v>
      </c>
      <c r="N28" s="6" t="s">
        <v>34</v>
      </c>
      <c r="O28" s="6">
        <f xml:space="preserve"> 1/$C$31 - O25 * SQRT( (2*$C$71*PI()*$C$10^2) / O20^3 )</f>
        <v>1.1848423723004116</v>
      </c>
      <c r="U28" s="2">
        <v>24</v>
      </c>
      <c r="V28" s="2">
        <f t="shared" si="7"/>
        <v>0.97391098737716675</v>
      </c>
      <c r="W28" s="2">
        <f t="shared" si="0"/>
        <v>2.5792258662171719E-8</v>
      </c>
      <c r="X28" s="2">
        <f t="shared" si="8"/>
        <v>0.97391104698181152</v>
      </c>
      <c r="Y28" s="2">
        <f t="shared" si="1"/>
        <v>-3.5186428659628177E-8</v>
      </c>
      <c r="Z28" s="2">
        <f t="shared" si="3"/>
        <v>0.97391101717948914</v>
      </c>
      <c r="AA28" s="2">
        <f t="shared" si="2"/>
        <v>-4.6970850542393805E-9</v>
      </c>
      <c r="AB28" s="2">
        <f t="shared" si="4"/>
        <v>-1.2114843267716297E-16</v>
      </c>
      <c r="AC28" s="2">
        <f t="shared" si="5"/>
        <v>1.6527364816919971E-16</v>
      </c>
      <c r="AD28" s="2">
        <f t="shared" si="6"/>
        <v>5.9604644775390625E-8</v>
      </c>
      <c r="AF28" s="2">
        <v>24</v>
      </c>
      <c r="AG28" s="2">
        <f t="shared" si="13"/>
        <v>1894.449770450592</v>
      </c>
      <c r="AH28" s="2">
        <v>-8.5913774319124059E-4</v>
      </c>
      <c r="AI28" s="2">
        <f t="shared" si="14"/>
        <v>1894.4509029388428</v>
      </c>
      <c r="AJ28" s="2">
        <v>2.0472449637054524E-4</v>
      </c>
      <c r="AK28" s="2">
        <f t="shared" si="9"/>
        <v>1894.4503366947174</v>
      </c>
      <c r="AL28" s="2">
        <v>-3.271228954417893E-4</v>
      </c>
      <c r="AM28" s="2">
        <f t="shared" si="10"/>
        <v>2.8104362613604303E-7</v>
      </c>
      <c r="AN28" s="2">
        <f t="shared" si="11"/>
        <v>-6.6970070020594838E-8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208.12242991134252</v>
      </c>
      <c r="H29" s="22" t="s">
        <v>97</v>
      </c>
      <c r="J29" s="14" t="s">
        <v>68</v>
      </c>
      <c r="K29" s="6">
        <f>uniform_250!K29</f>
        <v>39.308701791810194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0.97391098737716675</v>
      </c>
      <c r="W29" s="2">
        <f t="shared" si="0"/>
        <v>2.5792258662171719E-8</v>
      </c>
      <c r="X29" s="2">
        <f t="shared" si="8"/>
        <v>0.97391101717948914</v>
      </c>
      <c r="Y29" s="2">
        <f t="shared" si="1"/>
        <v>-4.6970850542393805E-9</v>
      </c>
      <c r="Z29" s="2">
        <f t="shared" si="3"/>
        <v>0.97391100227832794</v>
      </c>
      <c r="AA29" s="2">
        <f t="shared" si="2"/>
        <v>1.0547586803966169E-8</v>
      </c>
      <c r="AB29" s="2">
        <f t="shared" si="4"/>
        <v>2.7204608710960454E-16</v>
      </c>
      <c r="AC29" s="2">
        <f t="shared" si="5"/>
        <v>-4.9542912335202007E-17</v>
      </c>
      <c r="AD29" s="2">
        <f t="shared" si="6"/>
        <v>2.9802322387695312E-8</v>
      </c>
      <c r="AF29" s="2">
        <v>25</v>
      </c>
      <c r="AG29" s="2">
        <f t="shared" si="13"/>
        <v>1894.4503366947174</v>
      </c>
      <c r="AH29" s="2">
        <v>-3.271228954417893E-4</v>
      </c>
      <c r="AI29" s="2">
        <f t="shared" si="14"/>
        <v>1894.4509029388428</v>
      </c>
      <c r="AJ29" s="2">
        <v>2.0472449637054524E-4</v>
      </c>
      <c r="AK29" s="2">
        <f t="shared" si="9"/>
        <v>1894.4506198167801</v>
      </c>
      <c r="AL29" s="2">
        <v>-6.128292284302006E-5</v>
      </c>
      <c r="AM29" s="2">
        <f t="shared" si="10"/>
        <v>2.0047047161544492E-8</v>
      </c>
      <c r="AN29" s="2">
        <f t="shared" si="11"/>
        <v>-1.2546115515152264E-8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-5.8864803122560261E-5</v>
      </c>
      <c r="L30" s="9" t="s">
        <v>7</v>
      </c>
      <c r="N30" s="6" t="s">
        <v>36</v>
      </c>
      <c r="O30" s="6">
        <f xml:space="preserve"> 1/$C$77 * LN( EXP($C$77 * O28) + EXP($C$77 * O29) )</f>
        <v>1.1948852542997466</v>
      </c>
      <c r="U30" s="2">
        <v>26</v>
      </c>
      <c r="V30" s="2">
        <f>IF(AB29&gt;0, Z29, V29)</f>
        <v>0.97391100227832794</v>
      </c>
      <c r="W30" s="2">
        <f t="shared" si="0"/>
        <v>1.0547586803966169E-8</v>
      </c>
      <c r="X30" s="2">
        <f t="shared" si="8"/>
        <v>0.97391101717948914</v>
      </c>
      <c r="Y30" s="2">
        <f t="shared" si="1"/>
        <v>-4.6970850542393805E-9</v>
      </c>
      <c r="Z30" s="2">
        <f t="shared" si="3"/>
        <v>0.97391100972890854</v>
      </c>
      <c r="AA30" s="2">
        <f t="shared" si="2"/>
        <v>2.9252508193522431E-9</v>
      </c>
      <c r="AB30" s="2">
        <f t="shared" si="4"/>
        <v>3.0854336940490943E-17</v>
      </c>
      <c r="AC30" s="2">
        <f t="shared" si="5"/>
        <v>-1.3740151903480923E-17</v>
      </c>
      <c r="AD30" s="2">
        <f t="shared" si="6"/>
        <v>1.4901161193847656E-8</v>
      </c>
      <c r="AF30" s="2">
        <v>26</v>
      </c>
      <c r="AG30" s="2">
        <f t="shared" si="13"/>
        <v>1894.4506198167801</v>
      </c>
      <c r="AH30" s="2">
        <v>-6.128292284302006E-5</v>
      </c>
      <c r="AI30" s="2">
        <f t="shared" si="14"/>
        <v>1894.4509029388428</v>
      </c>
      <c r="AJ30" s="2">
        <v>2.0472449637054524E-4</v>
      </c>
      <c r="AK30" s="2">
        <f t="shared" si="9"/>
        <v>1894.4507613778114</v>
      </c>
      <c r="AL30" s="2">
        <v>7.1804511435402674E-5</v>
      </c>
      <c r="AM30" s="2">
        <f t="shared" si="10"/>
        <v>-4.4003903340765334E-9</v>
      </c>
      <c r="AN30" s="2">
        <f t="shared" si="11"/>
        <v>1.4700142440745868E-8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0.97391100972890854</v>
      </c>
      <c r="W31" s="2">
        <f t="shared" si="0"/>
        <v>2.9252508193522431E-9</v>
      </c>
      <c r="X31" s="2">
        <f t="shared" si="8"/>
        <v>0.97391101717948914</v>
      </c>
      <c r="Y31" s="2">
        <f t="shared" si="1"/>
        <v>-4.6970850542393805E-9</v>
      </c>
      <c r="Z31" s="2">
        <f t="shared" si="3"/>
        <v>0.97391101345419884</v>
      </c>
      <c r="AA31" s="2">
        <f t="shared" si="2"/>
        <v>-8.8591711744356871E-10</v>
      </c>
      <c r="AB31" s="2">
        <f t="shared" si="4"/>
        <v>-2.5915297736799767E-18</v>
      </c>
      <c r="AC31" s="2">
        <f t="shared" si="5"/>
        <v>4.1612280516390206E-18</v>
      </c>
      <c r="AD31" s="2">
        <f t="shared" si="6"/>
        <v>7.4505805969238281E-9</v>
      </c>
      <c r="AF31" s="2">
        <v>27</v>
      </c>
      <c r="AG31" s="2">
        <f t="shared" si="13"/>
        <v>1894.4506198167801</v>
      </c>
      <c r="AH31" s="2">
        <v>-6.128292284302006E-5</v>
      </c>
      <c r="AI31" s="2">
        <f t="shared" si="14"/>
        <v>1894.4507613778114</v>
      </c>
      <c r="AJ31" s="2">
        <v>7.1804511435402674E-5</v>
      </c>
      <c r="AK31" s="2">
        <f t="shared" si="9"/>
        <v>1894.4506905972958</v>
      </c>
      <c r="AL31" s="2">
        <v>5.2607942961913068E-6</v>
      </c>
      <c r="AM31" s="2">
        <f t="shared" si="10"/>
        <v>-3.2239685094649187E-10</v>
      </c>
      <c r="AN31" s="2">
        <f t="shared" si="11"/>
        <v>3.7774876420016985E-10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0.97391100972890854</v>
      </c>
      <c r="W32" s="2">
        <f t="shared" si="0"/>
        <v>2.9252508193522431E-9</v>
      </c>
      <c r="X32" s="2">
        <f t="shared" si="8"/>
        <v>0.97391101345419884</v>
      </c>
      <c r="Y32" s="2">
        <f t="shared" si="1"/>
        <v>-8.8591711744356871E-10</v>
      </c>
      <c r="Z32" s="2">
        <f t="shared" si="3"/>
        <v>0.97391101159155369</v>
      </c>
      <c r="AA32" s="2">
        <f t="shared" si="2"/>
        <v>1.0196669064654884E-9</v>
      </c>
      <c r="AB32" s="2">
        <f t="shared" si="4"/>
        <v>2.982781453604537E-18</v>
      </c>
      <c r="AC32" s="2">
        <f t="shared" si="5"/>
        <v>-9.0334036652850649E-19</v>
      </c>
      <c r="AD32" s="2">
        <f t="shared" si="6"/>
        <v>3.7252902984619141E-9</v>
      </c>
      <c r="AF32" s="2">
        <v>28</v>
      </c>
      <c r="AG32" s="2">
        <f t="shared" si="13"/>
        <v>1894.4506198167801</v>
      </c>
      <c r="AH32" s="2">
        <v>-6.128292284302006E-5</v>
      </c>
      <c r="AI32" s="2">
        <f t="shared" si="14"/>
        <v>1894.4506905972958</v>
      </c>
      <c r="AJ32" s="2">
        <v>5.2607942961913068E-6</v>
      </c>
      <c r="AK32" s="2">
        <f t="shared" si="9"/>
        <v>1894.4506552070379</v>
      </c>
      <c r="AL32" s="2">
        <v>-2.8011064387101214E-5</v>
      </c>
      <c r="AM32" s="2">
        <f t="shared" si="10"/>
        <v>1.7165998975855907E-9</v>
      </c>
      <c r="AN32" s="2">
        <f t="shared" si="11"/>
        <v>-1.4736044775790951E-10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97.708604265721888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0.97391101159155369</v>
      </c>
      <c r="W33" s="2">
        <f t="shared" si="0"/>
        <v>1.0196669064654884E-9</v>
      </c>
      <c r="X33" s="2">
        <f t="shared" si="8"/>
        <v>0.97391101345419884</v>
      </c>
      <c r="Y33" s="2">
        <f t="shared" si="1"/>
        <v>-8.8591711744356871E-10</v>
      </c>
      <c r="Z33" s="2">
        <f t="shared" si="3"/>
        <v>0.97391101252287626</v>
      </c>
      <c r="AA33" s="2">
        <f t="shared" si="2"/>
        <v>6.6874838999808617E-11</v>
      </c>
      <c r="AB33" s="2">
        <f t="shared" si="4"/>
        <v>6.8190060203312449E-20</v>
      </c>
      <c r="AC33" s="2">
        <f t="shared" si="5"/>
        <v>-5.92455645962132E-20</v>
      </c>
      <c r="AD33" s="2">
        <f t="shared" si="6"/>
        <v>1.862645149230957E-9</v>
      </c>
      <c r="AF33" s="2">
        <v>29</v>
      </c>
      <c r="AG33" s="2">
        <f t="shared" si="13"/>
        <v>1894.4506552070379</v>
      </c>
      <c r="AH33" s="2">
        <v>-2.8011064387101214E-5</v>
      </c>
      <c r="AI33" s="2">
        <f t="shared" si="14"/>
        <v>1894.4506905972958</v>
      </c>
      <c r="AJ33" s="2">
        <v>5.2607942961913068E-6</v>
      </c>
      <c r="AK33" s="2">
        <f t="shared" si="9"/>
        <v>1894.4506729021668</v>
      </c>
      <c r="AL33" s="2">
        <v>-1.1375135045454954E-5</v>
      </c>
      <c r="AM33" s="2">
        <f t="shared" si="10"/>
        <v>3.1862964017021021E-10</v>
      </c>
      <c r="AN33" s="2">
        <f t="shared" si="11"/>
        <v>-5.9842245565535262E-11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31.67</v>
      </c>
      <c r="L34" s="6" t="s">
        <v>59</v>
      </c>
      <c r="U34" s="2">
        <v>30</v>
      </c>
      <c r="V34" s="2">
        <f t="shared" si="7"/>
        <v>0.97391101252287626</v>
      </c>
      <c r="W34" s="2">
        <f t="shared" si="0"/>
        <v>6.6874838999808617E-11</v>
      </c>
      <c r="X34" s="2">
        <f t="shared" si="8"/>
        <v>0.97391101345419884</v>
      </c>
      <c r="Y34" s="2">
        <f t="shared" si="1"/>
        <v>-8.8591711744356871E-10</v>
      </c>
      <c r="Z34" s="2">
        <f t="shared" si="3"/>
        <v>0.97391101298853755</v>
      </c>
      <c r="AA34" s="2">
        <f t="shared" si="2"/>
        <v>-4.0952108371072882E-10</v>
      </c>
      <c r="AB34" s="2">
        <f t="shared" si="4"/>
        <v>-2.7386656540182137E-20</v>
      </c>
      <c r="AC34" s="2">
        <f t="shared" si="5"/>
        <v>3.6280173801337528E-19</v>
      </c>
      <c r="AD34" s="2">
        <f t="shared" si="6"/>
        <v>9.3132257461547852E-10</v>
      </c>
      <c r="AF34" s="2">
        <v>30</v>
      </c>
      <c r="AG34" s="2">
        <f t="shared" si="13"/>
        <v>1894.4506729021668</v>
      </c>
      <c r="AH34" s="2">
        <v>-1.1375135045454954E-5</v>
      </c>
      <c r="AI34" s="2">
        <f t="shared" si="14"/>
        <v>1894.4506905972958</v>
      </c>
      <c r="AJ34" s="2">
        <v>5.2607942961913068E-6</v>
      </c>
      <c r="AK34" s="2">
        <f t="shared" si="9"/>
        <v>1894.4506817497313</v>
      </c>
      <c r="AL34" s="2">
        <v>-3.0571702609449858E-6</v>
      </c>
      <c r="AM34" s="2">
        <f t="shared" si="10"/>
        <v>3.4775724575197974E-11</v>
      </c>
      <c r="AN34" s="2">
        <f t="shared" si="11"/>
        <v>-1.608314387126507E-11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10.119999999999999</v>
      </c>
      <c r="L35" s="6" t="s">
        <v>59</v>
      </c>
      <c r="AF35" s="2">
        <v>31</v>
      </c>
      <c r="AG35" s="2">
        <f t="shared" si="13"/>
        <v>1894.4506817497313</v>
      </c>
      <c r="AH35" s="2">
        <v>-3.0571702609449858E-6</v>
      </c>
      <c r="AI35" s="2">
        <f t="shared" si="14"/>
        <v>1894.4506905972958</v>
      </c>
      <c r="AJ35" s="2">
        <v>5.2607942961913068E-6</v>
      </c>
      <c r="AK35" s="2">
        <f t="shared" si="9"/>
        <v>1894.4506861735135</v>
      </c>
      <c r="AL35" s="2">
        <v>1.1018119039363228E-6</v>
      </c>
      <c r="AM35" s="2">
        <f t="shared" si="10"/>
        <v>-3.3684265858692995E-12</v>
      </c>
      <c r="AN35" s="2">
        <f t="shared" si="11"/>
        <v>5.7964057797038909E-12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17.920000000000002</v>
      </c>
      <c r="L36" s="6" t="s">
        <v>59</v>
      </c>
      <c r="AF36" s="2">
        <v>32</v>
      </c>
      <c r="AG36" s="2">
        <f t="shared" si="13"/>
        <v>1894.4506817497313</v>
      </c>
      <c r="AH36" s="2">
        <v>-3.0571702609449858E-6</v>
      </c>
      <c r="AI36" s="2">
        <f t="shared" si="14"/>
        <v>1894.4506861735135</v>
      </c>
      <c r="AJ36" s="2">
        <v>1.1018119039363228E-6</v>
      </c>
      <c r="AK36" s="2">
        <f t="shared" si="9"/>
        <v>1894.4506839616224</v>
      </c>
      <c r="AL36" s="2">
        <v>-9.7767906481749378E-7</v>
      </c>
      <c r="AM36" s="2">
        <f t="shared" si="10"/>
        <v>2.9889313617085471E-12</v>
      </c>
      <c r="AN36" s="2">
        <f t="shared" si="11"/>
        <v>-1.0772184318452463E-12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34.380000000000003</v>
      </c>
      <c r="L37" s="6" t="s">
        <v>59</v>
      </c>
      <c r="AF37" s="2">
        <v>33</v>
      </c>
      <c r="AG37" s="2">
        <f t="shared" si="13"/>
        <v>1894.4506839616224</v>
      </c>
      <c r="AH37" s="2">
        <v>-9.7767906481749378E-7</v>
      </c>
      <c r="AI37" s="2">
        <f t="shared" si="14"/>
        <v>1894.4506861735135</v>
      </c>
      <c r="AJ37" s="2">
        <v>1.1018119039363228E-6</v>
      </c>
      <c r="AK37" s="2">
        <f t="shared" si="9"/>
        <v>1894.450685067568</v>
      </c>
      <c r="AL37" s="2">
        <v>6.2066419559414499E-8</v>
      </c>
      <c r="AM37" s="2">
        <f t="shared" si="10"/>
        <v>-6.0681039031418571E-14</v>
      </c>
      <c r="AN37" s="2">
        <f t="shared" si="11"/>
        <v>6.8385519905269113E-14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5.9</v>
      </c>
      <c r="L38" s="6" t="s">
        <v>59</v>
      </c>
      <c r="AF38" s="2">
        <v>34</v>
      </c>
      <c r="AG38" s="2">
        <f t="shared" si="13"/>
        <v>1894.4506839616224</v>
      </c>
      <c r="AH38" s="2">
        <v>-9.7767906481749378E-7</v>
      </c>
      <c r="AI38" s="2">
        <f t="shared" si="14"/>
        <v>1894.450685067568</v>
      </c>
      <c r="AJ38" s="2">
        <v>1.1018119039363228E-6</v>
      </c>
      <c r="AK38" s="2">
        <f t="shared" si="9"/>
        <v>1894.4506845145952</v>
      </c>
      <c r="AL38" s="2">
        <v>5.8193927543470636E-7</v>
      </c>
      <c r="AM38" s="2">
        <f t="shared" si="10"/>
        <v>-5.6894984658757365E-13</v>
      </c>
      <c r="AN38" s="2">
        <f t="shared" si="11"/>
        <v>6.4118762104203797E-13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99.990000000000009</v>
      </c>
      <c r="L39" s="9" t="s">
        <v>59</v>
      </c>
      <c r="AF39" s="2">
        <v>35</v>
      </c>
      <c r="AG39" s="2">
        <f t="shared" si="13"/>
        <v>1894.4506839616224</v>
      </c>
      <c r="AH39" s="2">
        <v>-9.7767906481749378E-7</v>
      </c>
      <c r="AI39" s="2">
        <f t="shared" si="14"/>
        <v>1894.4506845145952</v>
      </c>
      <c r="AJ39" s="2">
        <v>1.1018119039363228E-6</v>
      </c>
      <c r="AK39" s="2">
        <f t="shared" si="9"/>
        <v>1894.4506842381088</v>
      </c>
      <c r="AL39" s="2">
        <v>8.4187558968551457E-7</v>
      </c>
      <c r="AM39" s="2">
        <f t="shared" si="10"/>
        <v>-8.2308413921641E-13</v>
      </c>
      <c r="AN39" s="2">
        <f t="shared" si="11"/>
        <v>9.2758854634891127E-13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1894.4506839616224</v>
      </c>
      <c r="AH40" s="2">
        <v>-9.7767906481749378E-7</v>
      </c>
      <c r="AI40" s="2">
        <f t="shared" si="14"/>
        <v>1894.4506842381088</v>
      </c>
      <c r="AJ40" s="2">
        <v>1.1018119039363228E-6</v>
      </c>
      <c r="AK40" s="2">
        <f t="shared" si="9"/>
        <v>1894.4506840998656</v>
      </c>
      <c r="AL40" s="2">
        <v>9.7184374681091867E-7</v>
      </c>
      <c r="AM40" s="2">
        <f t="shared" si="10"/>
        <v>-9.5015128553082817E-13</v>
      </c>
      <c r="AN40" s="2">
        <f t="shared" si="11"/>
        <v>1.0707890090023479E-12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1894.4506839616224</v>
      </c>
      <c r="AH41" s="2">
        <v>-9.7767906481749378E-7</v>
      </c>
      <c r="AI41" s="2">
        <f t="shared" si="14"/>
        <v>1894.4506840998656</v>
      </c>
      <c r="AJ41" s="2">
        <v>1.1018119039363228E-6</v>
      </c>
      <c r="AK41" s="2">
        <f t="shared" si="9"/>
        <v>1894.450684030744</v>
      </c>
      <c r="AL41" s="2">
        <v>1.0368278253736207E-6</v>
      </c>
      <c r="AM41" s="2">
        <f t="shared" si="10"/>
        <v>-1.0136848586880373E-12</v>
      </c>
      <c r="AN41" s="2">
        <f t="shared" si="11"/>
        <v>1.1423892403290662E-12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1894.4506839616224</v>
      </c>
      <c r="AH42" s="2">
        <v>-9.7767906481749378E-7</v>
      </c>
      <c r="AI42" s="2">
        <f t="shared" si="14"/>
        <v>1894.450684030744</v>
      </c>
      <c r="AJ42" s="2">
        <v>1.1018119039363228E-6</v>
      </c>
      <c r="AK42" s="2">
        <f t="shared" si="9"/>
        <v>1894.4506839961832</v>
      </c>
      <c r="AL42" s="2">
        <v>1.0693199783418095E-6</v>
      </c>
      <c r="AM42" s="2">
        <f t="shared" si="10"/>
        <v>-1.045451756415883E-12</v>
      </c>
      <c r="AN42" s="2">
        <f t="shared" si="11"/>
        <v>1.1781894812539365E-12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191.76</v>
      </c>
      <c r="L43" s="6" t="s">
        <v>7</v>
      </c>
      <c r="AF43" s="2">
        <v>39</v>
      </c>
      <c r="AG43" s="2">
        <f t="shared" si="13"/>
        <v>1894.4506839616224</v>
      </c>
      <c r="AH43" s="2">
        <v>-9.7767906481749378E-7</v>
      </c>
      <c r="AI43" s="2">
        <f t="shared" si="14"/>
        <v>1894.4506839961832</v>
      </c>
      <c r="AJ43" s="2">
        <v>1.1018119039363228E-6</v>
      </c>
      <c r="AK43" s="2">
        <f t="shared" si="9"/>
        <v>1894.4506839789028</v>
      </c>
      <c r="AL43" s="2">
        <v>1.0855660548259038E-6</v>
      </c>
      <c r="AM43" s="2">
        <f t="shared" si="10"/>
        <v>-1.0613352052798059E-12</v>
      </c>
      <c r="AN43" s="2">
        <f t="shared" si="11"/>
        <v>1.1960896017163717E-12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339.49</v>
      </c>
      <c r="L44" s="6" t="s">
        <v>7</v>
      </c>
      <c r="AF44" s="2">
        <v>40</v>
      </c>
      <c r="AG44" s="2">
        <f t="shared" si="13"/>
        <v>1894.4506839616224</v>
      </c>
      <c r="AH44" s="2">
        <v>-9.7767906481749378E-7</v>
      </c>
      <c r="AI44" s="2">
        <f t="shared" si="14"/>
        <v>1894.4506839789028</v>
      </c>
      <c r="AJ44" s="2">
        <v>1.1018119039363228E-6</v>
      </c>
      <c r="AK44" s="5">
        <f t="shared" si="9"/>
        <v>1894.4506839702626</v>
      </c>
      <c r="AL44" s="2">
        <v>1.0936889793811133E-6</v>
      </c>
      <c r="AM44" s="2">
        <f t="shared" si="10"/>
        <v>-1.0692768185625261E-12</v>
      </c>
      <c r="AN44" s="2">
        <f t="shared" si="11"/>
        <v>1.2050395366860781E-12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651.37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111.83</v>
      </c>
      <c r="L46" s="6" t="s">
        <v>7</v>
      </c>
    </row>
    <row r="47" spans="2:41" x14ac:dyDescent="0.2">
      <c r="J47" s="9" t="s">
        <v>60</v>
      </c>
      <c r="K47" s="9">
        <f>SUM(K42:K46)</f>
        <v>1894.4499999999998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700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29" priority="1" operator="containsText" text="FALSE">
      <formula>NOT(ISERROR(SEARCH("FALSE",K31)))</formula>
    </cfRule>
    <cfRule type="containsText" dxfId="28" priority="2" operator="containsText" text="TRUE">
      <formula>NOT(ISERROR(SEARCH("TRUE",K31)))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NOT(ISERROR(SEARCH("YES",K31)))</formula>
    </cfRule>
    <cfRule type="cellIs" dxfId="24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8DE5-F646-D64D-A5A6-5B909971DE1C}">
  <dimension ref="B1:AO81"/>
  <sheetViews>
    <sheetView zoomScale="88" workbookViewId="0">
      <selection activeCell="G36" sqref="G3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480.82142397684225</v>
      </c>
      <c r="L4" s="6" t="s">
        <v>97</v>
      </c>
      <c r="N4" s="6" t="s">
        <v>131</v>
      </c>
      <c r="O4" s="6">
        <f xml:space="preserve"> $C$5 * $C$74</f>
        <v>22798.006420525337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1.2225271167956846</v>
      </c>
      <c r="X4" s="3">
        <v>1</v>
      </c>
      <c r="Y4" s="2">
        <f t="shared" ref="Y4:Y34" si="1" xml:space="preserve"> $O$22 * TAN($O$19/180*PI()) + $O$23 / (2 * SQRT($O$22^2 + X4^2)) - X4</f>
        <v>-2.6214477326161001E-2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0.49582487841272471</v>
      </c>
      <c r="AB4" s="2">
        <f>W4*AA4</f>
        <v>0.60615935904147922</v>
      </c>
      <c r="AC4" s="2">
        <f>Y4*AA4</f>
        <v>-1.2997790032896908E-2</v>
      </c>
      <c r="AD4" s="2">
        <f>X4-V4</f>
        <v>1</v>
      </c>
      <c r="AF4" s="2">
        <v>0</v>
      </c>
      <c r="AH4" s="2">
        <f>K30</f>
        <v>8.374339063266234E-5</v>
      </c>
      <c r="AJ4" s="2">
        <f>K30</f>
        <v>8.374339063266234E-5</v>
      </c>
      <c r="AL4" s="2">
        <f>K30</f>
        <v>8.374339063266234E-5</v>
      </c>
    </row>
    <row r="5" spans="2:41" x14ac:dyDescent="0.2">
      <c r="B5" s="9" t="s">
        <v>38</v>
      </c>
      <c r="C5" s="9">
        <v>2326.1957640764299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60.102677997105282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0.49582487841272471</v>
      </c>
      <c r="X5" s="2">
        <f>IF(AC4&gt;0, Z4, X4)</f>
        <v>1</v>
      </c>
      <c r="Y5" s="2">
        <f t="shared" si="1"/>
        <v>-2.6214477326161001E-2</v>
      </c>
      <c r="Z5" s="2">
        <f t="shared" ref="Z5:Z34" si="3" xml:space="preserve"> (V5 + X5)/2</f>
        <v>0.75</v>
      </c>
      <c r="AA5" s="2">
        <f t="shared" si="2"/>
        <v>0.23120445233396325</v>
      </c>
      <c r="AB5" s="2">
        <f t="shared" ref="AB5:AB34" si="4">W5*AA5</f>
        <v>0.11463691946696794</v>
      </c>
      <c r="AC5" s="2">
        <f t="shared" ref="AC5:AC34" si="5">Y5*AA5</f>
        <v>-6.0609038734161513E-3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-949.37827827816579</v>
      </c>
      <c r="AI5" s="3">
        <v>10000</v>
      </c>
      <c r="AJ5" s="2">
        <f t="dataTable" ref="AJ5:AJ44" dt2D="0" dtr="0" r1="C5"/>
        <v>3317.6776337021738</v>
      </c>
      <c r="AK5" s="2">
        <f>(AG5+AI5)/2</f>
        <v>5250</v>
      </c>
      <c r="AL5" s="2">
        <f t="dataTable" ref="AL5:AL44" dt2D="0" dtr="0" r1="C5" ca="1"/>
        <v>1067.3131302258694</v>
      </c>
      <c r="AM5" s="2">
        <f>AH5*AL5</f>
        <v>-1013283.9019575156</v>
      </c>
      <c r="AN5" s="2">
        <f>AJ5*AL5</f>
        <v>3541000.9003070225</v>
      </c>
      <c r="AO5" s="2">
        <f>AI5-AG5</f>
        <v>9500</v>
      </c>
    </row>
    <row r="6" spans="2:41" x14ac:dyDescent="0.2">
      <c r="B6" s="6" t="s">
        <v>168</v>
      </c>
      <c r="C6" s="16">
        <v>457.50904228212102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159.70532300271975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0.22987447769995353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0.23120445233396325</v>
      </c>
      <c r="X6" s="2">
        <f t="shared" ref="X6:X34" si="8">IF(AC5&gt;0, Z5, X5)</f>
        <v>1</v>
      </c>
      <c r="Y6" s="2">
        <f t="shared" si="1"/>
        <v>-2.6214477326161001E-2</v>
      </c>
      <c r="Z6" s="2">
        <f t="shared" si="3"/>
        <v>0.875</v>
      </c>
      <c r="AA6" s="2">
        <f t="shared" si="2"/>
        <v>0.10197228843717421</v>
      </c>
      <c r="AB6" s="2">
        <f t="shared" si="4"/>
        <v>2.3576447101357798E-2</v>
      </c>
      <c r="AC6" s="2">
        <f t="shared" si="5"/>
        <v>-2.6731502431330528E-3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-949.37827827816579</v>
      </c>
      <c r="AI6" s="2">
        <f>IF(AN5&gt;0,AK5,AI5)</f>
        <v>5250</v>
      </c>
      <c r="AJ6" s="2">
        <v>1067.3131302258694</v>
      </c>
      <c r="AK6" s="2">
        <f t="shared" ref="AK6:AK44" si="9">(AG6+AI6)/2</f>
        <v>2875</v>
      </c>
      <c r="AL6" s="2">
        <v>247.60062410090472</v>
      </c>
      <c r="AM6" s="2">
        <f t="shared" ref="AM6:AM44" si="10">AH6*AL6</f>
        <v>-235066.65420951624</v>
      </c>
      <c r="AN6" s="2">
        <f t="shared" ref="AN6:AN44" si="11">AJ6*AL6</f>
        <v>264267.39715501544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2850.0234116744377</v>
      </c>
      <c r="H7" s="6" t="s">
        <v>21</v>
      </c>
      <c r="J7" s="6" t="s">
        <v>133</v>
      </c>
      <c r="K7" s="6">
        <f>K6/$C$28</f>
        <v>159.70532300271975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0.10197228843717421</v>
      </c>
      <c r="X7" s="2">
        <f t="shared" si="8"/>
        <v>1</v>
      </c>
      <c r="Y7" s="2">
        <f t="shared" si="1"/>
        <v>-2.6214477326161001E-2</v>
      </c>
      <c r="Z7" s="2">
        <f t="shared" si="3"/>
        <v>0.9375</v>
      </c>
      <c r="AA7" s="2">
        <f t="shared" si="2"/>
        <v>3.7773929629924097E-2</v>
      </c>
      <c r="AB7" s="2">
        <f t="shared" si="4"/>
        <v>3.8518940476281413E-3</v>
      </c>
      <c r="AC7" s="2">
        <f t="shared" si="5"/>
        <v>-9.9022382180364655E-4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-949.37827827816579</v>
      </c>
      <c r="AI7" s="2">
        <f t="shared" ref="AI7:AI44" si="14">IF(AN6&gt;0,AK6,AI6)</f>
        <v>2875</v>
      </c>
      <c r="AJ7" s="2">
        <v>247.60062410090472</v>
      </c>
      <c r="AK7" s="2">
        <f t="shared" si="9"/>
        <v>1687.5</v>
      </c>
      <c r="AL7" s="2">
        <v>-313.74657276316952</v>
      </c>
      <c r="AM7" s="2">
        <f t="shared" si="10"/>
        <v>297864.18106557312</v>
      </c>
      <c r="AN7" s="2">
        <f t="shared" si="11"/>
        <v>-77683.847225680685</v>
      </c>
      <c r="AO7" s="2">
        <f t="shared" si="12"/>
        <v>2375</v>
      </c>
    </row>
    <row r="8" spans="2:41" x14ac:dyDescent="0.2">
      <c r="B8" s="6" t="s">
        <v>91</v>
      </c>
      <c r="C8" s="16">
        <v>2.2735299789038099</v>
      </c>
      <c r="D8" s="6" t="s">
        <v>8</v>
      </c>
      <c r="F8" t="s">
        <v>93</v>
      </c>
      <c r="G8" s="6">
        <f>G10/$C$21</f>
        <v>40.068451998070188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3.7773929629924097E-2</v>
      </c>
      <c r="X8" s="2">
        <f t="shared" si="8"/>
        <v>1</v>
      </c>
      <c r="Y8" s="2">
        <f t="shared" si="1"/>
        <v>-2.6214477326161001E-2</v>
      </c>
      <c r="Z8" s="2">
        <f t="shared" si="3"/>
        <v>0.96875</v>
      </c>
      <c r="AA8" s="2">
        <f t="shared" si="2"/>
        <v>5.7559836042490042E-3</v>
      </c>
      <c r="AB8" s="2">
        <f t="shared" si="4"/>
        <v>2.1742611961789876E-4</v>
      </c>
      <c r="AC8" s="2">
        <f t="shared" si="5"/>
        <v>-1.5089010168333998E-4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-313.74657276316952</v>
      </c>
      <c r="AI8" s="2">
        <f t="shared" si="14"/>
        <v>2875</v>
      </c>
      <c r="AJ8" s="2">
        <v>247.60062410090472</v>
      </c>
      <c r="AK8" s="2">
        <f t="shared" si="9"/>
        <v>2281.25</v>
      </c>
      <c r="AL8" s="2">
        <v>-21.199491562124649</v>
      </c>
      <c r="AM8" s="2">
        <f t="shared" si="10"/>
        <v>6651.2678219383397</v>
      </c>
      <c r="AN8" s="2">
        <f t="shared" si="11"/>
        <v>-5249.0073414039271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7.2569429566073147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1.986249271115742E-2</v>
      </c>
      <c r="U9" s="2">
        <v>5</v>
      </c>
      <c r="V9" s="2">
        <f t="shared" si="7"/>
        <v>0.96875</v>
      </c>
      <c r="W9" s="2">
        <f t="shared" si="0"/>
        <v>5.7559836042490042E-3</v>
      </c>
      <c r="X9" s="2">
        <f t="shared" si="8"/>
        <v>1</v>
      </c>
      <c r="Y9" s="2">
        <f t="shared" si="1"/>
        <v>-2.6214477326161001E-2</v>
      </c>
      <c r="Z9" s="2">
        <f t="shared" si="3"/>
        <v>0.984375</v>
      </c>
      <c r="AA9" s="2">
        <f t="shared" si="2"/>
        <v>-1.0234903918890148E-2</v>
      </c>
      <c r="AB9" s="2">
        <f t="shared" si="4"/>
        <v>-5.8911939148195571E-5</v>
      </c>
      <c r="AC9" s="2">
        <f t="shared" si="5"/>
        <v>2.6830265671718215E-4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-21.199491562124649</v>
      </c>
      <c r="AI9" s="2">
        <f t="shared" si="14"/>
        <v>2875</v>
      </c>
      <c r="AJ9" s="2">
        <v>247.60062410090472</v>
      </c>
      <c r="AK9" s="2">
        <f t="shared" si="9"/>
        <v>2578.125</v>
      </c>
      <c r="AL9" s="2">
        <v>116.26567261017203</v>
      </c>
      <c r="AM9" s="2">
        <f t="shared" si="10"/>
        <v>-2464.7731454640889</v>
      </c>
      <c r="AN9" s="2">
        <f t="shared" si="11"/>
        <v>28787.453099790058</v>
      </c>
      <c r="AO9" s="2">
        <f t="shared" si="12"/>
        <v>593.75</v>
      </c>
    </row>
    <row r="10" spans="2:41" x14ac:dyDescent="0.2">
      <c r="B10" s="6" t="s">
        <v>134</v>
      </c>
      <c r="C10" s="16">
        <v>1.4656865784573101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320.5476159845615</v>
      </c>
      <c r="H10" s="22" t="s">
        <v>97</v>
      </c>
      <c r="J10" s="6" t="s">
        <v>92</v>
      </c>
      <c r="K10" s="6">
        <f xml:space="preserve"> $C$18 * (G10*G6 + G20*G13 + G29*G25 + G33*G32)/3600</f>
        <v>104.2788177732866</v>
      </c>
      <c r="L10" s="6" t="s">
        <v>98</v>
      </c>
      <c r="N10" s="6" t="s">
        <v>39</v>
      </c>
      <c r="O10" s="6">
        <f xml:space="preserve"> O5 * $C$12 * O9</f>
        <v>1147.74300261537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5.7559836042490042E-3</v>
      </c>
      <c r="X10" s="2">
        <f t="shared" si="8"/>
        <v>0.984375</v>
      </c>
      <c r="Y10" s="2">
        <f t="shared" si="1"/>
        <v>-1.0234903918890148E-2</v>
      </c>
      <c r="Z10" s="2">
        <f t="shared" si="3"/>
        <v>0.9765625</v>
      </c>
      <c r="AA10" s="2">
        <f t="shared" si="2"/>
        <v>-2.2409078766230106E-3</v>
      </c>
      <c r="AB10" s="2">
        <f t="shared" si="4"/>
        <v>-1.28986289964745E-5</v>
      </c>
      <c r="AC10" s="2">
        <f t="shared" si="5"/>
        <v>2.293547680832065E-5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-21.199491562124649</v>
      </c>
      <c r="AI10" s="2">
        <f t="shared" si="14"/>
        <v>2578.125</v>
      </c>
      <c r="AJ10" s="2">
        <v>116.26567261017203</v>
      </c>
      <c r="AK10" s="2">
        <f t="shared" si="9"/>
        <v>2429.6875</v>
      </c>
      <c r="AL10" s="2">
        <v>48.290326764664314</v>
      </c>
      <c r="AM10" s="2">
        <f t="shared" si="10"/>
        <v>-1023.7303747797432</v>
      </c>
      <c r="AN10" s="2">
        <f t="shared" si="11"/>
        <v>5614.5073218586895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0.7447721805601909</v>
      </c>
      <c r="U11" s="2">
        <v>7</v>
      </c>
      <c r="V11" s="2">
        <f t="shared" si="7"/>
        <v>0.96875</v>
      </c>
      <c r="W11" s="2">
        <f t="shared" si="0"/>
        <v>5.7559836042490042E-3</v>
      </c>
      <c r="X11" s="2">
        <f t="shared" si="8"/>
        <v>0.9765625</v>
      </c>
      <c r="Y11" s="2">
        <f t="shared" si="1"/>
        <v>-2.2409078766230106E-3</v>
      </c>
      <c r="Z11" s="2">
        <f t="shared" si="3"/>
        <v>0.97265625</v>
      </c>
      <c r="AA11" s="2">
        <f t="shared" si="2"/>
        <v>1.7571716367038581E-3</v>
      </c>
      <c r="AB11" s="2">
        <f t="shared" si="4"/>
        <v>1.0114251130718795E-5</v>
      </c>
      <c r="AC11" s="2">
        <f t="shared" si="5"/>
        <v>-3.9376597612682228E-6</v>
      </c>
      <c r="AD11" s="2">
        <f t="shared" si="6"/>
        <v>7.8125E-3</v>
      </c>
      <c r="AF11" s="2">
        <v>7</v>
      </c>
      <c r="AG11" s="2">
        <f t="shared" si="13"/>
        <v>2281.25</v>
      </c>
      <c r="AH11" s="2">
        <v>-21.199491562124649</v>
      </c>
      <c r="AI11" s="2">
        <f t="shared" si="14"/>
        <v>2429.6875</v>
      </c>
      <c r="AJ11" s="2">
        <v>48.290326764664314</v>
      </c>
      <c r="AK11" s="2">
        <f t="shared" si="9"/>
        <v>2355.46875</v>
      </c>
      <c r="AL11" s="2">
        <v>13.733399334210389</v>
      </c>
      <c r="AM11" s="2">
        <f t="shared" si="10"/>
        <v>-291.14108330488142</v>
      </c>
      <c r="AN11" s="2">
        <f t="shared" si="11"/>
        <v>663.19034143864303</v>
      </c>
      <c r="AO11" s="2">
        <f t="shared" si="12"/>
        <v>148.4375</v>
      </c>
    </row>
    <row r="12" spans="2:41" x14ac:dyDescent="0.2">
      <c r="B12" s="6" t="s">
        <v>135</v>
      </c>
      <c r="C12" s="16">
        <v>25.484172923307501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0.39453539278806188</v>
      </c>
      <c r="U12" s="2">
        <v>8</v>
      </c>
      <c r="V12" s="2">
        <f t="shared" si="7"/>
        <v>0.97265625</v>
      </c>
      <c r="W12" s="2">
        <f t="shared" si="0"/>
        <v>1.7571716367038581E-3</v>
      </c>
      <c r="X12" s="2">
        <f t="shared" si="8"/>
        <v>0.9765625</v>
      </c>
      <c r="Y12" s="2">
        <f t="shared" si="1"/>
        <v>-2.2409078766230106E-3</v>
      </c>
      <c r="Z12" s="2">
        <f t="shared" si="3"/>
        <v>0.974609375</v>
      </c>
      <c r="AA12" s="2">
        <f t="shared" si="2"/>
        <v>-2.4195913429192473E-4</v>
      </c>
      <c r="AB12" s="2">
        <f t="shared" si="4"/>
        <v>-4.2516372801918996E-7</v>
      </c>
      <c r="AC12" s="2">
        <f t="shared" si="5"/>
        <v>5.4220812985565894E-7</v>
      </c>
      <c r="AD12" s="2">
        <f t="shared" si="6"/>
        <v>3.90625E-3</v>
      </c>
      <c r="AF12" s="2">
        <v>8</v>
      </c>
      <c r="AG12" s="2">
        <f t="shared" si="13"/>
        <v>2281.25</v>
      </c>
      <c r="AH12" s="2">
        <v>-21.199491562124649</v>
      </c>
      <c r="AI12" s="2">
        <f t="shared" si="14"/>
        <v>2355.46875</v>
      </c>
      <c r="AJ12" s="2">
        <v>13.733399334210389</v>
      </c>
      <c r="AK12" s="2">
        <f t="shared" si="9"/>
        <v>2318.359375</v>
      </c>
      <c r="AL12" s="2">
        <v>-3.6862317368509139</v>
      </c>
      <c r="AM12" s="2">
        <f t="shared" si="10"/>
        <v>78.146238601407035</v>
      </c>
      <c r="AN12" s="2">
        <f t="shared" si="11"/>
        <v>-50.624492480613547</v>
      </c>
      <c r="AO12" s="2">
        <f t="shared" si="12"/>
        <v>74.21875</v>
      </c>
    </row>
    <row r="13" spans="2:41" x14ac:dyDescent="0.2">
      <c r="B13" s="6" t="s">
        <v>136</v>
      </c>
      <c r="C13" s="16">
        <v>10.4576429318414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2.6224070025252701E-2</v>
      </c>
      <c r="U13" s="2">
        <v>9</v>
      </c>
      <c r="V13" s="2">
        <f t="shared" si="7"/>
        <v>0.97265625</v>
      </c>
      <c r="W13" s="2">
        <f t="shared" si="0"/>
        <v>1.7571716367038581E-3</v>
      </c>
      <c r="X13" s="2">
        <f t="shared" si="8"/>
        <v>0.974609375</v>
      </c>
      <c r="Y13" s="2">
        <f t="shared" si="1"/>
        <v>-2.4195913429192473E-4</v>
      </c>
      <c r="Z13" s="2">
        <f t="shared" si="3"/>
        <v>0.9736328125</v>
      </c>
      <c r="AA13" s="2">
        <f t="shared" si="2"/>
        <v>7.5758343015108753E-4</v>
      </c>
      <c r="AB13" s="2">
        <f t="shared" si="4"/>
        <v>1.3312041158983094E-6</v>
      </c>
      <c r="AC13" s="2">
        <f t="shared" si="5"/>
        <v>-1.8330423091326396E-7</v>
      </c>
      <c r="AD13" s="2">
        <f t="shared" si="6"/>
        <v>1.953125E-3</v>
      </c>
      <c r="AF13" s="2">
        <v>9</v>
      </c>
      <c r="AG13" s="2">
        <f t="shared" si="13"/>
        <v>2318.359375</v>
      </c>
      <c r="AH13" s="2">
        <v>-3.6862317368509139</v>
      </c>
      <c r="AI13" s="2">
        <f t="shared" si="14"/>
        <v>2355.46875</v>
      </c>
      <c r="AJ13" s="2">
        <v>13.733399334210389</v>
      </c>
      <c r="AK13" s="2">
        <f t="shared" si="9"/>
        <v>2336.9140625</v>
      </c>
      <c r="AL13" s="2">
        <v>5.0353104584694393</v>
      </c>
      <c r="AM13" s="2">
        <f t="shared" si="10"/>
        <v>-18.561321216907373</v>
      </c>
      <c r="AN13" s="2">
        <f t="shared" si="11"/>
        <v>69.151929297886809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70.221388223820526</v>
      </c>
      <c r="H14" s="6" t="s">
        <v>10</v>
      </c>
      <c r="J14" s="9" t="s">
        <v>75</v>
      </c>
      <c r="K14" s="17">
        <f>C5</f>
        <v>2326.1957640764299</v>
      </c>
      <c r="L14" s="6" t="s">
        <v>7</v>
      </c>
      <c r="N14" s="6" t="s">
        <v>40</v>
      </c>
      <c r="O14" s="6">
        <f xml:space="preserve"> O5 * O13 * $C$12</f>
        <v>1515.3431801977169</v>
      </c>
      <c r="P14" s="6" t="s">
        <v>21</v>
      </c>
      <c r="U14" s="2">
        <v>10</v>
      </c>
      <c r="V14" s="2">
        <f t="shared" si="7"/>
        <v>0.9736328125</v>
      </c>
      <c r="W14" s="2">
        <f t="shared" si="0"/>
        <v>7.5758343015108753E-4</v>
      </c>
      <c r="X14" s="2">
        <f t="shared" si="8"/>
        <v>0.974609375</v>
      </c>
      <c r="Y14" s="2">
        <f t="shared" si="1"/>
        <v>-2.4195913429192473E-4</v>
      </c>
      <c r="Z14" s="2">
        <f t="shared" si="3"/>
        <v>0.97412109375</v>
      </c>
      <c r="AA14" s="2">
        <f t="shared" si="2"/>
        <v>2.578064511206124E-4</v>
      </c>
      <c r="AB14" s="2">
        <f t="shared" si="4"/>
        <v>1.9530989555503222E-7</v>
      </c>
      <c r="AC14" s="2">
        <f t="shared" si="5"/>
        <v>-6.237862572801678E-8</v>
      </c>
      <c r="AD14" s="2">
        <f t="shared" si="6"/>
        <v>9.765625E-4</v>
      </c>
      <c r="AF14" s="2">
        <v>10</v>
      </c>
      <c r="AG14" s="2">
        <f t="shared" si="13"/>
        <v>2318.359375</v>
      </c>
      <c r="AH14" s="2">
        <v>-3.6862317368509139</v>
      </c>
      <c r="AI14" s="2">
        <f t="shared" si="14"/>
        <v>2336.9140625</v>
      </c>
      <c r="AJ14" s="2">
        <v>5.0353104584694393</v>
      </c>
      <c r="AK14" s="2">
        <f t="shared" si="9"/>
        <v>2327.63671875</v>
      </c>
      <c r="AL14" s="2">
        <v>0.67746799883434505</v>
      </c>
      <c r="AM14" s="2">
        <f t="shared" si="10"/>
        <v>-2.4973040380040405</v>
      </c>
      <c r="AN14" s="2">
        <f t="shared" si="11"/>
        <v>3.4112616998089393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0.21105138984891283</v>
      </c>
      <c r="H15" s="6" t="s">
        <v>120</v>
      </c>
      <c r="J15" s="10" t="s">
        <v>53</v>
      </c>
      <c r="K15" s="6">
        <f xml:space="preserve"> 1000 * K10 / ($C$60 * $C$61 * $C$62)</f>
        <v>613.40481043109764</v>
      </c>
      <c r="L15" s="6" t="s">
        <v>7</v>
      </c>
      <c r="N15" s="6" t="s">
        <v>140</v>
      </c>
      <c r="O15" s="6">
        <f>O4/O14</f>
        <v>15.044781088829481</v>
      </c>
      <c r="U15" s="2">
        <v>11</v>
      </c>
      <c r="V15" s="2">
        <f t="shared" si="7"/>
        <v>0.97412109375</v>
      </c>
      <c r="W15" s="2">
        <f t="shared" si="0"/>
        <v>2.578064511206124E-4</v>
      </c>
      <c r="X15" s="2">
        <f t="shared" si="8"/>
        <v>0.974609375</v>
      </c>
      <c r="Y15" s="2">
        <f t="shared" si="1"/>
        <v>-2.4195913429192473E-4</v>
      </c>
      <c r="Z15" s="2">
        <f t="shared" si="3"/>
        <v>0.974365234375</v>
      </c>
      <c r="AA15" s="2">
        <f t="shared" si="2"/>
        <v>7.922235267132649E-6</v>
      </c>
      <c r="AB15" s="2">
        <f t="shared" si="4"/>
        <v>2.0424033591620251E-9</v>
      </c>
      <c r="AC15" s="2">
        <f t="shared" si="5"/>
        <v>-1.916857186892371E-9</v>
      </c>
      <c r="AD15" s="2">
        <f t="shared" si="6"/>
        <v>4.8828125E-4</v>
      </c>
      <c r="AF15" s="2">
        <v>11</v>
      </c>
      <c r="AG15" s="2">
        <f t="shared" si="13"/>
        <v>2318.359375</v>
      </c>
      <c r="AH15" s="2">
        <v>-3.6862317368509139</v>
      </c>
      <c r="AI15" s="2">
        <f t="shared" si="14"/>
        <v>2327.63671875</v>
      </c>
      <c r="AJ15" s="2">
        <v>0.67746799883434505</v>
      </c>
      <c r="AK15" s="2">
        <f t="shared" si="9"/>
        <v>2322.998046875</v>
      </c>
      <c r="AL15" s="2">
        <v>-1.5036499347227164</v>
      </c>
      <c r="AM15" s="2">
        <f t="shared" si="10"/>
        <v>5.5428021104886822</v>
      </c>
      <c r="AN15" s="2">
        <f t="shared" si="11"/>
        <v>-1.0186747122239923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1515.3431801977169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170.92003159930849</v>
      </c>
      <c r="L16" s="6" t="s">
        <v>7</v>
      </c>
      <c r="N16" s="6" t="s">
        <v>111</v>
      </c>
      <c r="O16" s="6">
        <f>(O13*$C$12)/(0.3048^2)/($C$5*2.20462/1000)^(2/3)</f>
        <v>2.4189155788387935</v>
      </c>
      <c r="U16" s="2">
        <v>12</v>
      </c>
      <c r="V16" s="2">
        <f t="shared" si="7"/>
        <v>0.974365234375</v>
      </c>
      <c r="W16" s="2">
        <f t="shared" si="0"/>
        <v>7.922235267132649E-6</v>
      </c>
      <c r="X16" s="2">
        <f t="shared" si="8"/>
        <v>0.974609375</v>
      </c>
      <c r="Y16" s="2">
        <f t="shared" si="1"/>
        <v>-2.4195913429192473E-4</v>
      </c>
      <c r="Z16" s="2">
        <f t="shared" si="3"/>
        <v>0.9744873046875</v>
      </c>
      <c r="AA16" s="2">
        <f t="shared" si="2"/>
        <v>-1.17018805167457E-4</v>
      </c>
      <c r="AB16" s="2">
        <f t="shared" si="4"/>
        <v>-9.2705050521535212E-10</v>
      </c>
      <c r="AC16" s="2">
        <f t="shared" si="5"/>
        <v>2.8313768794193302E-8</v>
      </c>
      <c r="AD16" s="2">
        <f t="shared" si="6"/>
        <v>2.44140625E-4</v>
      </c>
      <c r="AF16" s="2">
        <v>12</v>
      </c>
      <c r="AG16" s="2">
        <f t="shared" si="13"/>
        <v>2322.998046875</v>
      </c>
      <c r="AH16" s="2">
        <v>-1.5036499347227164</v>
      </c>
      <c r="AI16" s="2">
        <f t="shared" si="14"/>
        <v>2327.63671875</v>
      </c>
      <c r="AJ16" s="2">
        <v>0.67746799883434505</v>
      </c>
      <c r="AK16" s="2">
        <f t="shared" si="9"/>
        <v>2325.3173828125</v>
      </c>
      <c r="AL16" s="2">
        <v>-0.41290807827181197</v>
      </c>
      <c r="AM16" s="2">
        <f t="shared" si="10"/>
        <v>0.62086920493989228</v>
      </c>
      <c r="AN16" s="2">
        <f t="shared" si="11"/>
        <v>-0.27973200948933957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106.47021533514649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0.974365234375</v>
      </c>
      <c r="W17" s="2">
        <f t="shared" si="0"/>
        <v>7.922235267132649E-6</v>
      </c>
      <c r="X17" s="2">
        <f t="shared" si="8"/>
        <v>0.9744873046875</v>
      </c>
      <c r="Y17" s="2">
        <f t="shared" si="1"/>
        <v>-1.17018805167457E-4</v>
      </c>
      <c r="Z17" s="2">
        <f t="shared" si="3"/>
        <v>0.97442626953125</v>
      </c>
      <c r="AA17" s="2">
        <f t="shared" si="2"/>
        <v>-5.4548373880414225E-5</v>
      </c>
      <c r="AB17" s="2">
        <f t="shared" si="4"/>
        <v>-4.32145051320155E-10</v>
      </c>
      <c r="AC17" s="2">
        <f t="shared" si="5"/>
        <v>6.3831855353137924E-9</v>
      </c>
      <c r="AD17" s="2">
        <f t="shared" si="6"/>
        <v>1.220703125E-4</v>
      </c>
      <c r="AF17" s="2">
        <v>13</v>
      </c>
      <c r="AG17" s="2">
        <f t="shared" si="13"/>
        <v>2325.3173828125</v>
      </c>
      <c r="AH17" s="2">
        <v>-0.41290807827181197</v>
      </c>
      <c r="AI17" s="2">
        <f t="shared" si="14"/>
        <v>2327.63671875</v>
      </c>
      <c r="AJ17" s="2">
        <v>0.67746799883434505</v>
      </c>
      <c r="AK17" s="2">
        <f t="shared" si="9"/>
        <v>2326.47705078125</v>
      </c>
      <c r="AL17" s="2">
        <v>0.13232603786855179</v>
      </c>
      <c r="AM17" s="2">
        <f t="shared" si="10"/>
        <v>-5.4638490001626738E-2</v>
      </c>
      <c r="AN17" s="2">
        <f t="shared" si="11"/>
        <v>8.9646656068485542E-2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1.4522194706569354</v>
      </c>
      <c r="H18" s="6" t="s">
        <v>172</v>
      </c>
      <c r="J18" s="12" t="s">
        <v>54</v>
      </c>
      <c r="K18" s="6">
        <f xml:space="preserve"> $C$78 * (0.2138 * K4 + 0.2138 * K6)</f>
        <v>109.55569480338427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0.974365234375</v>
      </c>
      <c r="W18" s="2">
        <f t="shared" si="0"/>
        <v>7.922235267132649E-6</v>
      </c>
      <c r="X18" s="2">
        <f t="shared" si="8"/>
        <v>0.97442626953125</v>
      </c>
      <c r="Y18" s="2">
        <f t="shared" si="1"/>
        <v>-5.4548373880414225E-5</v>
      </c>
      <c r="Z18" s="2">
        <f t="shared" si="3"/>
        <v>0.974395751953125</v>
      </c>
      <c r="AA18" s="2">
        <f t="shared" si="2"/>
        <v>-2.3313091541243836E-5</v>
      </c>
      <c r="AB18" s="2">
        <f t="shared" si="4"/>
        <v>-1.8469179599393376E-10</v>
      </c>
      <c r="AC18" s="2">
        <f t="shared" si="5"/>
        <v>1.271691233700091E-9</v>
      </c>
      <c r="AD18" s="2">
        <f t="shared" si="6"/>
        <v>6.103515625E-5</v>
      </c>
      <c r="AF18" s="2">
        <v>14</v>
      </c>
      <c r="AG18" s="2">
        <f t="shared" si="13"/>
        <v>2325.3173828125</v>
      </c>
      <c r="AH18" s="2">
        <v>-0.41290807827181197</v>
      </c>
      <c r="AI18" s="2">
        <f t="shared" si="14"/>
        <v>2326.47705078125</v>
      </c>
      <c r="AJ18" s="2">
        <v>0.13232603786855179</v>
      </c>
      <c r="AK18" s="2">
        <f t="shared" si="9"/>
        <v>2325.897216796875</v>
      </c>
      <c r="AL18" s="2">
        <v>-0.14027978109766082</v>
      </c>
      <c r="AM18" s="2">
        <f t="shared" si="10"/>
        <v>5.7922654833425583E-2</v>
      </c>
      <c r="AN18" s="2">
        <f t="shared" si="11"/>
        <v>-1.8562667625721223E-2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5.3117158094812225E-2</v>
      </c>
      <c r="J19" s="12" t="s">
        <v>73</v>
      </c>
      <c r="K19" s="6">
        <f xml:space="preserve"> $C$78 * (0.1149 * K4 + 0.1149 * K6)</f>
        <v>58.877218582361344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0.974365234375</v>
      </c>
      <c r="W19" s="2">
        <f t="shared" si="0"/>
        <v>7.922235267132649E-6</v>
      </c>
      <c r="X19" s="2">
        <f t="shared" si="8"/>
        <v>0.974395751953125</v>
      </c>
      <c r="Y19" s="2">
        <f t="shared" si="1"/>
        <v>-2.3313091541243836E-5</v>
      </c>
      <c r="Z19" s="2">
        <f t="shared" si="3"/>
        <v>0.9743804931640625</v>
      </c>
      <c r="AA19" s="2">
        <f t="shared" si="2"/>
        <v>-7.6954336960532999E-6</v>
      </c>
      <c r="AB19" s="2">
        <f t="shared" si="4"/>
        <v>-6.0965036222754402E-11</v>
      </c>
      <c r="AC19" s="2">
        <f t="shared" si="5"/>
        <v>1.7940435020566296E-10</v>
      </c>
      <c r="AD19" s="2">
        <f t="shared" si="6"/>
        <v>3.0517578125E-5</v>
      </c>
      <c r="AF19" s="2">
        <v>15</v>
      </c>
      <c r="AG19" s="2">
        <f t="shared" si="13"/>
        <v>2325.897216796875</v>
      </c>
      <c r="AH19" s="2">
        <v>-0.14027978109766082</v>
      </c>
      <c r="AI19" s="2">
        <f t="shared" si="14"/>
        <v>2326.47705078125</v>
      </c>
      <c r="AJ19" s="2">
        <v>0.13232603786855179</v>
      </c>
      <c r="AK19" s="2">
        <f t="shared" si="9"/>
        <v>2326.1871337890625</v>
      </c>
      <c r="AL19" s="2">
        <v>-3.9740617603456485E-3</v>
      </c>
      <c r="AM19" s="2">
        <f t="shared" si="10"/>
        <v>5.5748051380987221E-4</v>
      </c>
      <c r="AN19" s="2">
        <f t="shared" si="11"/>
        <v>-5.2587184699146191E-4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106.47021533514649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216.64196796422925</v>
      </c>
      <c r="L20" s="6" t="s">
        <v>7</v>
      </c>
      <c r="N20" s="6" t="s">
        <v>20</v>
      </c>
      <c r="O20" s="6">
        <f xml:space="preserve"> O14 / $C$28</f>
        <v>1515.3431801977169</v>
      </c>
      <c r="P20" s="6" t="s">
        <v>21</v>
      </c>
      <c r="U20" s="2">
        <v>16</v>
      </c>
      <c r="V20" s="2">
        <f t="shared" si="7"/>
        <v>0.974365234375</v>
      </c>
      <c r="W20" s="2">
        <f t="shared" si="0"/>
        <v>7.922235267132649E-6</v>
      </c>
      <c r="X20" s="2">
        <f t="shared" si="8"/>
        <v>0.9743804931640625</v>
      </c>
      <c r="Y20" s="2">
        <f t="shared" si="1"/>
        <v>-7.6954336960532999E-6</v>
      </c>
      <c r="Z20" s="2">
        <f t="shared" si="3"/>
        <v>0.97437286376953125</v>
      </c>
      <c r="AA20" s="2">
        <f t="shared" si="2"/>
        <v>1.1339939576249236E-7</v>
      </c>
      <c r="AB20" s="2">
        <f t="shared" si="4"/>
        <v>8.9837669238114964E-13</v>
      </c>
      <c r="AC20" s="2">
        <f t="shared" si="5"/>
        <v>-8.7265753126276751E-13</v>
      </c>
      <c r="AD20" s="2">
        <f t="shared" si="6"/>
        <v>1.52587890625E-5</v>
      </c>
      <c r="AF20" s="2">
        <v>16</v>
      </c>
      <c r="AG20" s="2">
        <f t="shared" si="13"/>
        <v>2326.1871337890625</v>
      </c>
      <c r="AH20" s="2">
        <v>-3.9740617603456485E-3</v>
      </c>
      <c r="AI20" s="2">
        <f t="shared" si="14"/>
        <v>2326.47705078125</v>
      </c>
      <c r="AJ20" s="2">
        <v>0.13232603786855179</v>
      </c>
      <c r="AK20" s="2">
        <f t="shared" si="9"/>
        <v>2326.3320922851562</v>
      </c>
      <c r="AL20" s="2">
        <v>6.4176690527801838E-2</v>
      </c>
      <c r="AM20" s="2">
        <f t="shared" si="10"/>
        <v>-2.5504213173207406E-4</v>
      </c>
      <c r="AN20" s="2">
        <f t="shared" si="11"/>
        <v>8.4922471810602359E-3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60.48108986598718</v>
      </c>
      <c r="L21" s="6" t="s">
        <v>7</v>
      </c>
      <c r="N21" s="6" t="s">
        <v>27</v>
      </c>
      <c r="O21" s="6">
        <f>$C$6*2*PI()/60</f>
        <v>47.910234872813781</v>
      </c>
      <c r="P21" s="6" t="s">
        <v>28</v>
      </c>
      <c r="U21" s="2">
        <v>17</v>
      </c>
      <c r="V21" s="2">
        <f t="shared" si="7"/>
        <v>0.97437286376953125</v>
      </c>
      <c r="W21" s="2">
        <f t="shared" si="0"/>
        <v>1.1339939576249236E-7</v>
      </c>
      <c r="X21" s="2">
        <f t="shared" si="8"/>
        <v>0.9743804931640625</v>
      </c>
      <c r="Y21" s="2">
        <f t="shared" si="1"/>
        <v>-7.6954336960532999E-6</v>
      </c>
      <c r="Z21" s="2">
        <f t="shared" si="3"/>
        <v>0.97437667846679688</v>
      </c>
      <c r="AA21" s="2">
        <f t="shared" si="2"/>
        <v>-3.7910174975896993E-6</v>
      </c>
      <c r="AB21" s="2">
        <f t="shared" si="4"/>
        <v>-4.2989909355170773E-13</v>
      </c>
      <c r="AC21" s="2">
        <f t="shared" si="5"/>
        <v>2.9173523793279429E-11</v>
      </c>
      <c r="AD21" s="2">
        <f t="shared" si="6"/>
        <v>7.62939453125E-6</v>
      </c>
      <c r="AF21" s="2">
        <v>17</v>
      </c>
      <c r="AG21" s="2">
        <f t="shared" si="13"/>
        <v>2326.1871337890625</v>
      </c>
      <c r="AH21" s="2">
        <v>-3.9740617603456485E-3</v>
      </c>
      <c r="AI21" s="2">
        <f t="shared" si="14"/>
        <v>2326.3320922851562</v>
      </c>
      <c r="AJ21" s="2">
        <v>6.4176690527801838E-2</v>
      </c>
      <c r="AK21" s="2">
        <f t="shared" si="9"/>
        <v>2326.2596130371094</v>
      </c>
      <c r="AL21" s="2">
        <v>3.0101490000788544E-2</v>
      </c>
      <c r="AM21" s="2">
        <f t="shared" si="10"/>
        <v>-1.1962518034156066E-4</v>
      </c>
      <c r="AN21" s="2">
        <f t="shared" si="11"/>
        <v>1.931814008206328E-3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 xml:space="preserve"> $C$79 * (0.04674 * ($C$5*2.20462)^0.397 * ($C$12*3.28084^2)^0.36 * $C$46^0.397 * $C$13^1.712 * 0.453592)</f>
        <v>327.16029756457215</v>
      </c>
      <c r="L22" s="6" t="s">
        <v>7</v>
      </c>
      <c r="N22" s="6" t="s">
        <v>29</v>
      </c>
      <c r="O22" s="6">
        <f xml:space="preserve"> $C$7 * COS(O19/180*PI()) / (O21 * $C$10)</f>
        <v>8.322700011368428E-2</v>
      </c>
      <c r="U22" s="2">
        <v>18</v>
      </c>
      <c r="V22" s="2">
        <f t="shared" si="7"/>
        <v>0.97437286376953125</v>
      </c>
      <c r="W22" s="2">
        <f t="shared" si="0"/>
        <v>1.1339939576249236E-7</v>
      </c>
      <c r="X22" s="2">
        <f t="shared" si="8"/>
        <v>0.97437667846679688</v>
      </c>
      <c r="Y22" s="2">
        <f t="shared" si="1"/>
        <v>-3.7910174975896993E-6</v>
      </c>
      <c r="Z22" s="2">
        <f t="shared" si="3"/>
        <v>0.97437477111816406</v>
      </c>
      <c r="AA22" s="2">
        <f t="shared" si="2"/>
        <v>-1.838809137733044E-6</v>
      </c>
      <c r="AB22" s="2">
        <f t="shared" si="4"/>
        <v>-2.0851984514147679E-13</v>
      </c>
      <c r="AC22" s="2">
        <f t="shared" si="5"/>
        <v>6.9709576158737969E-12</v>
      </c>
      <c r="AD22" s="2">
        <f t="shared" si="6"/>
        <v>3.814697265625E-6</v>
      </c>
      <c r="AF22" s="2">
        <v>18</v>
      </c>
      <c r="AG22" s="2">
        <f t="shared" si="13"/>
        <v>2326.1871337890625</v>
      </c>
      <c r="AH22" s="2">
        <v>-3.9740617603456485E-3</v>
      </c>
      <c r="AI22" s="2">
        <f t="shared" si="14"/>
        <v>2326.2596130371094</v>
      </c>
      <c r="AJ22" s="2">
        <v>3.0101490000788544E-2</v>
      </c>
      <c r="AK22" s="2">
        <f t="shared" si="9"/>
        <v>2326.2233734130859</v>
      </c>
      <c r="AL22" s="2">
        <v>1.3063758024600247E-2</v>
      </c>
      <c r="AM22" s="2">
        <f t="shared" si="10"/>
        <v>-5.1916181211972452E-5</v>
      </c>
      <c r="AN22" s="2">
        <f t="shared" si="11"/>
        <v>3.9323858155022542E-4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26.081261453074834</v>
      </c>
      <c r="L23" s="6" t="s">
        <v>7</v>
      </c>
      <c r="N23" s="6" t="s">
        <v>30</v>
      </c>
      <c r="O23" s="6">
        <f xml:space="preserve"> O20 / ( $C$71 * PI() * $C$10^2 * O21^2 * $C$10^2)</f>
        <v>4.5148675496965746E-2</v>
      </c>
      <c r="U23" s="2">
        <v>19</v>
      </c>
      <c r="V23" s="2">
        <f t="shared" si="7"/>
        <v>0.97437286376953125</v>
      </c>
      <c r="W23" s="2">
        <f t="shared" si="0"/>
        <v>1.1339939576249236E-7</v>
      </c>
      <c r="X23" s="2">
        <f t="shared" si="8"/>
        <v>0.97437477111816406</v>
      </c>
      <c r="Y23" s="2">
        <f t="shared" si="1"/>
        <v>-1.838809137733044E-6</v>
      </c>
      <c r="Z23" s="2">
        <f t="shared" si="3"/>
        <v>0.97437381744384766</v>
      </c>
      <c r="AA23" s="2">
        <f t="shared" si="2"/>
        <v>-8.627048926346248E-7</v>
      </c>
      <c r="AB23" s="2">
        <f t="shared" si="4"/>
        <v>-9.7830213546112303E-14</v>
      </c>
      <c r="AC23" s="2">
        <f t="shared" si="5"/>
        <v>1.5863496397435527E-12</v>
      </c>
      <c r="AD23" s="2">
        <f t="shared" si="6"/>
        <v>1.9073486328125E-6</v>
      </c>
      <c r="AF23" s="2">
        <v>19</v>
      </c>
      <c r="AG23" s="2">
        <f t="shared" si="13"/>
        <v>2326.1871337890625</v>
      </c>
      <c r="AH23" s="2">
        <v>-3.9740617603456485E-3</v>
      </c>
      <c r="AI23" s="2">
        <f t="shared" si="14"/>
        <v>2326.2233734130859</v>
      </c>
      <c r="AJ23" s="2">
        <v>1.3063758024600247E-2</v>
      </c>
      <c r="AK23" s="2">
        <f t="shared" si="9"/>
        <v>2326.2052536010742</v>
      </c>
      <c r="AL23" s="2">
        <v>4.5451386763488699E-3</v>
      </c>
      <c r="AM23" s="2">
        <f t="shared" si="10"/>
        <v>-1.8062661809146081E-5</v>
      </c>
      <c r="AN23" s="2">
        <f t="shared" si="11"/>
        <v>5.9376591856073498E-5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8.9421875853204309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0.97437286376953125</v>
      </c>
      <c r="W24" s="2">
        <f t="shared" si="0"/>
        <v>1.1339939576249236E-7</v>
      </c>
      <c r="X24" s="2">
        <f t="shared" si="8"/>
        <v>0.97437381744384766</v>
      </c>
      <c r="Y24" s="2">
        <f t="shared" si="1"/>
        <v>-8.627048926346248E-7</v>
      </c>
      <c r="Z24" s="2">
        <f t="shared" si="3"/>
        <v>0.97437334060668945</v>
      </c>
      <c r="AA24" s="2">
        <f t="shared" si="2"/>
        <v>-3.7465275393167019E-7</v>
      </c>
      <c r="AB24" s="2">
        <f t="shared" si="4"/>
        <v>-4.2485395916605134E-14</v>
      </c>
      <c r="AC24" s="2">
        <f t="shared" si="5"/>
        <v>3.2321476385588803E-13</v>
      </c>
      <c r="AD24" s="2">
        <f t="shared" si="6"/>
        <v>9.5367431640625E-7</v>
      </c>
      <c r="AF24" s="2">
        <v>20</v>
      </c>
      <c r="AG24" s="2">
        <f t="shared" si="13"/>
        <v>2326.1871337890625</v>
      </c>
      <c r="AH24" s="2">
        <v>-3.9740617603456485E-3</v>
      </c>
      <c r="AI24" s="2">
        <f t="shared" si="14"/>
        <v>2326.2052536010742</v>
      </c>
      <c r="AJ24" s="2">
        <v>4.5451386763488699E-3</v>
      </c>
      <c r="AK24" s="2">
        <f t="shared" si="9"/>
        <v>2326.1961936950684</v>
      </c>
      <c r="AL24" s="2">
        <v>2.8526163441711105E-4</v>
      </c>
      <c r="AM24" s="2">
        <f t="shared" si="10"/>
        <v>-1.1336473530307411E-6</v>
      </c>
      <c r="AN24" s="2">
        <f t="shared" si="11"/>
        <v>1.2965536874677035E-6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21.837947477166356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2300.4530305494418</v>
      </c>
      <c r="P25" s="6" t="s">
        <v>19</v>
      </c>
      <c r="U25" s="2">
        <v>21</v>
      </c>
      <c r="V25" s="2">
        <f t="shared" si="7"/>
        <v>0.97437286376953125</v>
      </c>
      <c r="W25" s="2">
        <f t="shared" si="0"/>
        <v>1.1339939576249236E-7</v>
      </c>
      <c r="X25" s="2">
        <f t="shared" si="8"/>
        <v>0.97437334060668945</v>
      </c>
      <c r="Y25" s="2">
        <f t="shared" si="1"/>
        <v>-3.7465275393167019E-7</v>
      </c>
      <c r="Z25" s="2">
        <f t="shared" si="3"/>
        <v>0.97437310218811035</v>
      </c>
      <c r="AA25" s="2">
        <f t="shared" si="2"/>
        <v>-1.3062668036134539E-7</v>
      </c>
      <c r="AB25" s="2">
        <f t="shared" si="4"/>
        <v>-1.4812986623436796E-14</v>
      </c>
      <c r="AC25" s="2">
        <f t="shared" si="5"/>
        <v>4.8939645534330073E-14</v>
      </c>
      <c r="AD25" s="2">
        <f t="shared" si="6"/>
        <v>4.76837158203125E-7</v>
      </c>
      <c r="AF25" s="2">
        <v>21</v>
      </c>
      <c r="AG25" s="2">
        <f t="shared" si="13"/>
        <v>2326.1871337890625</v>
      </c>
      <c r="AH25" s="2">
        <v>-3.9740617603456485E-3</v>
      </c>
      <c r="AI25" s="2">
        <f t="shared" si="14"/>
        <v>2326.1961936950684</v>
      </c>
      <c r="AJ25" s="2">
        <v>2.8526163441711105E-4</v>
      </c>
      <c r="AK25" s="2">
        <f t="shared" si="9"/>
        <v>2326.1916637420654</v>
      </c>
      <c r="AL25" s="2">
        <v>-1.8443993765231426E-3</v>
      </c>
      <c r="AM25" s="2">
        <f t="shared" si="10"/>
        <v>7.3297570330459761E-6</v>
      </c>
      <c r="AN25" s="2">
        <f t="shared" si="11"/>
        <v>-5.2613638066489225E-7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2850.0234116744377</v>
      </c>
      <c r="H26" s="6" t="s">
        <v>21</v>
      </c>
      <c r="J26" s="14" t="s">
        <v>65</v>
      </c>
      <c r="K26" s="6">
        <f xml:space="preserve"> $C$80 * (0.0268 * $C$5)</f>
        <v>49.873637181798664</v>
      </c>
      <c r="L26" s="6" t="s">
        <v>7</v>
      </c>
      <c r="N26" s="6" t="s">
        <v>32</v>
      </c>
      <c r="O26" s="17">
        <f>Z34</f>
        <v>0.97437297413125634</v>
      </c>
      <c r="U26" s="2">
        <v>22</v>
      </c>
      <c r="V26" s="2">
        <f t="shared" si="7"/>
        <v>0.97437286376953125</v>
      </c>
      <c r="W26" s="2">
        <f t="shared" si="0"/>
        <v>1.1339939576249236E-7</v>
      </c>
      <c r="X26" s="2">
        <f t="shared" si="8"/>
        <v>0.97437310218811035</v>
      </c>
      <c r="Y26" s="2">
        <f t="shared" si="1"/>
        <v>-1.3062668036134539E-7</v>
      </c>
      <c r="Z26" s="2">
        <f t="shared" si="3"/>
        <v>0.9743729829788208</v>
      </c>
      <c r="AA26" s="2">
        <f t="shared" si="2"/>
        <v>-8.6136426880045747E-9</v>
      </c>
      <c r="AB26" s="2">
        <f t="shared" si="4"/>
        <v>-9.7678187613372932E-16</v>
      </c>
      <c r="AC26" s="2">
        <f t="shared" si="5"/>
        <v>1.1251715501528136E-15</v>
      </c>
      <c r="AD26" s="2">
        <f t="shared" si="6"/>
        <v>2.384185791015625E-7</v>
      </c>
      <c r="AF26" s="2">
        <v>22</v>
      </c>
      <c r="AG26" s="2">
        <f t="shared" si="13"/>
        <v>2326.1916637420654</v>
      </c>
      <c r="AH26" s="2">
        <v>-1.8443993765231426E-3</v>
      </c>
      <c r="AI26" s="2">
        <f t="shared" si="14"/>
        <v>2326.1961936950684</v>
      </c>
      <c r="AJ26" s="2">
        <v>2.8526163441711105E-4</v>
      </c>
      <c r="AK26" s="2">
        <f t="shared" si="9"/>
        <v>2326.1939287185669</v>
      </c>
      <c r="AL26" s="2">
        <v>-7.7928913265168376E-4</v>
      </c>
      <c r="AM26" s="2">
        <f t="shared" si="10"/>
        <v>1.437320390394026E-6</v>
      </c>
      <c r="AN26" s="2">
        <f t="shared" si="11"/>
        <v>-2.2230129166371217E-7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34.910413488061039</v>
      </c>
      <c r="H27" t="s">
        <v>97</v>
      </c>
      <c r="J27" s="14" t="s">
        <v>66</v>
      </c>
      <c r="K27" s="6">
        <f xml:space="preserve"> $C$80 * (11.5 * ($C$5*2.20462/1000)^0.4 * 0.453592)</f>
        <v>8.0250032147547259</v>
      </c>
      <c r="L27" s="6" t="s">
        <v>7</v>
      </c>
      <c r="N27" s="6" t="s">
        <v>33</v>
      </c>
      <c r="O27" s="6">
        <f xml:space="preserve"> O21 * $C$10 * O26 - $C$7 * SIN(O19/180*PI())</f>
        <v>1.6209912160294948</v>
      </c>
      <c r="P27" s="6" t="s">
        <v>10</v>
      </c>
      <c r="U27" s="2">
        <v>23</v>
      </c>
      <c r="V27" s="2">
        <f t="shared" si="7"/>
        <v>0.97437286376953125</v>
      </c>
      <c r="W27" s="2">
        <f t="shared" si="0"/>
        <v>1.1339939576249236E-7</v>
      </c>
      <c r="X27" s="2">
        <f t="shared" si="8"/>
        <v>0.9743729829788208</v>
      </c>
      <c r="Y27" s="2">
        <f t="shared" si="1"/>
        <v>-8.6136426880045747E-9</v>
      </c>
      <c r="Z27" s="2">
        <f t="shared" si="3"/>
        <v>0.97437292337417603</v>
      </c>
      <c r="AA27" s="2">
        <f t="shared" si="2"/>
        <v>5.2392876481732742E-8</v>
      </c>
      <c r="AB27" s="2">
        <f t="shared" si="4"/>
        <v>5.9413205352873899E-15</v>
      </c>
      <c r="AC27" s="2">
        <f t="shared" si="5"/>
        <v>-4.5129351741040408E-16</v>
      </c>
      <c r="AD27" s="2">
        <f t="shared" si="6"/>
        <v>1.1920928955078125E-7</v>
      </c>
      <c r="AF27" s="2">
        <v>23</v>
      </c>
      <c r="AG27" s="2">
        <f t="shared" si="13"/>
        <v>2326.1939287185669</v>
      </c>
      <c r="AH27" s="2">
        <v>-7.7928913265168376E-4</v>
      </c>
      <c r="AI27" s="2">
        <f t="shared" si="14"/>
        <v>2326.1961936950684</v>
      </c>
      <c r="AJ27" s="2">
        <v>2.8526163441711105E-4</v>
      </c>
      <c r="AK27" s="2">
        <f t="shared" si="9"/>
        <v>2326.1950612068176</v>
      </c>
      <c r="AL27" s="2">
        <v>-2.4701370580260118E-4</v>
      </c>
      <c r="AM27" s="2">
        <f t="shared" si="10"/>
        <v>1.9249509654798726E-7</v>
      </c>
      <c r="AN27" s="2">
        <f t="shared" si="11"/>
        <v>-7.0463533440677442E-8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8.3291614580559266</v>
      </c>
      <c r="H28" s="6" t="s">
        <v>172</v>
      </c>
      <c r="J28" s="14" t="s">
        <v>67</v>
      </c>
      <c r="K28" s="6">
        <f xml:space="preserve"> $C$80 * (8 * ($C$5/1000))</f>
        <v>14.887652890089152</v>
      </c>
      <c r="L28" s="6" t="s">
        <v>7</v>
      </c>
      <c r="N28" s="6" t="s">
        <v>34</v>
      </c>
      <c r="O28" s="6">
        <f xml:space="preserve"> 1/$C$31 - O25 * SQRT( (2*$C$71*PI()*$C$10^2) / O20^3 )</f>
        <v>1.1894450432630164</v>
      </c>
      <c r="U28" s="2">
        <v>24</v>
      </c>
      <c r="V28" s="2">
        <f t="shared" si="7"/>
        <v>0.97437292337417603</v>
      </c>
      <c r="W28" s="2">
        <f t="shared" si="0"/>
        <v>5.2392876481732742E-8</v>
      </c>
      <c r="X28" s="2">
        <f t="shared" si="8"/>
        <v>0.9743729829788208</v>
      </c>
      <c r="Y28" s="2">
        <f t="shared" si="1"/>
        <v>-8.6136426880045747E-9</v>
      </c>
      <c r="Z28" s="2">
        <f t="shared" si="3"/>
        <v>0.97437295317649841</v>
      </c>
      <c r="AA28" s="2">
        <f t="shared" si="2"/>
        <v>2.1889616896864084E-8</v>
      </c>
      <c r="AB28" s="2">
        <f t="shared" si="4"/>
        <v>1.1468599943098499E-15</v>
      </c>
      <c r="AC28" s="2">
        <f t="shared" si="5"/>
        <v>-1.885493385268947E-16</v>
      </c>
      <c r="AD28" s="2">
        <f t="shared" si="6"/>
        <v>5.9604644775390625E-8</v>
      </c>
      <c r="AF28" s="2">
        <v>24</v>
      </c>
      <c r="AG28" s="2">
        <f t="shared" si="13"/>
        <v>2326.1950612068176</v>
      </c>
      <c r="AH28" s="2">
        <v>-2.4701370580260118E-4</v>
      </c>
      <c r="AI28" s="2">
        <f t="shared" si="14"/>
        <v>2326.1961936950684</v>
      </c>
      <c r="AJ28" s="2">
        <v>2.8526163441711105E-4</v>
      </c>
      <c r="AK28" s="2">
        <f t="shared" si="9"/>
        <v>2326.195627450943</v>
      </c>
      <c r="AL28" s="2">
        <v>1.9123975334878196E-5</v>
      </c>
      <c r="AM28" s="2">
        <f t="shared" si="10"/>
        <v>-4.7238840171458039E-9</v>
      </c>
      <c r="AN28" s="2">
        <f t="shared" si="11"/>
        <v>5.4553364605798729E-9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279.28330790448831</v>
      </c>
      <c r="H29" s="22" t="s">
        <v>97</v>
      </c>
      <c r="J29" s="14" t="s">
        <v>68</v>
      </c>
      <c r="K29" s="6">
        <f xml:space="preserve"> $C$80 * (13 * ($C$5*2.20462/1000)^1.3 * 0.453592)</f>
        <v>39.506879719894869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0.97437295317649841</v>
      </c>
      <c r="W29" s="2">
        <f t="shared" si="0"/>
        <v>2.1889616896864084E-8</v>
      </c>
      <c r="X29" s="2">
        <f t="shared" si="8"/>
        <v>0.9743729829788208</v>
      </c>
      <c r="Y29" s="2">
        <f t="shared" si="1"/>
        <v>-8.6136426880045747E-9</v>
      </c>
      <c r="Z29" s="2">
        <f t="shared" si="3"/>
        <v>0.97437296807765961</v>
      </c>
      <c r="AA29" s="2">
        <f t="shared" si="2"/>
        <v>6.6379871599409057E-9</v>
      </c>
      <c r="AB29" s="2">
        <f t="shared" si="4"/>
        <v>1.4530299589740927E-16</v>
      </c>
      <c r="AC29" s="2">
        <f t="shared" si="5"/>
        <v>-5.7177249563293236E-17</v>
      </c>
      <c r="AD29" s="2">
        <f t="shared" si="6"/>
        <v>2.9802322387695312E-8</v>
      </c>
      <c r="AF29" s="2">
        <v>25</v>
      </c>
      <c r="AG29" s="2">
        <f t="shared" si="13"/>
        <v>2326.1950612068176</v>
      </c>
      <c r="AH29" s="2">
        <v>-2.4701370580260118E-4</v>
      </c>
      <c r="AI29" s="2">
        <f t="shared" si="14"/>
        <v>2326.195627450943</v>
      </c>
      <c r="AJ29" s="2">
        <v>1.9123975334878196E-5</v>
      </c>
      <c r="AK29" s="2">
        <f t="shared" si="9"/>
        <v>2326.1953443288803</v>
      </c>
      <c r="AL29" s="2">
        <v>-1.1366529565748351E-4</v>
      </c>
      <c r="AM29" s="2">
        <f t="shared" si="10"/>
        <v>2.8076885901503314E-8</v>
      </c>
      <c r="AN29" s="2">
        <f t="shared" si="11"/>
        <v>-2.1737323105853526E-9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8.374339063266234E-5</v>
      </c>
      <c r="L30" s="9" t="s">
        <v>7</v>
      </c>
      <c r="N30" s="6" t="s">
        <v>36</v>
      </c>
      <c r="O30" s="6">
        <f xml:space="preserve"> 1/$C$77 * LN( EXP($C$77 * O28) + EXP($C$77 * O29) )</f>
        <v>1.19835040849735</v>
      </c>
      <c r="U30" s="2">
        <v>26</v>
      </c>
      <c r="V30" s="2">
        <f>IF(AB29&gt;0, Z29, V29)</f>
        <v>0.97437296807765961</v>
      </c>
      <c r="W30" s="2">
        <f t="shared" si="0"/>
        <v>6.6379871599409057E-9</v>
      </c>
      <c r="X30" s="2">
        <f t="shared" si="8"/>
        <v>0.9743729829788208</v>
      </c>
      <c r="Y30" s="2">
        <f t="shared" si="1"/>
        <v>-8.6136426880045747E-9</v>
      </c>
      <c r="Z30" s="2">
        <f t="shared" si="3"/>
        <v>0.9743729755282402</v>
      </c>
      <c r="AA30" s="2">
        <f t="shared" si="2"/>
        <v>-9.8782781954298571E-10</v>
      </c>
      <c r="AB30" s="2">
        <f t="shared" si="4"/>
        <v>-6.5571883823587612E-18</v>
      </c>
      <c r="AC30" s="2">
        <f t="shared" si="5"/>
        <v>8.5087958748139413E-18</v>
      </c>
      <c r="AD30" s="2">
        <f t="shared" si="6"/>
        <v>1.4901161193847656E-8</v>
      </c>
      <c r="AF30" s="2">
        <v>26</v>
      </c>
      <c r="AG30" s="2">
        <f t="shared" si="13"/>
        <v>2326.1953443288803</v>
      </c>
      <c r="AH30" s="2">
        <v>-1.1366529565748351E-4</v>
      </c>
      <c r="AI30" s="2">
        <f t="shared" si="14"/>
        <v>2326.195627450943</v>
      </c>
      <c r="AJ30" s="2">
        <v>1.9123975334878196E-5</v>
      </c>
      <c r="AK30" s="2">
        <f t="shared" si="9"/>
        <v>2326.1954858899117</v>
      </c>
      <c r="AL30" s="2">
        <v>-4.7270659479181631E-5</v>
      </c>
      <c r="AM30" s="2">
        <f t="shared" si="10"/>
        <v>5.3730334856254053E-9</v>
      </c>
      <c r="AN30" s="2">
        <f t="shared" si="11"/>
        <v>-9.0400292594329576E-10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0.97437296807765961</v>
      </c>
      <c r="W31" s="2">
        <f t="shared" si="0"/>
        <v>6.6379871599409057E-9</v>
      </c>
      <c r="X31" s="2">
        <f t="shared" si="8"/>
        <v>0.9743729755282402</v>
      </c>
      <c r="Y31" s="2">
        <f t="shared" si="1"/>
        <v>-9.8782781954298571E-10</v>
      </c>
      <c r="Z31" s="2">
        <f t="shared" si="3"/>
        <v>0.97437297180294991</v>
      </c>
      <c r="AA31" s="2">
        <f t="shared" si="2"/>
        <v>2.8250797257101112E-9</v>
      </c>
      <c r="AB31" s="2">
        <f t="shared" si="4"/>
        <v>1.8752842945073094E-17</v>
      </c>
      <c r="AC31" s="2">
        <f t="shared" si="5"/>
        <v>-2.7906923454833153E-18</v>
      </c>
      <c r="AD31" s="2">
        <f t="shared" si="6"/>
        <v>7.4505805969238281E-9</v>
      </c>
      <c r="AF31" s="2">
        <v>27</v>
      </c>
      <c r="AG31" s="2">
        <f t="shared" si="13"/>
        <v>2326.1954858899117</v>
      </c>
      <c r="AH31" s="2">
        <v>-4.7270659479181631E-5</v>
      </c>
      <c r="AI31" s="2">
        <f t="shared" si="14"/>
        <v>2326.195627450943</v>
      </c>
      <c r="AJ31" s="2">
        <v>1.9123975334878196E-5</v>
      </c>
      <c r="AK31" s="2">
        <f t="shared" si="9"/>
        <v>2326.1955566704273</v>
      </c>
      <c r="AL31" s="2">
        <v>-1.3793774769510492E-5</v>
      </c>
      <c r="AM31" s="2">
        <f t="shared" si="10"/>
        <v>6.520408300620575E-10</v>
      </c>
      <c r="AN31" s="2">
        <f t="shared" si="11"/>
        <v>-2.6379180846698382E-10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0.97437297180294991</v>
      </c>
      <c r="W32" s="2">
        <f t="shared" si="0"/>
        <v>2.8250797257101112E-9</v>
      </c>
      <c r="X32" s="2">
        <f t="shared" si="8"/>
        <v>0.9743729755282402</v>
      </c>
      <c r="Y32" s="2">
        <f t="shared" si="1"/>
        <v>-9.8782781954298571E-10</v>
      </c>
      <c r="Z32" s="2">
        <f t="shared" si="3"/>
        <v>0.97437297366559505</v>
      </c>
      <c r="AA32" s="2">
        <f t="shared" si="2"/>
        <v>9.1862595308356276E-10</v>
      </c>
      <c r="AB32" s="2">
        <f t="shared" si="4"/>
        <v>2.595191555567501E-18</v>
      </c>
      <c r="AC32" s="2">
        <f t="shared" si="5"/>
        <v>-9.0744427221013289E-19</v>
      </c>
      <c r="AD32" s="2">
        <f t="shared" si="6"/>
        <v>3.7252902984619141E-9</v>
      </c>
      <c r="AF32" s="2">
        <v>28</v>
      </c>
      <c r="AG32" s="2">
        <f t="shared" si="13"/>
        <v>2326.1955566704273</v>
      </c>
      <c r="AH32" s="2">
        <v>-1.3793774769510492E-5</v>
      </c>
      <c r="AI32" s="2">
        <f t="shared" si="14"/>
        <v>2326.195627450943</v>
      </c>
      <c r="AJ32" s="2">
        <v>1.9123975334878196E-5</v>
      </c>
      <c r="AK32" s="2">
        <f t="shared" si="9"/>
        <v>2326.1955920606852</v>
      </c>
      <c r="AL32" s="2">
        <v>2.3855327526689507E-6</v>
      </c>
      <c r="AM32" s="2">
        <f t="shared" si="10"/>
        <v>-3.2905501495605884E-11</v>
      </c>
      <c r="AN32" s="2">
        <f t="shared" si="11"/>
        <v>4.5620869522585101E-11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106.47021533514649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0.97437297366559505</v>
      </c>
      <c r="W33" s="2">
        <f t="shared" si="0"/>
        <v>9.1862595308356276E-10</v>
      </c>
      <c r="X33" s="2">
        <f t="shared" si="8"/>
        <v>0.9743729755282402</v>
      </c>
      <c r="Y33" s="2">
        <f t="shared" si="1"/>
        <v>-9.8782781954298571E-10</v>
      </c>
      <c r="Z33" s="2">
        <f t="shared" si="3"/>
        <v>0.97437297459691763</v>
      </c>
      <c r="AA33" s="2">
        <f t="shared" si="2"/>
        <v>-3.4600877718560241E-11</v>
      </c>
      <c r="AB33" s="2">
        <f t="shared" si="4"/>
        <v>-3.1785264271740212E-20</v>
      </c>
      <c r="AC33" s="2">
        <f t="shared" si="5"/>
        <v>3.4179709590998841E-20</v>
      </c>
      <c r="AD33" s="2">
        <f t="shared" si="6"/>
        <v>1.862645149230957E-9</v>
      </c>
      <c r="AF33" s="2">
        <v>29</v>
      </c>
      <c r="AG33" s="2">
        <f t="shared" si="13"/>
        <v>2326.1955566704273</v>
      </c>
      <c r="AH33" s="2">
        <v>-1.3793774769510492E-5</v>
      </c>
      <c r="AI33" s="2">
        <f t="shared" si="14"/>
        <v>2326.1955920606852</v>
      </c>
      <c r="AJ33" s="2">
        <v>2.3855327526689507E-6</v>
      </c>
      <c r="AK33" s="2">
        <f t="shared" si="9"/>
        <v>2326.1955743655562</v>
      </c>
      <c r="AL33" s="2">
        <v>-5.9836884247488342E-6</v>
      </c>
      <c r="AM33" s="2">
        <f t="shared" si="10"/>
        <v>8.2537650421912448E-11</v>
      </c>
      <c r="AN33" s="2">
        <f t="shared" si="11"/>
        <v>-1.4274284719004424E-11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25.79</v>
      </c>
      <c r="L34" s="6" t="s">
        <v>59</v>
      </c>
      <c r="U34" s="2">
        <v>30</v>
      </c>
      <c r="V34" s="2">
        <f t="shared" si="7"/>
        <v>0.97437297366559505</v>
      </c>
      <c r="W34" s="2">
        <f t="shared" si="0"/>
        <v>9.1862595308356276E-10</v>
      </c>
      <c r="X34" s="2">
        <f t="shared" si="8"/>
        <v>0.97437297459691763</v>
      </c>
      <c r="Y34" s="2">
        <f t="shared" si="1"/>
        <v>-3.4600877718560241E-11</v>
      </c>
      <c r="Z34" s="2">
        <f t="shared" si="3"/>
        <v>0.97437297413125634</v>
      </c>
      <c r="AA34" s="2">
        <f t="shared" si="2"/>
        <v>4.4201253768250126E-10</v>
      </c>
      <c r="AB34" s="2">
        <f t="shared" si="4"/>
        <v>4.0604418870347192E-19</v>
      </c>
      <c r="AC34" s="2">
        <f t="shared" si="5"/>
        <v>-1.5294021766422727E-20</v>
      </c>
      <c r="AD34" s="2">
        <f t="shared" si="6"/>
        <v>9.3132257461547852E-10</v>
      </c>
      <c r="AF34" s="2">
        <v>30</v>
      </c>
      <c r="AG34" s="2">
        <f t="shared" si="13"/>
        <v>2326.1955743655562</v>
      </c>
      <c r="AH34" s="2">
        <v>-5.9836884247488342E-6</v>
      </c>
      <c r="AI34" s="2">
        <f t="shared" si="14"/>
        <v>2326.1955920606852</v>
      </c>
      <c r="AJ34" s="2">
        <v>2.3855327526689507E-6</v>
      </c>
      <c r="AK34" s="2">
        <f t="shared" si="9"/>
        <v>2326.1955832131207</v>
      </c>
      <c r="AL34" s="2">
        <v>-1.7990776086662663E-6</v>
      </c>
      <c r="AM34" s="2">
        <f t="shared" si="10"/>
        <v>1.0765119862201151E-11</v>
      </c>
      <c r="AN34" s="2">
        <f t="shared" si="11"/>
        <v>-4.2917585600667116E-12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26.37</v>
      </c>
      <c r="L35" s="6" t="s">
        <v>59</v>
      </c>
      <c r="AF35" s="2">
        <v>31</v>
      </c>
      <c r="AG35" s="2">
        <f t="shared" si="13"/>
        <v>2326.1955832131207</v>
      </c>
      <c r="AH35" s="2">
        <v>-1.7990776086662663E-6</v>
      </c>
      <c r="AI35" s="2">
        <f t="shared" si="14"/>
        <v>2326.1955920606852</v>
      </c>
      <c r="AJ35" s="2">
        <v>2.3855327526689507E-6</v>
      </c>
      <c r="AK35" s="2">
        <f t="shared" si="9"/>
        <v>2326.1955876369029</v>
      </c>
      <c r="AL35" s="2">
        <v>2.9322791306185536E-7</v>
      </c>
      <c r="AM35" s="2">
        <f t="shared" si="10"/>
        <v>-5.2753977262552258E-13</v>
      </c>
      <c r="AN35" s="2">
        <f t="shared" si="11"/>
        <v>6.9950479060581958E-13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14.59</v>
      </c>
      <c r="L36" s="6" t="s">
        <v>59</v>
      </c>
      <c r="AF36" s="2">
        <v>32</v>
      </c>
      <c r="AG36" s="2">
        <f t="shared" si="13"/>
        <v>2326.1955832131207</v>
      </c>
      <c r="AH36" s="2">
        <v>-1.7990776086662663E-6</v>
      </c>
      <c r="AI36" s="2">
        <f t="shared" si="14"/>
        <v>2326.1955876369029</v>
      </c>
      <c r="AJ36" s="2">
        <v>2.9322791306185536E-7</v>
      </c>
      <c r="AK36" s="2">
        <f t="shared" si="9"/>
        <v>2326.1955854250118</v>
      </c>
      <c r="AL36" s="2">
        <v>-7.5292518886271864E-7</v>
      </c>
      <c r="AM36" s="2">
        <f t="shared" si="10"/>
        <v>1.3545708482837368E-12</v>
      </c>
      <c r="AN36" s="2">
        <f t="shared" si="11"/>
        <v>-2.2077868182191829E-13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28.42</v>
      </c>
      <c r="L37" s="6" t="s">
        <v>59</v>
      </c>
      <c r="AF37" s="2">
        <v>33</v>
      </c>
      <c r="AG37" s="2">
        <f t="shared" si="13"/>
        <v>2326.1955854250118</v>
      </c>
      <c r="AH37" s="2">
        <v>-7.5292518886271864E-7</v>
      </c>
      <c r="AI37" s="2">
        <f t="shared" si="14"/>
        <v>2326.1955876369029</v>
      </c>
      <c r="AJ37" s="2">
        <v>2.9322791306185536E-7</v>
      </c>
      <c r="AK37" s="2">
        <f t="shared" si="9"/>
        <v>2326.1955865309574</v>
      </c>
      <c r="AL37" s="2">
        <v>-2.2984909264778253E-7</v>
      </c>
      <c r="AM37" s="2">
        <f t="shared" si="10"/>
        <v>1.7305917149175617E-13</v>
      </c>
      <c r="AN37" s="2">
        <f t="shared" si="11"/>
        <v>-6.7398169756270313E-14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4.83</v>
      </c>
      <c r="L38" s="6" t="s">
        <v>59</v>
      </c>
      <c r="AF38" s="2">
        <v>34</v>
      </c>
      <c r="AG38" s="2">
        <f t="shared" si="13"/>
        <v>2326.1955865309574</v>
      </c>
      <c r="AH38" s="2">
        <v>-2.2984909264778253E-7</v>
      </c>
      <c r="AI38" s="2">
        <f t="shared" si="14"/>
        <v>2326.1955876369029</v>
      </c>
      <c r="AJ38" s="2">
        <v>2.9322791306185536E-7</v>
      </c>
      <c r="AK38" s="2">
        <f t="shared" si="9"/>
        <v>2326.1955870839301</v>
      </c>
      <c r="AL38" s="2">
        <v>3.1689296520198695E-8</v>
      </c>
      <c r="AM38" s="2">
        <f t="shared" si="10"/>
        <v>-7.2837560518142024E-15</v>
      </c>
      <c r="AN38" s="2">
        <f t="shared" si="11"/>
        <v>9.2921862850161787E-15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2326.1955865309574</v>
      </c>
      <c r="AH39" s="2">
        <v>-2.2984909264778253E-7</v>
      </c>
      <c r="AI39" s="2">
        <f t="shared" si="14"/>
        <v>2326.1955870839301</v>
      </c>
      <c r="AJ39" s="2">
        <v>3.1689296520198695E-8</v>
      </c>
      <c r="AK39" s="2">
        <f t="shared" si="9"/>
        <v>2326.1955868074438</v>
      </c>
      <c r="AL39" s="2">
        <v>-9.9079670690116473E-8</v>
      </c>
      <c r="AM39" s="2">
        <f t="shared" si="10"/>
        <v>2.2773372407964364E-14</v>
      </c>
      <c r="AN39" s="2">
        <f t="shared" si="11"/>
        <v>-3.1397650636227406E-15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2326.1955868074438</v>
      </c>
      <c r="AH40" s="2">
        <v>-9.9079670690116473E-8</v>
      </c>
      <c r="AI40" s="2">
        <f t="shared" si="14"/>
        <v>2326.1955870839301</v>
      </c>
      <c r="AJ40" s="2">
        <v>3.1689296520198695E-8</v>
      </c>
      <c r="AK40" s="2">
        <f t="shared" si="9"/>
        <v>2326.195586945687</v>
      </c>
      <c r="AL40" s="2">
        <v>-3.3695187084958889E-8</v>
      </c>
      <c r="AM40" s="2">
        <f t="shared" si="10"/>
        <v>3.3385080402195923E-15</v>
      </c>
      <c r="AN40" s="2">
        <f t="shared" si="11"/>
        <v>-1.0677767748388317E-15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2326.195586945687</v>
      </c>
      <c r="AH41" s="2">
        <v>-3.3695187084958889E-8</v>
      </c>
      <c r="AI41" s="2">
        <f t="shared" si="14"/>
        <v>2326.1955870839301</v>
      </c>
      <c r="AJ41" s="2">
        <v>3.1689296520198695E-8</v>
      </c>
      <c r="AK41" s="2">
        <f t="shared" si="9"/>
        <v>2326.1955870148086</v>
      </c>
      <c r="AL41" s="2">
        <v>-1.0027179087046534E-9</v>
      </c>
      <c r="AM41" s="2">
        <f t="shared" si="10"/>
        <v>3.3786767527242023E-17</v>
      </c>
      <c r="AN41" s="2">
        <f t="shared" si="11"/>
        <v>-3.1775425135055286E-17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2326.1955870148086</v>
      </c>
      <c r="AH42" s="2">
        <v>-1.0027179087046534E-9</v>
      </c>
      <c r="AI42" s="2">
        <f t="shared" si="14"/>
        <v>2326.1955870839301</v>
      </c>
      <c r="AJ42" s="2">
        <v>3.1689296520198695E-8</v>
      </c>
      <c r="AK42" s="2">
        <f t="shared" si="9"/>
        <v>2326.1955870493694</v>
      </c>
      <c r="AL42" s="2">
        <v>1.5343630366260186E-8</v>
      </c>
      <c r="AM42" s="2">
        <f t="shared" si="10"/>
        <v>-1.5385332952793628E-17</v>
      </c>
      <c r="AN42" s="2">
        <f t="shared" si="11"/>
        <v>4.8622885237274394E-16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613.4</v>
      </c>
      <c r="L43" s="6" t="s">
        <v>7</v>
      </c>
      <c r="AF43" s="2">
        <v>39</v>
      </c>
      <c r="AG43" s="2">
        <f t="shared" si="13"/>
        <v>2326.1955870148086</v>
      </c>
      <c r="AH43" s="2">
        <v>-1.0027179087046534E-9</v>
      </c>
      <c r="AI43" s="2">
        <f t="shared" si="14"/>
        <v>2326.1955870493694</v>
      </c>
      <c r="AJ43" s="2">
        <v>1.5343630366260186E-8</v>
      </c>
      <c r="AK43" s="2">
        <f t="shared" si="9"/>
        <v>2326.195587032089</v>
      </c>
      <c r="AL43" s="2">
        <v>7.170228855102323E-9</v>
      </c>
      <c r="AM43" s="2">
        <f t="shared" si="10"/>
        <v>-7.1897168825219625E-18</v>
      </c>
      <c r="AN43" s="2">
        <f t="shared" si="11"/>
        <v>1.1001734119418301E-16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339.35</v>
      </c>
      <c r="L44" s="6" t="s">
        <v>7</v>
      </c>
      <c r="AF44" s="2">
        <v>40</v>
      </c>
      <c r="AG44" s="2">
        <f t="shared" si="13"/>
        <v>2326.1955870148086</v>
      </c>
      <c r="AH44" s="2">
        <v>-1.0027179087046534E-9</v>
      </c>
      <c r="AI44" s="2">
        <f t="shared" si="14"/>
        <v>2326.195587032089</v>
      </c>
      <c r="AJ44" s="2">
        <v>7.170228855102323E-9</v>
      </c>
      <c r="AK44" s="5">
        <f t="shared" si="9"/>
        <v>2326.1955870234488</v>
      </c>
      <c r="AL44" s="2">
        <v>3.0836417863611132E-9</v>
      </c>
      <c r="AM44" s="2">
        <f t="shared" si="10"/>
        <v>-3.092022843214297E-18</v>
      </c>
      <c r="AN44" s="2">
        <f t="shared" si="11"/>
        <v>2.2110417315365727E-17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661.14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112.29</v>
      </c>
      <c r="L46" s="6" t="s">
        <v>7</v>
      </c>
    </row>
    <row r="47" spans="2:41" x14ac:dyDescent="0.2">
      <c r="J47" s="9" t="s">
        <v>60</v>
      </c>
      <c r="K47" s="9">
        <f>SUM(K42:K46)</f>
        <v>2326.1799999999998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23" priority="1" operator="containsText" text="FALSE">
      <formula>NOT(ISERROR(SEARCH("FALSE",K31)))</formula>
    </cfRule>
    <cfRule type="containsText" dxfId="22" priority="2" operator="containsText" text="TRUE">
      <formula>NOT(ISERROR(SEARCH("TRUE",K31)))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NOT(ISERROR(SEARCH("YES",K31)))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EE12-39D0-AD44-9469-F28D414ECCB8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405.80442599323356</v>
      </c>
      <c r="L4" s="6" t="s">
        <v>97</v>
      </c>
      <c r="N4" s="6" t="s">
        <v>131</v>
      </c>
      <c r="O4" s="6">
        <f xml:space="preserve"> $C$5 * $C$74</f>
        <v>20247.129005608724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1.2086264569795491</v>
      </c>
      <c r="X4" s="3">
        <v>1</v>
      </c>
      <c r="Y4" s="2">
        <f t="shared" ref="Y4:Y34" si="1" xml:space="preserve"> $O$22 * TAN($O$19/180*PI()) + $O$23 / (2 * SQRT($O$22^2 + X4^2)) - X4</f>
        <v>-2.7367401433976313E-2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0.49354246133396962</v>
      </c>
      <c r="AB4" s="2">
        <f>W4*AA4</f>
        <v>0.59650847641104177</v>
      </c>
      <c r="AC4" s="2">
        <f>Y4*AA4</f>
        <v>-1.3506974664039479E-2</v>
      </c>
      <c r="AD4" s="2">
        <f>X4-V4</f>
        <v>1</v>
      </c>
      <c r="AF4" s="2">
        <v>0</v>
      </c>
      <c r="AH4" s="2">
        <f>K30</f>
        <v>-4.3630128402583068E-5</v>
      </c>
      <c r="AJ4" s="2">
        <f>K30</f>
        <v>-4.3630128402583068E-5</v>
      </c>
      <c r="AL4" s="2">
        <f>K30</f>
        <v>-4.3630128402583068E-5</v>
      </c>
    </row>
    <row r="5" spans="2:41" x14ac:dyDescent="0.2">
      <c r="B5" s="9" t="s">
        <v>38</v>
      </c>
      <c r="C5" s="9">
        <v>2065.9168551313501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50.725553249154196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0.49354246133396962</v>
      </c>
      <c r="X5" s="2">
        <f>IF(AC4&gt;0, Z4, X4)</f>
        <v>1</v>
      </c>
      <c r="Y5" s="2">
        <f t="shared" si="1"/>
        <v>-2.7367401433976313E-2</v>
      </c>
      <c r="Z5" s="2">
        <f t="shared" ref="Z5:Z34" si="3" xml:space="preserve"> (V5 + X5)/2</f>
        <v>0.75</v>
      </c>
      <c r="AA5" s="2">
        <f t="shared" si="2"/>
        <v>0.22967131616358638</v>
      </c>
      <c r="AB5" s="2">
        <f t="shared" ref="AB5:AB34" si="4">W5*AA5</f>
        <v>0.11335254667718875</v>
      </c>
      <c r="AC5" s="2">
        <f t="shared" ref="AC5:AC34" si="5">Y5*AA5</f>
        <v>-6.2855071073185612E-3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-1443.5891428649606</v>
      </c>
      <c r="AI5" s="3">
        <v>10000</v>
      </c>
      <c r="AJ5" s="2">
        <f t="dataTable" ref="AJ5:AJ44" dt2D="0" dtr="0" r1="C5" ca="1"/>
        <v>6912.937998991868</v>
      </c>
      <c r="AK5" s="2">
        <f>(AG5+AI5)/2</f>
        <v>5250</v>
      </c>
      <c r="AL5" s="2">
        <f t="dataTable" ref="AL5:AL44" dt2D="0" dtr="0" r1="C5" ca="1"/>
        <v>2633.4462290787787</v>
      </c>
      <c r="AM5" s="2">
        <f>AH5*AL5</f>
        <v>-3801614.3846167969</v>
      </c>
      <c r="AN5" s="2">
        <f>AJ5*AL5</f>
        <v>18204850.505300533</v>
      </c>
      <c r="AO5" s="2">
        <f>AI5-AG5</f>
        <v>9500</v>
      </c>
    </row>
    <row r="6" spans="2:41" x14ac:dyDescent="0.2">
      <c r="B6" s="6" t="s">
        <v>168</v>
      </c>
      <c r="C6" s="16">
        <v>457.50904228212102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151.45873998845272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0.21239052628393393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0.22967131616358638</v>
      </c>
      <c r="X6" s="2">
        <f t="shared" ref="X6:X34" si="8">IF(AC5&gt;0, Z5, X5)</f>
        <v>1</v>
      </c>
      <c r="Y6" s="2">
        <f t="shared" si="1"/>
        <v>-2.7367401433976313E-2</v>
      </c>
      <c r="Z6" s="2">
        <f t="shared" si="3"/>
        <v>0.875</v>
      </c>
      <c r="AA6" s="2">
        <f t="shared" si="2"/>
        <v>0.1006560460557957</v>
      </c>
      <c r="AB6" s="2">
        <f t="shared" si="4"/>
        <v>2.3117806577457167E-2</v>
      </c>
      <c r="AC6" s="2">
        <f t="shared" si="5"/>
        <v>-2.7546944191657692E-3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-1443.5891428649606</v>
      </c>
      <c r="AI6" s="2">
        <f>IF(AN5&gt;0,AK5,AI5)</f>
        <v>5250</v>
      </c>
      <c r="AJ6" s="2">
        <v>2633.4462290787787</v>
      </c>
      <c r="AK6" s="2">
        <f t="shared" ref="AK6:AK44" si="9">(AG6+AI6)/2</f>
        <v>2875</v>
      </c>
      <c r="AL6" s="2">
        <v>706.3241962662471</v>
      </c>
      <c r="AM6" s="2">
        <f t="shared" ref="AM6:AM44" si="10">AH6*AL6</f>
        <v>-1019641.9410727739</v>
      </c>
      <c r="AN6" s="2">
        <f t="shared" ref="AN6:AN44" si="11">AJ6*AL6</f>
        <v>1860066.7911644476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2531.1332324753221</v>
      </c>
      <c r="H7" s="6" t="s">
        <v>21</v>
      </c>
      <c r="J7" s="6" t="s">
        <v>133</v>
      </c>
      <c r="K7" s="6">
        <f>K6/$C$28</f>
        <v>151.45873998845272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0.1006560460557957</v>
      </c>
      <c r="X7" s="2">
        <f t="shared" si="8"/>
        <v>1</v>
      </c>
      <c r="Y7" s="2">
        <f t="shared" si="1"/>
        <v>-2.7367401433976313E-2</v>
      </c>
      <c r="Z7" s="2">
        <f t="shared" si="3"/>
        <v>0.9375</v>
      </c>
      <c r="AA7" s="2">
        <f t="shared" si="2"/>
        <v>3.6544726287147777E-2</v>
      </c>
      <c r="AB7" s="2">
        <f t="shared" si="4"/>
        <v>3.6784476522555946E-3</v>
      </c>
      <c r="AC7" s="2">
        <f t="shared" si="5"/>
        <v>-1.0001341945951598E-3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-1443.5891428649606</v>
      </c>
      <c r="AI7" s="2">
        <f t="shared" ref="AI7:AI44" si="14">IF(AN6&gt;0,AK6,AI6)</f>
        <v>2875</v>
      </c>
      <c r="AJ7" s="2">
        <v>706.3241962662471</v>
      </c>
      <c r="AK7" s="2">
        <f t="shared" si="9"/>
        <v>1687.5</v>
      </c>
      <c r="AL7" s="2">
        <v>-339.27538919673134</v>
      </c>
      <c r="AM7" s="2">
        <f t="shared" si="10"/>
        <v>489774.26828568534</v>
      </c>
      <c r="AN7" s="2">
        <f t="shared" si="11"/>
        <v>-239638.41658729943</v>
      </c>
      <c r="AO7" s="2">
        <f t="shared" si="12"/>
        <v>2375</v>
      </c>
    </row>
    <row r="8" spans="2:41" x14ac:dyDescent="0.2">
      <c r="B8" s="6" t="s">
        <v>91</v>
      </c>
      <c r="C8" s="16">
        <v>2.2735299789038099</v>
      </c>
      <c r="D8" s="6" t="s">
        <v>8</v>
      </c>
      <c r="F8" t="s">
        <v>93</v>
      </c>
      <c r="G8" s="6">
        <f>G10/$C$21</f>
        <v>33.81703549943613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3.6544726287147777E-2</v>
      </c>
      <c r="X8" s="2">
        <f t="shared" si="8"/>
        <v>1</v>
      </c>
      <c r="Y8" s="2">
        <f t="shared" si="1"/>
        <v>-2.7367401433976313E-2</v>
      </c>
      <c r="Z8" s="2">
        <f t="shared" si="3"/>
        <v>0.96875</v>
      </c>
      <c r="AA8" s="2">
        <f t="shared" si="2"/>
        <v>4.5661366586531305E-3</v>
      </c>
      <c r="AB8" s="2">
        <f t="shared" si="4"/>
        <v>1.6686821438019017E-4</v>
      </c>
      <c r="AC8" s="2">
        <f t="shared" si="5"/>
        <v>-1.249632949397555E-4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-339.27538919673134</v>
      </c>
      <c r="AI8" s="2">
        <f t="shared" si="14"/>
        <v>2875</v>
      </c>
      <c r="AJ8" s="2">
        <v>706.3241962662471</v>
      </c>
      <c r="AK8" s="2">
        <f t="shared" si="9"/>
        <v>2281.25</v>
      </c>
      <c r="AL8" s="2">
        <v>190.49677915590541</v>
      </c>
      <c r="AM8" s="2">
        <f t="shared" si="10"/>
        <v>-64630.868888843586</v>
      </c>
      <c r="AN8" s="2">
        <f t="shared" si="11"/>
        <v>134552.48442860367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7.6363762546756844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1.986249271115742E-2</v>
      </c>
      <c r="U9" s="2">
        <v>5</v>
      </c>
      <c r="V9" s="2">
        <f t="shared" si="7"/>
        <v>0.96875</v>
      </c>
      <c r="W9" s="2">
        <f t="shared" si="0"/>
        <v>4.5661366586531305E-3</v>
      </c>
      <c r="X9" s="2">
        <f t="shared" si="8"/>
        <v>1</v>
      </c>
      <c r="Y9" s="2">
        <f t="shared" si="1"/>
        <v>-2.7367401433976313E-2</v>
      </c>
      <c r="Z9" s="2">
        <f t="shared" si="3"/>
        <v>0.984375</v>
      </c>
      <c r="AA9" s="2">
        <f t="shared" si="2"/>
        <v>-1.1405999527539734E-2</v>
      </c>
      <c r="AB9" s="2">
        <f t="shared" si="4"/>
        <v>-5.2081352571279468E-5</v>
      </c>
      <c r="AC9" s="2">
        <f t="shared" si="5"/>
        <v>3.1215256782592409E-4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-339.27538919673134</v>
      </c>
      <c r="AI9" s="2">
        <f t="shared" si="14"/>
        <v>2281.25</v>
      </c>
      <c r="AJ9" s="2">
        <v>190.49677915590541</v>
      </c>
      <c r="AK9" s="2">
        <f t="shared" si="9"/>
        <v>1984.375</v>
      </c>
      <c r="AL9" s="2">
        <v>-72.619232492999345</v>
      </c>
      <c r="AM9" s="2">
        <f t="shared" si="10"/>
        <v>24637.918367230272</v>
      </c>
      <c r="AN9" s="2">
        <f t="shared" si="11"/>
        <v>-13833.729894690247</v>
      </c>
      <c r="AO9" s="2">
        <f t="shared" si="12"/>
        <v>593.75</v>
      </c>
    </row>
    <row r="10" spans="2:41" x14ac:dyDescent="0.2">
      <c r="B10" s="6" t="s">
        <v>134</v>
      </c>
      <c r="C10" s="16">
        <v>1.4656865784573101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270.53628399548904</v>
      </c>
      <c r="H10" s="22" t="s">
        <v>97</v>
      </c>
      <c r="J10" s="6" t="s">
        <v>92</v>
      </c>
      <c r="K10" s="6">
        <f xml:space="preserve"> $C$18 * (G10*G6 + G20*G13 + G29*G25 + G33*G32)/3600</f>
        <v>96.050279849794009</v>
      </c>
      <c r="L10" s="6" t="s">
        <v>98</v>
      </c>
      <c r="N10" s="6" t="s">
        <v>39</v>
      </c>
      <c r="O10" s="6">
        <f xml:space="preserve"> O5 * $C$12 * O9</f>
        <v>1147.74300261537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4.5661366586531305E-3</v>
      </c>
      <c r="X10" s="2">
        <f t="shared" si="8"/>
        <v>0.984375</v>
      </c>
      <c r="Y10" s="2">
        <f t="shared" si="1"/>
        <v>-1.1405999527539734E-2</v>
      </c>
      <c r="Z10" s="2">
        <f t="shared" si="3"/>
        <v>0.9765625</v>
      </c>
      <c r="AA10" s="2">
        <f t="shared" si="2"/>
        <v>-3.4213049597087153E-3</v>
      </c>
      <c r="AB10" s="2">
        <f t="shared" si="4"/>
        <v>-1.5622145996957735E-5</v>
      </c>
      <c r="AC10" s="2">
        <f t="shared" si="5"/>
        <v>3.9023402754006953E-5</v>
      </c>
      <c r="AD10" s="2">
        <f t="shared" si="6"/>
        <v>1.5625E-2</v>
      </c>
      <c r="AF10" s="2">
        <v>6</v>
      </c>
      <c r="AG10" s="2">
        <f t="shared" si="13"/>
        <v>1984.375</v>
      </c>
      <c r="AH10" s="2">
        <v>-72.619232492999345</v>
      </c>
      <c r="AI10" s="2">
        <f t="shared" si="14"/>
        <v>2281.25</v>
      </c>
      <c r="AJ10" s="2">
        <v>190.49677915590541</v>
      </c>
      <c r="AK10" s="2">
        <f t="shared" si="9"/>
        <v>2132.8125</v>
      </c>
      <c r="AL10" s="2">
        <v>59.377203687215797</v>
      </c>
      <c r="AM10" s="2">
        <f t="shared" si="10"/>
        <v>-4311.9269593461022</v>
      </c>
      <c r="AN10" s="2">
        <f t="shared" si="11"/>
        <v>11311.16605769876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0.7447721805601909</v>
      </c>
      <c r="U11" s="2">
        <v>7</v>
      </c>
      <c r="V11" s="2">
        <f t="shared" si="7"/>
        <v>0.96875</v>
      </c>
      <c r="W11" s="2">
        <f t="shared" si="0"/>
        <v>4.5661366586531305E-3</v>
      </c>
      <c r="X11" s="2">
        <f t="shared" si="8"/>
        <v>0.9765625</v>
      </c>
      <c r="Y11" s="2">
        <f t="shared" si="1"/>
        <v>-3.4213049597087153E-3</v>
      </c>
      <c r="Z11" s="2">
        <f t="shared" si="3"/>
        <v>0.97265625</v>
      </c>
      <c r="AA11" s="2">
        <f t="shared" si="2"/>
        <v>5.7206839110346408E-4</v>
      </c>
      <c r="AB11" s="2">
        <f t="shared" si="4"/>
        <v>2.6121424518742438E-6</v>
      </c>
      <c r="AC11" s="2">
        <f t="shared" si="5"/>
        <v>-1.9572204237748667E-6</v>
      </c>
      <c r="AD11" s="2">
        <f t="shared" si="6"/>
        <v>7.8125E-3</v>
      </c>
      <c r="AF11" s="2">
        <v>7</v>
      </c>
      <c r="AG11" s="2">
        <f t="shared" si="13"/>
        <v>1984.375</v>
      </c>
      <c r="AH11" s="2">
        <v>-72.619232492999345</v>
      </c>
      <c r="AI11" s="2">
        <f t="shared" si="14"/>
        <v>2132.8125</v>
      </c>
      <c r="AJ11" s="2">
        <v>59.377203687215797</v>
      </c>
      <c r="AK11" s="2">
        <f t="shared" si="9"/>
        <v>2058.59375</v>
      </c>
      <c r="AL11" s="2">
        <v>-6.5109479122188532</v>
      </c>
      <c r="AM11" s="2">
        <f t="shared" si="10"/>
        <v>472.82004018722961</v>
      </c>
      <c r="AN11" s="2">
        <f t="shared" si="11"/>
        <v>-386.60188038067128</v>
      </c>
      <c r="AO11" s="2">
        <f t="shared" si="12"/>
        <v>148.4375</v>
      </c>
    </row>
    <row r="12" spans="2:41" x14ac:dyDescent="0.2">
      <c r="B12" s="6" t="s">
        <v>135</v>
      </c>
      <c r="C12" s="16">
        <v>25.484172923307501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0.35039068099684856</v>
      </c>
      <c r="U12" s="2">
        <v>8</v>
      </c>
      <c r="V12" s="2">
        <f t="shared" si="7"/>
        <v>0.97265625</v>
      </c>
      <c r="W12" s="2">
        <f t="shared" si="0"/>
        <v>5.7206839110346408E-4</v>
      </c>
      <c r="X12" s="2">
        <f t="shared" si="8"/>
        <v>0.9765625</v>
      </c>
      <c r="Y12" s="2">
        <f t="shared" si="1"/>
        <v>-3.4213049597087153E-3</v>
      </c>
      <c r="Z12" s="2">
        <f t="shared" si="3"/>
        <v>0.974609375</v>
      </c>
      <c r="AA12" s="2">
        <f t="shared" si="2"/>
        <v>-1.4247046342495961E-3</v>
      </c>
      <c r="AB12" s="2">
        <f t="shared" si="4"/>
        <v>-8.1502848791281567E-7</v>
      </c>
      <c r="AC12" s="2">
        <f t="shared" si="5"/>
        <v>4.8743490312781349E-6</v>
      </c>
      <c r="AD12" s="2">
        <f t="shared" si="6"/>
        <v>3.90625E-3</v>
      </c>
      <c r="AF12" s="2">
        <v>8</v>
      </c>
      <c r="AG12" s="2">
        <f t="shared" si="13"/>
        <v>2058.59375</v>
      </c>
      <c r="AH12" s="2">
        <v>-6.5109479122188532</v>
      </c>
      <c r="AI12" s="2">
        <f t="shared" si="14"/>
        <v>2132.8125</v>
      </c>
      <c r="AJ12" s="2">
        <v>59.377203687215797</v>
      </c>
      <c r="AK12" s="2">
        <f t="shared" si="9"/>
        <v>2095.703125</v>
      </c>
      <c r="AL12" s="2">
        <v>26.46058417517861</v>
      </c>
      <c r="AM12" s="2">
        <f t="shared" si="10"/>
        <v>-172.28348529147038</v>
      </c>
      <c r="AN12" s="2">
        <f t="shared" si="11"/>
        <v>1571.1554962522994</v>
      </c>
      <c r="AO12" s="2">
        <f t="shared" si="12"/>
        <v>74.21875</v>
      </c>
    </row>
    <row r="13" spans="2:41" x14ac:dyDescent="0.2">
      <c r="B13" s="6" t="s">
        <v>136</v>
      </c>
      <c r="C13" s="16">
        <v>10.4576429318414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2.488011500615505E-2</v>
      </c>
      <c r="U13" s="2">
        <v>9</v>
      </c>
      <c r="V13" s="2">
        <f t="shared" si="7"/>
        <v>0.97265625</v>
      </c>
      <c r="W13" s="2">
        <f t="shared" si="0"/>
        <v>5.7206839110346408E-4</v>
      </c>
      <c r="X13" s="2">
        <f t="shared" si="8"/>
        <v>0.974609375</v>
      </c>
      <c r="Y13" s="2">
        <f t="shared" si="1"/>
        <v>-1.4247046342495961E-3</v>
      </c>
      <c r="Z13" s="2">
        <f t="shared" si="3"/>
        <v>0.9736328125</v>
      </c>
      <c r="AA13" s="2">
        <f t="shared" si="2"/>
        <v>-4.2633977307382498E-4</v>
      </c>
      <c r="AB13" s="2">
        <f t="shared" si="4"/>
        <v>-2.4389550804575901E-7</v>
      </c>
      <c r="AC13" s="2">
        <f t="shared" si="5"/>
        <v>6.0740825046319961E-7</v>
      </c>
      <c r="AD13" s="2">
        <f t="shared" si="6"/>
        <v>1.953125E-3</v>
      </c>
      <c r="AF13" s="2">
        <v>9</v>
      </c>
      <c r="AG13" s="2">
        <f t="shared" si="13"/>
        <v>2058.59375</v>
      </c>
      <c r="AH13" s="2">
        <v>-6.5109479122188532</v>
      </c>
      <c r="AI13" s="2">
        <f t="shared" si="14"/>
        <v>2095.703125</v>
      </c>
      <c r="AJ13" s="2">
        <v>59.377203687215797</v>
      </c>
      <c r="AK13" s="2">
        <f t="shared" si="9"/>
        <v>2077.1484375</v>
      </c>
      <c r="AL13" s="2">
        <v>42.92575082105941</v>
      </c>
      <c r="AM13" s="2">
        <f t="shared" si="10"/>
        <v>-279.48732768880348</v>
      </c>
      <c r="AN13" s="2">
        <f t="shared" si="11"/>
        <v>2548.8110499287154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70.221388223820526</v>
      </c>
      <c r="H14" s="6" t="s">
        <v>10</v>
      </c>
      <c r="J14" s="9" t="s">
        <v>75</v>
      </c>
      <c r="K14" s="17">
        <f>C5</f>
        <v>2065.9168551313501</v>
      </c>
      <c r="L14" s="6" t="s">
        <v>7</v>
      </c>
      <c r="N14" s="6" t="s">
        <v>40</v>
      </c>
      <c r="O14" s="6">
        <f xml:space="preserve"> O5 * O13 * $C$12</f>
        <v>1437.6834930964774</v>
      </c>
      <c r="P14" s="6" t="s">
        <v>21</v>
      </c>
      <c r="U14" s="2">
        <v>10</v>
      </c>
      <c r="V14" s="2">
        <f t="shared" si="7"/>
        <v>0.97265625</v>
      </c>
      <c r="W14" s="2">
        <f t="shared" si="0"/>
        <v>5.7206839110346408E-4</v>
      </c>
      <c r="X14" s="2">
        <f t="shared" si="8"/>
        <v>0.9736328125</v>
      </c>
      <c r="Y14" s="2">
        <f t="shared" si="1"/>
        <v>-4.2633977307382498E-4</v>
      </c>
      <c r="Z14" s="2">
        <f t="shared" si="3"/>
        <v>0.97314453125</v>
      </c>
      <c r="AA14" s="2">
        <f t="shared" si="2"/>
        <v>7.2858888110372E-5</v>
      </c>
      <c r="AB14" s="2">
        <f t="shared" si="4"/>
        <v>4.168026689888782E-8</v>
      </c>
      <c r="AC14" s="2">
        <f t="shared" si="5"/>
        <v>-3.1062641823387202E-8</v>
      </c>
      <c r="AD14" s="2">
        <f t="shared" si="6"/>
        <v>9.765625E-4</v>
      </c>
      <c r="AF14" s="2">
        <v>10</v>
      </c>
      <c r="AG14" s="2">
        <f t="shared" si="13"/>
        <v>2058.59375</v>
      </c>
      <c r="AH14" s="2">
        <v>-6.5109479122188532</v>
      </c>
      <c r="AI14" s="2">
        <f t="shared" si="14"/>
        <v>2077.1484375</v>
      </c>
      <c r="AJ14" s="2">
        <v>59.377203687215797</v>
      </c>
      <c r="AK14" s="2">
        <f t="shared" si="9"/>
        <v>2067.87109375</v>
      </c>
      <c r="AL14" s="2">
        <v>51.15319059058902</v>
      </c>
      <c r="AM14" s="2">
        <f t="shared" si="10"/>
        <v>-333.05575947912865</v>
      </c>
      <c r="AN14" s="2">
        <f t="shared" si="11"/>
        <v>3037.3334169483746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0.21105138984891283</v>
      </c>
      <c r="H15" s="6" t="s">
        <v>120</v>
      </c>
      <c r="J15" s="10" t="s">
        <v>53</v>
      </c>
      <c r="K15" s="6">
        <f xml:space="preserve"> 1000 * K10 / ($C$60 * $C$61 * $C$62)</f>
        <v>353.1260288595368</v>
      </c>
      <c r="L15" s="6" t="s">
        <v>7</v>
      </c>
      <c r="N15" s="6" t="s">
        <v>140</v>
      </c>
      <c r="O15" s="6">
        <f>O4/O14</f>
        <v>14.083161629685636</v>
      </c>
      <c r="U15" s="2">
        <v>11</v>
      </c>
      <c r="V15" s="2">
        <f t="shared" si="7"/>
        <v>0.97314453125</v>
      </c>
      <c r="W15" s="2">
        <f t="shared" si="0"/>
        <v>7.2858888110372E-5</v>
      </c>
      <c r="X15" s="2">
        <f t="shared" si="8"/>
        <v>0.9736328125</v>
      </c>
      <c r="Y15" s="2">
        <f t="shared" si="1"/>
        <v>-4.2633977307382498E-4</v>
      </c>
      <c r="Z15" s="2">
        <f t="shared" si="3"/>
        <v>0.973388671875</v>
      </c>
      <c r="AA15" s="2">
        <f t="shared" si="2"/>
        <v>-1.7674179670290613E-4</v>
      </c>
      <c r="AB15" s="2">
        <f t="shared" si="4"/>
        <v>-1.2877210790403153E-8</v>
      </c>
      <c r="AC15" s="2">
        <f t="shared" si="5"/>
        <v>7.5352057498977111E-8</v>
      </c>
      <c r="AD15" s="2">
        <f t="shared" si="6"/>
        <v>4.8828125E-4</v>
      </c>
      <c r="AF15" s="2">
        <v>11</v>
      </c>
      <c r="AG15" s="2">
        <f t="shared" si="13"/>
        <v>2058.59375</v>
      </c>
      <c r="AH15" s="2">
        <v>-6.5109479122188532</v>
      </c>
      <c r="AI15" s="2">
        <f t="shared" si="14"/>
        <v>2067.87109375</v>
      </c>
      <c r="AJ15" s="2">
        <v>59.377203687215797</v>
      </c>
      <c r="AK15" s="2">
        <f t="shared" si="9"/>
        <v>2063.232421875</v>
      </c>
      <c r="AL15" s="2">
        <v>55.265625363277195</v>
      </c>
      <c r="AM15" s="2">
        <f t="shared" si="10"/>
        <v>-359.83160807649892</v>
      </c>
      <c r="AN15" s="2">
        <f t="shared" si="11"/>
        <v>3281.5182940966697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1437.6834930964774</v>
      </c>
      <c r="H16" s="6" t="s">
        <v>21</v>
      </c>
      <c r="J16" s="11" t="s">
        <v>123</v>
      </c>
      <c r="K16" s="6">
        <f>linear_250!K16</f>
        <v>170.92003159930849</v>
      </c>
      <c r="L16" s="6" t="s">
        <v>7</v>
      </c>
      <c r="N16" s="6" t="s">
        <v>111</v>
      </c>
      <c r="O16" s="6">
        <f>(O13*$C$12)/(0.3048^2)/($C$5*2.20462/1000)^(2/3)</f>
        <v>2.4838685785122001</v>
      </c>
      <c r="U16" s="2">
        <v>12</v>
      </c>
      <c r="V16" s="2">
        <f t="shared" si="7"/>
        <v>0.97314453125</v>
      </c>
      <c r="W16" s="2">
        <f t="shared" si="0"/>
        <v>7.2858888110372E-5</v>
      </c>
      <c r="X16" s="2">
        <f t="shared" si="8"/>
        <v>0.973388671875</v>
      </c>
      <c r="Y16" s="2">
        <f t="shared" si="1"/>
        <v>-1.7674179670290613E-4</v>
      </c>
      <c r="Z16" s="2">
        <f t="shared" si="3"/>
        <v>0.9732666015625</v>
      </c>
      <c r="AA16" s="2">
        <f t="shared" si="2"/>
        <v>-5.1941792977183709E-5</v>
      </c>
      <c r="AB16" s="2">
        <f t="shared" si="4"/>
        <v>-3.7844212827767336E-9</v>
      </c>
      <c r="AC16" s="2">
        <f t="shared" si="5"/>
        <v>9.1802858147578404E-9</v>
      </c>
      <c r="AD16" s="2">
        <f t="shared" si="6"/>
        <v>2.44140625E-4</v>
      </c>
      <c r="AF16" s="2">
        <v>12</v>
      </c>
      <c r="AG16" s="2">
        <f t="shared" si="13"/>
        <v>2058.59375</v>
      </c>
      <c r="AH16" s="2">
        <v>-6.5109479122188532</v>
      </c>
      <c r="AI16" s="2">
        <f t="shared" si="14"/>
        <v>2063.232421875</v>
      </c>
      <c r="AJ16" s="2">
        <v>59.377203687215797</v>
      </c>
      <c r="AK16" s="2">
        <f t="shared" si="9"/>
        <v>2060.9130859375</v>
      </c>
      <c r="AL16" s="2">
        <v>57.321521644179938</v>
      </c>
      <c r="AM16" s="2">
        <f t="shared" si="10"/>
        <v>-373.21744167438118</v>
      </c>
      <c r="AN16" s="2">
        <f t="shared" si="11"/>
        <v>3403.5916663276212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100.97249332563514</v>
      </c>
      <c r="H17" s="6" t="s">
        <v>97</v>
      </c>
      <c r="J17" s="11" t="s">
        <v>124</v>
      </c>
      <c r="K17" s="6">
        <f>linear_250!K17</f>
        <v>0</v>
      </c>
      <c r="L17" s="6" t="s">
        <v>7</v>
      </c>
      <c r="U17" s="2">
        <v>13</v>
      </c>
      <c r="V17" s="2">
        <f t="shared" si="7"/>
        <v>0.97314453125</v>
      </c>
      <c r="W17" s="2">
        <f t="shared" si="0"/>
        <v>7.2858888110372E-5</v>
      </c>
      <c r="X17" s="2">
        <f t="shared" si="8"/>
        <v>0.9732666015625</v>
      </c>
      <c r="Y17" s="2">
        <f t="shared" si="1"/>
        <v>-5.1941792977183709E-5</v>
      </c>
      <c r="Z17" s="2">
        <f t="shared" si="3"/>
        <v>0.97320556640625</v>
      </c>
      <c r="AA17" s="2">
        <f t="shared" si="2"/>
        <v>1.0458462880724717E-5</v>
      </c>
      <c r="AB17" s="2">
        <f t="shared" si="4"/>
        <v>7.6199197683320096E-10</v>
      </c>
      <c r="AC17" s="2">
        <f t="shared" si="5"/>
        <v>-5.4323131381016362E-10</v>
      </c>
      <c r="AD17" s="2">
        <f t="shared" si="6"/>
        <v>1.220703125E-4</v>
      </c>
      <c r="AF17" s="2">
        <v>13</v>
      </c>
      <c r="AG17" s="2">
        <f t="shared" si="13"/>
        <v>2058.59375</v>
      </c>
      <c r="AH17" s="2">
        <v>-6.5109479122188532</v>
      </c>
      <c r="AI17" s="2">
        <f t="shared" si="14"/>
        <v>2060.9130859375</v>
      </c>
      <c r="AJ17" s="2">
        <v>59.377203687215797</v>
      </c>
      <c r="AK17" s="2">
        <f t="shared" si="9"/>
        <v>2059.75341796875</v>
      </c>
      <c r="AL17" s="2">
        <v>58.34938929071518</v>
      </c>
      <c r="AM17" s="2">
        <f t="shared" si="10"/>
        <v>-379.90983438162709</v>
      </c>
      <c r="AN17" s="2">
        <f t="shared" si="11"/>
        <v>3464.6235729394434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1.4528125901798101</v>
      </c>
      <c r="H18" s="6" t="s">
        <v>172</v>
      </c>
      <c r="J18" s="12" t="s">
        <v>54</v>
      </c>
      <c r="K18" s="6">
        <f>linear_250!K18</f>
        <v>109.55569480338427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0.97320556640625</v>
      </c>
      <c r="W18" s="2">
        <f t="shared" si="0"/>
        <v>1.0458462880724717E-5</v>
      </c>
      <c r="X18" s="2">
        <f t="shared" si="8"/>
        <v>0.9732666015625</v>
      </c>
      <c r="Y18" s="2">
        <f t="shared" si="1"/>
        <v>-5.1941792977183709E-5</v>
      </c>
      <c r="Z18" s="2">
        <f t="shared" si="3"/>
        <v>0.973236083984375</v>
      </c>
      <c r="AA18" s="2">
        <f t="shared" si="2"/>
        <v>-2.0741686217795596E-5</v>
      </c>
      <c r="AB18" s="2">
        <f t="shared" si="4"/>
        <v>-2.1692615539245468E-10</v>
      </c>
      <c r="AC18" s="2">
        <f t="shared" si="5"/>
        <v>1.0773603715224434E-9</v>
      </c>
      <c r="AD18" s="2">
        <f t="shared" si="6"/>
        <v>6.103515625E-5</v>
      </c>
      <c r="AF18" s="2">
        <v>14</v>
      </c>
      <c r="AG18" s="2">
        <f t="shared" si="13"/>
        <v>2058.59375</v>
      </c>
      <c r="AH18" s="2">
        <v>-6.5109479122188532</v>
      </c>
      <c r="AI18" s="2">
        <f t="shared" si="14"/>
        <v>2059.75341796875</v>
      </c>
      <c r="AJ18" s="2">
        <v>59.377203687215797</v>
      </c>
      <c r="AK18" s="2">
        <f t="shared" si="9"/>
        <v>2059.173583984375</v>
      </c>
      <c r="AL18" s="2">
        <v>58.863303374566385</v>
      </c>
      <c r="AM18" s="2">
        <f t="shared" si="10"/>
        <v>-383.255902212938</v>
      </c>
      <c r="AN18" s="2">
        <f t="shared" si="11"/>
        <v>3495.1383541740051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5.0394961610704926E-2</v>
      </c>
      <c r="J19" s="12" t="s">
        <v>73</v>
      </c>
      <c r="K19" s="6">
        <f>linear_250!K19</f>
        <v>58.877218582361344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0.97320556640625</v>
      </c>
      <c r="W19" s="2">
        <f t="shared" si="0"/>
        <v>1.0458462880724717E-5</v>
      </c>
      <c r="X19" s="2">
        <f t="shared" si="8"/>
        <v>0.973236083984375</v>
      </c>
      <c r="Y19" s="2">
        <f t="shared" si="1"/>
        <v>-2.0741686217795596E-5</v>
      </c>
      <c r="Z19" s="2">
        <f t="shared" si="3"/>
        <v>0.9732208251953125</v>
      </c>
      <c r="AA19" s="2">
        <f t="shared" si="2"/>
        <v>-5.1416169611906426E-6</v>
      </c>
      <c r="AB19" s="2">
        <f t="shared" si="4"/>
        <v>-5.3773410135516951E-11</v>
      </c>
      <c r="AC19" s="2">
        <f t="shared" si="5"/>
        <v>1.0664580566111202E-10</v>
      </c>
      <c r="AD19" s="2">
        <f t="shared" si="6"/>
        <v>3.0517578125E-5</v>
      </c>
      <c r="AF19" s="2">
        <v>15</v>
      </c>
      <c r="AG19" s="2">
        <f t="shared" si="13"/>
        <v>2058.59375</v>
      </c>
      <c r="AH19" s="2">
        <v>-6.5109479122188532</v>
      </c>
      <c r="AI19" s="2">
        <f t="shared" si="14"/>
        <v>2059.173583984375</v>
      </c>
      <c r="AJ19" s="2">
        <v>59.377203687215797</v>
      </c>
      <c r="AK19" s="2">
        <f t="shared" si="9"/>
        <v>2058.8836669921875</v>
      </c>
      <c r="AL19" s="2">
        <v>59.120255175745342</v>
      </c>
      <c r="AM19" s="2">
        <f t="shared" si="10"/>
        <v>-384.92890200636498</v>
      </c>
      <c r="AN19" s="2">
        <f t="shared" si="11"/>
        <v>3510.3954336104052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100.97249332563514</v>
      </c>
      <c r="H20" s="22" t="s">
        <v>97</v>
      </c>
      <c r="J20" s="13" t="s">
        <v>61</v>
      </c>
      <c r="K20" s="6">
        <f>linear_250!K20</f>
        <v>216.64196796422925</v>
      </c>
      <c r="L20" s="6" t="s">
        <v>7</v>
      </c>
      <c r="N20" s="6" t="s">
        <v>20</v>
      </c>
      <c r="O20" s="6">
        <f xml:space="preserve"> O14 / $C$28</f>
        <v>1437.6834930964774</v>
      </c>
      <c r="P20" s="6" t="s">
        <v>21</v>
      </c>
      <c r="U20" s="2">
        <v>16</v>
      </c>
      <c r="V20" s="2">
        <f t="shared" si="7"/>
        <v>0.97320556640625</v>
      </c>
      <c r="W20" s="2">
        <f t="shared" si="0"/>
        <v>1.0458462880724717E-5</v>
      </c>
      <c r="X20" s="2">
        <f t="shared" si="8"/>
        <v>0.9732208251953125</v>
      </c>
      <c r="Y20" s="2">
        <f t="shared" si="1"/>
        <v>-5.1416169611906426E-6</v>
      </c>
      <c r="Z20" s="2">
        <f t="shared" si="3"/>
        <v>0.97321319580078125</v>
      </c>
      <c r="AA20" s="2">
        <f t="shared" si="2"/>
        <v>2.6584216366032365E-6</v>
      </c>
      <c r="AB20" s="2">
        <f t="shared" si="4"/>
        <v>2.7803004007730403E-11</v>
      </c>
      <c r="AC20" s="2">
        <f t="shared" si="5"/>
        <v>-1.3668585776755387E-11</v>
      </c>
      <c r="AD20" s="2">
        <f t="shared" si="6"/>
        <v>1.52587890625E-5</v>
      </c>
      <c r="AF20" s="2">
        <v>16</v>
      </c>
      <c r="AG20" s="2">
        <f t="shared" si="13"/>
        <v>2058.59375</v>
      </c>
      <c r="AH20" s="2">
        <v>-6.5109479122188532</v>
      </c>
      <c r="AI20" s="2">
        <f t="shared" si="14"/>
        <v>2058.8836669921875</v>
      </c>
      <c r="AJ20" s="2">
        <v>59.377203687215797</v>
      </c>
      <c r="AK20" s="2">
        <f t="shared" si="9"/>
        <v>2058.7387084960938</v>
      </c>
      <c r="AL20" s="2">
        <v>59.248729995753365</v>
      </c>
      <c r="AM20" s="2">
        <f t="shared" si="10"/>
        <v>-385.7653948674689</v>
      </c>
      <c r="AN20" s="2">
        <f t="shared" si="11"/>
        <v>3518.0239091666999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>linear_250!K21</f>
        <v>60.48108986598718</v>
      </c>
      <c r="L21" s="6" t="s">
        <v>7</v>
      </c>
      <c r="N21" s="6" t="s">
        <v>27</v>
      </c>
      <c r="O21" s="6">
        <f>$C$6*2*PI()/60</f>
        <v>47.910234872813781</v>
      </c>
      <c r="P21" s="6" t="s">
        <v>28</v>
      </c>
      <c r="U21" s="2">
        <v>17</v>
      </c>
      <c r="V21" s="2">
        <f t="shared" si="7"/>
        <v>0.97321319580078125</v>
      </c>
      <c r="W21" s="2">
        <f t="shared" si="0"/>
        <v>2.6584216366032365E-6</v>
      </c>
      <c r="X21" s="2">
        <f t="shared" si="8"/>
        <v>0.9732208251953125</v>
      </c>
      <c r="Y21" s="2">
        <f t="shared" si="1"/>
        <v>-5.1416169611906426E-6</v>
      </c>
      <c r="Z21" s="2">
        <f t="shared" si="3"/>
        <v>0.97321701049804688</v>
      </c>
      <c r="AA21" s="2">
        <f t="shared" si="2"/>
        <v>-1.2415979930846532E-6</v>
      </c>
      <c r="AB21" s="2">
        <f t="shared" si="4"/>
        <v>-3.3006909687793977E-12</v>
      </c>
      <c r="AC21" s="2">
        <f t="shared" si="5"/>
        <v>6.3838213002243151E-12</v>
      </c>
      <c r="AD21" s="2">
        <f t="shared" si="6"/>
        <v>7.62939453125E-6</v>
      </c>
      <c r="AF21" s="2">
        <v>17</v>
      </c>
      <c r="AG21" s="2">
        <f t="shared" si="13"/>
        <v>2058.59375</v>
      </c>
      <c r="AH21" s="2">
        <v>-6.5109479122188532</v>
      </c>
      <c r="AI21" s="2">
        <f t="shared" si="14"/>
        <v>2058.7387084960938</v>
      </c>
      <c r="AJ21" s="2">
        <v>59.377203687215797</v>
      </c>
      <c r="AK21" s="2">
        <f t="shared" si="9"/>
        <v>2058.6662292480469</v>
      </c>
      <c r="AL21" s="2">
        <v>59.312966791222152</v>
      </c>
      <c r="AM21" s="2">
        <f t="shared" si="10"/>
        <v>-386.18363729681403</v>
      </c>
      <c r="AN21" s="2">
        <f t="shared" si="11"/>
        <v>3521.8381104554642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>linear_250!K22</f>
        <v>327.16029756457215</v>
      </c>
      <c r="L22" s="6" t="s">
        <v>7</v>
      </c>
      <c r="N22" s="6" t="s">
        <v>29</v>
      </c>
      <c r="O22" s="6">
        <f xml:space="preserve"> $C$7 * COS(O19/180*PI()) / (O21 * $C$10)</f>
        <v>8.322700011368428E-2</v>
      </c>
      <c r="U22" s="2">
        <v>18</v>
      </c>
      <c r="V22" s="2">
        <f t="shared" si="7"/>
        <v>0.97321319580078125</v>
      </c>
      <c r="W22" s="2">
        <f t="shared" si="0"/>
        <v>2.6584216366032365E-6</v>
      </c>
      <c r="X22" s="2">
        <f t="shared" si="8"/>
        <v>0.97321701049804688</v>
      </c>
      <c r="Y22" s="2">
        <f t="shared" si="1"/>
        <v>-1.2415979930846532E-6</v>
      </c>
      <c r="Z22" s="2">
        <f t="shared" si="3"/>
        <v>0.97321510314941406</v>
      </c>
      <c r="AA22" s="2">
        <f t="shared" si="2"/>
        <v>7.0841173904767629E-7</v>
      </c>
      <c r="AB22" s="2">
        <f t="shared" si="4"/>
        <v>1.8832570947080685E-12</v>
      </c>
      <c r="AC22" s="2">
        <f t="shared" si="5"/>
        <v>-8.7956259347920399E-13</v>
      </c>
      <c r="AD22" s="2">
        <f t="shared" si="6"/>
        <v>3.814697265625E-6</v>
      </c>
      <c r="AF22" s="2">
        <v>18</v>
      </c>
      <c r="AG22" s="2">
        <f t="shared" si="13"/>
        <v>2058.59375</v>
      </c>
      <c r="AH22" s="2">
        <v>-6.5109479122188532</v>
      </c>
      <c r="AI22" s="2">
        <f t="shared" si="14"/>
        <v>2058.6662292480469</v>
      </c>
      <c r="AJ22" s="2">
        <v>59.377203687215797</v>
      </c>
      <c r="AK22" s="2">
        <f t="shared" si="9"/>
        <v>2058.6299896240234</v>
      </c>
      <c r="AL22" s="2">
        <v>59.345085264918907</v>
      </c>
      <c r="AM22" s="2">
        <f t="shared" si="10"/>
        <v>-386.39275900607356</v>
      </c>
      <c r="AN22" s="2">
        <f t="shared" si="11"/>
        <v>3523.7452156102786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>linear_250!K23</f>
        <v>26.081261453074834</v>
      </c>
      <c r="L23" s="6" t="s">
        <v>7</v>
      </c>
      <c r="N23" s="6" t="s">
        <v>30</v>
      </c>
      <c r="O23" s="6">
        <f xml:space="preserve"> O20 / ( $C$71 * PI() * $C$10^2 * O21^2 * $C$10^2)</f>
        <v>4.2834855064770125E-2</v>
      </c>
      <c r="U23" s="2">
        <v>19</v>
      </c>
      <c r="V23" s="2">
        <f t="shared" si="7"/>
        <v>0.97321510314941406</v>
      </c>
      <c r="W23" s="2">
        <f t="shared" si="0"/>
        <v>7.0841173904767629E-7</v>
      </c>
      <c r="X23" s="2">
        <f t="shared" si="8"/>
        <v>0.97321701049804688</v>
      </c>
      <c r="Y23" s="2">
        <f t="shared" si="1"/>
        <v>-1.2415979930846532E-6</v>
      </c>
      <c r="Z23" s="2">
        <f t="shared" si="3"/>
        <v>0.97321605682373047</v>
      </c>
      <c r="AA23" s="2">
        <f t="shared" si="2"/>
        <v>-2.6659314766863673E-7</v>
      </c>
      <c r="AB23" s="2">
        <f t="shared" si="4"/>
        <v>-1.8885771535813291E-13</v>
      </c>
      <c r="AC23" s="2">
        <f t="shared" si="5"/>
        <v>3.3100151711549997E-13</v>
      </c>
      <c r="AD23" s="2">
        <f t="shared" si="6"/>
        <v>1.9073486328125E-6</v>
      </c>
      <c r="AF23" s="2">
        <v>19</v>
      </c>
      <c r="AG23" s="2">
        <f t="shared" si="13"/>
        <v>2058.59375</v>
      </c>
      <c r="AH23" s="2">
        <v>-6.5109479122188532</v>
      </c>
      <c r="AI23" s="2">
        <f t="shared" si="14"/>
        <v>2058.6299896240234</v>
      </c>
      <c r="AJ23" s="2">
        <v>59.377203687215797</v>
      </c>
      <c r="AK23" s="2">
        <f t="shared" si="9"/>
        <v>2058.6118698120117</v>
      </c>
      <c r="AL23" s="2">
        <v>59.361144482492364</v>
      </c>
      <c r="AM23" s="2">
        <f t="shared" si="10"/>
        <v>-386.49731973520534</v>
      </c>
      <c r="AN23" s="2">
        <f t="shared" si="11"/>
        <v>3524.6987670431954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>linear_250!K24</f>
        <v>8.9421875853204309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0.97321510314941406</v>
      </c>
      <c r="W24" s="2">
        <f t="shared" si="0"/>
        <v>7.0841173904767629E-7</v>
      </c>
      <c r="X24" s="2">
        <f t="shared" si="8"/>
        <v>0.97321605682373047</v>
      </c>
      <c r="Y24" s="2">
        <f t="shared" si="1"/>
        <v>-2.6659314766863673E-7</v>
      </c>
      <c r="Z24" s="2">
        <f t="shared" si="3"/>
        <v>0.97321557998657227</v>
      </c>
      <c r="AA24" s="2">
        <f t="shared" si="2"/>
        <v>2.2090929052698272E-7</v>
      </c>
      <c r="AB24" s="2">
        <f t="shared" si="4"/>
        <v>1.5649473467400818E-13</v>
      </c>
      <c r="AC24" s="2">
        <f t="shared" si="5"/>
        <v>-5.8892903110833673E-14</v>
      </c>
      <c r="AD24" s="2">
        <f t="shared" si="6"/>
        <v>9.5367431640625E-7</v>
      </c>
      <c r="AF24" s="2">
        <v>20</v>
      </c>
      <c r="AG24" s="2">
        <f t="shared" si="13"/>
        <v>2058.59375</v>
      </c>
      <c r="AH24" s="2">
        <v>-6.5109479122188532</v>
      </c>
      <c r="AI24" s="2">
        <f t="shared" si="14"/>
        <v>2058.6118698120117</v>
      </c>
      <c r="AJ24" s="2">
        <v>59.377203687215797</v>
      </c>
      <c r="AK24" s="2">
        <f t="shared" si="9"/>
        <v>2058.6028099060059</v>
      </c>
      <c r="AL24" s="2">
        <v>59.369174086460362</v>
      </c>
      <c r="AM24" s="2">
        <f t="shared" si="10"/>
        <v>-386.54960006839673</v>
      </c>
      <c r="AN24" s="2">
        <f t="shared" si="11"/>
        <v>3525.1755424735306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linear_250!K25</f>
        <v>21.837947477166356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2300.4530305494418</v>
      </c>
      <c r="P25" s="6" t="s">
        <v>19</v>
      </c>
      <c r="U25" s="2">
        <v>21</v>
      </c>
      <c r="V25" s="2">
        <f t="shared" si="7"/>
        <v>0.97321557998657227</v>
      </c>
      <c r="W25" s="2">
        <f t="shared" si="0"/>
        <v>2.2090929052698272E-7</v>
      </c>
      <c r="X25" s="2">
        <f t="shared" si="8"/>
        <v>0.97321605682373047</v>
      </c>
      <c r="Y25" s="2">
        <f t="shared" si="1"/>
        <v>-2.6659314766863673E-7</v>
      </c>
      <c r="Z25" s="2">
        <f t="shared" si="3"/>
        <v>0.97321581840515137</v>
      </c>
      <c r="AA25" s="2">
        <f t="shared" si="2"/>
        <v>-2.2841929903094638E-8</v>
      </c>
      <c r="AB25" s="2">
        <f t="shared" si="4"/>
        <v>-5.0459945291597075E-15</v>
      </c>
      <c r="AC25" s="2">
        <f t="shared" si="5"/>
        <v>6.089501991692358E-15</v>
      </c>
      <c r="AD25" s="2">
        <f t="shared" si="6"/>
        <v>4.76837158203125E-7</v>
      </c>
      <c r="AF25" s="2">
        <v>21</v>
      </c>
      <c r="AG25" s="2">
        <f t="shared" si="13"/>
        <v>2058.59375</v>
      </c>
      <c r="AH25" s="2">
        <v>-6.5109479122188532</v>
      </c>
      <c r="AI25" s="2">
        <f t="shared" si="14"/>
        <v>2058.6028099060059</v>
      </c>
      <c r="AJ25" s="2">
        <v>59.377203687215797</v>
      </c>
      <c r="AK25" s="2">
        <f t="shared" si="9"/>
        <v>2058.5982799530029</v>
      </c>
      <c r="AL25" s="2">
        <v>59.373188887239621</v>
      </c>
      <c r="AM25" s="2">
        <f t="shared" si="10"/>
        <v>-386.5757402271484</v>
      </c>
      <c r="AN25" s="2">
        <f t="shared" si="11"/>
        <v>3525.4139301171645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2531.1332324753221</v>
      </c>
      <c r="H26" s="6" t="s">
        <v>21</v>
      </c>
      <c r="J26" s="14" t="s">
        <v>65</v>
      </c>
      <c r="K26" s="6">
        <f>linear_250!K26</f>
        <v>49.873637181798664</v>
      </c>
      <c r="L26" s="6" t="s">
        <v>7</v>
      </c>
      <c r="N26" s="6" t="s">
        <v>32</v>
      </c>
      <c r="O26" s="17">
        <f>Z34</f>
        <v>0.97321579651907086</v>
      </c>
      <c r="U26" s="2">
        <v>22</v>
      </c>
      <c r="V26" s="2">
        <f t="shared" si="7"/>
        <v>0.97321557998657227</v>
      </c>
      <c r="W26" s="2">
        <f t="shared" si="0"/>
        <v>2.2090929052698272E-7</v>
      </c>
      <c r="X26" s="2">
        <f t="shared" si="8"/>
        <v>0.97321581840515137</v>
      </c>
      <c r="Y26" s="2">
        <f t="shared" si="1"/>
        <v>-2.2841929903094638E-8</v>
      </c>
      <c r="Z26" s="2">
        <f t="shared" si="3"/>
        <v>0.97321569919586182</v>
      </c>
      <c r="AA26" s="2">
        <f t="shared" si="2"/>
        <v>9.9033680034388283E-8</v>
      </c>
      <c r="AB26" s="2">
        <f t="shared" si="4"/>
        <v>2.187745999467293E-14</v>
      </c>
      <c r="AC26" s="2">
        <f t="shared" si="5"/>
        <v>-2.262120377391E-15</v>
      </c>
      <c r="AD26" s="2">
        <f t="shared" si="6"/>
        <v>2.384185791015625E-7</v>
      </c>
      <c r="AF26" s="2">
        <v>22</v>
      </c>
      <c r="AG26" s="2">
        <f t="shared" si="13"/>
        <v>2058.59375</v>
      </c>
      <c r="AH26" s="2">
        <v>-6.5109479122188532</v>
      </c>
      <c r="AI26" s="2">
        <f t="shared" si="14"/>
        <v>2058.5982799530029</v>
      </c>
      <c r="AJ26" s="2">
        <v>59.377203687215797</v>
      </c>
      <c r="AK26" s="2">
        <f t="shared" si="9"/>
        <v>2058.5960149765015</v>
      </c>
      <c r="AL26" s="2">
        <v>59.375196440396394</v>
      </c>
      <c r="AM26" s="2">
        <f t="shared" si="10"/>
        <v>-386.58881130118317</v>
      </c>
      <c r="AN26" s="2">
        <f t="shared" si="11"/>
        <v>3525.533133009867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29.218294375076837</v>
      </c>
      <c r="H27" t="s">
        <v>97</v>
      </c>
      <c r="J27" s="14" t="s">
        <v>66</v>
      </c>
      <c r="K27" s="6">
        <f>linear_250!K27</f>
        <v>8.0250032147547259</v>
      </c>
      <c r="L27" s="6" t="s">
        <v>7</v>
      </c>
      <c r="N27" s="6" t="s">
        <v>33</v>
      </c>
      <c r="O27" s="6">
        <f xml:space="preserve"> O21 * $C$10 * O26 - $C$7 * SIN(O19/180*PI())</f>
        <v>1.5397325976802989</v>
      </c>
      <c r="P27" s="6" t="s">
        <v>10</v>
      </c>
      <c r="U27" s="2">
        <v>23</v>
      </c>
      <c r="V27" s="2">
        <f t="shared" si="7"/>
        <v>0.97321569919586182</v>
      </c>
      <c r="W27" s="2">
        <f t="shared" si="0"/>
        <v>9.9033680034388283E-8</v>
      </c>
      <c r="X27" s="2">
        <f t="shared" si="8"/>
        <v>0.97321581840515137</v>
      </c>
      <c r="Y27" s="2">
        <f t="shared" si="1"/>
        <v>-2.2841929903094638E-8</v>
      </c>
      <c r="Z27" s="2">
        <f t="shared" si="3"/>
        <v>0.97321575880050659</v>
      </c>
      <c r="AA27" s="2">
        <f t="shared" si="2"/>
        <v>3.8095875010135671E-8</v>
      </c>
      <c r="AB27" s="2">
        <f t="shared" si="4"/>
        <v>3.7727746963838244E-15</v>
      </c>
      <c r="AC27" s="2">
        <f t="shared" si="5"/>
        <v>-8.7018330657857375E-16</v>
      </c>
      <c r="AD27" s="2">
        <f t="shared" si="6"/>
        <v>1.1920928955078125E-7</v>
      </c>
      <c r="AF27" s="2">
        <v>23</v>
      </c>
      <c r="AG27" s="2">
        <f t="shared" si="13"/>
        <v>2058.59375</v>
      </c>
      <c r="AH27" s="2">
        <v>-6.5109479122188532</v>
      </c>
      <c r="AI27" s="2">
        <f t="shared" si="14"/>
        <v>2058.5960149765015</v>
      </c>
      <c r="AJ27" s="2">
        <v>59.377203687215797</v>
      </c>
      <c r="AK27" s="2">
        <f t="shared" si="9"/>
        <v>2058.5948824882507</v>
      </c>
      <c r="AL27" s="2">
        <v>59.376199910763034</v>
      </c>
      <c r="AM27" s="2">
        <f t="shared" si="10"/>
        <v>-386.59534484447181</v>
      </c>
      <c r="AN27" s="2">
        <f t="shared" si="11"/>
        <v>3525.5927162742209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8.8382847943272402</v>
      </c>
      <c r="H28" s="6" t="s">
        <v>172</v>
      </c>
      <c r="J28" s="14" t="s">
        <v>67</v>
      </c>
      <c r="K28" s="6">
        <f>linear_250!K28</f>
        <v>14.887652890089152</v>
      </c>
      <c r="L28" s="6" t="s">
        <v>7</v>
      </c>
      <c r="N28" s="6" t="s">
        <v>34</v>
      </c>
      <c r="O28" s="6">
        <f xml:space="preserve"> 1/$C$31 - O25 * SQRT( (2*$C$71*PI()*$C$10^2) / O20^3 )</f>
        <v>1.1776303190703015</v>
      </c>
      <c r="U28" s="2">
        <v>24</v>
      </c>
      <c r="V28" s="2">
        <f t="shared" si="7"/>
        <v>0.97321575880050659</v>
      </c>
      <c r="W28" s="2">
        <f t="shared" si="0"/>
        <v>3.8095875010135671E-8</v>
      </c>
      <c r="X28" s="2">
        <f t="shared" si="8"/>
        <v>0.97321581840515137</v>
      </c>
      <c r="Y28" s="2">
        <f t="shared" si="1"/>
        <v>-2.2841929903094638E-8</v>
      </c>
      <c r="Z28" s="2">
        <f t="shared" si="3"/>
        <v>0.97321578860282898</v>
      </c>
      <c r="AA28" s="2">
        <f t="shared" si="2"/>
        <v>7.6269724980093656E-9</v>
      </c>
      <c r="AB28" s="2">
        <f t="shared" si="4"/>
        <v>2.9055619098990702E-16</v>
      </c>
      <c r="AC28" s="2">
        <f t="shared" si="5"/>
        <v>-1.7421477117236054E-16</v>
      </c>
      <c r="AD28" s="2">
        <f t="shared" si="6"/>
        <v>5.9604644775390625E-8</v>
      </c>
      <c r="AF28" s="2">
        <v>24</v>
      </c>
      <c r="AG28" s="2">
        <f t="shared" si="13"/>
        <v>2058.59375</v>
      </c>
      <c r="AH28" s="2">
        <v>-6.5109479122188532</v>
      </c>
      <c r="AI28" s="2">
        <f t="shared" si="14"/>
        <v>2058.5948824882507</v>
      </c>
      <c r="AJ28" s="2">
        <v>59.377203687215797</v>
      </c>
      <c r="AK28" s="2">
        <f t="shared" si="9"/>
        <v>2058.5943162441254</v>
      </c>
      <c r="AL28" s="2">
        <v>59.37670195206374</v>
      </c>
      <c r="AM28" s="2">
        <f t="shared" si="10"/>
        <v>-386.59861360923054</v>
      </c>
      <c r="AN28" s="2">
        <f t="shared" si="11"/>
        <v>3525.6225260827923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233.7463550006147</v>
      </c>
      <c r="H29" s="22" t="s">
        <v>97</v>
      </c>
      <c r="J29" s="14" t="s">
        <v>68</v>
      </c>
      <c r="K29" s="6">
        <f>linear_250!K29</f>
        <v>39.506879719894869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0.97321578860282898</v>
      </c>
      <c r="W29" s="2">
        <f t="shared" si="0"/>
        <v>7.6269724980093656E-9</v>
      </c>
      <c r="X29" s="2">
        <f t="shared" si="8"/>
        <v>0.97321581840515137</v>
      </c>
      <c r="Y29" s="2">
        <f t="shared" si="1"/>
        <v>-2.2841929903094638E-8</v>
      </c>
      <c r="Z29" s="2">
        <f t="shared" si="3"/>
        <v>0.97321580350399017</v>
      </c>
      <c r="AA29" s="2">
        <f t="shared" si="2"/>
        <v>-7.6074786470314848E-9</v>
      </c>
      <c r="AB29" s="2">
        <f t="shared" si="4"/>
        <v>-5.8022030420102633E-17</v>
      </c>
      <c r="AC29" s="2">
        <f t="shared" si="5"/>
        <v>1.7376949399478241E-16</v>
      </c>
      <c r="AD29" s="2">
        <f t="shared" si="6"/>
        <v>2.9802322387695312E-8</v>
      </c>
      <c r="AF29" s="2">
        <v>25</v>
      </c>
      <c r="AG29" s="2">
        <f t="shared" si="13"/>
        <v>2058.59375</v>
      </c>
      <c r="AH29" s="2">
        <v>-6.5109479122188532</v>
      </c>
      <c r="AI29" s="2">
        <f t="shared" si="14"/>
        <v>2058.5943162441254</v>
      </c>
      <c r="AJ29" s="2">
        <v>59.377203687215797</v>
      </c>
      <c r="AK29" s="2">
        <f t="shared" si="9"/>
        <v>2058.5940331220627</v>
      </c>
      <c r="AL29" s="2">
        <v>59.376952666573288</v>
      </c>
      <c r="AM29" s="2">
        <f t="shared" si="10"/>
        <v>-386.60024599834304</v>
      </c>
      <c r="AN29" s="2">
        <f t="shared" si="11"/>
        <v>3525.6374128092934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-4.3630128402583068E-5</v>
      </c>
      <c r="L30" s="9" t="s">
        <v>7</v>
      </c>
      <c r="N30" s="6" t="s">
        <v>36</v>
      </c>
      <c r="O30" s="6">
        <f xml:space="preserve"> 1/$C$77 * LN( EXP($C$77 * O28) + EXP($C$77 * O29) )</f>
        <v>1.1897045530958605</v>
      </c>
      <c r="U30" s="2">
        <v>26</v>
      </c>
      <c r="V30" s="2">
        <f>IF(AB29&gt;0, Z29, V29)</f>
        <v>0.97321578860282898</v>
      </c>
      <c r="W30" s="2">
        <f t="shared" si="0"/>
        <v>7.6269724980093656E-9</v>
      </c>
      <c r="X30" s="2">
        <f t="shared" si="8"/>
        <v>0.97321580350399017</v>
      </c>
      <c r="Y30" s="2">
        <f t="shared" si="1"/>
        <v>-7.6074786470314848E-9</v>
      </c>
      <c r="Z30" s="2">
        <f t="shared" si="3"/>
        <v>0.97321579605340958</v>
      </c>
      <c r="AA30" s="2">
        <f t="shared" si="2"/>
        <v>9.7468699777891743E-12</v>
      </c>
      <c r="AB30" s="2">
        <f t="shared" si="4"/>
        <v>7.4339109262271189E-20</v>
      </c>
      <c r="AC30" s="2">
        <f t="shared" si="5"/>
        <v>-7.4149105231423386E-20</v>
      </c>
      <c r="AD30" s="2">
        <f t="shared" si="6"/>
        <v>1.4901161193847656E-8</v>
      </c>
      <c r="AF30" s="2">
        <v>26</v>
      </c>
      <c r="AG30" s="2">
        <f t="shared" si="13"/>
        <v>2058.59375</v>
      </c>
      <c r="AH30" s="2">
        <v>-6.5109479122188532</v>
      </c>
      <c r="AI30" s="2">
        <f t="shared" si="14"/>
        <v>2058.5940331220627</v>
      </c>
      <c r="AJ30" s="2">
        <v>59.377203687215797</v>
      </c>
      <c r="AK30" s="2">
        <f t="shared" si="9"/>
        <v>2058.5938915610313</v>
      </c>
      <c r="AL30" s="2">
        <v>59.377078329963069</v>
      </c>
      <c r="AM30" s="2">
        <f t="shared" si="10"/>
        <v>-386.60106418612838</v>
      </c>
      <c r="AN30" s="2">
        <f t="shared" si="11"/>
        <v>3525.6448743499845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0.97321579605340958</v>
      </c>
      <c r="W31" s="2">
        <f t="shared" si="0"/>
        <v>9.7468699777891743E-12</v>
      </c>
      <c r="X31" s="2">
        <f t="shared" si="8"/>
        <v>0.97321580350399017</v>
      </c>
      <c r="Y31" s="2">
        <f t="shared" si="1"/>
        <v>-7.6074786470314848E-9</v>
      </c>
      <c r="Z31" s="2">
        <f t="shared" si="3"/>
        <v>0.97321579977869987</v>
      </c>
      <c r="AA31" s="2">
        <f t="shared" si="2"/>
        <v>-3.7988658885268478E-9</v>
      </c>
      <c r="AB31" s="2">
        <f t="shared" si="4"/>
        <v>-3.7027051878529729E-20</v>
      </c>
      <c r="AC31" s="2">
        <f t="shared" si="5"/>
        <v>2.8899791129904284E-17</v>
      </c>
      <c r="AD31" s="2">
        <f t="shared" si="6"/>
        <v>7.4505805969238281E-9</v>
      </c>
      <c r="AF31" s="2">
        <v>27</v>
      </c>
      <c r="AG31" s="2">
        <f t="shared" si="13"/>
        <v>2058.59375</v>
      </c>
      <c r="AH31" s="2">
        <v>-6.5109479122188532</v>
      </c>
      <c r="AI31" s="2">
        <f t="shared" si="14"/>
        <v>2058.5938915610313</v>
      </c>
      <c r="AJ31" s="2">
        <v>59.377203687215797</v>
      </c>
      <c r="AK31" s="2">
        <f t="shared" si="9"/>
        <v>2058.5938207805157</v>
      </c>
      <c r="AL31" s="2">
        <v>59.377140855521247</v>
      </c>
      <c r="AM31" s="2">
        <f t="shared" si="10"/>
        <v>-386.60147128678085</v>
      </c>
      <c r="AN31" s="2">
        <f t="shared" si="11"/>
        <v>3525.6485869427879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0.97321579605340958</v>
      </c>
      <c r="W32" s="2">
        <f t="shared" si="0"/>
        <v>9.7468699777891743E-12</v>
      </c>
      <c r="X32" s="2">
        <f t="shared" si="8"/>
        <v>0.97321579977869987</v>
      </c>
      <c r="Y32" s="2">
        <f t="shared" si="1"/>
        <v>-3.7988658885268478E-9</v>
      </c>
      <c r="Z32" s="2">
        <f t="shared" si="3"/>
        <v>0.97321579791605473</v>
      </c>
      <c r="AA32" s="2">
        <f t="shared" si="2"/>
        <v>-1.8945595092745293E-9</v>
      </c>
      <c r="AB32" s="2">
        <f t="shared" si="4"/>
        <v>-1.8466025202082901E-20</v>
      </c>
      <c r="AC32" s="2">
        <f t="shared" si="5"/>
        <v>7.1971774935671736E-18</v>
      </c>
      <c r="AD32" s="2">
        <f t="shared" si="6"/>
        <v>3.7252902984619141E-9</v>
      </c>
      <c r="AF32" s="2">
        <v>28</v>
      </c>
      <c r="AG32" s="2">
        <f t="shared" si="13"/>
        <v>2058.59375</v>
      </c>
      <c r="AH32" s="2">
        <v>-6.5109479122188532</v>
      </c>
      <c r="AI32" s="2">
        <f t="shared" si="14"/>
        <v>2058.5938207805157</v>
      </c>
      <c r="AJ32" s="2">
        <v>59.377203687215797</v>
      </c>
      <c r="AK32" s="2">
        <f t="shared" si="9"/>
        <v>2058.5937853902578</v>
      </c>
      <c r="AL32" s="2">
        <v>59.377172271368636</v>
      </c>
      <c r="AM32" s="2">
        <f t="shared" si="10"/>
        <v>-386.6016758337268</v>
      </c>
      <c r="AN32" s="2">
        <f t="shared" si="11"/>
        <v>3525.6504523279573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100.97249332563514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0.97321579605340958</v>
      </c>
      <c r="W33" s="2">
        <f t="shared" si="0"/>
        <v>9.7468699777891743E-12</v>
      </c>
      <c r="X33" s="2">
        <f t="shared" si="8"/>
        <v>0.97321579791605473</v>
      </c>
      <c r="Y33" s="2">
        <f t="shared" si="1"/>
        <v>-1.8945595092745293E-9</v>
      </c>
      <c r="Z33" s="2">
        <f t="shared" si="3"/>
        <v>0.97321579698473215</v>
      </c>
      <c r="AA33" s="2">
        <f t="shared" si="2"/>
        <v>-9.4240626413721884E-10</v>
      </c>
      <c r="AB33" s="2">
        <f t="shared" si="4"/>
        <v>-9.1855113227995129E-21</v>
      </c>
      <c r="AC33" s="2">
        <f t="shared" si="5"/>
        <v>1.7854447493210518E-18</v>
      </c>
      <c r="AD33" s="2">
        <f t="shared" si="6"/>
        <v>1.862645149230957E-9</v>
      </c>
      <c r="AF33" s="2">
        <v>29</v>
      </c>
      <c r="AG33" s="2">
        <f t="shared" si="13"/>
        <v>2058.59375</v>
      </c>
      <c r="AH33" s="2">
        <v>-6.5109479122188532</v>
      </c>
      <c r="AI33" s="2">
        <f t="shared" si="14"/>
        <v>2058.5937853902578</v>
      </c>
      <c r="AJ33" s="2">
        <v>59.377203687215797</v>
      </c>
      <c r="AK33" s="2">
        <f t="shared" si="9"/>
        <v>2058.5937676951289</v>
      </c>
      <c r="AL33" s="2">
        <v>59.377187979292103</v>
      </c>
      <c r="AM33" s="2">
        <f t="shared" si="10"/>
        <v>-386.6017781071983</v>
      </c>
      <c r="AN33" s="2">
        <f t="shared" si="11"/>
        <v>3525.6513850205283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29.04</v>
      </c>
      <c r="L34" s="6" t="s">
        <v>59</v>
      </c>
      <c r="U34" s="2">
        <v>30</v>
      </c>
      <c r="V34" s="2">
        <f t="shared" si="7"/>
        <v>0.97321579605340958</v>
      </c>
      <c r="W34" s="2">
        <f t="shared" si="0"/>
        <v>9.7468699777891743E-12</v>
      </c>
      <c r="X34" s="2">
        <f t="shared" si="8"/>
        <v>0.97321579698473215</v>
      </c>
      <c r="Y34" s="2">
        <f t="shared" si="1"/>
        <v>-9.4240626413721884E-10</v>
      </c>
      <c r="Z34" s="2">
        <f t="shared" si="3"/>
        <v>0.97321579651907086</v>
      </c>
      <c r="AA34" s="2">
        <f t="shared" si="2"/>
        <v>-4.663296415685636E-10</v>
      </c>
      <c r="AB34" s="2">
        <f t="shared" si="4"/>
        <v>-4.5452543831578191E-21</v>
      </c>
      <c r="AC34" s="2">
        <f t="shared" si="5"/>
        <v>4.3947197536707834E-19</v>
      </c>
      <c r="AD34" s="2">
        <f t="shared" si="6"/>
        <v>9.3132257461547852E-10</v>
      </c>
      <c r="AF34" s="2">
        <v>30</v>
      </c>
      <c r="AG34" s="2">
        <f t="shared" si="13"/>
        <v>2058.59375</v>
      </c>
      <c r="AH34" s="2">
        <v>-6.5109479122188532</v>
      </c>
      <c r="AI34" s="2">
        <f t="shared" si="14"/>
        <v>2058.5937676951289</v>
      </c>
      <c r="AJ34" s="2">
        <v>59.377203687215797</v>
      </c>
      <c r="AK34" s="2">
        <f t="shared" si="9"/>
        <v>2058.5937588475645</v>
      </c>
      <c r="AL34" s="2">
        <v>59.377195833254063</v>
      </c>
      <c r="AM34" s="2">
        <f t="shared" si="10"/>
        <v>-386.60182924393553</v>
      </c>
      <c r="AN34" s="2">
        <f t="shared" si="11"/>
        <v>3525.6518513668275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17.09</v>
      </c>
      <c r="L35" s="6" t="s">
        <v>59</v>
      </c>
      <c r="AF35" s="2">
        <v>31</v>
      </c>
      <c r="AG35" s="2">
        <f t="shared" si="13"/>
        <v>2058.59375</v>
      </c>
      <c r="AH35" s="2">
        <v>-6.5109479122188532</v>
      </c>
      <c r="AI35" s="2">
        <f t="shared" si="14"/>
        <v>2058.5937588475645</v>
      </c>
      <c r="AJ35" s="2">
        <v>59.377203687215797</v>
      </c>
      <c r="AK35" s="2">
        <f t="shared" si="9"/>
        <v>2058.5937544237822</v>
      </c>
      <c r="AL35" s="2">
        <v>59.377199760234816</v>
      </c>
      <c r="AM35" s="2">
        <f t="shared" si="10"/>
        <v>-386.60185481230269</v>
      </c>
      <c r="AN35" s="2">
        <f t="shared" si="11"/>
        <v>3525.6520845399637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16.43</v>
      </c>
      <c r="L36" s="6" t="s">
        <v>59</v>
      </c>
      <c r="AF36" s="2">
        <v>32</v>
      </c>
      <c r="AG36" s="2">
        <f t="shared" si="13"/>
        <v>2058.59375</v>
      </c>
      <c r="AH36" s="2">
        <v>-6.5109479122188532</v>
      </c>
      <c r="AI36" s="2">
        <f t="shared" si="14"/>
        <v>2058.5937544237822</v>
      </c>
      <c r="AJ36" s="2">
        <v>59.377203687215797</v>
      </c>
      <c r="AK36" s="2">
        <f t="shared" si="9"/>
        <v>2058.5937522118911</v>
      </c>
      <c r="AL36" s="2">
        <v>59.377201723725193</v>
      </c>
      <c r="AM36" s="2">
        <f t="shared" si="10"/>
        <v>-386.60186759648622</v>
      </c>
      <c r="AN36" s="2">
        <f t="shared" si="11"/>
        <v>3525.6522011265315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32</v>
      </c>
      <c r="L37" s="6" t="s">
        <v>59</v>
      </c>
      <c r="AF37" s="2">
        <v>33</v>
      </c>
      <c r="AG37" s="2">
        <f t="shared" si="13"/>
        <v>2058.59375</v>
      </c>
      <c r="AH37" s="2">
        <v>-6.5109479122188532</v>
      </c>
      <c r="AI37" s="2">
        <f t="shared" si="14"/>
        <v>2058.5937522118911</v>
      </c>
      <c r="AJ37" s="2">
        <v>59.377203687215797</v>
      </c>
      <c r="AK37" s="2">
        <f t="shared" si="9"/>
        <v>2058.5937511059456</v>
      </c>
      <c r="AL37" s="2">
        <v>59.377202705470609</v>
      </c>
      <c r="AM37" s="2">
        <f t="shared" si="10"/>
        <v>-386.60187398857948</v>
      </c>
      <c r="AN37" s="2">
        <f t="shared" si="11"/>
        <v>3525.6522594198291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5.44</v>
      </c>
      <c r="L38" s="6" t="s">
        <v>59</v>
      </c>
      <c r="AF38" s="2">
        <v>34</v>
      </c>
      <c r="AG38" s="2">
        <f t="shared" si="13"/>
        <v>2058.59375</v>
      </c>
      <c r="AH38" s="2">
        <v>-6.5109479122188532</v>
      </c>
      <c r="AI38" s="2">
        <f t="shared" si="14"/>
        <v>2058.5937511059456</v>
      </c>
      <c r="AJ38" s="2">
        <v>59.377203687215797</v>
      </c>
      <c r="AK38" s="2">
        <f t="shared" si="9"/>
        <v>2058.5937505529728</v>
      </c>
      <c r="AL38" s="2">
        <v>59.377203196343089</v>
      </c>
      <c r="AM38" s="2">
        <f t="shared" si="10"/>
        <v>-386.60187718462464</v>
      </c>
      <c r="AN38" s="2">
        <f t="shared" si="11"/>
        <v>3525.6522885664644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2058.59375</v>
      </c>
      <c r="AH39" s="2">
        <v>-6.5109479122188532</v>
      </c>
      <c r="AI39" s="2">
        <f t="shared" si="14"/>
        <v>2058.5937505529728</v>
      </c>
      <c r="AJ39" s="2">
        <v>59.377203687215797</v>
      </c>
      <c r="AK39" s="2">
        <f t="shared" si="9"/>
        <v>2058.5937502764864</v>
      </c>
      <c r="AL39" s="2">
        <v>59.377203441779557</v>
      </c>
      <c r="AM39" s="2">
        <f t="shared" si="10"/>
        <v>-386.60187878264873</v>
      </c>
      <c r="AN39" s="2">
        <f t="shared" si="11"/>
        <v>3525.6523031397955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2058.59375</v>
      </c>
      <c r="AH40" s="2">
        <v>-6.5109479122188532</v>
      </c>
      <c r="AI40" s="2">
        <f t="shared" si="14"/>
        <v>2058.5937502764864</v>
      </c>
      <c r="AJ40" s="2">
        <v>59.377203687215797</v>
      </c>
      <c r="AK40" s="2">
        <f t="shared" si="9"/>
        <v>2058.5937501382432</v>
      </c>
      <c r="AL40" s="2">
        <v>59.377203564497677</v>
      </c>
      <c r="AM40" s="2">
        <f t="shared" si="10"/>
        <v>-386.60187958166</v>
      </c>
      <c r="AN40" s="2">
        <f t="shared" si="11"/>
        <v>3525.6523104264543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2058.59375</v>
      </c>
      <c r="AH41" s="2">
        <v>-6.5109479122188532</v>
      </c>
      <c r="AI41" s="2">
        <f t="shared" si="14"/>
        <v>2058.5937501382432</v>
      </c>
      <c r="AJ41" s="2">
        <v>59.377203687215797</v>
      </c>
      <c r="AK41" s="2">
        <f t="shared" si="9"/>
        <v>2058.5937500691216</v>
      </c>
      <c r="AL41" s="2">
        <v>59.377203625856509</v>
      </c>
      <c r="AM41" s="2">
        <f t="shared" si="10"/>
        <v>-386.60187998116413</v>
      </c>
      <c r="AN41" s="2">
        <f t="shared" si="11"/>
        <v>3525.6523140697705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2058.59375</v>
      </c>
      <c r="AH42" s="2">
        <v>-6.5109479122188532</v>
      </c>
      <c r="AI42" s="2">
        <f t="shared" si="14"/>
        <v>2058.5937500691216</v>
      </c>
      <c r="AJ42" s="2">
        <v>59.377203687215797</v>
      </c>
      <c r="AK42" s="2">
        <f t="shared" si="9"/>
        <v>2058.5937500345608</v>
      </c>
      <c r="AL42" s="2">
        <v>59.377203656536267</v>
      </c>
      <c r="AM42" s="2">
        <f t="shared" si="10"/>
        <v>-386.60188018091844</v>
      </c>
      <c r="AN42" s="2">
        <f t="shared" si="11"/>
        <v>3525.6523158914483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353.13</v>
      </c>
      <c r="L43" s="6" t="s">
        <v>7</v>
      </c>
      <c r="AF43" s="2">
        <v>39</v>
      </c>
      <c r="AG43" s="2">
        <f t="shared" si="13"/>
        <v>2058.59375</v>
      </c>
      <c r="AH43" s="2">
        <v>-6.5109479122188532</v>
      </c>
      <c r="AI43" s="2">
        <f t="shared" si="14"/>
        <v>2058.5937500345608</v>
      </c>
      <c r="AJ43" s="2">
        <v>59.377203687215797</v>
      </c>
      <c r="AK43" s="2">
        <f t="shared" si="9"/>
        <v>2058.5937500172804</v>
      </c>
      <c r="AL43" s="2">
        <v>59.377203671876032</v>
      </c>
      <c r="AM43" s="2">
        <f t="shared" si="10"/>
        <v>-386.60188028079489</v>
      </c>
      <c r="AN43" s="2">
        <f t="shared" si="11"/>
        <v>3525.6523168022809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339.35</v>
      </c>
      <c r="L44" s="6" t="s">
        <v>7</v>
      </c>
      <c r="AF44" s="2">
        <v>40</v>
      </c>
      <c r="AG44" s="2">
        <f t="shared" si="13"/>
        <v>2058.59375</v>
      </c>
      <c r="AH44" s="2">
        <v>-6.5109479122188532</v>
      </c>
      <c r="AI44" s="2">
        <f t="shared" si="14"/>
        <v>2058.5937500172804</v>
      </c>
      <c r="AJ44" s="2">
        <v>59.377203687215797</v>
      </c>
      <c r="AK44" s="5">
        <f t="shared" si="9"/>
        <v>2058.5937500086402</v>
      </c>
      <c r="AL44" s="2">
        <v>59.377203679545801</v>
      </c>
      <c r="AM44" s="2">
        <f t="shared" si="10"/>
        <v>-386.60188033073234</v>
      </c>
      <c r="AN44" s="2">
        <f t="shared" si="11"/>
        <v>3525.6523172576904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661.14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112.29</v>
      </c>
      <c r="L46" s="6" t="s">
        <v>7</v>
      </c>
    </row>
    <row r="47" spans="2:41" x14ac:dyDescent="0.2">
      <c r="J47" s="9" t="s">
        <v>60</v>
      </c>
      <c r="K47" s="9">
        <f>SUM(K42:K46)</f>
        <v>2065.91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400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70C4-DD4F-3640-84AC-BC633C6711FA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376.81569867443955</v>
      </c>
      <c r="L4" s="6" t="s">
        <v>97</v>
      </c>
      <c r="N4" s="6" t="s">
        <v>131</v>
      </c>
      <c r="O4" s="6">
        <f xml:space="preserve"> $C$5 * $C$74</f>
        <v>19222.031899905909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1.2035043971272337</v>
      </c>
      <c r="X4" s="3">
        <v>1</v>
      </c>
      <c r="Y4" s="2">
        <f t="shared" ref="Y4:Y34" si="1" xml:space="preserve"> $O$22 * TAN($O$19/180*PI()) + $O$23 / (2 * SQRT($O$22^2 + X4^2)) - X4</f>
        <v>-2.7792226324558356E-2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0.49270144536494631</v>
      </c>
      <c r="AB4" s="2">
        <f>W4*AA4</f>
        <v>0.5929683559676564</v>
      </c>
      <c r="AC4" s="2">
        <f>Y4*AA4</f>
        <v>-1.3693270080019611E-2</v>
      </c>
      <c r="AD4" s="2">
        <f>X4-V4</f>
        <v>1</v>
      </c>
      <c r="AF4" s="2">
        <v>0</v>
      </c>
      <c r="AH4" s="2">
        <f>K30</f>
        <v>-6.1244573089425103E-5</v>
      </c>
      <c r="AJ4" s="2">
        <f>K30</f>
        <v>-6.1244573089425103E-5</v>
      </c>
      <c r="AL4" s="2">
        <f>K30</f>
        <v>-6.1244573089425103E-5</v>
      </c>
    </row>
    <row r="5" spans="2:41" x14ac:dyDescent="0.2">
      <c r="B5" s="9" t="s">
        <v>38</v>
      </c>
      <c r="C5" s="9">
        <v>1961.3210189398999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47.101962334304943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0.49270144536494631</v>
      </c>
      <c r="X5" s="2">
        <f>IF(AC4&gt;0, Z4, X4)</f>
        <v>1</v>
      </c>
      <c r="Y5" s="2">
        <f t="shared" si="1"/>
        <v>-2.7792226324558356E-2</v>
      </c>
      <c r="Z5" s="2">
        <f t="shared" ref="Z5:Z34" si="3" xml:space="preserve"> (V5 + X5)/2</f>
        <v>0.75</v>
      </c>
      <c r="AA5" s="2">
        <f t="shared" si="2"/>
        <v>0.22910639224412588</v>
      </c>
      <c r="AB5" s="2">
        <f t="shared" ref="AB5:AB34" si="4">W5*AA5</f>
        <v>0.11288105060102914</v>
      </c>
      <c r="AC5" s="2">
        <f t="shared" ref="AC5:AC34" si="5">Y5*AA5</f>
        <v>-6.3673767056517871E-3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-1380.6441593295917</v>
      </c>
      <c r="AI5" s="3">
        <v>10000</v>
      </c>
      <c r="AJ5" s="2">
        <f t="dataTable" ref="AJ5:AJ44" dt2D="0" dtr="0" r1="C5"/>
        <v>7287.7392165662832</v>
      </c>
      <c r="AK5" s="2">
        <f>(AG5+AI5)/2</f>
        <v>5250</v>
      </c>
      <c r="AL5" s="2">
        <f t="dataTable" ref="AL5:AL44" dt2D="0" dtr="0" r1="C5" ca="1"/>
        <v>2879.9270202658549</v>
      </c>
      <c r="AM5" s="2">
        <f>AH5*AL5</f>
        <v>-3976154.4198255274</v>
      </c>
      <c r="AN5" s="2">
        <f>AJ5*AL5</f>
        <v>20988157.086440351</v>
      </c>
      <c r="AO5" s="2">
        <f>AI5-AG5</f>
        <v>9500</v>
      </c>
    </row>
    <row r="6" spans="2:41" x14ac:dyDescent="0.2">
      <c r="B6" s="6" t="s">
        <v>168</v>
      </c>
      <c r="C6" s="16">
        <v>457.50904228212102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148.4270144482565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0.20515984872255097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0.22910639224412588</v>
      </c>
      <c r="X6" s="2">
        <f t="shared" ref="X6:X34" si="8">IF(AC5&gt;0, Z5, X5)</f>
        <v>1</v>
      </c>
      <c r="Y6" s="2">
        <f t="shared" si="1"/>
        <v>-2.7792226324558356E-2</v>
      </c>
      <c r="Z6" s="2">
        <f t="shared" si="3"/>
        <v>0.875</v>
      </c>
      <c r="AA6" s="2">
        <f t="shared" si="2"/>
        <v>0.10017104229721518</v>
      </c>
      <c r="AB6" s="2">
        <f t="shared" si="4"/>
        <v>2.2949826108048705E-2</v>
      </c>
      <c r="AC6" s="2">
        <f t="shared" si="5"/>
        <v>-2.7839762786911124E-3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-1380.6441593295917</v>
      </c>
      <c r="AI6" s="2">
        <f>IF(AN5&gt;0,AK5,AI5)</f>
        <v>5250</v>
      </c>
      <c r="AJ6" s="2">
        <v>2879.9270202658549</v>
      </c>
      <c r="AK6" s="2">
        <f t="shared" ref="AK6:AK44" si="9">(AG6+AI6)/2</f>
        <v>2875</v>
      </c>
      <c r="AL6" s="2">
        <v>830.65645094765023</v>
      </c>
      <c r="AM6" s="2">
        <f t="shared" ref="AM6:AM44" si="10">AH6*AL6</f>
        <v>-1146840.9774103209</v>
      </c>
      <c r="AN6" s="2">
        <f t="shared" ref="AN6:AN44" si="11">AJ6*AL6</f>
        <v>2392229.9576422768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2402.9838365762835</v>
      </c>
      <c r="H7" s="6" t="s">
        <v>21</v>
      </c>
      <c r="J7" s="6" t="s">
        <v>133</v>
      </c>
      <c r="K7" s="6">
        <f>K6/$C$28</f>
        <v>148.4270144482565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0.10017104229721518</v>
      </c>
      <c r="X7" s="2">
        <f t="shared" si="8"/>
        <v>1</v>
      </c>
      <c r="Y7" s="2">
        <f t="shared" si="1"/>
        <v>-2.7792226324558356E-2</v>
      </c>
      <c r="Z7" s="2">
        <f t="shared" si="3"/>
        <v>0.9375</v>
      </c>
      <c r="AA7" s="2">
        <f t="shared" si="2"/>
        <v>3.6091794327395843E-2</v>
      </c>
      <c r="AB7" s="2">
        <f t="shared" si="4"/>
        <v>3.6153526561519601E-3</v>
      </c>
      <c r="AC7" s="2">
        <f t="shared" si="5"/>
        <v>-1.0030713164063967E-3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-1380.6441593295917</v>
      </c>
      <c r="AI7" s="2">
        <f t="shared" ref="AI7:AI44" si="14">IF(AN6&gt;0,AK6,AI6)</f>
        <v>2875</v>
      </c>
      <c r="AJ7" s="2">
        <v>830.65645094765023</v>
      </c>
      <c r="AK7" s="2">
        <f t="shared" si="9"/>
        <v>1687.5</v>
      </c>
      <c r="AL7" s="2">
        <v>-253.64324757087957</v>
      </c>
      <c r="AM7" s="2">
        <f t="shared" si="10"/>
        <v>350191.06831212452</v>
      </c>
      <c r="AN7" s="2">
        <f t="shared" si="11"/>
        <v>-210690.39983406302</v>
      </c>
      <c r="AO7" s="2">
        <f t="shared" si="12"/>
        <v>2375</v>
      </c>
    </row>
    <row r="8" spans="2:41" x14ac:dyDescent="0.2">
      <c r="B8" s="6" t="s">
        <v>91</v>
      </c>
      <c r="C8" s="16">
        <v>2.2735299789038099</v>
      </c>
      <c r="D8" s="6" t="s">
        <v>8</v>
      </c>
      <c r="F8" t="s">
        <v>93</v>
      </c>
      <c r="G8" s="6">
        <f>G10/$C$21</f>
        <v>31.401308222869964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3.6091794327395843E-2</v>
      </c>
      <c r="X8" s="2">
        <f t="shared" si="8"/>
        <v>1</v>
      </c>
      <c r="Y8" s="2">
        <f t="shared" si="1"/>
        <v>-2.7792226324558356E-2</v>
      </c>
      <c r="Z8" s="2">
        <f t="shared" si="3"/>
        <v>0.96875</v>
      </c>
      <c r="AA8" s="2">
        <f t="shared" si="2"/>
        <v>4.1277065876313968E-3</v>
      </c>
      <c r="AB8" s="2">
        <f t="shared" si="4"/>
        <v>1.4897633720462931E-4</v>
      </c>
      <c r="AC8" s="2">
        <f t="shared" si="5"/>
        <v>-1.1471815568482225E-4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-253.64324757087957</v>
      </c>
      <c r="AI8" s="2">
        <f t="shared" si="14"/>
        <v>2875</v>
      </c>
      <c r="AJ8" s="2">
        <v>830.65645094765023</v>
      </c>
      <c r="AK8" s="2">
        <f t="shared" si="9"/>
        <v>2281.25</v>
      </c>
      <c r="AL8" s="2">
        <v>293.5774203219471</v>
      </c>
      <c r="AM8" s="2">
        <f t="shared" si="10"/>
        <v>-74463.930303939793</v>
      </c>
      <c r="AN8" s="2">
        <f t="shared" si="11"/>
        <v>243861.97804299515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7.8074813198047179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1.986249271115742E-2</v>
      </c>
      <c r="U9" s="2">
        <v>5</v>
      </c>
      <c r="V9" s="2">
        <f t="shared" si="7"/>
        <v>0.96875</v>
      </c>
      <c r="W9" s="2">
        <f t="shared" si="0"/>
        <v>4.1277065876313968E-3</v>
      </c>
      <c r="X9" s="2">
        <f t="shared" si="8"/>
        <v>1</v>
      </c>
      <c r="Y9" s="2">
        <f t="shared" si="1"/>
        <v>-2.7792226324558356E-2</v>
      </c>
      <c r="Z9" s="2">
        <f t="shared" si="3"/>
        <v>0.984375</v>
      </c>
      <c r="AA9" s="2">
        <f t="shared" si="2"/>
        <v>-1.1837520180489114E-2</v>
      </c>
      <c r="AB9" s="2">
        <f t="shared" si="4"/>
        <v>-4.8861810030224515E-5</v>
      </c>
      <c r="AC9" s="2">
        <f t="shared" si="5"/>
        <v>3.2899103997768034E-4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-253.64324757087957</v>
      </c>
      <c r="AI9" s="2">
        <f t="shared" si="14"/>
        <v>2281.25</v>
      </c>
      <c r="AJ9" s="2">
        <v>293.5774203219471</v>
      </c>
      <c r="AK9" s="2">
        <f t="shared" si="9"/>
        <v>1984.375</v>
      </c>
      <c r="AL9" s="2">
        <v>21.254411850016368</v>
      </c>
      <c r="AM9" s="2">
        <f t="shared" si="10"/>
        <v>-5391.0380468471376</v>
      </c>
      <c r="AN9" s="2">
        <f t="shared" si="11"/>
        <v>6239.8154013880285</v>
      </c>
      <c r="AO9" s="2">
        <f t="shared" si="12"/>
        <v>593.75</v>
      </c>
    </row>
    <row r="10" spans="2:41" x14ac:dyDescent="0.2">
      <c r="B10" s="6" t="s">
        <v>134</v>
      </c>
      <c r="C10" s="16">
        <v>1.4656865784573101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251.21046578295972</v>
      </c>
      <c r="H10" s="22" t="s">
        <v>97</v>
      </c>
      <c r="J10" s="6" t="s">
        <v>92</v>
      </c>
      <c r="K10" s="6">
        <f xml:space="preserve"> $C$18 * (G10*G6 + G20*G13 + G29*G25 + G33*G32)/3600</f>
        <v>92.950298645666692</v>
      </c>
      <c r="L10" s="6" t="s">
        <v>98</v>
      </c>
      <c r="N10" s="6" t="s">
        <v>39</v>
      </c>
      <c r="O10" s="6">
        <f xml:space="preserve"> O5 * $C$12 * O9</f>
        <v>1147.74300261537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4.1277065876313968E-3</v>
      </c>
      <c r="X10" s="2">
        <f t="shared" si="8"/>
        <v>0.984375</v>
      </c>
      <c r="Y10" s="2">
        <f t="shared" si="1"/>
        <v>-1.1837520180489114E-2</v>
      </c>
      <c r="Z10" s="2">
        <f t="shared" si="3"/>
        <v>0.9765625</v>
      </c>
      <c r="AA10" s="2">
        <f t="shared" si="2"/>
        <v>-3.8562529829705428E-3</v>
      </c>
      <c r="AB10" s="2">
        <f t="shared" si="4"/>
        <v>-1.5917480841380734E-5</v>
      </c>
      <c r="AC10" s="2">
        <f t="shared" si="5"/>
        <v>4.5648472506985145E-5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-253.64324757087957</v>
      </c>
      <c r="AI10" s="2">
        <f t="shared" si="14"/>
        <v>1984.375</v>
      </c>
      <c r="AJ10" s="2">
        <v>21.254411850016368</v>
      </c>
      <c r="AK10" s="2">
        <f t="shared" si="9"/>
        <v>1835.9375</v>
      </c>
      <c r="AL10" s="2">
        <v>-115.86935854722992</v>
      </c>
      <c r="AM10" s="2">
        <f t="shared" si="10"/>
        <v>29389.480395874049</v>
      </c>
      <c r="AN10" s="2">
        <f t="shared" si="11"/>
        <v>-2462.735067360039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0.7447721805601909</v>
      </c>
      <c r="U11" s="2">
        <v>7</v>
      </c>
      <c r="V11" s="2">
        <f t="shared" si="7"/>
        <v>0.96875</v>
      </c>
      <c r="W11" s="2">
        <f t="shared" si="0"/>
        <v>4.1277065876313968E-3</v>
      </c>
      <c r="X11" s="2">
        <f t="shared" si="8"/>
        <v>0.9765625</v>
      </c>
      <c r="Y11" s="2">
        <f t="shared" si="1"/>
        <v>-3.8562529829705428E-3</v>
      </c>
      <c r="Z11" s="2">
        <f t="shared" si="3"/>
        <v>0.97265625</v>
      </c>
      <c r="AA11" s="2">
        <f t="shared" si="2"/>
        <v>1.3538625979248042E-4</v>
      </c>
      <c r="AB11" s="2">
        <f t="shared" si="4"/>
        <v>5.5883475642019719E-7</v>
      </c>
      <c r="AC11" s="2">
        <f t="shared" si="5"/>
        <v>-5.220836681779775E-7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-115.86935854722992</v>
      </c>
      <c r="AI11" s="2">
        <f t="shared" si="14"/>
        <v>1984.375</v>
      </c>
      <c r="AJ11" s="2">
        <v>21.254411850016368</v>
      </c>
      <c r="AK11" s="2">
        <f t="shared" si="9"/>
        <v>1910.15625</v>
      </c>
      <c r="AL11" s="2">
        <v>-47.22665385144046</v>
      </c>
      <c r="AM11" s="2">
        <f t="shared" si="10"/>
        <v>5472.122088098472</v>
      </c>
      <c r="AN11" s="2">
        <f t="shared" si="11"/>
        <v>-1003.7747512566773</v>
      </c>
      <c r="AO11" s="2">
        <f t="shared" si="12"/>
        <v>148.4375</v>
      </c>
    </row>
    <row r="12" spans="2:41" x14ac:dyDescent="0.2">
      <c r="B12" s="6" t="s">
        <v>135</v>
      </c>
      <c r="C12" s="16">
        <v>25.484172923307501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0.33265066102386331</v>
      </c>
      <c r="U12" s="2">
        <v>8</v>
      </c>
      <c r="V12" s="2">
        <f t="shared" si="7"/>
        <v>0.97265625</v>
      </c>
      <c r="W12" s="2">
        <f t="shared" si="0"/>
        <v>1.3538625979248042E-4</v>
      </c>
      <c r="X12" s="2">
        <f t="shared" si="8"/>
        <v>0.9765625</v>
      </c>
      <c r="Y12" s="2">
        <f t="shared" si="1"/>
        <v>-3.8562529829705428E-3</v>
      </c>
      <c r="Z12" s="2">
        <f t="shared" si="3"/>
        <v>0.974609375</v>
      </c>
      <c r="AA12" s="2">
        <f t="shared" si="2"/>
        <v>-1.8605179928218307E-3</v>
      </c>
      <c r="AB12" s="2">
        <f t="shared" si="4"/>
        <v>-2.5188857232476061E-7</v>
      </c>
      <c r="AC12" s="2">
        <f t="shared" si="5"/>
        <v>7.1746280596895519E-6</v>
      </c>
      <c r="AD12" s="2">
        <f t="shared" si="6"/>
        <v>3.90625E-3</v>
      </c>
      <c r="AF12" s="2">
        <v>8</v>
      </c>
      <c r="AG12" s="2">
        <f t="shared" si="13"/>
        <v>1910.15625</v>
      </c>
      <c r="AH12" s="2">
        <v>-47.22665385144046</v>
      </c>
      <c r="AI12" s="2">
        <f t="shared" si="14"/>
        <v>1984.375</v>
      </c>
      <c r="AJ12" s="2">
        <v>21.254411850016368</v>
      </c>
      <c r="AK12" s="2">
        <f t="shared" si="9"/>
        <v>1947.265625</v>
      </c>
      <c r="AL12" s="2">
        <v>-12.965967837227709</v>
      </c>
      <c r="AM12" s="2">
        <f t="shared" si="10"/>
        <v>612.33927489766313</v>
      </c>
      <c r="AN12" s="2">
        <f t="shared" si="11"/>
        <v>-275.5840204465037</v>
      </c>
      <c r="AO12" s="2">
        <f t="shared" si="12"/>
        <v>74.21875</v>
      </c>
    </row>
    <row r="13" spans="2:41" x14ac:dyDescent="0.2">
      <c r="B13" s="6" t="s">
        <v>136</v>
      </c>
      <c r="C13" s="16">
        <v>10.4576429318414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2.4384899805028622E-2</v>
      </c>
      <c r="U13" s="2">
        <v>9</v>
      </c>
      <c r="V13" s="2">
        <f t="shared" si="7"/>
        <v>0.97265625</v>
      </c>
      <c r="W13" s="2">
        <f t="shared" si="0"/>
        <v>1.3538625979248042E-4</v>
      </c>
      <c r="X13" s="2">
        <f t="shared" si="8"/>
        <v>0.974609375</v>
      </c>
      <c r="Y13" s="2">
        <f t="shared" si="1"/>
        <v>-1.8605179928218307E-3</v>
      </c>
      <c r="Z13" s="2">
        <f t="shared" si="3"/>
        <v>0.9736328125</v>
      </c>
      <c r="AA13" s="2">
        <f t="shared" si="2"/>
        <v>-8.6258708706266063E-4</v>
      </c>
      <c r="AB13" s="2">
        <f t="shared" si="4"/>
        <v>-1.167824394627043E-7</v>
      </c>
      <c r="AC13" s="2">
        <f t="shared" si="5"/>
        <v>1.6048587958558512E-6</v>
      </c>
      <c r="AD13" s="2">
        <f t="shared" si="6"/>
        <v>1.953125E-3</v>
      </c>
      <c r="AF13" s="2">
        <v>9</v>
      </c>
      <c r="AG13" s="2">
        <f t="shared" si="13"/>
        <v>1947.265625</v>
      </c>
      <c r="AH13" s="2">
        <v>-12.965967837227709</v>
      </c>
      <c r="AI13" s="2">
        <f t="shared" si="14"/>
        <v>1984.375</v>
      </c>
      <c r="AJ13" s="2">
        <v>21.254411850016368</v>
      </c>
      <c r="AK13" s="2">
        <f t="shared" si="9"/>
        <v>1965.8203125</v>
      </c>
      <c r="AL13" s="2">
        <v>4.1492540444019141</v>
      </c>
      <c r="AM13" s="2">
        <f t="shared" si="10"/>
        <v>-53.799094488202208</v>
      </c>
      <c r="AN13" s="2">
        <f t="shared" si="11"/>
        <v>88.189954330064381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70.221388223820526</v>
      </c>
      <c r="H14" s="6" t="s">
        <v>10</v>
      </c>
      <c r="J14" s="9" t="s">
        <v>75</v>
      </c>
      <c r="K14" s="17">
        <f>C5</f>
        <v>1961.3210189398999</v>
      </c>
      <c r="L14" s="6" t="s">
        <v>7</v>
      </c>
      <c r="N14" s="6" t="s">
        <v>40</v>
      </c>
      <c r="O14" s="6">
        <f xml:space="preserve"> O5 * O13 * $C$12</f>
        <v>1409.067760411408</v>
      </c>
      <c r="P14" s="6" t="s">
        <v>21</v>
      </c>
      <c r="U14" s="2">
        <v>10</v>
      </c>
      <c r="V14" s="2">
        <f t="shared" si="7"/>
        <v>0.97265625</v>
      </c>
      <c r="W14" s="2">
        <f t="shared" si="0"/>
        <v>1.3538625979248042E-4</v>
      </c>
      <c r="X14" s="2">
        <f t="shared" si="8"/>
        <v>0.9736328125</v>
      </c>
      <c r="Y14" s="2">
        <f t="shared" si="1"/>
        <v>-8.6258708706266063E-4</v>
      </c>
      <c r="Z14" s="2">
        <f t="shared" si="3"/>
        <v>0.97314453125</v>
      </c>
      <c r="AA14" s="2">
        <f t="shared" si="2"/>
        <v>-3.6360572664162483E-4</v>
      </c>
      <c r="AB14" s="2">
        <f t="shared" si="4"/>
        <v>-4.9227219369136642E-8</v>
      </c>
      <c r="AC14" s="2">
        <f t="shared" si="5"/>
        <v>3.1364160458310123E-7</v>
      </c>
      <c r="AD14" s="2">
        <f t="shared" si="6"/>
        <v>9.765625E-4</v>
      </c>
      <c r="AF14" s="2">
        <v>10</v>
      </c>
      <c r="AG14" s="2">
        <f t="shared" si="13"/>
        <v>1947.265625</v>
      </c>
      <c r="AH14" s="2">
        <v>-12.965967837227709</v>
      </c>
      <c r="AI14" s="2">
        <f t="shared" si="14"/>
        <v>1965.8203125</v>
      </c>
      <c r="AJ14" s="2">
        <v>4.1492540444019141</v>
      </c>
      <c r="AK14" s="2">
        <f t="shared" si="9"/>
        <v>1956.54296875</v>
      </c>
      <c r="AL14" s="2">
        <v>-4.4070980684564347</v>
      </c>
      <c r="AM14" s="2">
        <f t="shared" si="10"/>
        <v>57.14229181111449</v>
      </c>
      <c r="AN14" s="2">
        <f t="shared" si="11"/>
        <v>-18.286169484618725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0.21105138984891283</v>
      </c>
      <c r="H15" s="6" t="s">
        <v>120</v>
      </c>
      <c r="J15" s="10" t="s">
        <v>53</v>
      </c>
      <c r="K15" s="6">
        <f xml:space="preserve"> 1000 * K10 / ($C$60 * $C$61 * $C$62)</f>
        <v>248.53021028253127</v>
      </c>
      <c r="L15" s="6" t="s">
        <v>7</v>
      </c>
      <c r="N15" s="6" t="s">
        <v>140</v>
      </c>
      <c r="O15" s="6">
        <f>O4/O14</f>
        <v>13.641666100070033</v>
      </c>
      <c r="U15" s="2">
        <v>11</v>
      </c>
      <c r="V15" s="2">
        <f t="shared" si="7"/>
        <v>0.97265625</v>
      </c>
      <c r="W15" s="2">
        <f t="shared" si="0"/>
        <v>1.3538625979248042E-4</v>
      </c>
      <c r="X15" s="2">
        <f t="shared" si="8"/>
        <v>0.97314453125</v>
      </c>
      <c r="Y15" s="2">
        <f t="shared" si="1"/>
        <v>-3.6360572664162483E-4</v>
      </c>
      <c r="Z15" s="2">
        <f t="shared" si="3"/>
        <v>0.972900390625</v>
      </c>
      <c r="AA15" s="2">
        <f t="shared" si="2"/>
        <v>-1.1411106266157045E-4</v>
      </c>
      <c r="AB15" s="2">
        <f t="shared" si="4"/>
        <v>-1.5449069974695391E-8</v>
      </c>
      <c r="AC15" s="2">
        <f t="shared" si="5"/>
        <v>4.1491435856908306E-8</v>
      </c>
      <c r="AD15" s="2">
        <f t="shared" si="6"/>
        <v>4.8828125E-4</v>
      </c>
      <c r="AF15" s="2">
        <v>11</v>
      </c>
      <c r="AG15" s="2">
        <f t="shared" si="13"/>
        <v>1956.54296875</v>
      </c>
      <c r="AH15" s="2">
        <v>-4.4070980684564347</v>
      </c>
      <c r="AI15" s="2">
        <f t="shared" si="14"/>
        <v>1965.8203125</v>
      </c>
      <c r="AJ15" s="2">
        <v>4.1492540444019141</v>
      </c>
      <c r="AK15" s="2">
        <f t="shared" si="9"/>
        <v>1961.181640625</v>
      </c>
      <c r="AL15" s="2">
        <v>-0.12860753521772494</v>
      </c>
      <c r="AM15" s="2">
        <f t="shared" si="10"/>
        <v>0.56678602004697853</v>
      </c>
      <c r="AN15" s="2">
        <f t="shared" si="11"/>
        <v>-0.53362533564270687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1409.067760411408</v>
      </c>
      <c r="H16" s="6" t="s">
        <v>21</v>
      </c>
      <c r="J16" s="11" t="s">
        <v>123</v>
      </c>
      <c r="K16" s="6">
        <f>linear_250!K16</f>
        <v>170.92003159930849</v>
      </c>
      <c r="L16" s="6" t="s">
        <v>7</v>
      </c>
      <c r="N16" s="6" t="s">
        <v>111</v>
      </c>
      <c r="O16" s="6">
        <f>(O13*$C$12)/(0.3048^2)/($C$5*2.20462/1000)^(2/3)</f>
        <v>2.5202288363730543</v>
      </c>
      <c r="U16" s="2">
        <v>12</v>
      </c>
      <c r="V16" s="2">
        <f t="shared" si="7"/>
        <v>0.97265625</v>
      </c>
      <c r="W16" s="2">
        <f t="shared" si="0"/>
        <v>1.3538625979248042E-4</v>
      </c>
      <c r="X16" s="2">
        <f t="shared" si="8"/>
        <v>0.972900390625</v>
      </c>
      <c r="Y16" s="2">
        <f t="shared" si="1"/>
        <v>-1.1411106266157045E-4</v>
      </c>
      <c r="Z16" s="2">
        <f t="shared" si="3"/>
        <v>0.9727783203125</v>
      </c>
      <c r="AA16" s="2">
        <f t="shared" si="2"/>
        <v>1.0637266132929035E-5</v>
      </c>
      <c r="AB16" s="2">
        <f t="shared" si="4"/>
        <v>1.440139676154484E-9</v>
      </c>
      <c r="AC16" s="2">
        <f t="shared" si="5"/>
        <v>-1.2138297422424664E-9</v>
      </c>
      <c r="AD16" s="2">
        <f t="shared" si="6"/>
        <v>2.44140625E-4</v>
      </c>
      <c r="AF16" s="2">
        <v>12</v>
      </c>
      <c r="AG16" s="2">
        <f t="shared" si="13"/>
        <v>1961.181640625</v>
      </c>
      <c r="AH16" s="2">
        <v>-0.12860753521772494</v>
      </c>
      <c r="AI16" s="2">
        <f t="shared" si="14"/>
        <v>1965.8203125</v>
      </c>
      <c r="AJ16" s="2">
        <v>4.1492540444019141</v>
      </c>
      <c r="AK16" s="2">
        <f t="shared" si="9"/>
        <v>1963.5009765625</v>
      </c>
      <c r="AL16" s="2">
        <v>2.0104019422046804</v>
      </c>
      <c r="AM16" s="2">
        <f t="shared" si="10"/>
        <v>-0.25855283858387107</v>
      </c>
      <c r="AN16" s="2">
        <f t="shared" si="11"/>
        <v>8.3416683895662338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98.951342965504338</v>
      </c>
      <c r="H17" s="6" t="s">
        <v>97</v>
      </c>
      <c r="J17" s="11" t="s">
        <v>124</v>
      </c>
      <c r="K17" s="6">
        <f>linear_250!K17</f>
        <v>0</v>
      </c>
      <c r="L17" s="6" t="s">
        <v>7</v>
      </c>
      <c r="U17" s="2">
        <v>13</v>
      </c>
      <c r="V17" s="2">
        <f t="shared" si="7"/>
        <v>0.9727783203125</v>
      </c>
      <c r="W17" s="2">
        <f t="shared" si="0"/>
        <v>1.0637266132929035E-5</v>
      </c>
      <c r="X17" s="2">
        <f t="shared" si="8"/>
        <v>0.972900390625</v>
      </c>
      <c r="Y17" s="2">
        <f t="shared" si="1"/>
        <v>-1.1411106266157045E-4</v>
      </c>
      <c r="Z17" s="2">
        <f t="shared" si="3"/>
        <v>0.97283935546875</v>
      </c>
      <c r="AA17" s="2">
        <f t="shared" si="2"/>
        <v>-5.1736981357075607E-5</v>
      </c>
      <c r="AB17" s="2">
        <f t="shared" si="4"/>
        <v>-5.5034003960960121E-10</v>
      </c>
      <c r="AC17" s="2">
        <f t="shared" si="5"/>
        <v>5.9037619215577566E-9</v>
      </c>
      <c r="AD17" s="2">
        <f t="shared" si="6"/>
        <v>1.220703125E-4</v>
      </c>
      <c r="AF17" s="2">
        <v>13</v>
      </c>
      <c r="AG17" s="2">
        <f t="shared" si="13"/>
        <v>1961.181640625</v>
      </c>
      <c r="AH17" s="2">
        <v>-0.12860753521772494</v>
      </c>
      <c r="AI17" s="2">
        <f t="shared" si="14"/>
        <v>1963.5009765625</v>
      </c>
      <c r="AJ17" s="2">
        <v>2.0104019422046804</v>
      </c>
      <c r="AK17" s="2">
        <f t="shared" si="9"/>
        <v>1962.34130859375</v>
      </c>
      <c r="AL17" s="2">
        <v>0.94091687688160164</v>
      </c>
      <c r="AM17" s="2">
        <f t="shared" si="10"/>
        <v>-0.12100900038050234</v>
      </c>
      <c r="AN17" s="2">
        <f t="shared" si="11"/>
        <v>1.891621116735934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1.4529797928171482</v>
      </c>
      <c r="H18" s="6" t="s">
        <v>172</v>
      </c>
      <c r="J18" s="12" t="s">
        <v>54</v>
      </c>
      <c r="K18" s="6">
        <f>linear_250!K18</f>
        <v>109.55569480338427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0.9727783203125</v>
      </c>
      <c r="W18" s="2">
        <f t="shared" si="0"/>
        <v>1.0637266132929035E-5</v>
      </c>
      <c r="X18" s="2">
        <f t="shared" si="8"/>
        <v>0.97283935546875</v>
      </c>
      <c r="Y18" s="2">
        <f t="shared" si="1"/>
        <v>-5.1736981357075607E-5</v>
      </c>
      <c r="Z18" s="2">
        <f t="shared" si="3"/>
        <v>0.972808837890625</v>
      </c>
      <c r="AA18" s="2">
        <f t="shared" si="2"/>
        <v>-2.0549878387177145E-5</v>
      </c>
      <c r="AB18" s="2">
        <f t="shared" si="4"/>
        <v>-2.1859452540372978E-10</v>
      </c>
      <c r="AC18" s="2">
        <f t="shared" si="5"/>
        <v>1.063188675007555E-9</v>
      </c>
      <c r="AD18" s="2">
        <f t="shared" si="6"/>
        <v>6.103515625E-5</v>
      </c>
      <c r="AF18" s="2">
        <v>14</v>
      </c>
      <c r="AG18" s="2">
        <f t="shared" si="13"/>
        <v>1961.181640625</v>
      </c>
      <c r="AH18" s="2">
        <v>-0.12860753521772494</v>
      </c>
      <c r="AI18" s="2">
        <f t="shared" si="14"/>
        <v>1962.34130859375</v>
      </c>
      <c r="AJ18" s="2">
        <v>0.94091687688160164</v>
      </c>
      <c r="AK18" s="2">
        <f t="shared" si="9"/>
        <v>1961.761474609375</v>
      </c>
      <c r="AL18" s="2">
        <v>0.40615961616504137</v>
      </c>
      <c r="AM18" s="2">
        <f t="shared" si="10"/>
        <v>-5.2235187139963203E-2</v>
      </c>
      <c r="AN18" s="2">
        <f t="shared" si="11"/>
        <v>0.38216243755744084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4.9391897475204352E-2</v>
      </c>
      <c r="J19" s="12" t="s">
        <v>73</v>
      </c>
      <c r="K19" s="6">
        <f>linear_250!K19</f>
        <v>58.877218582361344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0.9727783203125</v>
      </c>
      <c r="W19" s="2">
        <f t="shared" si="0"/>
        <v>1.0637266132929035E-5</v>
      </c>
      <c r="X19" s="2">
        <f t="shared" si="8"/>
        <v>0.972808837890625</v>
      </c>
      <c r="Y19" s="2">
        <f t="shared" si="1"/>
        <v>-2.0549878387177145E-5</v>
      </c>
      <c r="Z19" s="2">
        <f t="shared" si="3"/>
        <v>0.9727935791015625</v>
      </c>
      <c r="AA19" s="2">
        <f t="shared" si="2"/>
        <v>-4.9563113211359422E-6</v>
      </c>
      <c r="AB19" s="2">
        <f t="shared" si="4"/>
        <v>-5.272160256057212E-11</v>
      </c>
      <c r="AC19" s="2">
        <f t="shared" si="5"/>
        <v>1.018515948983329E-10</v>
      </c>
      <c r="AD19" s="2">
        <f t="shared" si="6"/>
        <v>3.0517578125E-5</v>
      </c>
      <c r="AF19" s="2">
        <v>15</v>
      </c>
      <c r="AG19" s="2">
        <f t="shared" si="13"/>
        <v>1961.181640625</v>
      </c>
      <c r="AH19" s="2">
        <v>-0.12860753521772494</v>
      </c>
      <c r="AI19" s="2">
        <f t="shared" si="14"/>
        <v>1961.761474609375</v>
      </c>
      <c r="AJ19" s="2">
        <v>0.40615961616504137</v>
      </c>
      <c r="AK19" s="2">
        <f t="shared" si="9"/>
        <v>1961.4715576171875</v>
      </c>
      <c r="AL19" s="2">
        <v>0.13877735722394391</v>
      </c>
      <c r="AM19" s="2">
        <f t="shared" si="10"/>
        <v>-1.7847813856601162E-2</v>
      </c>
      <c r="AN19" s="2">
        <f t="shared" si="11"/>
        <v>5.6365758142475887E-2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98.951342965504338</v>
      </c>
      <c r="H20" s="22" t="s">
        <v>97</v>
      </c>
      <c r="J20" s="13" t="s">
        <v>61</v>
      </c>
      <c r="K20" s="6">
        <f>linear_250!K20</f>
        <v>216.64196796422925</v>
      </c>
      <c r="L20" s="6" t="s">
        <v>7</v>
      </c>
      <c r="N20" s="6" t="s">
        <v>20</v>
      </c>
      <c r="O20" s="6">
        <f xml:space="preserve"> O14 / $C$28</f>
        <v>1409.067760411408</v>
      </c>
      <c r="P20" s="6" t="s">
        <v>21</v>
      </c>
      <c r="U20" s="2">
        <v>16</v>
      </c>
      <c r="V20" s="2">
        <f t="shared" si="7"/>
        <v>0.9727783203125</v>
      </c>
      <c r="W20" s="2">
        <f t="shared" si="0"/>
        <v>1.0637266132929035E-5</v>
      </c>
      <c r="X20" s="2">
        <f t="shared" si="8"/>
        <v>0.9727935791015625</v>
      </c>
      <c r="Y20" s="2">
        <f t="shared" si="1"/>
        <v>-4.9563113211359422E-6</v>
      </c>
      <c r="Z20" s="2">
        <f t="shared" si="3"/>
        <v>0.97278594970703125</v>
      </c>
      <c r="AA20" s="2">
        <f t="shared" si="2"/>
        <v>2.8404761073241858E-6</v>
      </c>
      <c r="AB20" s="2">
        <f t="shared" si="4"/>
        <v>3.0214900297833659E-11</v>
      </c>
      <c r="AC20" s="2">
        <f t="shared" si="5"/>
        <v>-1.4078283888147013E-11</v>
      </c>
      <c r="AD20" s="2">
        <f t="shared" si="6"/>
        <v>1.52587890625E-5</v>
      </c>
      <c r="AF20" s="2">
        <v>16</v>
      </c>
      <c r="AG20" s="2">
        <f t="shared" si="13"/>
        <v>1961.181640625</v>
      </c>
      <c r="AH20" s="2">
        <v>-0.12860753521772494</v>
      </c>
      <c r="AI20" s="2">
        <f t="shared" si="14"/>
        <v>1961.4715576171875</v>
      </c>
      <c r="AJ20" s="2">
        <v>0.13877735722394391</v>
      </c>
      <c r="AK20" s="2">
        <f t="shared" si="9"/>
        <v>1961.3265991210938</v>
      </c>
      <c r="AL20" s="2">
        <v>5.0852133940679778E-3</v>
      </c>
      <c r="AM20" s="2">
        <f t="shared" si="10"/>
        <v>-6.5399676066724404E-4</v>
      </c>
      <c r="AN20" s="2">
        <f t="shared" si="11"/>
        <v>7.0571247574855605E-4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>linear_250!K21</f>
        <v>60.48108986598718</v>
      </c>
      <c r="L21" s="6" t="s">
        <v>7</v>
      </c>
      <c r="N21" s="6" t="s">
        <v>27</v>
      </c>
      <c r="O21" s="6">
        <f>$C$6*2*PI()/60</f>
        <v>47.910234872813781</v>
      </c>
      <c r="P21" s="6" t="s">
        <v>28</v>
      </c>
      <c r="U21" s="2">
        <v>17</v>
      </c>
      <c r="V21" s="2">
        <f t="shared" si="7"/>
        <v>0.97278594970703125</v>
      </c>
      <c r="W21" s="2">
        <f t="shared" si="0"/>
        <v>2.8404761073241858E-6</v>
      </c>
      <c r="X21" s="2">
        <f t="shared" si="8"/>
        <v>0.9727935791015625</v>
      </c>
      <c r="Y21" s="2">
        <f t="shared" si="1"/>
        <v>-4.9563113211359422E-6</v>
      </c>
      <c r="Z21" s="2">
        <f t="shared" si="3"/>
        <v>0.97278976440429688</v>
      </c>
      <c r="AA21" s="2">
        <f t="shared" si="2"/>
        <v>-1.0579179314795795E-6</v>
      </c>
      <c r="AB21" s="2">
        <f t="shared" si="4"/>
        <v>-3.0049906078775706E-12</v>
      </c>
      <c r="AC21" s="2">
        <f t="shared" si="5"/>
        <v>5.2433706206249578E-12</v>
      </c>
      <c r="AD21" s="2">
        <f t="shared" si="6"/>
        <v>7.62939453125E-6</v>
      </c>
      <c r="AF21" s="2">
        <v>17</v>
      </c>
      <c r="AG21" s="2">
        <f t="shared" si="13"/>
        <v>1961.181640625</v>
      </c>
      <c r="AH21" s="2">
        <v>-0.12860753521772494</v>
      </c>
      <c r="AI21" s="2">
        <f t="shared" si="14"/>
        <v>1961.3265991210938</v>
      </c>
      <c r="AJ21" s="2">
        <v>5.0852133940679778E-3</v>
      </c>
      <c r="AK21" s="2">
        <f t="shared" si="9"/>
        <v>1961.2541198730469</v>
      </c>
      <c r="AL21" s="2">
        <v>-6.17609781252213E-2</v>
      </c>
      <c r="AM21" s="2">
        <f t="shared" si="10"/>
        <v>7.9429271693205374E-3</v>
      </c>
      <c r="AN21" s="2">
        <f t="shared" si="11"/>
        <v>-3.1406775319311472E-4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>linear_250!K22</f>
        <v>327.16029756457215</v>
      </c>
      <c r="L22" s="6" t="s">
        <v>7</v>
      </c>
      <c r="N22" s="6" t="s">
        <v>29</v>
      </c>
      <c r="O22" s="6">
        <f xml:space="preserve"> $C$7 * COS(O19/180*PI()) / (O21 * $C$10)</f>
        <v>8.322700011368428E-2</v>
      </c>
      <c r="U22" s="2">
        <v>18</v>
      </c>
      <c r="V22" s="2">
        <f t="shared" si="7"/>
        <v>0.97278594970703125</v>
      </c>
      <c r="W22" s="2">
        <f t="shared" si="0"/>
        <v>2.8404761073241858E-6</v>
      </c>
      <c r="X22" s="2">
        <f t="shared" si="8"/>
        <v>0.97278976440429688</v>
      </c>
      <c r="Y22" s="2">
        <f t="shared" si="1"/>
        <v>-1.0579179314795795E-6</v>
      </c>
      <c r="Z22" s="2">
        <f t="shared" si="3"/>
        <v>0.97278785705566406</v>
      </c>
      <c r="AA22" s="2">
        <f t="shared" si="2"/>
        <v>8.912790067094889E-7</v>
      </c>
      <c r="AB22" s="2">
        <f t="shared" si="4"/>
        <v>2.5316567235179358E-12</v>
      </c>
      <c r="AC22" s="2">
        <f t="shared" si="5"/>
        <v>-9.4290004314927682E-13</v>
      </c>
      <c r="AD22" s="2">
        <f t="shared" si="6"/>
        <v>3.814697265625E-6</v>
      </c>
      <c r="AF22" s="2">
        <v>18</v>
      </c>
      <c r="AG22" s="2">
        <f t="shared" si="13"/>
        <v>1961.2541198730469</v>
      </c>
      <c r="AH22" s="2">
        <v>-0.12860753521772494</v>
      </c>
      <c r="AI22" s="2">
        <f t="shared" si="14"/>
        <v>1961.3265991210938</v>
      </c>
      <c r="AJ22" s="2">
        <v>5.0852133940679778E-3</v>
      </c>
      <c r="AK22" s="2">
        <f t="shared" si="9"/>
        <v>1961.2903594970703</v>
      </c>
      <c r="AL22" s="2">
        <v>-9.5184130584584636E-2</v>
      </c>
      <c r="AM22" s="2">
        <f t="shared" si="10"/>
        <v>1.2241396426325499E-2</v>
      </c>
      <c r="AN22" s="2">
        <f t="shared" si="11"/>
        <v>-4.8403161575144528E-4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>linear_250!K23</f>
        <v>26.081261453074834</v>
      </c>
      <c r="L23" s="6" t="s">
        <v>7</v>
      </c>
      <c r="N23" s="6" t="s">
        <v>30</v>
      </c>
      <c r="O23" s="6">
        <f xml:space="preserve"> O20 / ( $C$71 * PI() * $C$10^2 * O21^2 * $C$10^2)</f>
        <v>4.1982267712948246E-2</v>
      </c>
      <c r="U23" s="2">
        <v>19</v>
      </c>
      <c r="V23" s="2">
        <f t="shared" si="7"/>
        <v>0.97278785705566406</v>
      </c>
      <c r="W23" s="2">
        <f t="shared" si="0"/>
        <v>8.912790067094889E-7</v>
      </c>
      <c r="X23" s="2">
        <f t="shared" si="8"/>
        <v>0.97278976440429688</v>
      </c>
      <c r="Y23" s="2">
        <f t="shared" si="1"/>
        <v>-1.0579179314795795E-6</v>
      </c>
      <c r="Z23" s="2">
        <f t="shared" si="3"/>
        <v>0.97278881072998047</v>
      </c>
      <c r="AA23" s="2">
        <f t="shared" si="2"/>
        <v>-8.3319482646615484E-8</v>
      </c>
      <c r="AB23" s="2">
        <f t="shared" si="4"/>
        <v>-7.4260905732823948E-14</v>
      </c>
      <c r="AC23" s="2">
        <f t="shared" si="5"/>
        <v>8.8145174733456168E-14</v>
      </c>
      <c r="AD23" s="2">
        <f t="shared" si="6"/>
        <v>1.9073486328125E-6</v>
      </c>
      <c r="AF23" s="2">
        <v>19</v>
      </c>
      <c r="AG23" s="2">
        <f t="shared" si="13"/>
        <v>1961.2903594970703</v>
      </c>
      <c r="AH23" s="2">
        <v>-0.12860753521772494</v>
      </c>
      <c r="AI23" s="2">
        <f t="shared" si="14"/>
        <v>1961.3265991210938</v>
      </c>
      <c r="AJ23" s="2">
        <v>5.0852133940679778E-3</v>
      </c>
      <c r="AK23" s="2">
        <f t="shared" si="9"/>
        <v>1961.308479309082</v>
      </c>
      <c r="AL23" s="2">
        <v>-0.11189582817678456</v>
      </c>
      <c r="AM23" s="2">
        <f t="shared" si="10"/>
        <v>1.439064666296232E-2</v>
      </c>
      <c r="AN23" s="2">
        <f t="shared" si="11"/>
        <v>-5.6901416418491388E-4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>linear_250!K24</f>
        <v>8.9421875853204309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0.97278785705566406</v>
      </c>
      <c r="W24" s="2">
        <f t="shared" si="0"/>
        <v>8.912790067094889E-7</v>
      </c>
      <c r="X24" s="2">
        <f t="shared" si="8"/>
        <v>0.97278881072998047</v>
      </c>
      <c r="Y24" s="2">
        <f t="shared" si="1"/>
        <v>-8.3319482646615484E-8</v>
      </c>
      <c r="Z24" s="2">
        <f t="shared" si="3"/>
        <v>0.97278833389282227</v>
      </c>
      <c r="AA24" s="2">
        <f t="shared" si="2"/>
        <v>4.0397975697992194E-7</v>
      </c>
      <c r="AB24" s="2">
        <f t="shared" si="4"/>
        <v>3.6005867653180554E-13</v>
      </c>
      <c r="AC24" s="2">
        <f t="shared" si="5"/>
        <v>-3.3659384351272544E-14</v>
      </c>
      <c r="AD24" s="2">
        <f t="shared" si="6"/>
        <v>9.5367431640625E-7</v>
      </c>
      <c r="AF24" s="2">
        <v>20</v>
      </c>
      <c r="AG24" s="2">
        <f t="shared" si="13"/>
        <v>1961.308479309082</v>
      </c>
      <c r="AH24" s="2">
        <v>-0.12860753521772494</v>
      </c>
      <c r="AI24" s="2">
        <f t="shared" si="14"/>
        <v>1961.3265991210938</v>
      </c>
      <c r="AJ24" s="2">
        <v>5.0852133940679778E-3</v>
      </c>
      <c r="AK24" s="2">
        <f t="shared" si="9"/>
        <v>1961.3175392150879</v>
      </c>
      <c r="AL24" s="2">
        <v>-0.12025157332891467</v>
      </c>
      <c r="AM24" s="2">
        <f t="shared" si="10"/>
        <v>1.5465258451885228E-2</v>
      </c>
      <c r="AN24" s="2">
        <f t="shared" si="11"/>
        <v>-6.1150491134994453E-4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linear_250!K25</f>
        <v>21.837947477166356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2300.4530305494418</v>
      </c>
      <c r="P25" s="6" t="s">
        <v>19</v>
      </c>
      <c r="U25" s="2">
        <v>21</v>
      </c>
      <c r="V25" s="2">
        <f t="shared" si="7"/>
        <v>0.97278833389282227</v>
      </c>
      <c r="W25" s="2">
        <f t="shared" si="0"/>
        <v>4.0397975697992194E-7</v>
      </c>
      <c r="X25" s="2">
        <f t="shared" si="8"/>
        <v>0.97278881072998047</v>
      </c>
      <c r="Y25" s="2">
        <f t="shared" si="1"/>
        <v>-8.3319482646615484E-8</v>
      </c>
      <c r="Z25" s="2">
        <f t="shared" si="3"/>
        <v>0.97278857231140137</v>
      </c>
      <c r="AA25" s="2">
        <f t="shared" si="2"/>
        <v>1.603301358343856E-7</v>
      </c>
      <c r="AB25" s="2">
        <f t="shared" si="4"/>
        <v>6.4770129310932965E-14</v>
      </c>
      <c r="AC25" s="2">
        <f t="shared" si="5"/>
        <v>-1.3358623970382594E-14</v>
      </c>
      <c r="AD25" s="2">
        <f t="shared" si="6"/>
        <v>4.76837158203125E-7</v>
      </c>
      <c r="AF25" s="2">
        <v>21</v>
      </c>
      <c r="AG25" s="2">
        <f t="shared" si="13"/>
        <v>1961.3175392150879</v>
      </c>
      <c r="AH25" s="2">
        <v>-0.12860753521772494</v>
      </c>
      <c r="AI25" s="2">
        <f t="shared" si="14"/>
        <v>1961.3265991210938</v>
      </c>
      <c r="AJ25" s="2">
        <v>5.0852133940679778E-3</v>
      </c>
      <c r="AK25" s="2">
        <f t="shared" si="9"/>
        <v>1961.3220691680908</v>
      </c>
      <c r="AL25" s="2">
        <v>-0.12442955397818878</v>
      </c>
      <c r="AM25" s="2">
        <f t="shared" si="10"/>
        <v>1.600257824537572E-2</v>
      </c>
      <c r="AN25" s="2">
        <f t="shared" si="11"/>
        <v>-6.3275083450778998E-4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2402.9838365762835</v>
      </c>
      <c r="H26" s="6" t="s">
        <v>21</v>
      </c>
      <c r="J26" s="14" t="s">
        <v>65</v>
      </c>
      <c r="K26" s="6">
        <f>linear_250!K26</f>
        <v>49.873637181798664</v>
      </c>
      <c r="L26" s="6" t="s">
        <v>7</v>
      </c>
      <c r="N26" s="6" t="s">
        <v>32</v>
      </c>
      <c r="O26" s="17">
        <f>Z34</f>
        <v>0.97278872923925519</v>
      </c>
      <c r="U26" s="2">
        <v>22</v>
      </c>
      <c r="V26" s="2">
        <f t="shared" si="7"/>
        <v>0.97278857231140137</v>
      </c>
      <c r="W26" s="2">
        <f t="shared" si="0"/>
        <v>1.603301358343856E-7</v>
      </c>
      <c r="X26" s="2">
        <f t="shared" si="8"/>
        <v>0.97278881072998047</v>
      </c>
      <c r="Y26" s="2">
        <f t="shared" si="1"/>
        <v>-8.3319482646615484E-8</v>
      </c>
      <c r="Z26" s="2">
        <f t="shared" si="3"/>
        <v>0.97278869152069092</v>
      </c>
      <c r="AA26" s="2">
        <f t="shared" si="2"/>
        <v>3.8505326260818151E-8</v>
      </c>
      <c r="AB26" s="2">
        <f t="shared" si="4"/>
        <v>6.173564189744309E-15</v>
      </c>
      <c r="AC26" s="2">
        <f t="shared" si="5"/>
        <v>-3.2082438631905053E-15</v>
      </c>
      <c r="AD26" s="2">
        <f t="shared" si="6"/>
        <v>2.384185791015625E-7</v>
      </c>
      <c r="AF26" s="2">
        <v>22</v>
      </c>
      <c r="AG26" s="2">
        <f t="shared" si="13"/>
        <v>1961.3220691680908</v>
      </c>
      <c r="AH26" s="2">
        <v>-0.12860753521772494</v>
      </c>
      <c r="AI26" s="2">
        <f t="shared" si="14"/>
        <v>1961.3265991210938</v>
      </c>
      <c r="AJ26" s="2">
        <v>5.0852133940679778E-3</v>
      </c>
      <c r="AK26" s="2">
        <f t="shared" si="9"/>
        <v>1961.3243341445923</v>
      </c>
      <c r="AL26" s="2">
        <v>-0.12651843733738133</v>
      </c>
      <c r="AM26" s="2">
        <f t="shared" si="10"/>
        <v>1.6271224385558794E-2</v>
      </c>
      <c r="AN26" s="2">
        <f t="shared" si="11"/>
        <v>-6.4337325214460167E-4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27.027671125945925</v>
      </c>
      <c r="H27" t="s">
        <v>97</v>
      </c>
      <c r="J27" s="14" t="s">
        <v>66</v>
      </c>
      <c r="K27" s="6">
        <f>linear_250!K27</f>
        <v>8.0250032147547259</v>
      </c>
      <c r="L27" s="6" t="s">
        <v>7</v>
      </c>
      <c r="N27" s="6" t="s">
        <v>33</v>
      </c>
      <c r="O27" s="6">
        <f xml:space="preserve"> O21 * $C$10 * O26 - $C$7 * SIN(O19/180*PI())</f>
        <v>1.5097433404266809</v>
      </c>
      <c r="P27" s="6" t="s">
        <v>10</v>
      </c>
      <c r="U27" s="2">
        <v>23</v>
      </c>
      <c r="V27" s="2">
        <f t="shared" si="7"/>
        <v>0.97278869152069092</v>
      </c>
      <c r="W27" s="2">
        <f t="shared" si="0"/>
        <v>3.8505326260818151E-8</v>
      </c>
      <c r="X27" s="2">
        <f t="shared" si="8"/>
        <v>0.97278881072998047</v>
      </c>
      <c r="Y27" s="2">
        <f t="shared" si="1"/>
        <v>-8.3319482646615484E-8</v>
      </c>
      <c r="Z27" s="2">
        <f t="shared" si="3"/>
        <v>0.97278875112533569</v>
      </c>
      <c r="AA27" s="2">
        <f t="shared" si="2"/>
        <v>-2.2407078303920969E-8</v>
      </c>
      <c r="AB27" s="2">
        <f t="shared" si="4"/>
        <v>-8.6279186064417674E-16</v>
      </c>
      <c r="AC27" s="2">
        <f t="shared" si="5"/>
        <v>1.8669461719048975E-15</v>
      </c>
      <c r="AD27" s="2">
        <f t="shared" si="6"/>
        <v>1.1920928955078125E-7</v>
      </c>
      <c r="AF27" s="2">
        <v>23</v>
      </c>
      <c r="AG27" s="2">
        <f t="shared" si="13"/>
        <v>1961.3243341445923</v>
      </c>
      <c r="AH27" s="2">
        <v>-0.12860753521772494</v>
      </c>
      <c r="AI27" s="2">
        <f t="shared" si="14"/>
        <v>1961.3265991210938</v>
      </c>
      <c r="AJ27" s="2">
        <v>5.0852133940679778E-3</v>
      </c>
      <c r="AK27" s="2">
        <f t="shared" si="9"/>
        <v>1961.325466632843</v>
      </c>
      <c r="AL27" s="2">
        <v>-0.12756287907222941</v>
      </c>
      <c r="AM27" s="2">
        <f t="shared" si="10"/>
        <v>1.6405547462756132E-2</v>
      </c>
      <c r="AN27" s="2">
        <f t="shared" si="11"/>
        <v>-6.4868446124397472E-4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9.0708935381463487</v>
      </c>
      <c r="H28" s="6" t="s">
        <v>172</v>
      </c>
      <c r="J28" s="14" t="s">
        <v>67</v>
      </c>
      <c r="K28" s="6">
        <f>linear_250!K28</f>
        <v>14.887652890089152</v>
      </c>
      <c r="L28" s="6" t="s">
        <v>7</v>
      </c>
      <c r="N28" s="6" t="s">
        <v>34</v>
      </c>
      <c r="O28" s="6">
        <f xml:space="preserve"> 1/$C$31 - O25 * SQRT( (2*$C$71*PI()*$C$10^2) / O20^3 )</f>
        <v>1.1728632300072053</v>
      </c>
      <c r="U28" s="2">
        <v>24</v>
      </c>
      <c r="V28" s="2">
        <f t="shared" si="7"/>
        <v>0.97278869152069092</v>
      </c>
      <c r="W28" s="2">
        <f t="shared" si="0"/>
        <v>3.8505326260818151E-8</v>
      </c>
      <c r="X28" s="2">
        <f t="shared" si="8"/>
        <v>0.97278875112533569</v>
      </c>
      <c r="Y28" s="2">
        <f t="shared" si="1"/>
        <v>-2.2407078303920969E-8</v>
      </c>
      <c r="Z28" s="2">
        <f t="shared" si="3"/>
        <v>0.97278872132301331</v>
      </c>
      <c r="AA28" s="2">
        <f t="shared" si="2"/>
        <v>8.0491239229374401E-9</v>
      </c>
      <c r="AB28" s="2">
        <f t="shared" si="4"/>
        <v>3.0993414276646265E-16</v>
      </c>
      <c r="AC28" s="2">
        <f t="shared" si="5"/>
        <v>-1.8035735001922274E-16</v>
      </c>
      <c r="AD28" s="2">
        <f t="shared" si="6"/>
        <v>5.9604644775390625E-8</v>
      </c>
      <c r="AF28" s="2">
        <v>24</v>
      </c>
      <c r="AG28" s="2">
        <f t="shared" si="13"/>
        <v>1961.325466632843</v>
      </c>
      <c r="AH28" s="2">
        <v>-0.12860753521772494</v>
      </c>
      <c r="AI28" s="2">
        <f t="shared" si="14"/>
        <v>1961.3265991210938</v>
      </c>
      <c r="AJ28" s="2">
        <v>5.0852133940679778E-3</v>
      </c>
      <c r="AK28" s="2">
        <f t="shared" si="9"/>
        <v>1961.3260328769684</v>
      </c>
      <c r="AL28" s="2">
        <v>-0.1280852071404297</v>
      </c>
      <c r="AM28" s="2">
        <f t="shared" si="10"/>
        <v>1.6472722788182407E-2</v>
      </c>
      <c r="AN28" s="2">
        <f t="shared" si="11"/>
        <v>-6.5134061093248454E-4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216.2213690075674</v>
      </c>
      <c r="H29" s="22" t="s">
        <v>97</v>
      </c>
      <c r="J29" s="14" t="s">
        <v>68</v>
      </c>
      <c r="K29" s="6">
        <f>linear_250!K29</f>
        <v>39.506879719894869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0.97278872132301331</v>
      </c>
      <c r="W29" s="2">
        <f t="shared" si="0"/>
        <v>8.0491239229374401E-9</v>
      </c>
      <c r="X29" s="2">
        <f t="shared" si="8"/>
        <v>0.97278875112533569</v>
      </c>
      <c r="Y29" s="2">
        <f t="shared" si="1"/>
        <v>-2.2407078303920969E-8</v>
      </c>
      <c r="Z29" s="2">
        <f t="shared" si="3"/>
        <v>0.9727887362241745</v>
      </c>
      <c r="AA29" s="2">
        <f t="shared" si="2"/>
        <v>-7.1789771904917643E-9</v>
      </c>
      <c r="AB29" s="2">
        <f t="shared" si="4"/>
        <v>-5.7784477046209472E-17</v>
      </c>
      <c r="AC29" s="2">
        <f t="shared" si="5"/>
        <v>1.6085990404941152E-16</v>
      </c>
      <c r="AD29" s="2">
        <f t="shared" si="6"/>
        <v>2.9802322387695312E-8</v>
      </c>
      <c r="AF29" s="2">
        <v>25</v>
      </c>
      <c r="AG29" s="2">
        <f t="shared" si="13"/>
        <v>1961.3260328769684</v>
      </c>
      <c r="AH29" s="2">
        <v>-0.12860753521772494</v>
      </c>
      <c r="AI29" s="2">
        <f t="shared" si="14"/>
        <v>1961.3265991210938</v>
      </c>
      <c r="AJ29" s="2">
        <v>5.0852133940679778E-3</v>
      </c>
      <c r="AK29" s="2">
        <f t="shared" si="9"/>
        <v>1961.3263159990311</v>
      </c>
      <c r="AL29" s="2">
        <v>-0.12834637117794045</v>
      </c>
      <c r="AM29" s="2">
        <f t="shared" si="10"/>
        <v>1.6506310451334175E-2</v>
      </c>
      <c r="AN29" s="2">
        <f t="shared" si="11"/>
        <v>-6.5266868579408311E-4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-6.1244573089425103E-5</v>
      </c>
      <c r="L30" s="9" t="s">
        <v>7</v>
      </c>
      <c r="N30" s="6" t="s">
        <v>36</v>
      </c>
      <c r="O30" s="6">
        <f xml:space="preserve"> 1/$C$77 * LN( EXP($C$77 * O28) + EXP($C$77 * O29) )</f>
        <v>1.1864594871288343</v>
      </c>
      <c r="U30" s="2">
        <v>26</v>
      </c>
      <c r="V30" s="2">
        <f>IF(AB29&gt;0, Z29, V29)</f>
        <v>0.97278872132301331</v>
      </c>
      <c r="W30" s="2">
        <f t="shared" si="0"/>
        <v>8.0491239229374401E-9</v>
      </c>
      <c r="X30" s="2">
        <f t="shared" si="8"/>
        <v>0.9727887362241745</v>
      </c>
      <c r="Y30" s="2">
        <f t="shared" si="1"/>
        <v>-7.1789771904917643E-9</v>
      </c>
      <c r="Z30" s="2">
        <f t="shared" si="3"/>
        <v>0.9727887287735939</v>
      </c>
      <c r="AA30" s="2">
        <f t="shared" si="2"/>
        <v>4.3507342173398911E-10</v>
      </c>
      <c r="AB30" s="2">
        <f t="shared" si="4"/>
        <v>3.5019598871133017E-18</v>
      </c>
      <c r="AC30" s="2">
        <f t="shared" si="5"/>
        <v>-3.1233821708175116E-18</v>
      </c>
      <c r="AD30" s="2">
        <f t="shared" si="6"/>
        <v>1.4901161193847656E-8</v>
      </c>
      <c r="AF30" s="2">
        <v>26</v>
      </c>
      <c r="AG30" s="2">
        <f t="shared" si="13"/>
        <v>1961.3263159990311</v>
      </c>
      <c r="AH30" s="2">
        <v>-0.12860753521772494</v>
      </c>
      <c r="AI30" s="2">
        <f t="shared" si="14"/>
        <v>1961.3265991210938</v>
      </c>
      <c r="AJ30" s="2">
        <v>5.0852133940679778E-3</v>
      </c>
      <c r="AK30" s="2">
        <f t="shared" si="9"/>
        <v>1961.3264575600624</v>
      </c>
      <c r="AL30" s="2">
        <v>-0.12847684601069886</v>
      </c>
      <c r="AM30" s="2">
        <f t="shared" si="10"/>
        <v>1.652309049798318E-2</v>
      </c>
      <c r="AN30" s="2">
        <f t="shared" si="11"/>
        <v>-6.5333217816121491E-4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0.9727887287735939</v>
      </c>
      <c r="W31" s="2">
        <f t="shared" si="0"/>
        <v>4.3507342173398911E-10</v>
      </c>
      <c r="X31" s="2">
        <f t="shared" si="8"/>
        <v>0.9727887362241745</v>
      </c>
      <c r="Y31" s="2">
        <f t="shared" si="1"/>
        <v>-7.1789771904917643E-9</v>
      </c>
      <c r="Z31" s="2">
        <f t="shared" si="3"/>
        <v>0.9727887324988842</v>
      </c>
      <c r="AA31" s="2">
        <f t="shared" si="2"/>
        <v>-3.3719518288677364E-9</v>
      </c>
      <c r="AB31" s="2">
        <f t="shared" si="4"/>
        <v>-1.4670466201076685E-18</v>
      </c>
      <c r="AC31" s="2">
        <f t="shared" si="5"/>
        <v>2.4207165266878468E-17</v>
      </c>
      <c r="AD31" s="2">
        <f t="shared" si="6"/>
        <v>7.4505805969238281E-9</v>
      </c>
      <c r="AF31" s="2">
        <v>27</v>
      </c>
      <c r="AG31" s="2">
        <f t="shared" si="13"/>
        <v>1961.3264575600624</v>
      </c>
      <c r="AH31" s="2">
        <v>-0.12860753521772494</v>
      </c>
      <c r="AI31" s="2">
        <f t="shared" si="14"/>
        <v>1961.3265991210938</v>
      </c>
      <c r="AJ31" s="2">
        <v>5.0852133940679778E-3</v>
      </c>
      <c r="AK31" s="2">
        <f t="shared" si="9"/>
        <v>1961.3265283405781</v>
      </c>
      <c r="AL31" s="2">
        <v>-0.12854219061409822</v>
      </c>
      <c r="AM31" s="2">
        <f t="shared" si="10"/>
        <v>1.6531494306366148E-2</v>
      </c>
      <c r="AN31" s="2">
        <f t="shared" si="11"/>
        <v>-6.5366446941365138E-4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0.9727887287735939</v>
      </c>
      <c r="W32" s="2">
        <f t="shared" si="0"/>
        <v>4.3507342173398911E-10</v>
      </c>
      <c r="X32" s="2">
        <f t="shared" si="8"/>
        <v>0.9727887324988842</v>
      </c>
      <c r="Y32" s="2">
        <f t="shared" si="1"/>
        <v>-3.3719518288677364E-9</v>
      </c>
      <c r="Z32" s="2">
        <f t="shared" si="3"/>
        <v>0.97278873063623905</v>
      </c>
      <c r="AA32" s="2">
        <f t="shared" si="2"/>
        <v>-1.4684392590780249E-9</v>
      </c>
      <c r="AB32" s="2">
        <f t="shared" si="4"/>
        <v>-6.388788930556E-19</v>
      </c>
      <c r="AC32" s="2">
        <f t="shared" si="5"/>
        <v>4.9515064452293297E-18</v>
      </c>
      <c r="AD32" s="2">
        <f t="shared" si="6"/>
        <v>3.7252902984619141E-9</v>
      </c>
      <c r="AF32" s="2">
        <v>28</v>
      </c>
      <c r="AG32" s="2">
        <f t="shared" si="13"/>
        <v>1961.3265283405781</v>
      </c>
      <c r="AH32" s="2">
        <v>-0.12860753521772494</v>
      </c>
      <c r="AI32" s="2">
        <f t="shared" si="14"/>
        <v>1961.3265991210938</v>
      </c>
      <c r="AJ32" s="2">
        <v>5.0852133940679778E-3</v>
      </c>
      <c r="AK32" s="2">
        <f t="shared" si="9"/>
        <v>1961.3265637308359</v>
      </c>
      <c r="AL32" s="2">
        <v>-0.12857486291591158</v>
      </c>
      <c r="AM32" s="2">
        <f t="shared" si="10"/>
        <v>1.6535696210572257E-2</v>
      </c>
      <c r="AN32" s="2">
        <f t="shared" si="11"/>
        <v>-6.5383061504044771E-4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98.951342965504338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0.9727887287735939</v>
      </c>
      <c r="W33" s="2">
        <f t="shared" si="0"/>
        <v>4.3507342173398911E-10</v>
      </c>
      <c r="X33" s="2">
        <f t="shared" si="8"/>
        <v>0.97278873063623905</v>
      </c>
      <c r="Y33" s="2">
        <f t="shared" si="1"/>
        <v>-1.4684392590780249E-9</v>
      </c>
      <c r="Z33" s="2">
        <f t="shared" si="3"/>
        <v>0.97278872970491648</v>
      </c>
      <c r="AA33" s="2">
        <f t="shared" si="2"/>
        <v>-5.1668291867201788E-10</v>
      </c>
      <c r="AB33" s="2">
        <f t="shared" si="4"/>
        <v>-2.2479500537813923E-19</v>
      </c>
      <c r="AC33" s="2">
        <f t="shared" si="5"/>
        <v>7.5871748227300931E-19</v>
      </c>
      <c r="AD33" s="2">
        <f t="shared" si="6"/>
        <v>1.862645149230957E-9</v>
      </c>
      <c r="AF33" s="2">
        <v>29</v>
      </c>
      <c r="AG33" s="2">
        <f t="shared" si="13"/>
        <v>1961.3265637308359</v>
      </c>
      <c r="AH33" s="2">
        <v>-0.12860753521772494</v>
      </c>
      <c r="AI33" s="2">
        <f t="shared" si="14"/>
        <v>1961.3265991210938</v>
      </c>
      <c r="AJ33" s="2">
        <v>5.0852133940679778E-3</v>
      </c>
      <c r="AK33" s="2">
        <f t="shared" si="9"/>
        <v>1961.3265814259648</v>
      </c>
      <c r="AL33" s="2">
        <v>-0.12859119906670458</v>
      </c>
      <c r="AM33" s="2">
        <f t="shared" si="10"/>
        <v>1.6537797162660687E-2</v>
      </c>
      <c r="AN33" s="2">
        <f t="shared" si="11"/>
        <v>-6.5391368785326772E-4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30.59</v>
      </c>
      <c r="L34" s="6" t="s">
        <v>59</v>
      </c>
      <c r="U34" s="2">
        <v>30</v>
      </c>
      <c r="V34" s="2">
        <f t="shared" si="7"/>
        <v>0.9727887287735939</v>
      </c>
      <c r="W34" s="2">
        <f t="shared" si="0"/>
        <v>4.3507342173398911E-10</v>
      </c>
      <c r="X34" s="2">
        <f t="shared" si="8"/>
        <v>0.97278872970491648</v>
      </c>
      <c r="Y34" s="2">
        <f t="shared" si="1"/>
        <v>-5.1668291867201788E-10</v>
      </c>
      <c r="Z34" s="2">
        <f t="shared" si="3"/>
        <v>0.97278872923925519</v>
      </c>
      <c r="AA34" s="2">
        <f t="shared" si="2"/>
        <v>-4.0804803980165616E-11</v>
      </c>
      <c r="AB34" s="2">
        <f t="shared" si="4"/>
        <v>-1.7753085690835352E-20</v>
      </c>
      <c r="AC34" s="2">
        <f t="shared" si="5"/>
        <v>2.1083145216311542E-20</v>
      </c>
      <c r="AD34" s="2">
        <f t="shared" si="6"/>
        <v>9.3132257461547852E-10</v>
      </c>
      <c r="AF34" s="2">
        <v>30</v>
      </c>
      <c r="AG34" s="2">
        <f t="shared" si="13"/>
        <v>1961.3265814259648</v>
      </c>
      <c r="AH34" s="2">
        <v>-0.12860753521772494</v>
      </c>
      <c r="AI34" s="2">
        <f t="shared" si="14"/>
        <v>1961.3265991210938</v>
      </c>
      <c r="AJ34" s="2">
        <v>5.0852133940679778E-3</v>
      </c>
      <c r="AK34" s="2">
        <f t="shared" si="9"/>
        <v>1961.3265902735293</v>
      </c>
      <c r="AL34" s="2">
        <v>-0.12859936714221476</v>
      </c>
      <c r="AM34" s="2">
        <f t="shared" si="10"/>
        <v>1.6538847638719524E-2</v>
      </c>
      <c r="AN34" s="2">
        <f t="shared" si="11"/>
        <v>-6.5395522426025588E-4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12.67</v>
      </c>
      <c r="L35" s="6" t="s">
        <v>59</v>
      </c>
      <c r="AF35" s="2">
        <v>31</v>
      </c>
      <c r="AG35" s="2">
        <f t="shared" si="13"/>
        <v>1961.3265902735293</v>
      </c>
      <c r="AH35" s="2">
        <v>-0.12860753521772494</v>
      </c>
      <c r="AI35" s="2">
        <f t="shared" si="14"/>
        <v>1961.3265991210938</v>
      </c>
      <c r="AJ35" s="2">
        <v>5.0852133940679778E-3</v>
      </c>
      <c r="AK35" s="2">
        <f t="shared" si="9"/>
        <v>1961.3265946973115</v>
      </c>
      <c r="AL35" s="2">
        <v>-0.12860345117996985</v>
      </c>
      <c r="AM35" s="2">
        <f t="shared" si="10"/>
        <v>1.6539372876748944E-2</v>
      </c>
      <c r="AN35" s="2">
        <f t="shared" si="11"/>
        <v>-6.5397599246374996E-4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17.3</v>
      </c>
      <c r="L36" s="6" t="s">
        <v>59</v>
      </c>
      <c r="AF36" s="2">
        <v>32</v>
      </c>
      <c r="AG36" s="2">
        <f t="shared" si="13"/>
        <v>1961.3265946973115</v>
      </c>
      <c r="AH36" s="2">
        <v>-0.12860753521772494</v>
      </c>
      <c r="AI36" s="2">
        <f t="shared" si="14"/>
        <v>1961.3265991210938</v>
      </c>
      <c r="AJ36" s="2">
        <v>5.0852133940679778E-3</v>
      </c>
      <c r="AK36" s="2">
        <f t="shared" si="9"/>
        <v>1961.3265969092026</v>
      </c>
      <c r="AL36" s="2">
        <v>-0.1286054931988474</v>
      </c>
      <c r="AM36" s="2">
        <f t="shared" si="10"/>
        <v>1.6539635495763653E-2</v>
      </c>
      <c r="AN36" s="2">
        <f t="shared" si="11"/>
        <v>-6.5398637656549706E-4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33.71</v>
      </c>
      <c r="L37" s="6" t="s">
        <v>59</v>
      </c>
      <c r="AF37" s="2">
        <v>33</v>
      </c>
      <c r="AG37" s="2">
        <f t="shared" si="13"/>
        <v>1961.3265969092026</v>
      </c>
      <c r="AH37" s="2">
        <v>-0.12860753521772494</v>
      </c>
      <c r="AI37" s="2">
        <f t="shared" si="14"/>
        <v>1961.3265991210938</v>
      </c>
      <c r="AJ37" s="2">
        <v>5.0852133940679778E-3</v>
      </c>
      <c r="AK37" s="2">
        <f t="shared" si="9"/>
        <v>1961.3265980151482</v>
      </c>
      <c r="AL37" s="2">
        <v>-0.1286065142080588</v>
      </c>
      <c r="AM37" s="2">
        <f t="shared" si="10"/>
        <v>1.6539766805241767E-2</v>
      </c>
      <c r="AN37" s="2">
        <f t="shared" si="11"/>
        <v>-6.539915686152143E-4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5.73</v>
      </c>
      <c r="L38" s="6" t="s">
        <v>59</v>
      </c>
      <c r="AF38" s="2">
        <v>34</v>
      </c>
      <c r="AG38" s="2">
        <f t="shared" si="13"/>
        <v>1961.3265980151482</v>
      </c>
      <c r="AH38" s="2">
        <v>-0.12860753521772494</v>
      </c>
      <c r="AI38" s="2">
        <f t="shared" si="14"/>
        <v>1961.3265991210938</v>
      </c>
      <c r="AJ38" s="2">
        <v>5.0852133940679778E-3</v>
      </c>
      <c r="AK38" s="2">
        <f t="shared" si="9"/>
        <v>1961.326598568121</v>
      </c>
      <c r="AL38" s="2">
        <v>-0.12860702471289187</v>
      </c>
      <c r="AM38" s="2">
        <f t="shared" si="10"/>
        <v>1.6539832460010062E-2</v>
      </c>
      <c r="AN38" s="2">
        <f t="shared" si="11"/>
        <v>-6.5399416464122912E-4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100.00000000000001</v>
      </c>
      <c r="L39" s="9" t="s">
        <v>59</v>
      </c>
      <c r="AF39" s="2">
        <v>35</v>
      </c>
      <c r="AG39" s="2">
        <f t="shared" si="13"/>
        <v>1961.326598568121</v>
      </c>
      <c r="AH39" s="2">
        <v>-0.12860753521772494</v>
      </c>
      <c r="AI39" s="2">
        <f t="shared" si="14"/>
        <v>1961.3265991210938</v>
      </c>
      <c r="AJ39" s="2">
        <v>5.0852133940679778E-3</v>
      </c>
      <c r="AK39" s="2">
        <f t="shared" si="9"/>
        <v>1961.3265988446074</v>
      </c>
      <c r="AL39" s="2">
        <v>-0.12860727996530841</v>
      </c>
      <c r="AM39" s="2">
        <f t="shared" si="10"/>
        <v>1.6539865287394213E-2</v>
      </c>
      <c r="AN39" s="2">
        <f t="shared" si="11"/>
        <v>-6.5399546265423663E-4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1961.3265988446074</v>
      </c>
      <c r="AH40" s="2">
        <v>-0.12860753521772494</v>
      </c>
      <c r="AI40" s="2">
        <f t="shared" si="14"/>
        <v>1961.3265991210938</v>
      </c>
      <c r="AJ40" s="2">
        <v>5.0852133940679778E-3</v>
      </c>
      <c r="AK40" s="2">
        <f t="shared" si="9"/>
        <v>1961.3265989828506</v>
      </c>
      <c r="AL40" s="2">
        <v>-0.12860740759151668</v>
      </c>
      <c r="AM40" s="2">
        <f t="shared" si="10"/>
        <v>1.6539881701086286E-2</v>
      </c>
      <c r="AN40" s="2">
        <f t="shared" si="11"/>
        <v>-6.5399611166074034E-4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1961.3265989828506</v>
      </c>
      <c r="AH41" s="2">
        <v>-0.12860753521772494</v>
      </c>
      <c r="AI41" s="2">
        <f t="shared" si="14"/>
        <v>1961.3265991210938</v>
      </c>
      <c r="AJ41" s="2">
        <v>5.0852133940679778E-3</v>
      </c>
      <c r="AK41" s="2">
        <f t="shared" si="9"/>
        <v>1961.3265990519722</v>
      </c>
      <c r="AL41" s="2">
        <v>-0.12860747140462081</v>
      </c>
      <c r="AM41" s="2">
        <f t="shared" si="10"/>
        <v>1.6539889907932325E-2</v>
      </c>
      <c r="AN41" s="2">
        <f t="shared" si="11"/>
        <v>-6.5399643616399219E-4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1961.3265990519722</v>
      </c>
      <c r="AH42" s="2">
        <v>-0.12860753521772494</v>
      </c>
      <c r="AI42" s="2">
        <f t="shared" si="14"/>
        <v>1961.3265991210938</v>
      </c>
      <c r="AJ42" s="2">
        <v>5.0852133940679778E-3</v>
      </c>
      <c r="AK42" s="2">
        <f t="shared" si="9"/>
        <v>1961.326599086533</v>
      </c>
      <c r="AL42" s="2">
        <v>-0.12860750331128656</v>
      </c>
      <c r="AM42" s="2">
        <f t="shared" si="10"/>
        <v>1.6539894011369963E-2</v>
      </c>
      <c r="AN42" s="2">
        <f t="shared" si="11"/>
        <v>-6.5399659841619627E-4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248.53</v>
      </c>
      <c r="L43" s="6" t="s">
        <v>7</v>
      </c>
      <c r="AF43" s="2">
        <v>39</v>
      </c>
      <c r="AG43" s="2">
        <f t="shared" si="13"/>
        <v>1961.326599086533</v>
      </c>
      <c r="AH43" s="2">
        <v>-0.12860753521772494</v>
      </c>
      <c r="AI43" s="2">
        <f t="shared" si="14"/>
        <v>1961.3265991210938</v>
      </c>
      <c r="AJ43" s="2">
        <v>5.0852133940679778E-3</v>
      </c>
      <c r="AK43" s="2">
        <f t="shared" si="9"/>
        <v>1961.3265991038134</v>
      </c>
      <c r="AL43" s="2">
        <v>-0.12860751926427838</v>
      </c>
      <c r="AM43" s="2">
        <f t="shared" si="10"/>
        <v>1.6539896063044922E-2</v>
      </c>
      <c r="AN43" s="2">
        <f t="shared" si="11"/>
        <v>-6.5399667954056391E-4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339.35</v>
      </c>
      <c r="L44" s="6" t="s">
        <v>7</v>
      </c>
      <c r="AF44" s="2">
        <v>40</v>
      </c>
      <c r="AG44" s="2">
        <f t="shared" si="13"/>
        <v>1961.3265991038134</v>
      </c>
      <c r="AH44" s="2">
        <v>-0.12860753521772494</v>
      </c>
      <c r="AI44" s="2">
        <f t="shared" si="14"/>
        <v>1961.3265991210938</v>
      </c>
      <c r="AJ44" s="2">
        <v>5.0852133940679778E-3</v>
      </c>
      <c r="AK44" s="5">
        <f t="shared" si="9"/>
        <v>1961.3265991124536</v>
      </c>
      <c r="AL44" s="2">
        <v>-0.12860752724100166</v>
      </c>
      <c r="AM44" s="2">
        <f t="shared" si="10"/>
        <v>1.653989708891164E-2</v>
      </c>
      <c r="AN44" s="2">
        <f t="shared" si="11"/>
        <v>-6.5399672010390403E-4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661.14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112.29</v>
      </c>
      <c r="L46" s="6" t="s">
        <v>7</v>
      </c>
    </row>
    <row r="47" spans="2:41" x14ac:dyDescent="0.2">
      <c r="J47" s="9" t="s">
        <v>60</v>
      </c>
      <c r="K47" s="9">
        <f>SUM(K42:K46)</f>
        <v>1961.31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C0DB-BD57-AB47-BA24-1419F20343D5}">
  <dimension ref="B1:AO81"/>
  <sheetViews>
    <sheetView zoomScale="88" workbookViewId="0">
      <selection activeCell="G40" sqref="G4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34" t="s">
        <v>0</v>
      </c>
      <c r="C1" s="34"/>
      <c r="D1" s="34"/>
    </row>
    <row r="2" spans="2:41" x14ac:dyDescent="0.2">
      <c r="U2" s="15" t="s">
        <v>89</v>
      </c>
      <c r="AF2" s="26" t="s">
        <v>129</v>
      </c>
    </row>
    <row r="3" spans="2:41" x14ac:dyDescent="0.2">
      <c r="B3" s="29" t="s">
        <v>118</v>
      </c>
      <c r="C3" s="32"/>
      <c r="D3" s="32"/>
      <c r="F3" s="30" t="s">
        <v>76</v>
      </c>
      <c r="G3" s="31"/>
      <c r="H3" s="31"/>
      <c r="J3" s="29" t="s">
        <v>94</v>
      </c>
      <c r="K3" s="29"/>
      <c r="L3" s="29"/>
      <c r="N3" s="29" t="s">
        <v>88</v>
      </c>
      <c r="O3" s="29"/>
      <c r="P3" s="29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361.3934249903179</v>
      </c>
      <c r="L4" s="6" t="s">
        <v>97</v>
      </c>
      <c r="N4" s="6" t="s">
        <v>131</v>
      </c>
      <c r="O4" s="6">
        <f xml:space="preserve"> $C$5 * $C$74</f>
        <v>18666.529348624594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1.2008398959285289</v>
      </c>
      <c r="X4" s="3">
        <v>1</v>
      </c>
      <c r="Y4" s="2">
        <f t="shared" ref="Y4:Y34" si="1" xml:space="preserve"> $O$22 * TAN($O$19/180*PI()) + $O$23 / (2 * SQRT($O$22^2 + X4^2)) - X4</f>
        <v>-2.8013220702373665E-2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0.49226394792793782</v>
      </c>
      <c r="AB4" s="2">
        <f>W4*AA4</f>
        <v>0.59113018799915162</v>
      </c>
      <c r="AC4" s="2">
        <f>Y4*AA4</f>
        <v>-1.37898986171271E-2</v>
      </c>
      <c r="AD4" s="2">
        <f>X4-V4</f>
        <v>1</v>
      </c>
      <c r="AF4" s="2">
        <v>0</v>
      </c>
      <c r="AH4" s="2">
        <f>K30</f>
        <v>-5.0384300948280725E-5</v>
      </c>
      <c r="AJ4" s="2">
        <f>K30</f>
        <v>-5.0384300948280725E-5</v>
      </c>
      <c r="AL4" s="2">
        <f>K30</f>
        <v>-5.0384300948280725E-5</v>
      </c>
    </row>
    <row r="5" spans="2:41" x14ac:dyDescent="0.2">
      <c r="B5" s="9" t="s">
        <v>38</v>
      </c>
      <c r="C5" s="9">
        <v>1904.6402873930899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45.174178123789737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0.49226394792793782</v>
      </c>
      <c r="X5" s="2">
        <f>IF(AC4&gt;0, Z4, X4)</f>
        <v>1</v>
      </c>
      <c r="Y5" s="2">
        <f t="shared" si="1"/>
        <v>-2.8013220702373665E-2</v>
      </c>
      <c r="Z5" s="2">
        <f t="shared" ref="Z5:Z34" si="3" xml:space="preserve"> (V5 + X5)/2</f>
        <v>0.75</v>
      </c>
      <c r="AA5" s="2">
        <f t="shared" si="2"/>
        <v>0.22881251819657855</v>
      </c>
      <c r="AB5" s="2">
        <f t="shared" ref="AB5:AB34" si="4">W5*AA5</f>
        <v>0.11263615354278086</v>
      </c>
      <c r="AC5" s="2">
        <f t="shared" ref="AC5:AC34" si="5">Y5*AA5</f>
        <v>-6.4097755717066451E-3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-1344.6755973093809</v>
      </c>
      <c r="AI5" s="3">
        <v>10000</v>
      </c>
      <c r="AJ5" s="2">
        <f t="dataTable" ref="AJ5:AJ44" dt2D="0" dtr="0" r1="C5"/>
        <v>7501.9113408945213</v>
      </c>
      <c r="AK5" s="2">
        <f>(AG5+AI5)/2</f>
        <v>5250</v>
      </c>
      <c r="AL5" s="2">
        <f t="dataTable" ref="AL5:AL44" dt2D="0" dtr="0" r1="C5" ca="1"/>
        <v>3020.77318665847</v>
      </c>
      <c r="AM5" s="2">
        <f>AH5*AL5</f>
        <v>-4061959.9891061401</v>
      </c>
      <c r="AN5" s="2">
        <f>AJ5*AL5</f>
        <v>22661572.627263259</v>
      </c>
      <c r="AO5" s="2">
        <f>AI5-AG5</f>
        <v>9500</v>
      </c>
    </row>
    <row r="6" spans="2:41" x14ac:dyDescent="0.2">
      <c r="B6" s="6" t="s">
        <v>168</v>
      </c>
      <c r="C6" s="16">
        <v>457.50904228212102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146.85141038160171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0.20118791631269009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0.22881251819657855</v>
      </c>
      <c r="X6" s="2">
        <f t="shared" ref="X6:X34" si="8">IF(AC5&gt;0, Z5, X5)</f>
        <v>1</v>
      </c>
      <c r="Y6" s="2">
        <f t="shared" si="1"/>
        <v>-2.8013220702373665E-2</v>
      </c>
      <c r="Z6" s="2">
        <f t="shared" si="3"/>
        <v>0.875</v>
      </c>
      <c r="AA6" s="2">
        <f t="shared" si="2"/>
        <v>9.9918742805726435E-2</v>
      </c>
      <c r="AB6" s="2">
        <f t="shared" si="4"/>
        <v>2.2862659156414531E-2</v>
      </c>
      <c r="AC6" s="2">
        <f t="shared" si="5"/>
        <v>-2.7990457945205253E-3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-1344.6755973093809</v>
      </c>
      <c r="AI6" s="2">
        <f>IF(AN5&gt;0,AK5,AI5)</f>
        <v>5250</v>
      </c>
      <c r="AJ6" s="2">
        <v>3020.77318665847</v>
      </c>
      <c r="AK6" s="2">
        <f t="shared" ref="AK6:AK44" si="9">(AG6+AI6)/2</f>
        <v>2875</v>
      </c>
      <c r="AL6" s="2">
        <v>901.70345362273747</v>
      </c>
      <c r="AM6" s="2">
        <f t="shared" ref="AM6:AM44" si="10">AH6*AL6</f>
        <v>-1212498.6300960861</v>
      </c>
      <c r="AN6" s="2">
        <f t="shared" ref="AN6:AN44" si="11">AJ6*AL6</f>
        <v>2723841.6150209047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2333.5393751969209</v>
      </c>
      <c r="H7" s="6" t="s">
        <v>21</v>
      </c>
      <c r="J7" s="6" t="s">
        <v>133</v>
      </c>
      <c r="K7" s="6">
        <f>K6/$C$28</f>
        <v>146.85141038160171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9.9918742805726435E-2</v>
      </c>
      <c r="X7" s="2">
        <f t="shared" si="8"/>
        <v>1</v>
      </c>
      <c r="Y7" s="2">
        <f t="shared" si="1"/>
        <v>-2.8013220702373665E-2</v>
      </c>
      <c r="Z7" s="2">
        <f t="shared" si="3"/>
        <v>0.9375</v>
      </c>
      <c r="AA7" s="2">
        <f t="shared" si="2"/>
        <v>3.5856178621120005E-2</v>
      </c>
      <c r="AB7" s="2">
        <f t="shared" si="4"/>
        <v>3.5827042896398767E-3</v>
      </c>
      <c r="AC7" s="2">
        <f t="shared" si="5"/>
        <v>-1.0044470452571668E-3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-1344.6755973093809</v>
      </c>
      <c r="AI7" s="2">
        <f t="shared" ref="AI7:AI44" si="14">IF(AN6&gt;0,AK6,AI6)</f>
        <v>2875</v>
      </c>
      <c r="AJ7" s="2">
        <v>901.70345362273747</v>
      </c>
      <c r="AK7" s="2">
        <f t="shared" si="9"/>
        <v>1687.5</v>
      </c>
      <c r="AL7" s="2">
        <v>-204.71059521324992</v>
      </c>
      <c r="AM7" s="2">
        <f t="shared" si="10"/>
        <v>275269.34189393575</v>
      </c>
      <c r="AN7" s="2">
        <f t="shared" si="11"/>
        <v>-184588.25069695368</v>
      </c>
      <c r="AO7" s="2">
        <f t="shared" si="12"/>
        <v>2375</v>
      </c>
    </row>
    <row r="8" spans="2:41" x14ac:dyDescent="0.2">
      <c r="B8" s="6" t="s">
        <v>91</v>
      </c>
      <c r="C8" s="16">
        <v>2.2735299789038099</v>
      </c>
      <c r="D8" s="6" t="s">
        <v>8</v>
      </c>
      <c r="F8" t="s">
        <v>93</v>
      </c>
      <c r="G8" s="6">
        <f>G10/$C$21</f>
        <v>30.116118749193159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3.5856178621120005E-2</v>
      </c>
      <c r="X8" s="2">
        <f t="shared" si="8"/>
        <v>1</v>
      </c>
      <c r="Y8" s="2">
        <f t="shared" si="1"/>
        <v>-2.8013220702373665E-2</v>
      </c>
      <c r="Z8" s="2">
        <f t="shared" si="3"/>
        <v>0.96875</v>
      </c>
      <c r="AA8" s="2">
        <f t="shared" si="2"/>
        <v>3.8996347799078457E-3</v>
      </c>
      <c r="AB8" s="2">
        <f t="shared" si="4"/>
        <v>1.3982600122550772E-4</v>
      </c>
      <c r="AC8" s="2">
        <f t="shared" si="5"/>
        <v>-1.0924132974821083E-4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-204.71059521324992</v>
      </c>
      <c r="AI8" s="2">
        <f t="shared" si="14"/>
        <v>2875</v>
      </c>
      <c r="AJ8" s="2">
        <v>901.70345362273747</v>
      </c>
      <c r="AK8" s="2">
        <f t="shared" si="9"/>
        <v>2281.25</v>
      </c>
      <c r="AL8" s="2">
        <v>352.48064384539975</v>
      </c>
      <c r="AM8" s="2">
        <f t="shared" si="10"/>
        <v>-72156.522402741335</v>
      </c>
      <c r="AN8" s="2">
        <f t="shared" si="11"/>
        <v>317833.01389056304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7.9054023497139605</v>
      </c>
      <c r="H9" s="6" t="s">
        <v>172</v>
      </c>
      <c r="J9" s="29" t="s">
        <v>22</v>
      </c>
      <c r="K9" s="29"/>
      <c r="L9" s="29"/>
      <c r="N9" s="6" t="s">
        <v>114</v>
      </c>
      <c r="O9" s="6">
        <f xml:space="preserve"> $O$8/$C$12 + $O$7</f>
        <v>1.986249271115742E-2</v>
      </c>
      <c r="U9" s="2">
        <v>5</v>
      </c>
      <c r="V9" s="2">
        <f t="shared" si="7"/>
        <v>0.96875</v>
      </c>
      <c r="W9" s="2">
        <f t="shared" si="0"/>
        <v>3.8996347799078457E-3</v>
      </c>
      <c r="X9" s="2">
        <f t="shared" si="8"/>
        <v>1</v>
      </c>
      <c r="Y9" s="2">
        <f t="shared" si="1"/>
        <v>-2.8013220702373665E-2</v>
      </c>
      <c r="Z9" s="2">
        <f t="shared" si="3"/>
        <v>0.984375</v>
      </c>
      <c r="AA9" s="2">
        <f t="shared" si="2"/>
        <v>-1.2061997701291571E-2</v>
      </c>
      <c r="AB9" s="2">
        <f t="shared" si="4"/>
        <v>-4.7037385751125098E-5</v>
      </c>
      <c r="AC9" s="2">
        <f t="shared" si="5"/>
        <v>3.3789540371780458E-4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-204.71059521324992</v>
      </c>
      <c r="AI9" s="2">
        <f t="shared" si="14"/>
        <v>2281.25</v>
      </c>
      <c r="AJ9" s="2">
        <v>352.48064384539975</v>
      </c>
      <c r="AK9" s="2">
        <f t="shared" si="9"/>
        <v>1984.375</v>
      </c>
      <c r="AL9" s="2">
        <v>74.896494331739632</v>
      </c>
      <c r="AM9" s="2">
        <f t="shared" si="10"/>
        <v>-15332.105934036219</v>
      </c>
      <c r="AN9" s="2">
        <f t="shared" si="11"/>
        <v>26399.564543814919</v>
      </c>
      <c r="AO9" s="2">
        <f t="shared" si="12"/>
        <v>593.75</v>
      </c>
    </row>
    <row r="10" spans="2:41" x14ac:dyDescent="0.2">
      <c r="B10" s="6" t="s">
        <v>134</v>
      </c>
      <c r="C10" s="16">
        <v>1.4656865784573101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240.92894999354527</v>
      </c>
      <c r="H10" s="22" t="s">
        <v>97</v>
      </c>
      <c r="J10" s="6" t="s">
        <v>92</v>
      </c>
      <c r="K10" s="6">
        <f xml:space="preserve"> $C$18 * (G10*G6 + G20*G13 + G29*G25 + G33*G32)/3600</f>
        <v>91.320346708713856</v>
      </c>
      <c r="L10" s="6" t="s">
        <v>98</v>
      </c>
      <c r="N10" s="6" t="s">
        <v>39</v>
      </c>
      <c r="O10" s="6">
        <f xml:space="preserve"> O5 * $C$12 * O9</f>
        <v>1147.74300261537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3.8996347799078457E-3</v>
      </c>
      <c r="X10" s="2">
        <f t="shared" si="8"/>
        <v>0.984375</v>
      </c>
      <c r="Y10" s="2">
        <f t="shared" si="1"/>
        <v>-1.2061997701291571E-2</v>
      </c>
      <c r="Z10" s="2">
        <f t="shared" si="3"/>
        <v>0.9765625</v>
      </c>
      <c r="AA10" s="2">
        <f t="shared" si="2"/>
        <v>-4.0825134255992879E-3</v>
      </c>
      <c r="AB10" s="2">
        <f t="shared" si="4"/>
        <v>-1.5920311343907703E-5</v>
      </c>
      <c r="AC10" s="2">
        <f t="shared" si="5"/>
        <v>4.924326755507059E-5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-204.71059521324992</v>
      </c>
      <c r="AI10" s="2">
        <f t="shared" si="14"/>
        <v>1984.375</v>
      </c>
      <c r="AJ10" s="2">
        <v>74.896494331739632</v>
      </c>
      <c r="AK10" s="2">
        <f t="shared" si="9"/>
        <v>1835.9375</v>
      </c>
      <c r="AL10" s="2">
        <v>-64.651646694668216</v>
      </c>
      <c r="AM10" s="2">
        <f t="shared" si="10"/>
        <v>13234.877076382272</v>
      </c>
      <c r="AN10" s="2">
        <f t="shared" si="11"/>
        <v>-4842.1816902048513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0.7447721805601909</v>
      </c>
      <c r="U11" s="2">
        <v>7</v>
      </c>
      <c r="V11" s="2">
        <f t="shared" si="7"/>
        <v>0.96875</v>
      </c>
      <c r="W11" s="2">
        <f t="shared" si="0"/>
        <v>3.8996347799078457E-3</v>
      </c>
      <c r="X11" s="2">
        <f t="shared" si="8"/>
        <v>0.9765625</v>
      </c>
      <c r="Y11" s="2">
        <f t="shared" si="1"/>
        <v>-4.0825134255992879E-3</v>
      </c>
      <c r="Z11" s="2">
        <f t="shared" si="3"/>
        <v>0.97265625</v>
      </c>
      <c r="AA11" s="2">
        <f t="shared" si="2"/>
        <v>-9.1776267760801389E-5</v>
      </c>
      <c r="AB11" s="2">
        <f t="shared" si="4"/>
        <v>-3.5789392573015625E-7</v>
      </c>
      <c r="AC11" s="2">
        <f t="shared" si="5"/>
        <v>3.7467784528486674E-7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-64.651646694668216</v>
      </c>
      <c r="AI11" s="2">
        <f t="shared" si="14"/>
        <v>1984.375</v>
      </c>
      <c r="AJ11" s="2">
        <v>74.896494331739632</v>
      </c>
      <c r="AK11" s="2">
        <f t="shared" si="9"/>
        <v>1910.15625</v>
      </c>
      <c r="AL11" s="2">
        <v>5.1859248520236179</v>
      </c>
      <c r="AM11" s="2">
        <f t="shared" si="10"/>
        <v>-335.27858131813048</v>
      </c>
      <c r="AN11" s="2">
        <f t="shared" si="11"/>
        <v>388.40759128441459</v>
      </c>
      <c r="AO11" s="2">
        <f t="shared" si="12"/>
        <v>148.4375</v>
      </c>
    </row>
    <row r="12" spans="2:41" x14ac:dyDescent="0.2">
      <c r="B12" s="6" t="s">
        <v>135</v>
      </c>
      <c r="C12" s="16">
        <v>25.484172923307501</v>
      </c>
      <c r="D12" s="6" t="s">
        <v>11</v>
      </c>
      <c r="F12" s="30" t="s">
        <v>82</v>
      </c>
      <c r="G12" s="31"/>
      <c r="H12" s="31"/>
      <c r="N12" s="6" t="s">
        <v>138</v>
      </c>
      <c r="O12" s="6">
        <f xml:space="preserve"> O4 / (O5 * $C$12)</f>
        <v>0.32303730215283383</v>
      </c>
      <c r="U12" s="2">
        <v>8</v>
      </c>
      <c r="V12" s="2">
        <f t="shared" si="7"/>
        <v>0.96875</v>
      </c>
      <c r="W12" s="2">
        <f t="shared" si="0"/>
        <v>3.8996347799078457E-3</v>
      </c>
      <c r="X12" s="2">
        <f t="shared" si="8"/>
        <v>0.97265625</v>
      </c>
      <c r="Y12" s="2">
        <f t="shared" si="1"/>
        <v>-9.1776267760801389E-5</v>
      </c>
      <c r="Z12" s="2">
        <f t="shared" si="3"/>
        <v>0.970703125</v>
      </c>
      <c r="AA12" s="2">
        <f t="shared" si="2"/>
        <v>1.9038445188002129E-3</v>
      </c>
      <c r="AB12" s="2">
        <f t="shared" si="4"/>
        <v>7.4242983010502264E-6</v>
      </c>
      <c r="AC12" s="2">
        <f t="shared" si="5"/>
        <v>-1.747277443323424E-7</v>
      </c>
      <c r="AD12" s="2">
        <f t="shared" si="6"/>
        <v>3.90625E-3</v>
      </c>
      <c r="AF12" s="2">
        <v>8</v>
      </c>
      <c r="AG12" s="2">
        <f t="shared" si="13"/>
        <v>1835.9375</v>
      </c>
      <c r="AH12" s="2">
        <v>-64.651646694668216</v>
      </c>
      <c r="AI12" s="2">
        <f t="shared" si="14"/>
        <v>1910.15625</v>
      </c>
      <c r="AJ12" s="2">
        <v>5.1859248520236179</v>
      </c>
      <c r="AK12" s="2">
        <f t="shared" si="9"/>
        <v>1873.046875</v>
      </c>
      <c r="AL12" s="2">
        <v>-29.716944267066992</v>
      </c>
      <c r="AM12" s="2">
        <f t="shared" si="10"/>
        <v>1921.2493815995613</v>
      </c>
      <c r="AN12" s="2">
        <f t="shared" si="11"/>
        <v>-154.1098398007835</v>
      </c>
      <c r="AO12" s="2">
        <f t="shared" si="12"/>
        <v>74.21875</v>
      </c>
    </row>
    <row r="13" spans="2:41" x14ac:dyDescent="0.2">
      <c r="B13" s="6" t="s">
        <v>136</v>
      </c>
      <c r="C13" s="16">
        <v>10.4576429318414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2.4127288309836549E-2</v>
      </c>
      <c r="U13" s="2">
        <v>9</v>
      </c>
      <c r="V13" s="2">
        <f t="shared" si="7"/>
        <v>0.970703125</v>
      </c>
      <c r="W13" s="2">
        <f t="shared" si="0"/>
        <v>1.9038445188002129E-3</v>
      </c>
      <c r="X13" s="2">
        <f t="shared" si="8"/>
        <v>0.97265625</v>
      </c>
      <c r="Y13" s="2">
        <f t="shared" si="1"/>
        <v>-9.1776267760801389E-5</v>
      </c>
      <c r="Z13" s="2">
        <f t="shared" si="3"/>
        <v>0.9716796875</v>
      </c>
      <c r="AA13" s="2">
        <f t="shared" si="2"/>
        <v>9.0601300414094865E-4</v>
      </c>
      <c r="AB13" s="2">
        <f t="shared" si="4"/>
        <v>1.7249078918954597E-6</v>
      </c>
      <c r="AC13" s="2">
        <f t="shared" si="5"/>
        <v>-8.3150492062807756E-8</v>
      </c>
      <c r="AD13" s="2">
        <f t="shared" si="6"/>
        <v>1.953125E-3</v>
      </c>
      <c r="AF13" s="2">
        <v>9</v>
      </c>
      <c r="AG13" s="2">
        <f t="shared" si="13"/>
        <v>1873.046875</v>
      </c>
      <c r="AH13" s="2">
        <v>-29.716944267066992</v>
      </c>
      <c r="AI13" s="2">
        <f t="shared" si="14"/>
        <v>1910.15625</v>
      </c>
      <c r="AJ13" s="2">
        <v>5.1859248520236179</v>
      </c>
      <c r="AK13" s="2">
        <f t="shared" si="9"/>
        <v>1891.6015625</v>
      </c>
      <c r="AL13" s="2">
        <v>-12.261535878955783</v>
      </c>
      <c r="AM13" s="2">
        <f t="shared" si="10"/>
        <v>364.3753783435713</v>
      </c>
      <c r="AN13" s="2">
        <f t="shared" si="11"/>
        <v>-63.587403638656049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70.221388223820526</v>
      </c>
      <c r="H14" s="6" t="s">
        <v>10</v>
      </c>
      <c r="J14" s="9" t="s">
        <v>75</v>
      </c>
      <c r="K14" s="17">
        <f>C5</f>
        <v>1904.6402873930899</v>
      </c>
      <c r="L14" s="6" t="s">
        <v>7</v>
      </c>
      <c r="N14" s="6" t="s">
        <v>40</v>
      </c>
      <c r="O14" s="6">
        <f xml:space="preserve"> O5 * O13 * $C$12</f>
        <v>1394.1818246278347</v>
      </c>
      <c r="P14" s="6" t="s">
        <v>21</v>
      </c>
      <c r="U14" s="2">
        <v>10</v>
      </c>
      <c r="V14" s="2">
        <f t="shared" si="7"/>
        <v>0.9716796875</v>
      </c>
      <c r="W14" s="2">
        <f t="shared" si="0"/>
        <v>9.0601300414094865E-4</v>
      </c>
      <c r="X14" s="2">
        <f t="shared" si="8"/>
        <v>0.97265625</v>
      </c>
      <c r="Y14" s="2">
        <f t="shared" si="1"/>
        <v>-9.1776267760801389E-5</v>
      </c>
      <c r="Z14" s="2">
        <f t="shared" si="3"/>
        <v>0.97216796875</v>
      </c>
      <c r="AA14" s="2">
        <f t="shared" si="2"/>
        <v>4.0711309568564058E-4</v>
      </c>
      <c r="AB14" s="2">
        <f t="shared" si="4"/>
        <v>3.6884975884726868E-7</v>
      </c>
      <c r="AC14" s="2">
        <f t="shared" si="5"/>
        <v>-3.7363320478574109E-8</v>
      </c>
      <c r="AD14" s="2">
        <f t="shared" si="6"/>
        <v>9.765625E-4</v>
      </c>
      <c r="AF14" s="2">
        <v>10</v>
      </c>
      <c r="AG14" s="2">
        <f t="shared" si="13"/>
        <v>1891.6015625</v>
      </c>
      <c r="AH14" s="2">
        <v>-12.261535878955783</v>
      </c>
      <c r="AI14" s="2">
        <f t="shared" si="14"/>
        <v>1910.15625</v>
      </c>
      <c r="AJ14" s="2">
        <v>5.1859248520236179</v>
      </c>
      <c r="AK14" s="2">
        <f t="shared" si="9"/>
        <v>1900.87890625</v>
      </c>
      <c r="AL14" s="2">
        <v>-3.5368127683939292</v>
      </c>
      <c r="AM14" s="2">
        <f t="shared" si="10"/>
        <v>43.366756656811091</v>
      </c>
      <c r="AN14" s="2">
        <f t="shared" si="11"/>
        <v>-18.341645232568531</v>
      </c>
      <c r="AO14" s="2">
        <f t="shared" si="12"/>
        <v>18.5546875</v>
      </c>
    </row>
    <row r="15" spans="2:41" x14ac:dyDescent="0.2">
      <c r="B15" s="29" t="s">
        <v>12</v>
      </c>
      <c r="C15" s="29"/>
      <c r="D15" s="29"/>
      <c r="F15" s="6" t="s">
        <v>143</v>
      </c>
      <c r="G15" s="6">
        <f>G14/$C$73</f>
        <v>0.21105138984891283</v>
      </c>
      <c r="H15" s="6" t="s">
        <v>120</v>
      </c>
      <c r="J15" s="10" t="s">
        <v>53</v>
      </c>
      <c r="K15" s="6">
        <f xml:space="preserve"> 1000 * K10 / ($C$60 * $C$61 * $C$62)</f>
        <v>191.84946787544928</v>
      </c>
      <c r="L15" s="6" t="s">
        <v>7</v>
      </c>
      <c r="N15" s="6" t="s">
        <v>140</v>
      </c>
      <c r="O15" s="6">
        <f>O4/O14</f>
        <v>13.388877274746765</v>
      </c>
      <c r="U15" s="2">
        <v>11</v>
      </c>
      <c r="V15" s="2">
        <f t="shared" si="7"/>
        <v>0.97216796875</v>
      </c>
      <c r="W15" s="2">
        <f t="shared" si="0"/>
        <v>4.0711309568564058E-4</v>
      </c>
      <c r="X15" s="2">
        <f t="shared" si="8"/>
        <v>0.97265625</v>
      </c>
      <c r="Y15" s="2">
        <f t="shared" si="1"/>
        <v>-9.1776267760801389E-5</v>
      </c>
      <c r="Z15" s="2">
        <f t="shared" si="3"/>
        <v>0.972412109375</v>
      </c>
      <c r="AA15" s="2">
        <f t="shared" si="2"/>
        <v>1.5766709681463986E-4</v>
      </c>
      <c r="AB15" s="2">
        <f t="shared" si="4"/>
        <v>6.4188339871975637E-8</v>
      </c>
      <c r="AC15" s="2">
        <f t="shared" si="5"/>
        <v>-1.4470097694328583E-8</v>
      </c>
      <c r="AD15" s="2">
        <f t="shared" si="6"/>
        <v>4.8828125E-4</v>
      </c>
      <c r="AF15" s="2">
        <v>11</v>
      </c>
      <c r="AG15" s="2">
        <f t="shared" si="13"/>
        <v>1900.87890625</v>
      </c>
      <c r="AH15" s="2">
        <v>-3.5368127683939292</v>
      </c>
      <c r="AI15" s="2">
        <f t="shared" si="14"/>
        <v>1910.15625</v>
      </c>
      <c r="AJ15" s="2">
        <v>5.1859248520236179</v>
      </c>
      <c r="AK15" s="2">
        <f t="shared" si="9"/>
        <v>1905.517578125</v>
      </c>
      <c r="AL15" s="2">
        <v>0.82480414756309983</v>
      </c>
      <c r="AM15" s="2">
        <f t="shared" si="10"/>
        <v>-2.9171778405254418</v>
      </c>
      <c r="AN15" s="2">
        <f t="shared" si="11"/>
        <v>4.2773723268996351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1394.1818246278347</v>
      </c>
      <c r="H16" s="6" t="s">
        <v>21</v>
      </c>
      <c r="J16" s="11" t="s">
        <v>123</v>
      </c>
      <c r="K16" s="6">
        <f>linear_250!K16</f>
        <v>170.92003159930849</v>
      </c>
      <c r="L16" s="6" t="s">
        <v>7</v>
      </c>
      <c r="N16" s="6" t="s">
        <v>111</v>
      </c>
      <c r="O16" s="6">
        <f>(O13*$C$12)/(0.3048^2)/($C$5*2.20462/1000)^(2/3)</f>
        <v>2.5428338980389804</v>
      </c>
      <c r="U16" s="2">
        <v>12</v>
      </c>
      <c r="V16" s="2">
        <f t="shared" si="7"/>
        <v>0.972412109375</v>
      </c>
      <c r="W16" s="2">
        <f t="shared" si="0"/>
        <v>1.5766709681463986E-4</v>
      </c>
      <c r="X16" s="2">
        <f t="shared" si="8"/>
        <v>0.97265625</v>
      </c>
      <c r="Y16" s="2">
        <f t="shared" si="1"/>
        <v>-9.1776267760801389E-5</v>
      </c>
      <c r="Z16" s="2">
        <f t="shared" si="3"/>
        <v>0.9725341796875</v>
      </c>
      <c r="AA16" s="2">
        <f t="shared" si="2"/>
        <v>3.2945085362223736E-5</v>
      </c>
      <c r="AB16" s="2">
        <f t="shared" si="4"/>
        <v>5.1943559633723046E-9</v>
      </c>
      <c r="AC16" s="2">
        <f t="shared" si="5"/>
        <v>-3.0235769756059039E-9</v>
      </c>
      <c r="AD16" s="2">
        <f t="shared" si="6"/>
        <v>2.44140625E-4</v>
      </c>
      <c r="AF16" s="2">
        <v>12</v>
      </c>
      <c r="AG16" s="2">
        <f t="shared" si="13"/>
        <v>1900.87890625</v>
      </c>
      <c r="AH16" s="2">
        <v>-3.5368127683939292</v>
      </c>
      <c r="AI16" s="2">
        <f t="shared" si="14"/>
        <v>1905.517578125</v>
      </c>
      <c r="AJ16" s="2">
        <v>0.82480414756309983</v>
      </c>
      <c r="AK16" s="2">
        <f t="shared" si="9"/>
        <v>1903.1982421875</v>
      </c>
      <c r="AL16" s="2">
        <v>-1.3559422323526178</v>
      </c>
      <c r="AM16" s="2">
        <f t="shared" si="10"/>
        <v>4.795713800589307</v>
      </c>
      <c r="AN16" s="2">
        <f t="shared" si="11"/>
        <v>-1.1183867771004075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97.900940254401135</v>
      </c>
      <c r="H17" s="6" t="s">
        <v>97</v>
      </c>
      <c r="J17" s="11" t="s">
        <v>124</v>
      </c>
      <c r="K17" s="6">
        <f>linear_250!K17</f>
        <v>0</v>
      </c>
      <c r="L17" s="6" t="s">
        <v>7</v>
      </c>
      <c r="U17" s="2">
        <v>13</v>
      </c>
      <c r="V17" s="2">
        <f t="shared" si="7"/>
        <v>0.9725341796875</v>
      </c>
      <c r="W17" s="2">
        <f t="shared" si="0"/>
        <v>3.2945085362223736E-5</v>
      </c>
      <c r="X17" s="2">
        <f t="shared" si="8"/>
        <v>0.97265625</v>
      </c>
      <c r="Y17" s="2">
        <f t="shared" si="1"/>
        <v>-9.1776267760801389E-5</v>
      </c>
      <c r="Z17" s="2">
        <f t="shared" si="3"/>
        <v>0.97259521484375</v>
      </c>
      <c r="AA17" s="2">
        <f t="shared" si="2"/>
        <v>-2.9415673475252646E-5</v>
      </c>
      <c r="AB17" s="2">
        <f t="shared" si="4"/>
        <v>-9.691018736294989E-10</v>
      </c>
      <c r="AC17" s="2">
        <f t="shared" si="5"/>
        <v>2.6996607252290901E-9</v>
      </c>
      <c r="AD17" s="2">
        <f t="shared" si="6"/>
        <v>1.220703125E-4</v>
      </c>
      <c r="AF17" s="2">
        <v>13</v>
      </c>
      <c r="AG17" s="2">
        <f t="shared" si="13"/>
        <v>1903.1982421875</v>
      </c>
      <c r="AH17" s="2">
        <v>-3.5368127683939292</v>
      </c>
      <c r="AI17" s="2">
        <f t="shared" si="14"/>
        <v>1905.517578125</v>
      </c>
      <c r="AJ17" s="2">
        <v>0.82480414756309983</v>
      </c>
      <c r="AK17" s="2">
        <f t="shared" si="9"/>
        <v>1904.35791015625</v>
      </c>
      <c r="AL17" s="2">
        <v>-2.4463619796083549</v>
      </c>
      <c r="AM17" s="2">
        <f t="shared" si="10"/>
        <v>8.6523242855922788</v>
      </c>
      <c r="AN17" s="2">
        <f t="shared" si="11"/>
        <v>-2.0177695072216464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1.4530546305669985</v>
      </c>
      <c r="H18" s="6" t="s">
        <v>172</v>
      </c>
      <c r="J18" s="12" t="s">
        <v>54</v>
      </c>
      <c r="K18" s="6">
        <f>linear_250!K18</f>
        <v>109.55569480338427</v>
      </c>
      <c r="L18" s="6" t="s">
        <v>7</v>
      </c>
      <c r="N18" s="30" t="s">
        <v>141</v>
      </c>
      <c r="O18" s="33"/>
      <c r="P18" s="33"/>
      <c r="U18" s="2">
        <v>14</v>
      </c>
      <c r="V18" s="2">
        <f t="shared" si="7"/>
        <v>0.9725341796875</v>
      </c>
      <c r="W18" s="2">
        <f t="shared" si="0"/>
        <v>3.2945085362223736E-5</v>
      </c>
      <c r="X18" s="2">
        <f t="shared" si="8"/>
        <v>0.97259521484375</v>
      </c>
      <c r="Y18" s="2">
        <f t="shared" si="1"/>
        <v>-2.9415673475252646E-5</v>
      </c>
      <c r="Z18" s="2">
        <f t="shared" si="3"/>
        <v>0.972564697265625</v>
      </c>
      <c r="AA18" s="2">
        <f t="shared" si="2"/>
        <v>1.7646853726072109E-6</v>
      </c>
      <c r="AB18" s="2">
        <f t="shared" si="4"/>
        <v>5.8137710238012163E-11</v>
      </c>
      <c r="AC18" s="2">
        <f t="shared" si="5"/>
        <v>-5.1909408707168266E-11</v>
      </c>
      <c r="AD18" s="2">
        <f t="shared" si="6"/>
        <v>6.103515625E-5</v>
      </c>
      <c r="AF18" s="2">
        <v>14</v>
      </c>
      <c r="AG18" s="2">
        <f t="shared" si="13"/>
        <v>1904.35791015625</v>
      </c>
      <c r="AH18" s="2">
        <v>-3.5368127683939292</v>
      </c>
      <c r="AI18" s="2">
        <f t="shared" si="14"/>
        <v>1905.517578125</v>
      </c>
      <c r="AJ18" s="2">
        <v>0.82480414756309983</v>
      </c>
      <c r="AK18" s="2">
        <f t="shared" si="9"/>
        <v>1904.937744140625</v>
      </c>
      <c r="AL18" s="2">
        <v>-2.9915834728644768</v>
      </c>
      <c r="AM18" s="2">
        <f t="shared" si="10"/>
        <v>10.580670624543336</v>
      </c>
      <c r="AN18" s="2">
        <f t="shared" si="11"/>
        <v>-2.4674704561998424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4.8870102402815453E-2</v>
      </c>
      <c r="J19" s="12" t="s">
        <v>73</v>
      </c>
      <c r="K19" s="6">
        <f>linear_250!K19</f>
        <v>58.877218582361344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0.972564697265625</v>
      </c>
      <c r="W19" s="2">
        <f t="shared" si="0"/>
        <v>1.7646853726072109E-6</v>
      </c>
      <c r="X19" s="2">
        <f t="shared" si="8"/>
        <v>0.97259521484375</v>
      </c>
      <c r="Y19" s="2">
        <f t="shared" si="1"/>
        <v>-2.9415673475252646E-5</v>
      </c>
      <c r="Z19" s="2">
        <f t="shared" si="3"/>
        <v>0.9725799560546875</v>
      </c>
      <c r="AA19" s="2">
        <f t="shared" si="2"/>
        <v>-1.3825499193820256E-5</v>
      </c>
      <c r="AB19" s="2">
        <f t="shared" si="4"/>
        <v>-2.4397656196327394E-11</v>
      </c>
      <c r="AC19" s="2">
        <f t="shared" si="5"/>
        <v>4.0668636991778536E-10</v>
      </c>
      <c r="AD19" s="2">
        <f t="shared" si="6"/>
        <v>3.0517578125E-5</v>
      </c>
      <c r="AF19" s="2">
        <v>15</v>
      </c>
      <c r="AG19" s="2">
        <f t="shared" si="13"/>
        <v>1904.937744140625</v>
      </c>
      <c r="AH19" s="2">
        <v>-3.5368127683939292</v>
      </c>
      <c r="AI19" s="2">
        <f t="shared" si="14"/>
        <v>1905.517578125</v>
      </c>
      <c r="AJ19" s="2">
        <v>0.82480414756309983</v>
      </c>
      <c r="AK19" s="2">
        <f t="shared" si="9"/>
        <v>1905.2276611328125</v>
      </c>
      <c r="AL19" s="2">
        <v>-3.2641971661141724</v>
      </c>
      <c r="AM19" s="2">
        <f t="shared" si="10"/>
        <v>11.544854215667884</v>
      </c>
      <c r="AN19" s="2">
        <f t="shared" si="11"/>
        <v>-2.6923233610746862</v>
      </c>
      <c r="AO19" s="2">
        <f t="shared" si="12"/>
        <v>0.579833984375</v>
      </c>
    </row>
    <row r="20" spans="2:41" x14ac:dyDescent="0.2">
      <c r="B20" s="29" t="s">
        <v>108</v>
      </c>
      <c r="C20" s="29"/>
      <c r="D20" s="29"/>
      <c r="F20" s="23" t="s">
        <v>128</v>
      </c>
      <c r="G20" s="22">
        <f xml:space="preserve"> $C$28 * G17</f>
        <v>97.900940254401135</v>
      </c>
      <c r="H20" s="22" t="s">
        <v>97</v>
      </c>
      <c r="J20" s="13" t="s">
        <v>61</v>
      </c>
      <c r="K20" s="6">
        <f>linear_250!K20</f>
        <v>216.64196796422925</v>
      </c>
      <c r="L20" s="6" t="s">
        <v>7</v>
      </c>
      <c r="N20" s="6" t="s">
        <v>20</v>
      </c>
      <c r="O20" s="6">
        <f xml:space="preserve"> O14 / $C$28</f>
        <v>1394.1818246278347</v>
      </c>
      <c r="P20" s="6" t="s">
        <v>21</v>
      </c>
      <c r="U20" s="2">
        <v>16</v>
      </c>
      <c r="V20" s="2">
        <f t="shared" si="7"/>
        <v>0.972564697265625</v>
      </c>
      <c r="W20" s="2">
        <f t="shared" si="0"/>
        <v>1.7646853726072109E-6</v>
      </c>
      <c r="X20" s="2">
        <f t="shared" si="8"/>
        <v>0.9725799560546875</v>
      </c>
      <c r="Y20" s="2">
        <f t="shared" si="1"/>
        <v>-1.3825499193820256E-5</v>
      </c>
      <c r="Z20" s="2">
        <f t="shared" si="3"/>
        <v>0.97257232666015625</v>
      </c>
      <c r="AA20" s="2">
        <f t="shared" si="2"/>
        <v>-6.0304081962447853E-6</v>
      </c>
      <c r="AB20" s="2">
        <f t="shared" si="4"/>
        <v>-1.0641773134763807E-11</v>
      </c>
      <c r="AC20" s="2">
        <f t="shared" si="5"/>
        <v>8.3373403655589347E-11</v>
      </c>
      <c r="AD20" s="2">
        <f t="shared" si="6"/>
        <v>1.52587890625E-5</v>
      </c>
      <c r="AF20" s="2">
        <v>16</v>
      </c>
      <c r="AG20" s="2">
        <f t="shared" si="13"/>
        <v>1905.2276611328125</v>
      </c>
      <c r="AH20" s="2">
        <v>-3.5368127683939292</v>
      </c>
      <c r="AI20" s="2">
        <f t="shared" si="14"/>
        <v>1905.517578125</v>
      </c>
      <c r="AJ20" s="2">
        <v>0.82480414756309983</v>
      </c>
      <c r="AK20" s="2">
        <f t="shared" si="9"/>
        <v>1905.3726196289062</v>
      </c>
      <c r="AL20" s="2">
        <v>-3.4005046454735748</v>
      </c>
      <c r="AM20" s="2">
        <f t="shared" si="10"/>
        <v>12.026948249093811</v>
      </c>
      <c r="AN20" s="2">
        <f t="shared" si="11"/>
        <v>-2.8047503353941927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>linear_250!K21</f>
        <v>60.48108986598718</v>
      </c>
      <c r="L21" s="6" t="s">
        <v>7</v>
      </c>
      <c r="N21" s="6" t="s">
        <v>27</v>
      </c>
      <c r="O21" s="6">
        <f>$C$6*2*PI()/60</f>
        <v>47.910234872813781</v>
      </c>
      <c r="P21" s="6" t="s">
        <v>28</v>
      </c>
      <c r="U21" s="2">
        <v>17</v>
      </c>
      <c r="V21" s="2">
        <f t="shared" si="7"/>
        <v>0.972564697265625</v>
      </c>
      <c r="W21" s="2">
        <f t="shared" si="0"/>
        <v>1.7646853726072109E-6</v>
      </c>
      <c r="X21" s="2">
        <f t="shared" si="8"/>
        <v>0.97257232666015625</v>
      </c>
      <c r="Y21" s="2">
        <f t="shared" si="1"/>
        <v>-6.0304081962447853E-6</v>
      </c>
      <c r="Z21" s="2">
        <f t="shared" si="3"/>
        <v>0.97256851196289062</v>
      </c>
      <c r="AA21" s="2">
        <f t="shared" si="2"/>
        <v>-2.1328617332283528E-6</v>
      </c>
      <c r="AB21" s="2">
        <f t="shared" si="4"/>
        <v>-3.7638299024217377E-12</v>
      </c>
      <c r="AC21" s="2">
        <f t="shared" si="5"/>
        <v>1.2862026877517118E-11</v>
      </c>
      <c r="AD21" s="2">
        <f t="shared" si="6"/>
        <v>7.62939453125E-6</v>
      </c>
      <c r="AF21" s="2">
        <v>17</v>
      </c>
      <c r="AG21" s="2">
        <f t="shared" si="13"/>
        <v>1905.3726196289062</v>
      </c>
      <c r="AH21" s="2">
        <v>-3.5368127683939292</v>
      </c>
      <c r="AI21" s="2">
        <f t="shared" si="14"/>
        <v>1905.517578125</v>
      </c>
      <c r="AJ21" s="2">
        <v>0.82480414756309983</v>
      </c>
      <c r="AK21" s="2">
        <f t="shared" si="9"/>
        <v>1905.4450988769531</v>
      </c>
      <c r="AL21" s="2">
        <v>-3.4686586472762428</v>
      </c>
      <c r="AM21" s="2">
        <f t="shared" si="10"/>
        <v>12.267996192886629</v>
      </c>
      <c r="AN21" s="2">
        <f t="shared" si="11"/>
        <v>-2.8609640387540565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29" t="s">
        <v>77</v>
      </c>
      <c r="G22" s="29"/>
      <c r="H22" s="29"/>
      <c r="J22" s="13" t="s">
        <v>144</v>
      </c>
      <c r="K22" s="6">
        <f>linear_250!K22</f>
        <v>327.16029756457215</v>
      </c>
      <c r="L22" s="6" t="s">
        <v>7</v>
      </c>
      <c r="N22" s="6" t="s">
        <v>29</v>
      </c>
      <c r="O22" s="6">
        <f xml:space="preserve"> $C$7 * COS(O19/180*PI()) / (O21 * $C$10)</f>
        <v>8.322700011368428E-2</v>
      </c>
      <c r="U22" s="2">
        <v>18</v>
      </c>
      <c r="V22" s="2">
        <f t="shared" si="7"/>
        <v>0.972564697265625</v>
      </c>
      <c r="W22" s="2">
        <f t="shared" si="0"/>
        <v>1.7646853726072109E-6</v>
      </c>
      <c r="X22" s="2">
        <f t="shared" si="8"/>
        <v>0.97256851196289062</v>
      </c>
      <c r="Y22" s="2">
        <f t="shared" si="1"/>
        <v>-2.1328617332283528E-6</v>
      </c>
      <c r="Z22" s="2">
        <f t="shared" si="3"/>
        <v>0.97256660461425781</v>
      </c>
      <c r="AA22" s="2">
        <f t="shared" si="2"/>
        <v>-1.8408826063520678E-7</v>
      </c>
      <c r="AB22" s="2">
        <f t="shared" si="4"/>
        <v>-3.2485786081165325E-13</v>
      </c>
      <c r="AC22" s="2">
        <f t="shared" si="5"/>
        <v>3.9263480664539987E-13</v>
      </c>
      <c r="AD22" s="2">
        <f t="shared" si="6"/>
        <v>3.814697265625E-6</v>
      </c>
      <c r="AF22" s="2">
        <v>18</v>
      </c>
      <c r="AG22" s="2">
        <f t="shared" si="13"/>
        <v>1905.4450988769531</v>
      </c>
      <c r="AH22" s="2">
        <v>-3.5368127683939292</v>
      </c>
      <c r="AI22" s="2">
        <f t="shared" si="14"/>
        <v>1905.517578125</v>
      </c>
      <c r="AJ22" s="2">
        <v>0.82480414756309983</v>
      </c>
      <c r="AK22" s="2">
        <f t="shared" si="9"/>
        <v>1905.4813385009766</v>
      </c>
      <c r="AL22" s="2">
        <v>-3.5027356929206235</v>
      </c>
      <c r="AM22" s="2">
        <f t="shared" si="10"/>
        <v>12.388520323030818</v>
      </c>
      <c r="AN22" s="2">
        <f t="shared" si="11"/>
        <v>-2.8890709273382384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>linear_250!K23</f>
        <v>26.081261453074834</v>
      </c>
      <c r="L23" s="6" t="s">
        <v>7</v>
      </c>
      <c r="N23" s="6" t="s">
        <v>30</v>
      </c>
      <c r="O23" s="6">
        <f xml:space="preserve"> O20 / ( $C$71 * PI() * $C$10^2 * O21^2 * $C$10^2)</f>
        <v>4.153875082981321E-2</v>
      </c>
      <c r="U23" s="2">
        <v>19</v>
      </c>
      <c r="V23" s="2">
        <f t="shared" si="7"/>
        <v>0.972564697265625</v>
      </c>
      <c r="W23" s="2">
        <f t="shared" si="0"/>
        <v>1.7646853726072109E-6</v>
      </c>
      <c r="X23" s="2">
        <f t="shared" si="8"/>
        <v>0.97256660461425781</v>
      </c>
      <c r="Y23" s="2">
        <f t="shared" si="1"/>
        <v>-1.8408826063520678E-7</v>
      </c>
      <c r="Z23" s="2">
        <f t="shared" si="3"/>
        <v>0.97256565093994141</v>
      </c>
      <c r="AA23" s="2">
        <f t="shared" si="2"/>
        <v>7.9029853583545417E-7</v>
      </c>
      <c r="AB23" s="2">
        <f t="shared" si="4"/>
        <v>1.3946282661817216E-12</v>
      </c>
      <c r="AC23" s="2">
        <f t="shared" si="5"/>
        <v>-1.4548468284449938E-13</v>
      </c>
      <c r="AD23" s="2">
        <f t="shared" si="6"/>
        <v>1.9073486328125E-6</v>
      </c>
      <c r="AF23" s="2">
        <v>19</v>
      </c>
      <c r="AG23" s="2">
        <f t="shared" si="13"/>
        <v>1905.4813385009766</v>
      </c>
      <c r="AH23" s="2">
        <v>-3.5368127683939292</v>
      </c>
      <c r="AI23" s="2">
        <f t="shared" si="14"/>
        <v>1905.517578125</v>
      </c>
      <c r="AJ23" s="2">
        <v>0.82480414756309983</v>
      </c>
      <c r="AK23" s="2">
        <f t="shared" si="9"/>
        <v>1905.4994583129883</v>
      </c>
      <c r="AL23" s="2">
        <v>-3.5197742269288028</v>
      </c>
      <c r="AM23" s="2">
        <f t="shared" si="10"/>
        <v>12.448782427665661</v>
      </c>
      <c r="AN23" s="2">
        <f t="shared" si="11"/>
        <v>-2.9031243808565801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>linear_250!K24</f>
        <v>8.9421875853204309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0.97256565093994141</v>
      </c>
      <c r="W24" s="2">
        <f t="shared" si="0"/>
        <v>7.9029853583545417E-7</v>
      </c>
      <c r="X24" s="2">
        <f t="shared" si="8"/>
        <v>0.97256660461425781</v>
      </c>
      <c r="Y24" s="2">
        <f t="shared" si="1"/>
        <v>-1.8408826063520678E-7</v>
      </c>
      <c r="Z24" s="2">
        <f t="shared" si="3"/>
        <v>0.97256612777709961</v>
      </c>
      <c r="AA24" s="2">
        <f t="shared" si="2"/>
        <v>3.0310513254860894E-7</v>
      </c>
      <c r="AB24" s="2">
        <f t="shared" si="4"/>
        <v>2.395435424573769E-13</v>
      </c>
      <c r="AC24" s="2">
        <f t="shared" si="5"/>
        <v>-5.5798096640477218E-14</v>
      </c>
      <c r="AD24" s="2">
        <f t="shared" si="6"/>
        <v>9.5367431640625E-7</v>
      </c>
      <c r="AF24" s="2">
        <v>20</v>
      </c>
      <c r="AG24" s="2">
        <f t="shared" si="13"/>
        <v>1905.4994583129883</v>
      </c>
      <c r="AH24" s="2">
        <v>-3.5368127683939292</v>
      </c>
      <c r="AI24" s="2">
        <f t="shared" si="14"/>
        <v>1905.517578125</v>
      </c>
      <c r="AJ24" s="2">
        <v>0.82480414756309983</v>
      </c>
      <c r="AK24" s="2">
        <f t="shared" si="9"/>
        <v>1905.5085182189941</v>
      </c>
      <c r="AL24" s="2">
        <v>-3.5282934135825599</v>
      </c>
      <c r="AM24" s="2">
        <f t="shared" si="10"/>
        <v>12.478913195799</v>
      </c>
      <c r="AN24" s="2">
        <f t="shared" si="11"/>
        <v>-2.9101510413424632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linear_250!K25</f>
        <v>21.837947477166356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2300.4530305494418</v>
      </c>
      <c r="P25" s="6" t="s">
        <v>19</v>
      </c>
      <c r="U25" s="2">
        <v>21</v>
      </c>
      <c r="V25" s="2">
        <f t="shared" si="7"/>
        <v>0.97256612777709961</v>
      </c>
      <c r="W25" s="2">
        <f t="shared" si="0"/>
        <v>3.0310513254860894E-7</v>
      </c>
      <c r="X25" s="2">
        <f t="shared" si="8"/>
        <v>0.97256660461425781</v>
      </c>
      <c r="Y25" s="2">
        <f t="shared" si="1"/>
        <v>-1.8408826063520678E-7</v>
      </c>
      <c r="Z25" s="2">
        <f t="shared" si="3"/>
        <v>0.97256636619567871</v>
      </c>
      <c r="AA25" s="2">
        <f t="shared" si="2"/>
        <v>5.9508434735455751E-8</v>
      </c>
      <c r="AB25" s="2">
        <f t="shared" si="4"/>
        <v>1.8037311998250558E-14</v>
      </c>
      <c r="AC25" s="2">
        <f t="shared" si="5"/>
        <v>-1.095480424357377E-14</v>
      </c>
      <c r="AD25" s="2">
        <f t="shared" si="6"/>
        <v>4.76837158203125E-7</v>
      </c>
      <c r="AF25" s="2">
        <v>21</v>
      </c>
      <c r="AG25" s="2">
        <f t="shared" si="13"/>
        <v>1905.5085182189941</v>
      </c>
      <c r="AH25" s="2">
        <v>-3.5368127683939292</v>
      </c>
      <c r="AI25" s="2">
        <f t="shared" si="14"/>
        <v>1905.517578125</v>
      </c>
      <c r="AJ25" s="2">
        <v>0.82480414756309983</v>
      </c>
      <c r="AK25" s="2">
        <f t="shared" si="9"/>
        <v>1905.5130481719971</v>
      </c>
      <c r="AL25" s="2">
        <v>-3.5325531739017606</v>
      </c>
      <c r="AM25" s="2">
        <f t="shared" si="10"/>
        <v>12.493979170486247</v>
      </c>
      <c r="AN25" s="2">
        <f t="shared" si="11"/>
        <v>-2.9136645093213644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2333.5393751969209</v>
      </c>
      <c r="H26" s="6" t="s">
        <v>21</v>
      </c>
      <c r="J26" s="14" t="s">
        <v>65</v>
      </c>
      <c r="K26" s="6">
        <f>linear_250!K26</f>
        <v>49.873637181798664</v>
      </c>
      <c r="L26" s="6" t="s">
        <v>7</v>
      </c>
      <c r="N26" s="6" t="s">
        <v>32</v>
      </c>
      <c r="O26" s="17">
        <f>Z34</f>
        <v>0.97256642440333962</v>
      </c>
      <c r="U26" s="2">
        <v>22</v>
      </c>
      <c r="V26" s="2">
        <f t="shared" si="7"/>
        <v>0.97256636619567871</v>
      </c>
      <c r="W26" s="2">
        <f t="shared" si="0"/>
        <v>5.9508434735455751E-8</v>
      </c>
      <c r="X26" s="2">
        <f t="shared" si="8"/>
        <v>0.97256660461425781</v>
      </c>
      <c r="Y26" s="2">
        <f t="shared" si="1"/>
        <v>-1.8408826063520678E-7</v>
      </c>
      <c r="Z26" s="2">
        <f t="shared" si="3"/>
        <v>0.97256648540496826</v>
      </c>
      <c r="AA26" s="2">
        <f t="shared" si="2"/>
        <v>-6.2289913338453573E-8</v>
      </c>
      <c r="AB26" s="2">
        <f t="shared" si="4"/>
        <v>-3.706775242578559E-15</v>
      </c>
      <c r="AC26" s="2">
        <f t="shared" si="5"/>
        <v>1.1466841801593685E-14</v>
      </c>
      <c r="AD26" s="2">
        <f t="shared" si="6"/>
        <v>2.384185791015625E-7</v>
      </c>
      <c r="AF26" s="2">
        <v>22</v>
      </c>
      <c r="AG26" s="2">
        <f t="shared" si="13"/>
        <v>1905.5130481719971</v>
      </c>
      <c r="AH26" s="2">
        <v>-3.5368127683939292</v>
      </c>
      <c r="AI26" s="2">
        <f t="shared" si="14"/>
        <v>1905.517578125</v>
      </c>
      <c r="AJ26" s="2">
        <v>0.82480414756309983</v>
      </c>
      <c r="AK26" s="2">
        <f t="shared" si="9"/>
        <v>1905.5153131484985</v>
      </c>
      <c r="AL26" s="2">
        <v>-3.5346828879432906</v>
      </c>
      <c r="AM26" s="2">
        <f t="shared" si="10"/>
        <v>12.501511570301359</v>
      </c>
      <c r="AN26" s="2">
        <f t="shared" si="11"/>
        <v>-2.9154211062959416</v>
      </c>
      <c r="AO26" s="2">
        <f t="shared" si="12"/>
        <v>4.5299530029296875E-3</v>
      </c>
    </row>
    <row r="27" spans="2:41" x14ac:dyDescent="0.2">
      <c r="B27" s="29" t="s">
        <v>146</v>
      </c>
      <c r="C27" s="29"/>
      <c r="D27" s="29"/>
      <c r="F27" t="s">
        <v>93</v>
      </c>
      <c r="G27" s="6">
        <f>G29/$C$21</f>
        <v>25.8645574253284</v>
      </c>
      <c r="H27" t="s">
        <v>97</v>
      </c>
      <c r="J27" s="14" t="s">
        <v>66</v>
      </c>
      <c r="K27" s="6">
        <f>linear_250!K27</f>
        <v>8.0250032147547259</v>
      </c>
      <c r="L27" s="6" t="s">
        <v>7</v>
      </c>
      <c r="N27" s="6" t="s">
        <v>33</v>
      </c>
      <c r="O27" s="6">
        <f xml:space="preserve"> O21 * $C$10 * O26 - $C$7 * SIN(O19/180*PI())</f>
        <v>1.4941327862398168</v>
      </c>
      <c r="P27" s="6" t="s">
        <v>10</v>
      </c>
      <c r="U27" s="2">
        <v>23</v>
      </c>
      <c r="V27" s="2">
        <f t="shared" si="7"/>
        <v>0.97256636619567871</v>
      </c>
      <c r="W27" s="2">
        <f t="shared" si="0"/>
        <v>5.9508434735455751E-8</v>
      </c>
      <c r="X27" s="2">
        <f t="shared" si="8"/>
        <v>0.97256648540496826</v>
      </c>
      <c r="Y27" s="2">
        <f t="shared" si="1"/>
        <v>-6.2289913338453573E-8</v>
      </c>
      <c r="Z27" s="2">
        <f t="shared" si="3"/>
        <v>0.97256642580032349</v>
      </c>
      <c r="AA27" s="2">
        <f t="shared" si="2"/>
        <v>-1.3907394125212136E-9</v>
      </c>
      <c r="AB27" s="2">
        <f t="shared" si="4"/>
        <v>-8.2760725564044711E-17</v>
      </c>
      <c r="AC27" s="2">
        <f t="shared" si="5"/>
        <v>8.6629037482318228E-17</v>
      </c>
      <c r="AD27" s="2">
        <f t="shared" si="6"/>
        <v>1.1920928955078125E-7</v>
      </c>
      <c r="AF27" s="2">
        <v>23</v>
      </c>
      <c r="AG27" s="2">
        <f t="shared" si="13"/>
        <v>1905.5153131484985</v>
      </c>
      <c r="AH27" s="2">
        <v>-3.5368127683939292</v>
      </c>
      <c r="AI27" s="2">
        <f t="shared" si="14"/>
        <v>1905.517578125</v>
      </c>
      <c r="AJ27" s="2">
        <v>0.82480414756309983</v>
      </c>
      <c r="AK27" s="2">
        <f t="shared" si="9"/>
        <v>1905.5164456367493</v>
      </c>
      <c r="AL27" s="2">
        <v>-3.5357477450074839</v>
      </c>
      <c r="AM27" s="2">
        <f t="shared" si="10"/>
        <v>12.505277770362511</v>
      </c>
      <c r="AN27" s="2">
        <f t="shared" si="11"/>
        <v>-2.9162994048190503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9.2048756918218704</v>
      </c>
      <c r="H28" s="6" t="s">
        <v>172</v>
      </c>
      <c r="J28" s="14" t="s">
        <v>67</v>
      </c>
      <c r="K28" s="6">
        <f>linear_250!K28</f>
        <v>14.887652890089152</v>
      </c>
      <c r="L28" s="6" t="s">
        <v>7</v>
      </c>
      <c r="N28" s="6" t="s">
        <v>34</v>
      </c>
      <c r="O28" s="6">
        <f xml:space="preserve"> 1/$C$31 - O25 * SQRT( (2*$C$71*PI()*$C$10^2) / O20^3 )</f>
        <v>1.1702863287193814</v>
      </c>
      <c r="U28" s="2">
        <v>24</v>
      </c>
      <c r="V28" s="2">
        <f t="shared" si="7"/>
        <v>0.97256636619567871</v>
      </c>
      <c r="W28" s="2">
        <f t="shared" si="0"/>
        <v>5.9508434735455751E-8</v>
      </c>
      <c r="X28" s="2">
        <f t="shared" si="8"/>
        <v>0.97256642580032349</v>
      </c>
      <c r="Y28" s="2">
        <f t="shared" si="1"/>
        <v>-1.3907394125212136E-9</v>
      </c>
      <c r="Z28" s="2">
        <f t="shared" si="3"/>
        <v>0.9725663959980011</v>
      </c>
      <c r="AA28" s="2">
        <f t="shared" si="2"/>
        <v>2.9058847661467269E-8</v>
      </c>
      <c r="AB28" s="2">
        <f t="shared" si="4"/>
        <v>1.7292465395499758E-15</v>
      </c>
      <c r="AC28" s="2">
        <f t="shared" si="5"/>
        <v>-4.041328472525243E-17</v>
      </c>
      <c r="AD28" s="2">
        <f t="shared" si="6"/>
        <v>5.9604644775390625E-8</v>
      </c>
      <c r="AF28" s="2">
        <v>24</v>
      </c>
      <c r="AG28" s="2">
        <f t="shared" si="13"/>
        <v>1905.5164456367493</v>
      </c>
      <c r="AH28" s="2">
        <v>-3.5368127683939292</v>
      </c>
      <c r="AI28" s="2">
        <f t="shared" si="14"/>
        <v>1905.517578125</v>
      </c>
      <c r="AJ28" s="2">
        <v>0.82480414756309983</v>
      </c>
      <c r="AK28" s="2">
        <f t="shared" si="9"/>
        <v>1905.5170118808746</v>
      </c>
      <c r="AL28" s="2">
        <v>-3.5362802566969549</v>
      </c>
      <c r="AM28" s="2">
        <f t="shared" si="10"/>
        <v>12.507161164505151</v>
      </c>
      <c r="AN28" s="2">
        <f t="shared" si="11"/>
        <v>-2.9167386226691518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206.9164594026272</v>
      </c>
      <c r="H29" s="22" t="s">
        <v>97</v>
      </c>
      <c r="J29" s="14" t="s">
        <v>68</v>
      </c>
      <c r="K29" s="6">
        <f>linear_250!K29</f>
        <v>39.506879719894869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0.9725663959980011</v>
      </c>
      <c r="W29" s="2">
        <f t="shared" si="0"/>
        <v>2.9058847661467269E-8</v>
      </c>
      <c r="X29" s="2">
        <f t="shared" si="8"/>
        <v>0.97256642580032349</v>
      </c>
      <c r="Y29" s="2">
        <f t="shared" si="1"/>
        <v>-1.3907394125212136E-9</v>
      </c>
      <c r="Z29" s="2">
        <f t="shared" si="3"/>
        <v>0.97256641089916229</v>
      </c>
      <c r="AA29" s="2">
        <f t="shared" si="2"/>
        <v>1.3834054124473028E-8</v>
      </c>
      <c r="AB29" s="2">
        <f t="shared" si="4"/>
        <v>4.0200167134355468E-16</v>
      </c>
      <c r="AC29" s="2">
        <f t="shared" si="5"/>
        <v>-1.923956430585629E-17</v>
      </c>
      <c r="AD29" s="2">
        <f t="shared" si="6"/>
        <v>2.9802322387695312E-8</v>
      </c>
      <c r="AF29" s="2">
        <v>25</v>
      </c>
      <c r="AG29" s="2">
        <f t="shared" si="13"/>
        <v>1905.5170118808746</v>
      </c>
      <c r="AH29" s="2">
        <v>-3.5368127683939292</v>
      </c>
      <c r="AI29" s="2">
        <f t="shared" si="14"/>
        <v>1905.517578125</v>
      </c>
      <c r="AJ29" s="2">
        <v>0.82480414756309983</v>
      </c>
      <c r="AK29" s="2">
        <f t="shared" si="9"/>
        <v>1905.5172950029373</v>
      </c>
      <c r="AL29" s="2">
        <v>-3.5365465125446462</v>
      </c>
      <c r="AM29" s="2">
        <f t="shared" si="10"/>
        <v>12.508102861586925</v>
      </c>
      <c r="AN29" s="2">
        <f t="shared" si="11"/>
        <v>-2.9169582315966407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-5.0384300948280725E-5</v>
      </c>
      <c r="L30" s="9" t="s">
        <v>7</v>
      </c>
      <c r="N30" s="6" t="s">
        <v>36</v>
      </c>
      <c r="O30" s="6">
        <f xml:space="preserve"> 1/$C$77 * LN( EXP($C$77 * O28) + EXP($C$77 * O29) )</f>
        <v>1.184768082741037</v>
      </c>
      <c r="U30" s="2">
        <v>26</v>
      </c>
      <c r="V30" s="2">
        <f>IF(AB29&gt;0, Z29, V29)</f>
        <v>0.97256641089916229</v>
      </c>
      <c r="W30" s="2">
        <f t="shared" si="0"/>
        <v>1.3834054124473028E-8</v>
      </c>
      <c r="X30" s="2">
        <f t="shared" si="8"/>
        <v>0.97256642580032349</v>
      </c>
      <c r="Y30" s="2">
        <f t="shared" si="1"/>
        <v>-1.3907394125212136E-9</v>
      </c>
      <c r="Z30" s="2">
        <f t="shared" si="3"/>
        <v>0.97256641834974289</v>
      </c>
      <c r="AA30" s="2">
        <f t="shared" si="2"/>
        <v>6.2216574114870582E-9</v>
      </c>
      <c r="AB30" s="2">
        <f t="shared" si="4"/>
        <v>8.6070745374440718E-17</v>
      </c>
      <c r="AC30" s="2">
        <f t="shared" si="5"/>
        <v>-8.6527041733597657E-18</v>
      </c>
      <c r="AD30" s="2">
        <f t="shared" si="6"/>
        <v>1.4901161193847656E-8</v>
      </c>
      <c r="AF30" s="2">
        <v>26</v>
      </c>
      <c r="AG30" s="2">
        <f t="shared" si="13"/>
        <v>1905.5172950029373</v>
      </c>
      <c r="AH30" s="2">
        <v>-3.5368127683939292</v>
      </c>
      <c r="AI30" s="2">
        <f t="shared" si="14"/>
        <v>1905.517578125</v>
      </c>
      <c r="AJ30" s="2">
        <v>0.82480414756309983</v>
      </c>
      <c r="AK30" s="2">
        <f t="shared" si="9"/>
        <v>1905.5174365639687</v>
      </c>
      <c r="AL30" s="2">
        <v>-3.5366795573227137</v>
      </c>
      <c r="AM30" s="2">
        <f t="shared" si="10"/>
        <v>12.508573416056763</v>
      </c>
      <c r="AN30" s="2">
        <f t="shared" si="11"/>
        <v>-2.917067967481402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0" t="s">
        <v>175</v>
      </c>
      <c r="G31" s="31"/>
      <c r="H31" s="31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0.97256641834974289</v>
      </c>
      <c r="W31" s="2">
        <f t="shared" si="0"/>
        <v>6.2216574114870582E-9</v>
      </c>
      <c r="X31" s="2">
        <f t="shared" si="8"/>
        <v>0.97256642580032349</v>
      </c>
      <c r="Y31" s="2">
        <f t="shared" si="1"/>
        <v>-1.3907394125212136E-9</v>
      </c>
      <c r="Z31" s="2">
        <f t="shared" si="3"/>
        <v>0.97256642207503319</v>
      </c>
      <c r="AA31" s="2">
        <f t="shared" si="2"/>
        <v>2.4154589439717711E-9</v>
      </c>
      <c r="AB31" s="2">
        <f t="shared" si="4"/>
        <v>1.5028158040904672E-17</v>
      </c>
      <c r="AC31" s="2">
        <f t="shared" si="5"/>
        <v>-3.3592739527084119E-18</v>
      </c>
      <c r="AD31" s="2">
        <f t="shared" si="6"/>
        <v>7.4505805969238281E-9</v>
      </c>
      <c r="AF31" s="2">
        <v>27</v>
      </c>
      <c r="AG31" s="2">
        <f t="shared" si="13"/>
        <v>1905.5174365639687</v>
      </c>
      <c r="AH31" s="2">
        <v>-3.5368127683939292</v>
      </c>
      <c r="AI31" s="2">
        <f t="shared" si="14"/>
        <v>1905.517578125</v>
      </c>
      <c r="AJ31" s="2">
        <v>0.82480414756309983</v>
      </c>
      <c r="AK31" s="2">
        <f t="shared" si="9"/>
        <v>1905.5175073444843</v>
      </c>
      <c r="AL31" s="2">
        <v>-3.5367461628582078</v>
      </c>
      <c r="AM31" s="2">
        <f t="shared" si="10"/>
        <v>12.508808987365144</v>
      </c>
      <c r="AN31" s="2">
        <f t="shared" si="11"/>
        <v>-2.9171229040033282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0.97256642207503319</v>
      </c>
      <c r="W32" s="2">
        <f t="shared" si="0"/>
        <v>2.4154589439717711E-9</v>
      </c>
      <c r="X32" s="2">
        <f t="shared" si="8"/>
        <v>0.97256642580032349</v>
      </c>
      <c r="Y32" s="2">
        <f t="shared" si="1"/>
        <v>-1.3907394125212136E-9</v>
      </c>
      <c r="Z32" s="2">
        <f t="shared" si="3"/>
        <v>0.97256642393767834</v>
      </c>
      <c r="AA32" s="2">
        <f t="shared" si="2"/>
        <v>5.1235982123642998E-10</v>
      </c>
      <c r="AB32" s="2">
        <f t="shared" si="4"/>
        <v>1.2375841127373126E-18</v>
      </c>
      <c r="AC32" s="2">
        <f t="shared" si="5"/>
        <v>-7.1255899678582664E-19</v>
      </c>
      <c r="AD32" s="2">
        <f t="shared" si="6"/>
        <v>3.7252902984619141E-9</v>
      </c>
      <c r="AF32" s="2">
        <v>28</v>
      </c>
      <c r="AG32" s="2">
        <f t="shared" si="13"/>
        <v>1905.5175073444843</v>
      </c>
      <c r="AH32" s="2">
        <v>-3.5368127683939292</v>
      </c>
      <c r="AI32" s="2">
        <f t="shared" si="14"/>
        <v>1905.517578125</v>
      </c>
      <c r="AJ32" s="2">
        <v>0.82480414756309983</v>
      </c>
      <c r="AK32" s="2">
        <f t="shared" si="9"/>
        <v>1905.5175427347422</v>
      </c>
      <c r="AL32" s="2">
        <v>-3.5367794656260685</v>
      </c>
      <c r="AM32" s="2">
        <f t="shared" si="10"/>
        <v>12.508926773019738</v>
      </c>
      <c r="AN32" s="2">
        <f t="shared" si="11"/>
        <v>-2.917150372264385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97.900940254401135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0.97256642393767834</v>
      </c>
      <c r="W33" s="2">
        <f t="shared" si="0"/>
        <v>5.1235982123642998E-10</v>
      </c>
      <c r="X33" s="2">
        <f t="shared" si="8"/>
        <v>0.97256642580032349</v>
      </c>
      <c r="Y33" s="2">
        <f t="shared" si="1"/>
        <v>-1.3907394125212136E-9</v>
      </c>
      <c r="Z33" s="2">
        <f t="shared" si="3"/>
        <v>0.97256642486900091</v>
      </c>
      <c r="AA33" s="2">
        <f t="shared" si="2"/>
        <v>-4.391897956423918E-10</v>
      </c>
      <c r="AB33" s="2">
        <f t="shared" si="4"/>
        <v>-2.2502320518420008E-19</v>
      </c>
      <c r="AC33" s="2">
        <f t="shared" si="5"/>
        <v>6.1079855837701182E-19</v>
      </c>
      <c r="AD33" s="2">
        <f t="shared" si="6"/>
        <v>1.862645149230957E-9</v>
      </c>
      <c r="AF33" s="2">
        <v>29</v>
      </c>
      <c r="AG33" s="2">
        <f t="shared" si="13"/>
        <v>1905.5175427347422</v>
      </c>
      <c r="AH33" s="2">
        <v>-3.5368127683939292</v>
      </c>
      <c r="AI33" s="2">
        <f t="shared" si="14"/>
        <v>1905.517578125</v>
      </c>
      <c r="AJ33" s="2">
        <v>0.82480414756309983</v>
      </c>
      <c r="AK33" s="2">
        <f t="shared" si="9"/>
        <v>1905.5175604298711</v>
      </c>
      <c r="AL33" s="2">
        <v>-3.5367961170099989</v>
      </c>
      <c r="AM33" s="2">
        <f t="shared" si="10"/>
        <v>12.508985665847034</v>
      </c>
      <c r="AN33" s="2">
        <f t="shared" si="11"/>
        <v>-2.9171641063949134</v>
      </c>
      <c r="AO33" s="2">
        <f t="shared" si="12"/>
        <v>3.5390257835388184E-5</v>
      </c>
    </row>
    <row r="34" spans="2:41" x14ac:dyDescent="0.2">
      <c r="B34" s="29" t="s">
        <v>100</v>
      </c>
      <c r="C34" s="29"/>
      <c r="D34" s="29"/>
      <c r="J34" s="6" t="s">
        <v>58</v>
      </c>
      <c r="K34" s="6">
        <f>ROUND($C$16/$C$5 * 100, 2)</f>
        <v>31.5</v>
      </c>
      <c r="L34" s="6" t="s">
        <v>59</v>
      </c>
      <c r="U34" s="2">
        <v>30</v>
      </c>
      <c r="V34" s="2">
        <f t="shared" si="7"/>
        <v>0.97256642393767834</v>
      </c>
      <c r="W34" s="2">
        <f t="shared" si="0"/>
        <v>5.1235982123642998E-10</v>
      </c>
      <c r="X34" s="2">
        <f t="shared" si="8"/>
        <v>0.97256642486900091</v>
      </c>
      <c r="Y34" s="2">
        <f t="shared" si="1"/>
        <v>-4.391897956423918E-10</v>
      </c>
      <c r="Z34" s="2">
        <f t="shared" si="3"/>
        <v>0.97256642440333962</v>
      </c>
      <c r="AA34" s="2">
        <f t="shared" si="2"/>
        <v>3.6584957285867858E-11</v>
      </c>
      <c r="AB34" s="2">
        <f t="shared" si="4"/>
        <v>1.8744662174929682E-20</v>
      </c>
      <c r="AC34" s="2">
        <f t="shared" si="5"/>
        <v>-1.6067739913965938E-20</v>
      </c>
      <c r="AD34" s="2">
        <f t="shared" si="6"/>
        <v>9.3132257461547852E-10</v>
      </c>
      <c r="AF34" s="2">
        <v>30</v>
      </c>
      <c r="AG34" s="2">
        <f t="shared" si="13"/>
        <v>1905.5175604298711</v>
      </c>
      <c r="AH34" s="2">
        <v>-3.5368127683939292</v>
      </c>
      <c r="AI34" s="2">
        <f t="shared" si="14"/>
        <v>1905.517578125</v>
      </c>
      <c r="AJ34" s="2">
        <v>0.82480414756309983</v>
      </c>
      <c r="AK34" s="2">
        <f t="shared" si="9"/>
        <v>1905.5175692774355</v>
      </c>
      <c r="AL34" s="2">
        <v>-3.5368044427018503</v>
      </c>
      <c r="AM34" s="2">
        <f t="shared" si="10"/>
        <v>12.509015112260279</v>
      </c>
      <c r="AN34" s="2">
        <f t="shared" si="11"/>
        <v>-2.9171709734600841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10.07</v>
      </c>
      <c r="L35" s="6" t="s">
        <v>59</v>
      </c>
      <c r="AF35" s="2">
        <v>31</v>
      </c>
      <c r="AG35" s="2">
        <f t="shared" si="13"/>
        <v>1905.5175692774355</v>
      </c>
      <c r="AH35" s="2">
        <v>-3.5368127683939292</v>
      </c>
      <c r="AI35" s="2">
        <f t="shared" si="14"/>
        <v>1905.517578125</v>
      </c>
      <c r="AJ35" s="2">
        <v>0.82480414756309983</v>
      </c>
      <c r="AK35" s="2">
        <f t="shared" si="9"/>
        <v>1905.5175737012178</v>
      </c>
      <c r="AL35" s="2">
        <v>-3.5368086055480035</v>
      </c>
      <c r="AM35" s="2">
        <f t="shared" si="10"/>
        <v>12.509029835467707</v>
      </c>
      <c r="AN35" s="2">
        <f t="shared" si="11"/>
        <v>-2.9171744069928569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17.82</v>
      </c>
      <c r="L36" s="6" t="s">
        <v>59</v>
      </c>
      <c r="AF36" s="2">
        <v>32</v>
      </c>
      <c r="AG36" s="2">
        <f t="shared" si="13"/>
        <v>1905.5175737012178</v>
      </c>
      <c r="AH36" s="2">
        <v>-3.5368127683939292</v>
      </c>
      <c r="AI36" s="2">
        <f t="shared" si="14"/>
        <v>1905.517578125</v>
      </c>
      <c r="AJ36" s="2">
        <v>0.82480414756309983</v>
      </c>
      <c r="AK36" s="2">
        <f t="shared" si="9"/>
        <v>1905.5175759131089</v>
      </c>
      <c r="AL36" s="2">
        <v>-3.5368106869709663</v>
      </c>
      <c r="AM36" s="2">
        <f t="shared" si="10"/>
        <v>12.509037197071018</v>
      </c>
      <c r="AN36" s="2">
        <f t="shared" si="11"/>
        <v>-2.9171761237591496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34.71</v>
      </c>
      <c r="L37" s="6" t="s">
        <v>59</v>
      </c>
      <c r="AF37" s="2">
        <v>33</v>
      </c>
      <c r="AG37" s="2">
        <f t="shared" si="13"/>
        <v>1905.5175759131089</v>
      </c>
      <c r="AH37" s="2">
        <v>-3.5368127683939292</v>
      </c>
      <c r="AI37" s="2">
        <f t="shared" si="14"/>
        <v>1905.517578125</v>
      </c>
      <c r="AJ37" s="2">
        <v>0.82480414756309983</v>
      </c>
      <c r="AK37" s="2">
        <f t="shared" si="9"/>
        <v>1905.5175770190544</v>
      </c>
      <c r="AL37" s="2">
        <v>-3.5368117276825615</v>
      </c>
      <c r="AM37" s="2">
        <f t="shared" si="10"/>
        <v>12.509040877873076</v>
      </c>
      <c r="AN37" s="2">
        <f t="shared" si="11"/>
        <v>-2.9171769821423896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5.9</v>
      </c>
      <c r="L38" s="6" t="s">
        <v>59</v>
      </c>
      <c r="AF38" s="2">
        <v>34</v>
      </c>
      <c r="AG38" s="2">
        <f t="shared" si="13"/>
        <v>1905.5175770190544</v>
      </c>
      <c r="AH38" s="2">
        <v>-3.5368127683939292</v>
      </c>
      <c r="AI38" s="2">
        <f t="shared" si="14"/>
        <v>1905.517578125</v>
      </c>
      <c r="AJ38" s="2">
        <v>0.82480414756309983</v>
      </c>
      <c r="AK38" s="2">
        <f t="shared" si="9"/>
        <v>1905.5175775720272</v>
      </c>
      <c r="AL38" s="2">
        <v>-3.5368122480381317</v>
      </c>
      <c r="AM38" s="2">
        <f t="shared" si="10"/>
        <v>12.509042718273301</v>
      </c>
      <c r="AN38" s="2">
        <f t="shared" si="11"/>
        <v>-2.9171774113338218</v>
      </c>
      <c r="AO38" s="2">
        <f t="shared" si="12"/>
        <v>1.1059455573558807E-6</v>
      </c>
    </row>
    <row r="39" spans="2:41" x14ac:dyDescent="0.2">
      <c r="B39" s="29" t="s">
        <v>104</v>
      </c>
      <c r="C39" s="29"/>
      <c r="D39" s="29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1905.5175775720272</v>
      </c>
      <c r="AH39" s="2">
        <v>-3.5368127683939292</v>
      </c>
      <c r="AI39" s="2">
        <f t="shared" si="14"/>
        <v>1905.517578125</v>
      </c>
      <c r="AJ39" s="2">
        <v>0.82480414756309983</v>
      </c>
      <c r="AK39" s="2">
        <f t="shared" si="9"/>
        <v>1905.5175778485136</v>
      </c>
      <c r="AL39" s="2">
        <v>-3.5368125082159168</v>
      </c>
      <c r="AM39" s="2">
        <f t="shared" si="10"/>
        <v>12.509043638473413</v>
      </c>
      <c r="AN39" s="2">
        <f t="shared" si="11"/>
        <v>-2.9171776259295381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1905.5175778485136</v>
      </c>
      <c r="AH40" s="2">
        <v>-3.5368127683939292</v>
      </c>
      <c r="AI40" s="2">
        <f t="shared" si="14"/>
        <v>1905.517578125</v>
      </c>
      <c r="AJ40" s="2">
        <v>0.82480414756309983</v>
      </c>
      <c r="AK40" s="2">
        <f t="shared" si="9"/>
        <v>1905.5175779867568</v>
      </c>
      <c r="AL40" s="2">
        <v>-3.5368126383050367</v>
      </c>
      <c r="AM40" s="2">
        <f t="shared" si="10"/>
        <v>12.509044098574273</v>
      </c>
      <c r="AN40" s="2">
        <f t="shared" si="11"/>
        <v>-2.9171777332275841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29" t="s">
        <v>109</v>
      </c>
      <c r="K41" s="29"/>
      <c r="L41" s="29"/>
      <c r="AF41" s="2">
        <v>37</v>
      </c>
      <c r="AG41" s="2">
        <f t="shared" si="13"/>
        <v>1905.5175779867568</v>
      </c>
      <c r="AH41" s="2">
        <v>-3.5368127683939292</v>
      </c>
      <c r="AI41" s="2">
        <f t="shared" si="14"/>
        <v>1905.517578125</v>
      </c>
      <c r="AJ41" s="2">
        <v>0.82480414756309983</v>
      </c>
      <c r="AK41" s="2">
        <f t="shared" si="9"/>
        <v>1905.5175780558784</v>
      </c>
      <c r="AL41" s="2">
        <v>-3.5368127033493693</v>
      </c>
      <c r="AM41" s="2">
        <f t="shared" si="10"/>
        <v>12.509044328623899</v>
      </c>
      <c r="AN41" s="2">
        <f t="shared" si="11"/>
        <v>-2.9171777868764193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1905.5175780558784</v>
      </c>
      <c r="AH42" s="2">
        <v>-3.5368127683939292</v>
      </c>
      <c r="AI42" s="2">
        <f t="shared" si="14"/>
        <v>1905.517578125</v>
      </c>
      <c r="AJ42" s="2">
        <v>0.82480414756309983</v>
      </c>
      <c r="AK42" s="2">
        <f t="shared" si="9"/>
        <v>1905.5175780904392</v>
      </c>
      <c r="AL42" s="2">
        <v>-3.5368127358715356</v>
      </c>
      <c r="AM42" s="2">
        <f t="shared" si="10"/>
        <v>12.509044443648712</v>
      </c>
      <c r="AN42" s="2">
        <f t="shared" si="11"/>
        <v>-2.9171778137008366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191.85</v>
      </c>
      <c r="L43" s="6" t="s">
        <v>7</v>
      </c>
      <c r="AF43" s="2">
        <v>39</v>
      </c>
      <c r="AG43" s="2">
        <f t="shared" si="13"/>
        <v>1905.5175780904392</v>
      </c>
      <c r="AH43" s="2">
        <v>-3.5368127683939292</v>
      </c>
      <c r="AI43" s="2">
        <f t="shared" si="14"/>
        <v>1905.517578125</v>
      </c>
      <c r="AJ43" s="2">
        <v>0.82480414756309983</v>
      </c>
      <c r="AK43" s="2">
        <f t="shared" si="9"/>
        <v>1905.5175781077196</v>
      </c>
      <c r="AL43" s="2">
        <v>-3.5368127521328461</v>
      </c>
      <c r="AM43" s="2">
        <f t="shared" si="10"/>
        <v>12.509044501161924</v>
      </c>
      <c r="AN43" s="2">
        <f t="shared" si="11"/>
        <v>-2.9171778271132331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339.35</v>
      </c>
      <c r="L44" s="6" t="s">
        <v>7</v>
      </c>
      <c r="AF44" s="2">
        <v>40</v>
      </c>
      <c r="AG44" s="2">
        <f t="shared" si="13"/>
        <v>1905.5175781077196</v>
      </c>
      <c r="AH44" s="2">
        <v>-3.5368127683939292</v>
      </c>
      <c r="AI44" s="2">
        <f t="shared" si="14"/>
        <v>1905.517578125</v>
      </c>
      <c r="AJ44" s="2">
        <v>0.82480414756309983</v>
      </c>
      <c r="AK44" s="5">
        <f t="shared" si="9"/>
        <v>1905.5175781163598</v>
      </c>
      <c r="AL44" s="2">
        <v>-3.536812760263274</v>
      </c>
      <c r="AM44" s="2">
        <f t="shared" si="10"/>
        <v>12.509044529917725</v>
      </c>
      <c r="AN44" s="2">
        <f t="shared" si="11"/>
        <v>-2.917177833819244</v>
      </c>
      <c r="AO44" s="2">
        <f t="shared" si="12"/>
        <v>1.7280399333685637E-8</v>
      </c>
    </row>
    <row r="45" spans="2:41" x14ac:dyDescent="0.2">
      <c r="B45" s="29" t="s">
        <v>151</v>
      </c>
      <c r="C45" s="29"/>
      <c r="D45" s="29"/>
      <c r="J45" s="19" t="s">
        <v>70</v>
      </c>
      <c r="K45" s="6">
        <f>ROUND(SUM(K20:K25), 2)</f>
        <v>661.14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112.29</v>
      </c>
      <c r="L46" s="6" t="s">
        <v>7</v>
      </c>
    </row>
    <row r="47" spans="2:41" x14ac:dyDescent="0.2">
      <c r="J47" s="9" t="s">
        <v>60</v>
      </c>
      <c r="K47" s="9">
        <f>SUM(K42:K46)</f>
        <v>1904.63</v>
      </c>
      <c r="L47" s="6" t="s">
        <v>7</v>
      </c>
    </row>
    <row r="48" spans="2:41" x14ac:dyDescent="0.2">
      <c r="B48" s="29" t="s">
        <v>152</v>
      </c>
      <c r="C48" s="29"/>
      <c r="D48" s="29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29" t="s">
        <v>156</v>
      </c>
      <c r="C53" s="29"/>
      <c r="D53" s="29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0" t="s">
        <v>2</v>
      </c>
      <c r="C59" s="31"/>
      <c r="D59" s="31"/>
    </row>
    <row r="60" spans="2:4" x14ac:dyDescent="0.2">
      <c r="B60" s="6" t="s">
        <v>3</v>
      </c>
      <c r="C60" s="16">
        <v>700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29" t="s">
        <v>169</v>
      </c>
      <c r="C64" s="32"/>
      <c r="D64" s="32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29" t="s">
        <v>170</v>
      </c>
      <c r="C70" s="32"/>
      <c r="D70" s="32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29" t="s">
        <v>72</v>
      </c>
      <c r="C76" s="29"/>
      <c r="D76" s="29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obj_val</vt:lpstr>
      <vt:lpstr>uniform_250</vt:lpstr>
      <vt:lpstr>uniform_400</vt:lpstr>
      <vt:lpstr>uniform_550</vt:lpstr>
      <vt:lpstr>uniform_700</vt:lpstr>
      <vt:lpstr>linear_250</vt:lpstr>
      <vt:lpstr>linear_400</vt:lpstr>
      <vt:lpstr>linear_550</vt:lpstr>
      <vt:lpstr>linear_700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2025-05-18T17:05:49Z</dcterms:modified>
</cp:coreProperties>
</file>