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ith_fixed_empty_weight/weighted_sum_of_energy/multirotor/"/>
    </mc:Choice>
  </mc:AlternateContent>
  <xr:revisionPtr revIDLastSave="0" documentId="13_ncr:1_{3C6BF95D-54C9-9E40-ACCD-7620FD03123C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22" r:id="rId2"/>
    <sheet name="uniform_400" sheetId="23" r:id="rId3"/>
    <sheet name="uniform_550" sheetId="24" r:id="rId4"/>
    <sheet name="uniform_700" sheetId="25" r:id="rId5"/>
    <sheet name="linear_250" sheetId="13" r:id="rId6"/>
    <sheet name="linear_400" sheetId="19" r:id="rId7"/>
    <sheet name="linear_550" sheetId="20" r:id="rId8"/>
    <sheet name="linear_70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9" l="1"/>
  <c r="K21" i="19"/>
  <c r="K20" i="20"/>
  <c r="K21" i="20"/>
  <c r="K20" i="21"/>
  <c r="K21" i="21"/>
  <c r="K20" i="23"/>
  <c r="K21" i="23"/>
  <c r="K20" i="24"/>
  <c r="K21" i="24"/>
  <c r="K20" i="25"/>
  <c r="K21" i="25"/>
  <c r="O45" i="25"/>
  <c r="AN44" i="25"/>
  <c r="AM44" i="25"/>
  <c r="O44" i="25"/>
  <c r="AN43" i="25"/>
  <c r="AM43" i="25"/>
  <c r="AN42" i="25"/>
  <c r="AM42" i="25"/>
  <c r="AN41" i="25"/>
  <c r="AM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G34" i="25"/>
  <c r="AN33" i="25"/>
  <c r="AM33" i="25"/>
  <c r="C33" i="25"/>
  <c r="AN32" i="25"/>
  <c r="AM32" i="25"/>
  <c r="AN31" i="25"/>
  <c r="AM31" i="25"/>
  <c r="K31" i="25"/>
  <c r="C31" i="25"/>
  <c r="AN30" i="25"/>
  <c r="AM30" i="25"/>
  <c r="AN29" i="25"/>
  <c r="AM29" i="25"/>
  <c r="AN28" i="25"/>
  <c r="AM28" i="25"/>
  <c r="G28" i="25"/>
  <c r="AN27" i="25"/>
  <c r="AM27" i="25"/>
  <c r="G27" i="25"/>
  <c r="AN26" i="25"/>
  <c r="AM26" i="25"/>
  <c r="G26" i="25"/>
  <c r="AN25" i="25"/>
  <c r="AM25" i="25"/>
  <c r="G25" i="25"/>
  <c r="G31" i="25" s="1"/>
  <c r="G29" i="25" s="1"/>
  <c r="AN24" i="25"/>
  <c r="AM24" i="25"/>
  <c r="AN23" i="25"/>
  <c r="AM23" i="25"/>
  <c r="AN22" i="25"/>
  <c r="AM22" i="25"/>
  <c r="AN21" i="25"/>
  <c r="AM21" i="25"/>
  <c r="AN20" i="25"/>
  <c r="AM20" i="25"/>
  <c r="AN19" i="25"/>
  <c r="AM19" i="25"/>
  <c r="O19" i="25"/>
  <c r="G16" i="25" s="1"/>
  <c r="G17" i="25" s="1"/>
  <c r="AN18" i="25"/>
  <c r="AM18" i="25"/>
  <c r="AN17" i="25"/>
  <c r="AM17" i="25"/>
  <c r="AN16" i="25"/>
  <c r="AM16" i="25"/>
  <c r="AN15" i="25"/>
  <c r="AM15" i="25"/>
  <c r="AN14" i="25"/>
  <c r="AM14" i="25"/>
  <c r="C14" i="25"/>
  <c r="G15" i="25" s="1"/>
  <c r="AN13" i="25"/>
  <c r="AM13" i="25"/>
  <c r="C13" i="25"/>
  <c r="K39" i="25" s="1"/>
  <c r="AN12" i="25"/>
  <c r="AM12" i="25"/>
  <c r="K12" i="25"/>
  <c r="AN11" i="25"/>
  <c r="AM11" i="25"/>
  <c r="AN10" i="25"/>
  <c r="AM10" i="25"/>
  <c r="C10" i="25"/>
  <c r="AN9" i="25"/>
  <c r="AM9" i="25"/>
  <c r="G9" i="25"/>
  <c r="AN8" i="25"/>
  <c r="AM8" i="25"/>
  <c r="C8" i="25"/>
  <c r="AN7" i="25"/>
  <c r="AM7" i="25"/>
  <c r="G7" i="25"/>
  <c r="G8" i="25" s="1"/>
  <c r="AN6" i="25"/>
  <c r="AM6" i="25"/>
  <c r="AO5" i="25"/>
  <c r="AN5" i="25"/>
  <c r="AI6" i="25" s="1"/>
  <c r="AM5" i="25"/>
  <c r="AG6" i="25" s="1"/>
  <c r="AK5" i="25"/>
  <c r="O5" i="25"/>
  <c r="O7" i="25" s="1"/>
  <c r="O10" i="25" s="1"/>
  <c r="G5" i="25"/>
  <c r="G6" i="25" s="1"/>
  <c r="K9" i="25" s="1"/>
  <c r="AD4" i="25"/>
  <c r="Z4" i="25"/>
  <c r="O4" i="25"/>
  <c r="G4" i="25"/>
  <c r="G12" i="25" s="1"/>
  <c r="O45" i="24"/>
  <c r="AN44" i="24"/>
  <c r="AM44" i="24"/>
  <c r="O44" i="24"/>
  <c r="AN43" i="24"/>
  <c r="AM43" i="24"/>
  <c r="AN42" i="24"/>
  <c r="AM42" i="24"/>
  <c r="AN41" i="24"/>
  <c r="AM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G34" i="24"/>
  <c r="AN33" i="24"/>
  <c r="AM33" i="24"/>
  <c r="C33" i="24"/>
  <c r="AN32" i="24"/>
  <c r="AM32" i="24"/>
  <c r="AN31" i="24"/>
  <c r="AM31" i="24"/>
  <c r="K31" i="24"/>
  <c r="G31" i="24"/>
  <c r="G29" i="24" s="1"/>
  <c r="C31" i="24"/>
  <c r="AN30" i="24"/>
  <c r="AM30" i="24"/>
  <c r="AN29" i="24"/>
  <c r="AM29" i="24"/>
  <c r="AN28" i="24"/>
  <c r="AM28" i="24"/>
  <c r="G28" i="24"/>
  <c r="AN27" i="24"/>
  <c r="AM27" i="24"/>
  <c r="AN26" i="24"/>
  <c r="AM26" i="24"/>
  <c r="G26" i="24"/>
  <c r="AN25" i="24"/>
  <c r="AM25" i="24"/>
  <c r="G25" i="24"/>
  <c r="G27" i="24" s="1"/>
  <c r="AN24" i="24"/>
  <c r="AM24" i="24"/>
  <c r="AN23" i="24"/>
  <c r="AM23" i="24"/>
  <c r="AN22" i="24"/>
  <c r="AM22" i="24"/>
  <c r="AN21" i="24"/>
  <c r="AM21" i="24"/>
  <c r="AN20" i="24"/>
  <c r="AM20" i="24"/>
  <c r="C20" i="24"/>
  <c r="AN19" i="24"/>
  <c r="AM19" i="24"/>
  <c r="O19" i="24"/>
  <c r="G16" i="24" s="1"/>
  <c r="G17" i="24" s="1"/>
  <c r="AN18" i="24"/>
  <c r="AM18" i="24"/>
  <c r="AN17" i="24"/>
  <c r="AM17" i="24"/>
  <c r="AN16" i="24"/>
  <c r="AM16" i="24"/>
  <c r="AN15" i="24"/>
  <c r="AM15" i="24"/>
  <c r="AN14" i="24"/>
  <c r="AM14" i="24"/>
  <c r="C14" i="24"/>
  <c r="AN13" i="24"/>
  <c r="AM13" i="24"/>
  <c r="C13" i="24"/>
  <c r="K39" i="24" s="1"/>
  <c r="AN12" i="24"/>
  <c r="AM12" i="24"/>
  <c r="K12" i="24"/>
  <c r="G12" i="24"/>
  <c r="AN11" i="24"/>
  <c r="AM11" i="24"/>
  <c r="AN10" i="24"/>
  <c r="AM10" i="24"/>
  <c r="C10" i="24"/>
  <c r="AN9" i="24"/>
  <c r="AM9" i="24"/>
  <c r="G9" i="24"/>
  <c r="AN8" i="24"/>
  <c r="AM8" i="24"/>
  <c r="C8" i="24"/>
  <c r="AN7" i="24"/>
  <c r="AM7" i="24"/>
  <c r="G7" i="24"/>
  <c r="G8" i="24" s="1"/>
  <c r="AN6" i="24"/>
  <c r="AM6" i="24"/>
  <c r="AO5" i="24"/>
  <c r="AN5" i="24"/>
  <c r="AI6" i="24" s="1"/>
  <c r="AM5" i="24"/>
  <c r="AG6" i="24" s="1"/>
  <c r="AK5" i="24"/>
  <c r="O5" i="24"/>
  <c r="O7" i="24" s="1"/>
  <c r="O10" i="24" s="1"/>
  <c r="G5" i="24"/>
  <c r="G6" i="24" s="1"/>
  <c r="AD4" i="24"/>
  <c r="Z4" i="24"/>
  <c r="O4" i="24"/>
  <c r="G4" i="24"/>
  <c r="O45" i="23"/>
  <c r="AN44" i="23"/>
  <c r="AM44" i="23"/>
  <c r="O44" i="23"/>
  <c r="AN43" i="23"/>
  <c r="AM43" i="23"/>
  <c r="AN42" i="23"/>
  <c r="AM42" i="23"/>
  <c r="AN41" i="23"/>
  <c r="AM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G34" i="23"/>
  <c r="AN33" i="23"/>
  <c r="AM33" i="23"/>
  <c r="C33" i="23"/>
  <c r="AN32" i="23"/>
  <c r="AM32" i="23"/>
  <c r="AN31" i="23"/>
  <c r="AM31" i="23"/>
  <c r="K31" i="23"/>
  <c r="C31" i="23"/>
  <c r="AN30" i="23"/>
  <c r="AM30" i="23"/>
  <c r="AN29" i="23"/>
  <c r="AM29" i="23"/>
  <c r="AN28" i="23"/>
  <c r="AM28" i="23"/>
  <c r="G28" i="23"/>
  <c r="AN27" i="23"/>
  <c r="AM27" i="23"/>
  <c r="AN26" i="23"/>
  <c r="AM26" i="23"/>
  <c r="G26" i="23"/>
  <c r="AN25" i="23"/>
  <c r="AM25" i="23"/>
  <c r="G25" i="23"/>
  <c r="G27" i="23" s="1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O19" i="23"/>
  <c r="G16" i="23" s="1"/>
  <c r="G17" i="23" s="1"/>
  <c r="AN18" i="23"/>
  <c r="AM18" i="23"/>
  <c r="AN17" i="23"/>
  <c r="AM17" i="23"/>
  <c r="AN16" i="23"/>
  <c r="AM16" i="23"/>
  <c r="AN15" i="23"/>
  <c r="AM15" i="23"/>
  <c r="AN14" i="23"/>
  <c r="AM14" i="23"/>
  <c r="C14" i="23"/>
  <c r="G15" i="23" s="1"/>
  <c r="AN13" i="23"/>
  <c r="AM13" i="23"/>
  <c r="C13" i="23"/>
  <c r="K39" i="23" s="1"/>
  <c r="AN12" i="23"/>
  <c r="AM12" i="23"/>
  <c r="K12" i="23"/>
  <c r="AN11" i="23"/>
  <c r="AM11" i="23"/>
  <c r="AN10" i="23"/>
  <c r="AM10" i="23"/>
  <c r="C10" i="23"/>
  <c r="C20" i="23" s="1"/>
  <c r="AN9" i="23"/>
  <c r="AM9" i="23"/>
  <c r="G9" i="23"/>
  <c r="AN8" i="23"/>
  <c r="AM8" i="23"/>
  <c r="C8" i="23"/>
  <c r="AN7" i="23"/>
  <c r="AM7" i="23"/>
  <c r="G7" i="23"/>
  <c r="G8" i="23" s="1"/>
  <c r="AN6" i="23"/>
  <c r="AM6" i="23"/>
  <c r="AO5" i="23"/>
  <c r="AN5" i="23"/>
  <c r="AI6" i="23" s="1"/>
  <c r="AM5" i="23"/>
  <c r="AG6" i="23" s="1"/>
  <c r="AK5" i="23"/>
  <c r="O5" i="23"/>
  <c r="O7" i="23" s="1"/>
  <c r="O10" i="23" s="1"/>
  <c r="G5" i="23"/>
  <c r="G6" i="23" s="1"/>
  <c r="AD4" i="23"/>
  <c r="Z4" i="23"/>
  <c r="O4" i="23"/>
  <c r="G4" i="23"/>
  <c r="G12" i="23" s="1"/>
  <c r="O45" i="22"/>
  <c r="AN44" i="22"/>
  <c r="AM44" i="22"/>
  <c r="O44" i="22"/>
  <c r="AN43" i="22"/>
  <c r="AM43" i="22"/>
  <c r="AN42" i="22"/>
  <c r="AM42" i="22"/>
  <c r="AN41" i="22"/>
  <c r="AM41" i="22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G34" i="22"/>
  <c r="AN33" i="22"/>
  <c r="AM33" i="22"/>
  <c r="C33" i="22"/>
  <c r="AN32" i="22"/>
  <c r="AM32" i="22"/>
  <c r="AN31" i="22"/>
  <c r="AM31" i="22"/>
  <c r="K31" i="22"/>
  <c r="C31" i="22"/>
  <c r="AN30" i="22"/>
  <c r="AM30" i="22"/>
  <c r="AN29" i="22"/>
  <c r="AM29" i="22"/>
  <c r="AN28" i="22"/>
  <c r="AM28" i="22"/>
  <c r="G28" i="22"/>
  <c r="AN27" i="22"/>
  <c r="AM27" i="22"/>
  <c r="AN26" i="22"/>
  <c r="AM26" i="22"/>
  <c r="K26" i="22"/>
  <c r="K26" i="25" s="1"/>
  <c r="G26" i="22"/>
  <c r="AN25" i="22"/>
  <c r="AM25" i="22"/>
  <c r="K25" i="22"/>
  <c r="K25" i="25" s="1"/>
  <c r="G25" i="22"/>
  <c r="G27" i="22" s="1"/>
  <c r="AN24" i="22"/>
  <c r="AM24" i="22"/>
  <c r="K24" i="22"/>
  <c r="K24" i="25" s="1"/>
  <c r="AN23" i="22"/>
  <c r="AM23" i="22"/>
  <c r="K23" i="22"/>
  <c r="K23" i="25" s="1"/>
  <c r="AN22" i="22"/>
  <c r="AM22" i="22"/>
  <c r="AN21" i="22"/>
  <c r="AM21" i="22"/>
  <c r="K21" i="22"/>
  <c r="AN20" i="22"/>
  <c r="AM20" i="22"/>
  <c r="K20" i="22"/>
  <c r="AN19" i="22"/>
  <c r="AM19" i="22"/>
  <c r="O19" i="22"/>
  <c r="G16" i="22" s="1"/>
  <c r="G17" i="22" s="1"/>
  <c r="K19" i="22"/>
  <c r="K19" i="25" s="1"/>
  <c r="AN18" i="22"/>
  <c r="AM18" i="22"/>
  <c r="K18" i="22"/>
  <c r="K18" i="25" s="1"/>
  <c r="AN17" i="22"/>
  <c r="AM17" i="22"/>
  <c r="AN16" i="22"/>
  <c r="AM16" i="22"/>
  <c r="AN15" i="22"/>
  <c r="AM15" i="22"/>
  <c r="AN14" i="22"/>
  <c r="AM14" i="22"/>
  <c r="C14" i="22"/>
  <c r="G15" i="22" s="1"/>
  <c r="AN13" i="22"/>
  <c r="AM13" i="22"/>
  <c r="C13" i="22"/>
  <c r="K39" i="22" s="1"/>
  <c r="AN12" i="22"/>
  <c r="AM12" i="22"/>
  <c r="K12" i="22"/>
  <c r="AN11" i="22"/>
  <c r="AM11" i="22"/>
  <c r="AN10" i="22"/>
  <c r="AM10" i="22"/>
  <c r="C10" i="22"/>
  <c r="AN9" i="22"/>
  <c r="AM9" i="22"/>
  <c r="G9" i="22"/>
  <c r="AN8" i="22"/>
  <c r="AM8" i="22"/>
  <c r="C8" i="22"/>
  <c r="AN7" i="22"/>
  <c r="AM7" i="22"/>
  <c r="G7" i="22"/>
  <c r="G8" i="22" s="1"/>
  <c r="AN6" i="22"/>
  <c r="AM6" i="22"/>
  <c r="AO5" i="22"/>
  <c r="AN5" i="22"/>
  <c r="AI6" i="22" s="1"/>
  <c r="AM5" i="22"/>
  <c r="AG6" i="22" s="1"/>
  <c r="AK5" i="22"/>
  <c r="O5" i="22"/>
  <c r="O7" i="22" s="1"/>
  <c r="O10" i="22" s="1"/>
  <c r="G5" i="22"/>
  <c r="G6" i="22" s="1"/>
  <c r="AD4" i="22"/>
  <c r="Z4" i="22"/>
  <c r="O4" i="22"/>
  <c r="G4" i="22"/>
  <c r="G12" i="22" s="1"/>
  <c r="O45" i="2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AN30" i="21"/>
  <c r="AM30" i="21"/>
  <c r="AN29" i="21"/>
  <c r="AM29" i="21"/>
  <c r="AN28" i="21"/>
  <c r="AM28" i="21"/>
  <c r="G28" i="21"/>
  <c r="AN27" i="21"/>
  <c r="AM27" i="21"/>
  <c r="AN26" i="21"/>
  <c r="AM26" i="21"/>
  <c r="G26" i="21"/>
  <c r="AN25" i="21"/>
  <c r="AM25" i="21"/>
  <c r="G25" i="21"/>
  <c r="G31" i="21" s="1"/>
  <c r="G29" i="21" s="1"/>
  <c r="AN24" i="21"/>
  <c r="AM24" i="21"/>
  <c r="AN23" i="21"/>
  <c r="AM23" i="21"/>
  <c r="AN22" i="21"/>
  <c r="AM22" i="21"/>
  <c r="AN21" i="21"/>
  <c r="AM21" i="21"/>
  <c r="AN20" i="21"/>
  <c r="AM20" i="21"/>
  <c r="AN19" i="21"/>
  <c r="AM19" i="21"/>
  <c r="O19" i="21"/>
  <c r="G16" i="21" s="1"/>
  <c r="G17" i="21" s="1"/>
  <c r="AN18" i="21"/>
  <c r="AM18" i="21"/>
  <c r="AN17" i="21"/>
  <c r="AM17" i="21"/>
  <c r="AN16" i="21"/>
  <c r="AM16" i="21"/>
  <c r="AN15" i="21"/>
  <c r="AM15" i="21"/>
  <c r="AN14" i="21"/>
  <c r="AM14" i="21"/>
  <c r="C14" i="21"/>
  <c r="AN13" i="21"/>
  <c r="AM13" i="21"/>
  <c r="C13" i="21"/>
  <c r="K39" i="21" s="1"/>
  <c r="AN12" i="21"/>
  <c r="AM12" i="21"/>
  <c r="K12" i="21"/>
  <c r="G12" i="21"/>
  <c r="AN11" i="21"/>
  <c r="AM11" i="21"/>
  <c r="AN10" i="21"/>
  <c r="AM10" i="21"/>
  <c r="C10" i="21"/>
  <c r="C20" i="21" s="1"/>
  <c r="AN9" i="21"/>
  <c r="AM9" i="21"/>
  <c r="G9" i="21"/>
  <c r="AN8" i="21"/>
  <c r="AM8" i="21"/>
  <c r="C8" i="21"/>
  <c r="AN7" i="21"/>
  <c r="AM7" i="21"/>
  <c r="G7" i="21"/>
  <c r="G8" i="21" s="1"/>
  <c r="AN6" i="21"/>
  <c r="AM6" i="21"/>
  <c r="AO5" i="21"/>
  <c r="AN5" i="21"/>
  <c r="AM5" i="21"/>
  <c r="AG6" i="21" s="1"/>
  <c r="AK5" i="21"/>
  <c r="O5" i="21"/>
  <c r="O7" i="21" s="1"/>
  <c r="O10" i="21" s="1"/>
  <c r="G5" i="21"/>
  <c r="G6" i="21" s="1"/>
  <c r="AD4" i="21"/>
  <c r="Z4" i="21"/>
  <c r="G4" i="2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G26" i="20"/>
  <c r="AN25" i="20"/>
  <c r="AM25" i="20"/>
  <c r="G25" i="20"/>
  <c r="G31" i="20" s="1"/>
  <c r="G29" i="20" s="1"/>
  <c r="AN24" i="20"/>
  <c r="AM24" i="20"/>
  <c r="AN23" i="20"/>
  <c r="AM23" i="20"/>
  <c r="AN22" i="20"/>
  <c r="AM22" i="20"/>
  <c r="AN21" i="20"/>
  <c r="AM21" i="20"/>
  <c r="AN20" i="20"/>
  <c r="AM20" i="20"/>
  <c r="AN19" i="20"/>
  <c r="AM19" i="20"/>
  <c r="O19" i="20"/>
  <c r="G16" i="20" s="1"/>
  <c r="G17" i="20" s="1"/>
  <c r="AN18" i="20"/>
  <c r="AM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G26" i="19"/>
  <c r="AN25" i="19"/>
  <c r="AM25" i="19"/>
  <c r="G25" i="19"/>
  <c r="G31" i="19" s="1"/>
  <c r="G29" i="19" s="1"/>
  <c r="AN24" i="19"/>
  <c r="AM24" i="19"/>
  <c r="AN23" i="19"/>
  <c r="AM23" i="19"/>
  <c r="AN22" i="19"/>
  <c r="AM22" i="19"/>
  <c r="AN21" i="19"/>
  <c r="AM21" i="19"/>
  <c r="AN20" i="19"/>
  <c r="AM20" i="19"/>
  <c r="AN19" i="19"/>
  <c r="AM19" i="19"/>
  <c r="O19" i="19"/>
  <c r="G16" i="19" s="1"/>
  <c r="G17" i="19" s="1"/>
  <c r="AN18" i="19"/>
  <c r="AM18" i="19"/>
  <c r="AN17" i="19"/>
  <c r="AM17" i="19"/>
  <c r="AN16" i="19"/>
  <c r="AM16" i="19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K25" i="23" l="1"/>
  <c r="K24" i="23"/>
  <c r="K23" i="23"/>
  <c r="K26" i="23"/>
  <c r="K19" i="23"/>
  <c r="K18" i="23"/>
  <c r="K25" i="24"/>
  <c r="K23" i="24"/>
  <c r="K26" i="24"/>
  <c r="K19" i="24"/>
  <c r="K18" i="24"/>
  <c r="K24" i="24"/>
  <c r="AK6" i="22"/>
  <c r="AG7" i="22" s="1"/>
  <c r="K35" i="25"/>
  <c r="K43" i="25"/>
  <c r="G30" i="24"/>
  <c r="G30" i="25"/>
  <c r="AG7" i="25"/>
  <c r="AK6" i="25"/>
  <c r="AI7" i="25" s="1"/>
  <c r="O46" i="25"/>
  <c r="O47" i="25" s="1"/>
  <c r="G10" i="25"/>
  <c r="G11" i="25" s="1"/>
  <c r="AO6" i="25"/>
  <c r="O8" i="25"/>
  <c r="O9" i="25" s="1"/>
  <c r="O13" i="25" s="1"/>
  <c r="C20" i="25"/>
  <c r="K47" i="25"/>
  <c r="O8" i="24"/>
  <c r="O9" i="24" s="1"/>
  <c r="O13" i="24" s="1"/>
  <c r="O18" i="24" s="1"/>
  <c r="AO6" i="24"/>
  <c r="G15" i="24"/>
  <c r="K9" i="24" s="1"/>
  <c r="O46" i="24"/>
  <c r="O47" i="24" s="1"/>
  <c r="G10" i="24"/>
  <c r="G11" i="24" s="1"/>
  <c r="AK6" i="24"/>
  <c r="AG7" i="24" s="1"/>
  <c r="K47" i="24"/>
  <c r="AK6" i="23"/>
  <c r="AG7" i="23" s="1"/>
  <c r="O8" i="22"/>
  <c r="O9" i="22" s="1"/>
  <c r="O13" i="22" s="1"/>
  <c r="O14" i="22" s="1"/>
  <c r="O17" i="22" s="1"/>
  <c r="O20" i="22" s="1"/>
  <c r="K9" i="23"/>
  <c r="AO6" i="23"/>
  <c r="G10" i="23"/>
  <c r="G11" i="23" s="1"/>
  <c r="O46" i="23"/>
  <c r="O47" i="23" s="1"/>
  <c r="O8" i="23"/>
  <c r="O9" i="23" s="1"/>
  <c r="O13" i="23" s="1"/>
  <c r="G31" i="23"/>
  <c r="G29" i="23" s="1"/>
  <c r="G30" i="23" s="1"/>
  <c r="K47" i="23"/>
  <c r="K35" i="22"/>
  <c r="K43" i="22"/>
  <c r="AO6" i="22"/>
  <c r="K22" i="22"/>
  <c r="O46" i="22"/>
  <c r="O47" i="22" s="1"/>
  <c r="G10" i="22"/>
  <c r="G11" i="22" s="1"/>
  <c r="K9" i="22"/>
  <c r="AI7" i="22"/>
  <c r="C20" i="22"/>
  <c r="G31" i="22"/>
  <c r="G29" i="22" s="1"/>
  <c r="G30" i="22" s="1"/>
  <c r="K47" i="22"/>
  <c r="O46" i="21"/>
  <c r="O47" i="21" s="1"/>
  <c r="G10" i="21"/>
  <c r="G11" i="21" s="1"/>
  <c r="G30" i="21"/>
  <c r="O4" i="21"/>
  <c r="O8" i="21" s="1"/>
  <c r="O9" i="21" s="1"/>
  <c r="O13" i="21" s="1"/>
  <c r="G15" i="21"/>
  <c r="K9" i="21" s="1"/>
  <c r="AI6" i="21"/>
  <c r="AO6" i="21" s="1"/>
  <c r="AG7" i="21"/>
  <c r="G27" i="21"/>
  <c r="K47" i="21"/>
  <c r="O8" i="20"/>
  <c r="O9" i="20" s="1"/>
  <c r="O13" i="20" s="1"/>
  <c r="O14" i="20" s="1"/>
  <c r="O17" i="20" s="1"/>
  <c r="O20" i="20" s="1"/>
  <c r="O23" i="20" s="1"/>
  <c r="O8" i="19"/>
  <c r="O9" i="19" s="1"/>
  <c r="O13" i="19" s="1"/>
  <c r="O14" i="19" s="1"/>
  <c r="O17" i="19" s="1"/>
  <c r="O20" i="19" s="1"/>
  <c r="AI6" i="20"/>
  <c r="AO6" i="20" s="1"/>
  <c r="O46" i="20"/>
  <c r="O47" i="20" s="1"/>
  <c r="G10" i="20"/>
  <c r="G11" i="20" s="1"/>
  <c r="G30" i="20"/>
  <c r="G6" i="20"/>
  <c r="K9" i="20" s="1"/>
  <c r="K47" i="20"/>
  <c r="G30" i="19"/>
  <c r="AO6" i="19"/>
  <c r="G10" i="19"/>
  <c r="G11" i="19" s="1"/>
  <c r="O46" i="19"/>
  <c r="O47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K35" i="23" l="1"/>
  <c r="K43" i="24"/>
  <c r="K43" i="23"/>
  <c r="K35" i="24"/>
  <c r="K22" i="24"/>
  <c r="K34" i="24" s="1"/>
  <c r="K22" i="23"/>
  <c r="K42" i="23" s="1"/>
  <c r="O14" i="24"/>
  <c r="O17" i="24" s="1"/>
  <c r="O20" i="24" s="1"/>
  <c r="O23" i="24" s="1"/>
  <c r="K42" i="22"/>
  <c r="K22" i="25"/>
  <c r="K42" i="25" s="1"/>
  <c r="AI7" i="23"/>
  <c r="AK7" i="23" s="1"/>
  <c r="AI8" i="23" s="1"/>
  <c r="AI7" i="24"/>
  <c r="AK7" i="24" s="1"/>
  <c r="AI8" i="24" s="1"/>
  <c r="AK7" i="25"/>
  <c r="AI8" i="25" s="1"/>
  <c r="O18" i="19"/>
  <c r="O21" i="19" s="1"/>
  <c r="G21" i="19" s="1"/>
  <c r="AO7" i="25"/>
  <c r="O18" i="22"/>
  <c r="O21" i="22" s="1"/>
  <c r="G21" i="22" s="1"/>
  <c r="O14" i="25"/>
  <c r="O17" i="25" s="1"/>
  <c r="O20" i="25" s="1"/>
  <c r="O18" i="25"/>
  <c r="O21" i="24"/>
  <c r="G21" i="24" s="1"/>
  <c r="G18" i="24"/>
  <c r="O18" i="23"/>
  <c r="O14" i="23"/>
  <c r="O17" i="23" s="1"/>
  <c r="O20" i="23" s="1"/>
  <c r="O23" i="22"/>
  <c r="K34" i="22"/>
  <c r="AO7" i="22"/>
  <c r="AK7" i="22"/>
  <c r="AI8" i="22" s="1"/>
  <c r="O18" i="20"/>
  <c r="O21" i="20" s="1"/>
  <c r="O18" i="21"/>
  <c r="O14" i="21"/>
  <c r="O17" i="21" s="1"/>
  <c r="O20" i="21" s="1"/>
  <c r="AK6" i="21"/>
  <c r="AI7" i="21" s="1"/>
  <c r="AO7" i="21" s="1"/>
  <c r="AI7" i="19"/>
  <c r="AK7" i="19" s="1"/>
  <c r="AK6" i="20"/>
  <c r="O23" i="19"/>
  <c r="AG6" i="13"/>
  <c r="AI6" i="13"/>
  <c r="G27" i="13"/>
  <c r="G15" i="13"/>
  <c r="K9" i="13" s="1"/>
  <c r="K31" i="13"/>
  <c r="AG8" i="25" l="1"/>
  <c r="K42" i="24"/>
  <c r="K34" i="23"/>
  <c r="AO7" i="23"/>
  <c r="AO7" i="24"/>
  <c r="K34" i="25"/>
  <c r="AK8" i="25"/>
  <c r="AO8" i="25"/>
  <c r="AG8" i="22"/>
  <c r="AK8" i="22" s="1"/>
  <c r="AI9" i="22" s="1"/>
  <c r="G18" i="19"/>
  <c r="AG8" i="24"/>
  <c r="AO8" i="24" s="1"/>
  <c r="AG8" i="23"/>
  <c r="AK8" i="23" s="1"/>
  <c r="AI9" i="23" s="1"/>
  <c r="O26" i="22"/>
  <c r="O28" i="22" s="1"/>
  <c r="K14" i="22"/>
  <c r="K14" i="25" s="1"/>
  <c r="G18" i="22"/>
  <c r="O21" i="25"/>
  <c r="G21" i="25" s="1"/>
  <c r="G18" i="25"/>
  <c r="O23" i="25"/>
  <c r="W4" i="24"/>
  <c r="O26" i="24"/>
  <c r="O28" i="24" s="1"/>
  <c r="AA4" i="24"/>
  <c r="Y4" i="24"/>
  <c r="AA4" i="22"/>
  <c r="W4" i="22"/>
  <c r="O23" i="23"/>
  <c r="O21" i="23"/>
  <c r="G21" i="23" s="1"/>
  <c r="G18" i="23"/>
  <c r="O26" i="20"/>
  <c r="O28" i="20" s="1"/>
  <c r="G18" i="20"/>
  <c r="Y4" i="22"/>
  <c r="AK7" i="21"/>
  <c r="O23" i="21"/>
  <c r="O21" i="21"/>
  <c r="G21" i="21" s="1"/>
  <c r="G18" i="21"/>
  <c r="AI8" i="19"/>
  <c r="AG8" i="19"/>
  <c r="AO7" i="19"/>
  <c r="AG7" i="20"/>
  <c r="AI7" i="20"/>
  <c r="W4" i="19"/>
  <c r="Y4" i="19"/>
  <c r="G21" i="20"/>
  <c r="W4" i="20"/>
  <c r="Y4" i="20"/>
  <c r="AA4" i="20"/>
  <c r="O26" i="19"/>
  <c r="O28" i="19" s="1"/>
  <c r="AA4" i="19"/>
  <c r="AO6" i="13"/>
  <c r="AK6" i="13"/>
  <c r="AG7" i="13" s="1"/>
  <c r="AI7" i="13"/>
  <c r="AK8" i="24" l="1"/>
  <c r="AI9" i="24" s="1"/>
  <c r="AG9" i="24"/>
  <c r="K14" i="23"/>
  <c r="K14" i="24"/>
  <c r="K15" i="22"/>
  <c r="K15" i="23" s="1"/>
  <c r="AG9" i="25"/>
  <c r="AI9" i="25"/>
  <c r="AO9" i="25" s="1"/>
  <c r="AO8" i="23"/>
  <c r="AG9" i="23"/>
  <c r="AO9" i="23" s="1"/>
  <c r="AC4" i="22"/>
  <c r="X5" i="22" s="1"/>
  <c r="Y5" i="22" s="1"/>
  <c r="AG9" i="22"/>
  <c r="AO9" i="22" s="1"/>
  <c r="AB4" i="22"/>
  <c r="V5" i="22" s="1"/>
  <c r="W5" i="22" s="1"/>
  <c r="AO8" i="22"/>
  <c r="Y4" i="25"/>
  <c r="W4" i="25"/>
  <c r="AA4" i="25"/>
  <c r="AB4" i="24"/>
  <c r="V5" i="24" s="1"/>
  <c r="W5" i="24" s="1"/>
  <c r="O26" i="25"/>
  <c r="O28" i="25" s="1"/>
  <c r="AK9" i="24"/>
  <c r="AI10" i="24" s="1"/>
  <c r="AO9" i="24"/>
  <c r="AC4" i="24"/>
  <c r="X5" i="24" s="1"/>
  <c r="AA4" i="23"/>
  <c r="W4" i="23"/>
  <c r="Y4" i="23"/>
  <c r="O26" i="23"/>
  <c r="O28" i="23" s="1"/>
  <c r="AK8" i="19"/>
  <c r="AI9" i="19" s="1"/>
  <c r="AI8" i="21"/>
  <c r="AG8" i="21"/>
  <c r="W4" i="21"/>
  <c r="Y4" i="21"/>
  <c r="AK7" i="20"/>
  <c r="AI8" i="20" s="1"/>
  <c r="AO8" i="19"/>
  <c r="O26" i="21"/>
  <c r="O28" i="21" s="1"/>
  <c r="AA4" i="21"/>
  <c r="AB4" i="19"/>
  <c r="V5" i="19" s="1"/>
  <c r="W5" i="19" s="1"/>
  <c r="AO7" i="20"/>
  <c r="AC4" i="20"/>
  <c r="X5" i="20" s="1"/>
  <c r="AB4" i="20"/>
  <c r="V5" i="20" s="1"/>
  <c r="AC4" i="19"/>
  <c r="X5" i="19" s="1"/>
  <c r="AK7" i="13"/>
  <c r="AI8" i="13" s="1"/>
  <c r="AO7" i="13"/>
  <c r="AG9" i="19" l="1"/>
  <c r="K15" i="25"/>
  <c r="K15" i="24"/>
  <c r="AK9" i="23"/>
  <c r="AI10" i="23" s="1"/>
  <c r="AK9" i="25"/>
  <c r="AG10" i="23"/>
  <c r="AK10" i="23" s="1"/>
  <c r="AI11" i="23" s="1"/>
  <c r="AG8" i="20"/>
  <c r="AK8" i="20" s="1"/>
  <c r="AK9" i="22"/>
  <c r="AI10" i="22" s="1"/>
  <c r="Z5" i="22"/>
  <c r="AA5" i="22" s="1"/>
  <c r="AC5" i="22" s="1"/>
  <c r="X6" i="22" s="1"/>
  <c r="AG10" i="22"/>
  <c r="AD5" i="22"/>
  <c r="AC4" i="23"/>
  <c r="X5" i="23" s="1"/>
  <c r="Y5" i="23" s="1"/>
  <c r="AG10" i="24"/>
  <c r="AO10" i="24" s="1"/>
  <c r="AB4" i="25"/>
  <c r="V5" i="25" s="1"/>
  <c r="AC4" i="25"/>
  <c r="X5" i="25" s="1"/>
  <c r="AD5" i="24"/>
  <c r="Y5" i="24"/>
  <c r="Z5" i="24"/>
  <c r="AA5" i="24" s="1"/>
  <c r="AB5" i="24" s="1"/>
  <c r="V6" i="24" s="1"/>
  <c r="AK9" i="19"/>
  <c r="AI10" i="19" s="1"/>
  <c r="AB4" i="23"/>
  <c r="V5" i="23" s="1"/>
  <c r="AO10" i="23"/>
  <c r="AK8" i="21"/>
  <c r="AG9" i="21" s="1"/>
  <c r="AO8" i="21"/>
  <c r="AC4" i="21"/>
  <c r="X5" i="21" s="1"/>
  <c r="Y5" i="21" s="1"/>
  <c r="AO9" i="19"/>
  <c r="AB4" i="21"/>
  <c r="V5" i="21" s="1"/>
  <c r="AD5" i="20"/>
  <c r="Y5" i="20"/>
  <c r="Z5" i="20"/>
  <c r="AA5" i="20" s="1"/>
  <c r="W5" i="20"/>
  <c r="AD5" i="19"/>
  <c r="Y5" i="19"/>
  <c r="Z5" i="19"/>
  <c r="AA5" i="19" s="1"/>
  <c r="AB5" i="19" s="1"/>
  <c r="V6" i="19" s="1"/>
  <c r="AG8" i="13"/>
  <c r="AK8" i="13" s="1"/>
  <c r="AI9" i="13" s="1"/>
  <c r="AG11" i="23" l="1"/>
  <c r="AI10" i="25"/>
  <c r="AG10" i="25"/>
  <c r="AK11" i="23"/>
  <c r="AG12" i="23" s="1"/>
  <c r="AK10" i="22"/>
  <c r="AG11" i="22" s="1"/>
  <c r="AI9" i="20"/>
  <c r="AG9" i="20"/>
  <c r="AO8" i="20"/>
  <c r="AB5" i="22"/>
  <c r="V6" i="22" s="1"/>
  <c r="W6" i="22" s="1"/>
  <c r="AD5" i="23"/>
  <c r="AO10" i="22"/>
  <c r="AK10" i="24"/>
  <c r="AI9" i="21"/>
  <c r="AK9" i="21" s="1"/>
  <c r="AG10" i="21" s="1"/>
  <c r="AG10" i="19"/>
  <c r="AK10" i="19" s="1"/>
  <c r="AI11" i="19" s="1"/>
  <c r="Y5" i="25"/>
  <c r="AD5" i="25"/>
  <c r="Z5" i="25"/>
  <c r="AA5" i="25" s="1"/>
  <c r="W5" i="25"/>
  <c r="W6" i="24"/>
  <c r="AC5" i="24"/>
  <c r="X6" i="24" s="1"/>
  <c r="AO11" i="23"/>
  <c r="AI12" i="23"/>
  <c r="AO12" i="23" s="1"/>
  <c r="Z5" i="23"/>
  <c r="AA5" i="23" s="1"/>
  <c r="AC5" i="23" s="1"/>
  <c r="X6" i="23" s="1"/>
  <c r="W5" i="23"/>
  <c r="Y6" i="22"/>
  <c r="Z5" i="21"/>
  <c r="AA5" i="21" s="1"/>
  <c r="AC5" i="21" s="1"/>
  <c r="X6" i="21" s="1"/>
  <c r="W5" i="21"/>
  <c r="AD5" i="21"/>
  <c r="AB5" i="20"/>
  <c r="V6" i="20" s="1"/>
  <c r="W6" i="20" s="1"/>
  <c r="AO8" i="13"/>
  <c r="AC5" i="20"/>
  <c r="X6" i="20" s="1"/>
  <c r="W6" i="19"/>
  <c r="AC5" i="19"/>
  <c r="X6" i="19" s="1"/>
  <c r="AG9" i="13"/>
  <c r="AK9" i="13" s="1"/>
  <c r="AO9" i="20" l="1"/>
  <c r="AK10" i="25"/>
  <c r="AI11" i="22"/>
  <c r="AO11" i="22" s="1"/>
  <c r="AO10" i="25"/>
  <c r="AG11" i="25"/>
  <c r="AI11" i="25"/>
  <c r="AK12" i="23"/>
  <c r="AI13" i="23" s="1"/>
  <c r="AG13" i="23"/>
  <c r="Z6" i="22"/>
  <c r="AA6" i="22" s="1"/>
  <c r="AB6" i="22" s="1"/>
  <c r="V7" i="22" s="1"/>
  <c r="W7" i="22" s="1"/>
  <c r="AD6" i="22"/>
  <c r="AO9" i="21"/>
  <c r="AK9" i="20"/>
  <c r="AI10" i="20" s="1"/>
  <c r="AI10" i="21"/>
  <c r="AK10" i="21" s="1"/>
  <c r="AI11" i="24"/>
  <c r="AG11" i="24"/>
  <c r="AO10" i="19"/>
  <c r="AG11" i="19"/>
  <c r="AO11" i="19" s="1"/>
  <c r="AB5" i="25"/>
  <c r="V6" i="25" s="1"/>
  <c r="W6" i="25" s="1"/>
  <c r="AB5" i="23"/>
  <c r="V6" i="23" s="1"/>
  <c r="AD6" i="23" s="1"/>
  <c r="AC5" i="25"/>
  <c r="X6" i="25" s="1"/>
  <c r="AD6" i="24"/>
  <c r="Y6" i="24"/>
  <c r="Z6" i="24"/>
  <c r="AA6" i="24" s="1"/>
  <c r="AB6" i="24" s="1"/>
  <c r="V7" i="24" s="1"/>
  <c r="Y6" i="23"/>
  <c r="AB5" i="21"/>
  <c r="V6" i="21" s="1"/>
  <c r="AD6" i="21" s="1"/>
  <c r="Y6" i="21"/>
  <c r="AD6" i="20"/>
  <c r="Y6" i="20"/>
  <c r="Z6" i="20"/>
  <c r="AA6" i="20" s="1"/>
  <c r="AB6" i="20" s="1"/>
  <c r="V7" i="20" s="1"/>
  <c r="AD6" i="19"/>
  <c r="Y6" i="19"/>
  <c r="Z6" i="19"/>
  <c r="AA6" i="19" s="1"/>
  <c r="AB6" i="19" s="1"/>
  <c r="V7" i="19" s="1"/>
  <c r="AO9" i="13"/>
  <c r="AG10" i="13"/>
  <c r="AI10" i="13"/>
  <c r="AK13" i="23" l="1"/>
  <c r="AG14" i="23" s="1"/>
  <c r="AK11" i="22"/>
  <c r="AG12" i="22" s="1"/>
  <c r="AG10" i="20"/>
  <c r="AO13" i="23"/>
  <c r="AK11" i="25"/>
  <c r="AI12" i="25" s="1"/>
  <c r="AO11" i="25"/>
  <c r="AO10" i="20"/>
  <c r="AK11" i="24"/>
  <c r="AI12" i="24" s="1"/>
  <c r="AC6" i="22"/>
  <c r="X7" i="22" s="1"/>
  <c r="Z7" i="22" s="1"/>
  <c r="AA7" i="22" s="1"/>
  <c r="AB7" i="22" s="1"/>
  <c r="V8" i="22" s="1"/>
  <c r="AO10" i="21"/>
  <c r="AI12" i="22"/>
  <c r="AO12" i="22" s="1"/>
  <c r="W6" i="23"/>
  <c r="AK11" i="19"/>
  <c r="AO11" i="24"/>
  <c r="Z6" i="23"/>
  <c r="AA6" i="23" s="1"/>
  <c r="AC6" i="23" s="1"/>
  <c r="X7" i="23" s="1"/>
  <c r="AI14" i="23"/>
  <c r="AO14" i="23" s="1"/>
  <c r="Y6" i="25"/>
  <c r="AD6" i="25"/>
  <c r="Z6" i="25"/>
  <c r="AA6" i="25" s="1"/>
  <c r="AB6" i="25" s="1"/>
  <c r="V7" i="25" s="1"/>
  <c r="W7" i="25" s="1"/>
  <c r="AK10" i="20"/>
  <c r="AI11" i="20" s="1"/>
  <c r="W7" i="24"/>
  <c r="AC6" i="24"/>
  <c r="X7" i="24" s="1"/>
  <c r="W6" i="21"/>
  <c r="Z6" i="21"/>
  <c r="AA6" i="21" s="1"/>
  <c r="AC6" i="21" s="1"/>
  <c r="X7" i="21" s="1"/>
  <c r="AG11" i="21"/>
  <c r="AI11" i="21"/>
  <c r="W7" i="20"/>
  <c r="AC6" i="20"/>
  <c r="X7" i="20" s="1"/>
  <c r="W7" i="19"/>
  <c r="AC6" i="19"/>
  <c r="X7" i="19" s="1"/>
  <c r="AO10" i="13"/>
  <c r="AK10" i="13"/>
  <c r="AG11" i="13" s="1"/>
  <c r="AG12" i="25" l="1"/>
  <c r="AK12" i="25" s="1"/>
  <c r="AG12" i="24"/>
  <c r="AK12" i="24" s="1"/>
  <c r="AK12" i="22"/>
  <c r="AI13" i="22" s="1"/>
  <c r="AD7" i="22"/>
  <c r="Y7" i="22"/>
  <c r="AC7" i="22" s="1"/>
  <c r="X8" i="22" s="1"/>
  <c r="AG13" i="22"/>
  <c r="AO13" i="22" s="1"/>
  <c r="AG12" i="19"/>
  <c r="AI12" i="19"/>
  <c r="AO12" i="24"/>
  <c r="AK14" i="23"/>
  <c r="AB6" i="23"/>
  <c r="V7" i="23" s="1"/>
  <c r="AD7" i="23" s="1"/>
  <c r="AB6" i="21"/>
  <c r="V7" i="21" s="1"/>
  <c r="W7" i="21" s="1"/>
  <c r="AG11" i="20"/>
  <c r="AO11" i="20" s="1"/>
  <c r="AC6" i="25"/>
  <c r="X7" i="25" s="1"/>
  <c r="AO11" i="21"/>
  <c r="AD7" i="24"/>
  <c r="Y7" i="24"/>
  <c r="Z7" i="24"/>
  <c r="AA7" i="24" s="1"/>
  <c r="AB7" i="24" s="1"/>
  <c r="V8" i="24" s="1"/>
  <c r="Y7" i="23"/>
  <c r="W8" i="22"/>
  <c r="AK11" i="21"/>
  <c r="AI12" i="21" s="1"/>
  <c r="Y7" i="21"/>
  <c r="AD7" i="20"/>
  <c r="Y7" i="20"/>
  <c r="Z7" i="20"/>
  <c r="AA7" i="20" s="1"/>
  <c r="AB7" i="20" s="1"/>
  <c r="V8" i="20" s="1"/>
  <c r="AD7" i="19"/>
  <c r="Y7" i="19"/>
  <c r="Z7" i="19"/>
  <c r="AA7" i="19" s="1"/>
  <c r="AB7" i="19" s="1"/>
  <c r="V8" i="19" s="1"/>
  <c r="AI11" i="13"/>
  <c r="AK11" i="13" s="1"/>
  <c r="AI13" i="25" l="1"/>
  <c r="AG13" i="25"/>
  <c r="AK13" i="25" s="1"/>
  <c r="AO12" i="25"/>
  <c r="AO12" i="19"/>
  <c r="AK13" i="22"/>
  <c r="AG14" i="22" s="1"/>
  <c r="W7" i="23"/>
  <c r="AI14" i="22"/>
  <c r="AO14" i="22" s="1"/>
  <c r="Z7" i="23"/>
  <c r="AA7" i="23" s="1"/>
  <c r="AB7" i="23" s="1"/>
  <c r="V8" i="23" s="1"/>
  <c r="W8" i="23" s="1"/>
  <c r="AK12" i="19"/>
  <c r="AI15" i="23"/>
  <c r="AG15" i="23"/>
  <c r="Z7" i="21"/>
  <c r="AA7" i="21" s="1"/>
  <c r="AB7" i="21" s="1"/>
  <c r="V8" i="21" s="1"/>
  <c r="W8" i="21" s="1"/>
  <c r="AD7" i="21"/>
  <c r="AK11" i="20"/>
  <c r="AI12" i="20" s="1"/>
  <c r="AI13" i="24"/>
  <c r="AG13" i="24"/>
  <c r="AD7" i="25"/>
  <c r="Z7" i="25"/>
  <c r="AA7" i="25" s="1"/>
  <c r="AB7" i="25" s="1"/>
  <c r="V8" i="25" s="1"/>
  <c r="W8" i="25" s="1"/>
  <c r="Y7" i="25"/>
  <c r="W8" i="24"/>
  <c r="AC7" i="24"/>
  <c r="X8" i="24" s="1"/>
  <c r="AD8" i="22"/>
  <c r="Y8" i="22"/>
  <c r="Z8" i="22"/>
  <c r="AA8" i="22" s="1"/>
  <c r="AB8" i="22" s="1"/>
  <c r="V9" i="22" s="1"/>
  <c r="AG12" i="21"/>
  <c r="AO12" i="21" s="1"/>
  <c r="W8" i="20"/>
  <c r="AC7" i="20"/>
  <c r="X8" i="20" s="1"/>
  <c r="W8" i="19"/>
  <c r="AC7" i="19"/>
  <c r="X8" i="19" s="1"/>
  <c r="AO11" i="13"/>
  <c r="AG12" i="13"/>
  <c r="AI12" i="13"/>
  <c r="AC7" i="23" l="1"/>
  <c r="X8" i="23" s="1"/>
  <c r="AI14" i="25"/>
  <c r="AG14" i="25"/>
  <c r="AO13" i="25"/>
  <c r="AK14" i="22"/>
  <c r="AG15" i="22" s="1"/>
  <c r="AK15" i="23"/>
  <c r="AI16" i="23" s="1"/>
  <c r="AI15" i="22"/>
  <c r="AK15" i="22" s="1"/>
  <c r="AG16" i="22" s="1"/>
  <c r="AG12" i="20"/>
  <c r="AO12" i="20" s="1"/>
  <c r="AI13" i="19"/>
  <c r="AG13" i="19"/>
  <c r="AC7" i="21"/>
  <c r="X8" i="21" s="1"/>
  <c r="AD8" i="21" s="1"/>
  <c r="AG16" i="23"/>
  <c r="AO15" i="23"/>
  <c r="AC7" i="25"/>
  <c r="X8" i="25" s="1"/>
  <c r="Y8" i="25" s="1"/>
  <c r="AO13" i="24"/>
  <c r="AK13" i="24"/>
  <c r="AK12" i="21"/>
  <c r="AI13" i="21" s="1"/>
  <c r="AD8" i="24"/>
  <c r="Y8" i="24"/>
  <c r="Z8" i="24"/>
  <c r="AA8" i="24" s="1"/>
  <c r="AB8" i="24" s="1"/>
  <c r="V9" i="24" s="1"/>
  <c r="AD8" i="23"/>
  <c r="Y8" i="23"/>
  <c r="Z8" i="23"/>
  <c r="AA8" i="23" s="1"/>
  <c r="AB8" i="23" s="1"/>
  <c r="V9" i="23" s="1"/>
  <c r="W9" i="22"/>
  <c r="AC8" i="22"/>
  <c r="X9" i="22" s="1"/>
  <c r="AD8" i="20"/>
  <c r="Y8" i="20"/>
  <c r="Z8" i="20"/>
  <c r="AA8" i="20" s="1"/>
  <c r="AB8" i="20" s="1"/>
  <c r="V9" i="20" s="1"/>
  <c r="AD8" i="19"/>
  <c r="Y8" i="19"/>
  <c r="Z8" i="19"/>
  <c r="AA8" i="19" s="1"/>
  <c r="AB8" i="19" s="1"/>
  <c r="V9" i="19" s="1"/>
  <c r="AO12" i="13"/>
  <c r="AK12" i="13"/>
  <c r="AI13" i="13" s="1"/>
  <c r="AO15" i="22" l="1"/>
  <c r="AO14" i="25"/>
  <c r="AK14" i="25"/>
  <c r="AK12" i="20"/>
  <c r="AI13" i="20" s="1"/>
  <c r="AO16" i="23"/>
  <c r="AG13" i="20"/>
  <c r="AK13" i="20" s="1"/>
  <c r="AK13" i="19"/>
  <c r="AO13" i="19"/>
  <c r="AI16" i="22"/>
  <c r="AO16" i="22" s="1"/>
  <c r="AD8" i="25"/>
  <c r="Z8" i="21"/>
  <c r="AA8" i="21" s="1"/>
  <c r="AB8" i="21" s="1"/>
  <c r="V9" i="21" s="1"/>
  <c r="W9" i="21" s="1"/>
  <c r="Y8" i="21"/>
  <c r="Z8" i="25"/>
  <c r="AA8" i="25" s="1"/>
  <c r="AB8" i="25" s="1"/>
  <c r="V9" i="25" s="1"/>
  <c r="W9" i="25" s="1"/>
  <c r="AK16" i="23"/>
  <c r="AG14" i="24"/>
  <c r="AI14" i="24"/>
  <c r="AG13" i="21"/>
  <c r="AK13" i="21" s="1"/>
  <c r="W9" i="24"/>
  <c r="AC8" i="24"/>
  <c r="X9" i="24" s="1"/>
  <c r="W9" i="23"/>
  <c r="AC8" i="23"/>
  <c r="X9" i="23" s="1"/>
  <c r="AD9" i="22"/>
  <c r="Y9" i="22"/>
  <c r="Z9" i="22"/>
  <c r="AA9" i="22" s="1"/>
  <c r="AB9" i="22" s="1"/>
  <c r="V10" i="22" s="1"/>
  <c r="W9" i="20"/>
  <c r="AC8" i="20"/>
  <c r="X9" i="20" s="1"/>
  <c r="W9" i="19"/>
  <c r="AC8" i="19"/>
  <c r="X9" i="19" s="1"/>
  <c r="AG13" i="13"/>
  <c r="AK13" i="13" s="1"/>
  <c r="AI14" i="13" s="1"/>
  <c r="AI15" i="25" l="1"/>
  <c r="AG15" i="25"/>
  <c r="AK15" i="25" s="1"/>
  <c r="AO13" i="20"/>
  <c r="AK16" i="22"/>
  <c r="AG17" i="22" s="1"/>
  <c r="AC8" i="21"/>
  <c r="X9" i="21" s="1"/>
  <c r="AD9" i="21" s="1"/>
  <c r="AI17" i="22"/>
  <c r="AO17" i="22" s="1"/>
  <c r="AG14" i="20"/>
  <c r="AI14" i="20"/>
  <c r="AO14" i="20" s="1"/>
  <c r="AG14" i="19"/>
  <c r="AI14" i="19"/>
  <c r="AO13" i="21"/>
  <c r="AC8" i="25"/>
  <c r="X9" i="25" s="1"/>
  <c r="Z9" i="25" s="1"/>
  <c r="AA9" i="25" s="1"/>
  <c r="AB9" i="25" s="1"/>
  <c r="V10" i="25" s="1"/>
  <c r="W10" i="25" s="1"/>
  <c r="AG17" i="23"/>
  <c r="AI17" i="23"/>
  <c r="AO14" i="24"/>
  <c r="AG14" i="21"/>
  <c r="AI14" i="21"/>
  <c r="AK14" i="24"/>
  <c r="AD9" i="24"/>
  <c r="Y9" i="24"/>
  <c r="Z9" i="24"/>
  <c r="AA9" i="24" s="1"/>
  <c r="AB9" i="24" s="1"/>
  <c r="V10" i="24" s="1"/>
  <c r="AD9" i="23"/>
  <c r="Y9" i="23"/>
  <c r="Z9" i="23"/>
  <c r="AA9" i="23" s="1"/>
  <c r="AB9" i="23" s="1"/>
  <c r="V10" i="23" s="1"/>
  <c r="W10" i="22"/>
  <c r="AC9" i="22"/>
  <c r="X10" i="22" s="1"/>
  <c r="AD9" i="20"/>
  <c r="Y9" i="20"/>
  <c r="Z9" i="20"/>
  <c r="AA9" i="20" s="1"/>
  <c r="AB9" i="20" s="1"/>
  <c r="V10" i="20" s="1"/>
  <c r="AD9" i="19"/>
  <c r="Y9" i="19"/>
  <c r="Z9" i="19"/>
  <c r="AA9" i="19" s="1"/>
  <c r="AB9" i="19" s="1"/>
  <c r="V10" i="19" s="1"/>
  <c r="AO13" i="13"/>
  <c r="AG14" i="13"/>
  <c r="AO14" i="13" s="1"/>
  <c r="Z9" i="21" l="1"/>
  <c r="AA9" i="21" s="1"/>
  <c r="AB9" i="21" s="1"/>
  <c r="V10" i="21" s="1"/>
  <c r="Y9" i="21"/>
  <c r="AC9" i="21" s="1"/>
  <c r="X10" i="21" s="1"/>
  <c r="AG16" i="25"/>
  <c r="AI16" i="25"/>
  <c r="AO15" i="25"/>
  <c r="AK14" i="20"/>
  <c r="AG15" i="20" s="1"/>
  <c r="AK17" i="22"/>
  <c r="AG18" i="22" s="1"/>
  <c r="AO14" i="21"/>
  <c r="AO14" i="19"/>
  <c r="AO17" i="23"/>
  <c r="AI15" i="20"/>
  <c r="AK15" i="20" s="1"/>
  <c r="AK14" i="19"/>
  <c r="Y9" i="25"/>
  <c r="AC9" i="25" s="1"/>
  <c r="X10" i="25" s="1"/>
  <c r="Z10" i="25" s="1"/>
  <c r="AA10" i="25" s="1"/>
  <c r="AB10" i="25" s="1"/>
  <c r="V11" i="25" s="1"/>
  <c r="AD9" i="25"/>
  <c r="AK17" i="23"/>
  <c r="AK14" i="21"/>
  <c r="AG15" i="21" s="1"/>
  <c r="AI15" i="24"/>
  <c r="AG15" i="24"/>
  <c r="W10" i="24"/>
  <c r="AC9" i="24"/>
  <c r="X10" i="24" s="1"/>
  <c r="W10" i="23"/>
  <c r="AC9" i="23"/>
  <c r="X10" i="23" s="1"/>
  <c r="AD10" i="22"/>
  <c r="Y10" i="22"/>
  <c r="Z10" i="22"/>
  <c r="AA10" i="22" s="1"/>
  <c r="AB10" i="22" s="1"/>
  <c r="V11" i="22" s="1"/>
  <c r="W10" i="21"/>
  <c r="W10" i="20"/>
  <c r="AC9" i="20"/>
  <c r="X10" i="20" s="1"/>
  <c r="W10" i="19"/>
  <c r="AC9" i="19"/>
  <c r="X10" i="19" s="1"/>
  <c r="AK14" i="13"/>
  <c r="AG15" i="13" s="1"/>
  <c r="AO16" i="25" l="1"/>
  <c r="AI18" i="22"/>
  <c r="AK18" i="22" s="1"/>
  <c r="AK16" i="25"/>
  <c r="AD10" i="25"/>
  <c r="AI15" i="21"/>
  <c r="AK15" i="21" s="1"/>
  <c r="AI16" i="21" s="1"/>
  <c r="AO15" i="20"/>
  <c r="AI16" i="20"/>
  <c r="AG16" i="20"/>
  <c r="Y10" i="25"/>
  <c r="AC10" i="25" s="1"/>
  <c r="X11" i="25" s="1"/>
  <c r="AI15" i="19"/>
  <c r="AG15" i="19"/>
  <c r="AK15" i="24"/>
  <c r="AG16" i="24" s="1"/>
  <c r="AG18" i="23"/>
  <c r="AI18" i="23"/>
  <c r="AO15" i="24"/>
  <c r="W11" i="25"/>
  <c r="AD10" i="24"/>
  <c r="Y10" i="24"/>
  <c r="Z10" i="24"/>
  <c r="AA10" i="24" s="1"/>
  <c r="AB10" i="24" s="1"/>
  <c r="V11" i="24" s="1"/>
  <c r="AD10" i="23"/>
  <c r="Y10" i="23"/>
  <c r="Z10" i="23"/>
  <c r="AA10" i="23" s="1"/>
  <c r="AB10" i="23" s="1"/>
  <c r="V11" i="23" s="1"/>
  <c r="W11" i="22"/>
  <c r="AC10" i="22"/>
  <c r="X11" i="22" s="1"/>
  <c r="AD10" i="21"/>
  <c r="Y10" i="21"/>
  <c r="Z10" i="21"/>
  <c r="AA10" i="21" s="1"/>
  <c r="AB10" i="21" s="1"/>
  <c r="V11" i="21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I15" i="13"/>
  <c r="AK15" i="13" s="1"/>
  <c r="AK15" i="19" l="1"/>
  <c r="AO18" i="22"/>
  <c r="AO18" i="23"/>
  <c r="AO15" i="21"/>
  <c r="AG17" i="25"/>
  <c r="AI17" i="25"/>
  <c r="AO17" i="25" s="1"/>
  <c r="AK16" i="20"/>
  <c r="AG17" i="20"/>
  <c r="AI17" i="20"/>
  <c r="AO17" i="20" s="1"/>
  <c r="AO16" i="20"/>
  <c r="AI16" i="24"/>
  <c r="AK16" i="24" s="1"/>
  <c r="AI16" i="19"/>
  <c r="AG16" i="19"/>
  <c r="AO15" i="19"/>
  <c r="AG19" i="22"/>
  <c r="AI19" i="22"/>
  <c r="AK18" i="23"/>
  <c r="AD11" i="25"/>
  <c r="Y11" i="25"/>
  <c r="Z11" i="25"/>
  <c r="AA11" i="25" s="1"/>
  <c r="AB11" i="25" s="1"/>
  <c r="V12" i="25" s="1"/>
  <c r="W11" i="24"/>
  <c r="AC10" i="24"/>
  <c r="X11" i="24" s="1"/>
  <c r="W11" i="23"/>
  <c r="AC10" i="23"/>
  <c r="X11" i="23" s="1"/>
  <c r="AD11" i="22"/>
  <c r="Y11" i="22"/>
  <c r="Z11" i="22"/>
  <c r="AA11" i="22" s="1"/>
  <c r="AB11" i="22" s="1"/>
  <c r="V12" i="22" s="1"/>
  <c r="AG16" i="21"/>
  <c r="AO16" i="21" s="1"/>
  <c r="W11" i="21"/>
  <c r="AC10" i="21"/>
  <c r="X11" i="21" s="1"/>
  <c r="W11" i="20"/>
  <c r="AC10" i="20"/>
  <c r="X11" i="20" s="1"/>
  <c r="W11" i="19"/>
  <c r="AC10" i="19"/>
  <c r="X11" i="19" s="1"/>
  <c r="AO15" i="13"/>
  <c r="AG16" i="13"/>
  <c r="AI16" i="13"/>
  <c r="AK16" i="19" l="1"/>
  <c r="AG17" i="19" s="1"/>
  <c r="AK17" i="25"/>
  <c r="AK17" i="20"/>
  <c r="AG18" i="20" s="1"/>
  <c r="AO16" i="24"/>
  <c r="AI18" i="20"/>
  <c r="AO18" i="20" s="1"/>
  <c r="AI17" i="19"/>
  <c r="AO16" i="19"/>
  <c r="AK19" i="22"/>
  <c r="AO19" i="22"/>
  <c r="AG19" i="23"/>
  <c r="AI19" i="23"/>
  <c r="AG17" i="24"/>
  <c r="AI17" i="24"/>
  <c r="W12" i="25"/>
  <c r="AC11" i="25"/>
  <c r="X12" i="25" s="1"/>
  <c r="AD11" i="24"/>
  <c r="Y11" i="24"/>
  <c r="Z11" i="24"/>
  <c r="AA11" i="24" s="1"/>
  <c r="AB11" i="24" s="1"/>
  <c r="V12" i="24" s="1"/>
  <c r="AD11" i="23"/>
  <c r="Y11" i="23"/>
  <c r="Z11" i="23"/>
  <c r="AA11" i="23" s="1"/>
  <c r="AB11" i="23" s="1"/>
  <c r="V12" i="23" s="1"/>
  <c r="AK16" i="21"/>
  <c r="AI17" i="21" s="1"/>
  <c r="W12" i="22"/>
  <c r="AC11" i="22"/>
  <c r="X12" i="22" s="1"/>
  <c r="AD11" i="21"/>
  <c r="Y11" i="21"/>
  <c r="Z11" i="21"/>
  <c r="AA11" i="21" s="1"/>
  <c r="AB11" i="21" s="1"/>
  <c r="V12" i="21" s="1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O16" i="13"/>
  <c r="AK16" i="13"/>
  <c r="AK17" i="19" l="1"/>
  <c r="AG18" i="25"/>
  <c r="AI18" i="25"/>
  <c r="AO18" i="25" s="1"/>
  <c r="AG17" i="21"/>
  <c r="AO17" i="21" s="1"/>
  <c r="AK18" i="20"/>
  <c r="AG19" i="20" s="1"/>
  <c r="AI18" i="19"/>
  <c r="AG18" i="19"/>
  <c r="AO17" i="19"/>
  <c r="AO17" i="24"/>
  <c r="AI20" i="22"/>
  <c r="AG20" i="22"/>
  <c r="AK19" i="23"/>
  <c r="AO19" i="23"/>
  <c r="AK17" i="24"/>
  <c r="AD12" i="25"/>
  <c r="Y12" i="25"/>
  <c r="Z12" i="25"/>
  <c r="AA12" i="25" s="1"/>
  <c r="AB12" i="25" s="1"/>
  <c r="V13" i="25" s="1"/>
  <c r="W12" i="24"/>
  <c r="AC11" i="24"/>
  <c r="X12" i="24" s="1"/>
  <c r="W12" i="23"/>
  <c r="AC11" i="23"/>
  <c r="X12" i="23" s="1"/>
  <c r="AD12" i="22"/>
  <c r="Y12" i="22"/>
  <c r="Z12" i="22"/>
  <c r="AA12" i="22" s="1"/>
  <c r="AB12" i="22" s="1"/>
  <c r="V13" i="22" s="1"/>
  <c r="W12" i="21"/>
  <c r="AC11" i="21"/>
  <c r="X12" i="21" s="1"/>
  <c r="W12" i="20"/>
  <c r="AC11" i="20"/>
  <c r="X12" i="20" s="1"/>
  <c r="W12" i="19"/>
  <c r="AC11" i="19"/>
  <c r="X12" i="19" s="1"/>
  <c r="AG17" i="13"/>
  <c r="AI17" i="13"/>
  <c r="AK18" i="19" l="1"/>
  <c r="AK17" i="21"/>
  <c r="AK18" i="25"/>
  <c r="AI19" i="20"/>
  <c r="AK20" i="22"/>
  <c r="AG19" i="19"/>
  <c r="AI19" i="19"/>
  <c r="AO18" i="19"/>
  <c r="AG21" i="22"/>
  <c r="AI21" i="22"/>
  <c r="AO20" i="22"/>
  <c r="AG20" i="23"/>
  <c r="AI20" i="23"/>
  <c r="AG18" i="24"/>
  <c r="AI18" i="24"/>
  <c r="W13" i="25"/>
  <c r="AC12" i="25"/>
  <c r="X13" i="25" s="1"/>
  <c r="AD12" i="24"/>
  <c r="Y12" i="24"/>
  <c r="Z12" i="24"/>
  <c r="AA12" i="24" s="1"/>
  <c r="AB12" i="24" s="1"/>
  <c r="V13" i="24" s="1"/>
  <c r="AD12" i="23"/>
  <c r="Y12" i="23"/>
  <c r="Z12" i="23"/>
  <c r="AA12" i="23" s="1"/>
  <c r="AB12" i="23" s="1"/>
  <c r="V13" i="23" s="1"/>
  <c r="W13" i="22"/>
  <c r="AC12" i="22"/>
  <c r="X13" i="22" s="1"/>
  <c r="AG18" i="21"/>
  <c r="AI18" i="21"/>
  <c r="AD12" i="21"/>
  <c r="Y12" i="21"/>
  <c r="Z12" i="21"/>
  <c r="AA12" i="21" s="1"/>
  <c r="AB12" i="21" s="1"/>
  <c r="V13" i="21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K17" i="13"/>
  <c r="AO17" i="13"/>
  <c r="AI19" i="25" l="1"/>
  <c r="AG19" i="25"/>
  <c r="AK19" i="20"/>
  <c r="AO19" i="20"/>
  <c r="AO21" i="22"/>
  <c r="AO19" i="19"/>
  <c r="AO20" i="23"/>
  <c r="AK19" i="19"/>
  <c r="AO18" i="24"/>
  <c r="AK21" i="22"/>
  <c r="AK20" i="23"/>
  <c r="AK18" i="24"/>
  <c r="AO18" i="21"/>
  <c r="AD13" i="25"/>
  <c r="Y13" i="25"/>
  <c r="Z13" i="25"/>
  <c r="AA13" i="25" s="1"/>
  <c r="AB13" i="25" s="1"/>
  <c r="V14" i="25" s="1"/>
  <c r="W13" i="24"/>
  <c r="AC12" i="24"/>
  <c r="X13" i="24" s="1"/>
  <c r="W13" i="23"/>
  <c r="AC12" i="23"/>
  <c r="X13" i="23" s="1"/>
  <c r="AD13" i="22"/>
  <c r="Y13" i="22"/>
  <c r="Z13" i="22"/>
  <c r="AA13" i="22" s="1"/>
  <c r="AB13" i="22" s="1"/>
  <c r="V14" i="22" s="1"/>
  <c r="AK18" i="21"/>
  <c r="W13" i="21"/>
  <c r="AC12" i="21"/>
  <c r="X13" i="21" s="1"/>
  <c r="W13" i="20"/>
  <c r="AC12" i="20"/>
  <c r="X13" i="20" s="1"/>
  <c r="W13" i="19"/>
  <c r="AC12" i="19"/>
  <c r="X13" i="19" s="1"/>
  <c r="AI18" i="13"/>
  <c r="AG18" i="13"/>
  <c r="AK19" i="25" l="1"/>
  <c r="AI20" i="25"/>
  <c r="AG20" i="25"/>
  <c r="AK20" i="25" s="1"/>
  <c r="AO19" i="25"/>
  <c r="AI20" i="20"/>
  <c r="AG20" i="20"/>
  <c r="AG20" i="19"/>
  <c r="AI20" i="19"/>
  <c r="AI22" i="22"/>
  <c r="AG22" i="22"/>
  <c r="AG21" i="23"/>
  <c r="AI21" i="23"/>
  <c r="AG19" i="24"/>
  <c r="AI19" i="24"/>
  <c r="W14" i="25"/>
  <c r="AC13" i="25"/>
  <c r="X14" i="25" s="1"/>
  <c r="AD13" i="24"/>
  <c r="Y13" i="24"/>
  <c r="Z13" i="24"/>
  <c r="AA13" i="24" s="1"/>
  <c r="AB13" i="24" s="1"/>
  <c r="V14" i="24" s="1"/>
  <c r="AD13" i="23"/>
  <c r="Y13" i="23"/>
  <c r="Z13" i="23"/>
  <c r="AA13" i="23" s="1"/>
  <c r="AB13" i="23" s="1"/>
  <c r="V14" i="23" s="1"/>
  <c r="W14" i="22"/>
  <c r="AC13" i="22"/>
  <c r="X14" i="22" s="1"/>
  <c r="AG19" i="21"/>
  <c r="AI19" i="21"/>
  <c r="AD13" i="21"/>
  <c r="Y13" i="21"/>
  <c r="Z13" i="21"/>
  <c r="AA13" i="21" s="1"/>
  <c r="AB13" i="21" s="1"/>
  <c r="V14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18" i="13"/>
  <c r="AG19" i="13" s="1"/>
  <c r="AO18" i="13"/>
  <c r="AK20" i="20" l="1"/>
  <c r="AG21" i="25"/>
  <c r="AI21" i="25"/>
  <c r="AO20" i="25"/>
  <c r="AK22" i="22"/>
  <c r="AI23" i="22" s="1"/>
  <c r="AI21" i="20"/>
  <c r="AG21" i="20"/>
  <c r="AO20" i="20"/>
  <c r="AO21" i="23"/>
  <c r="AO20" i="19"/>
  <c r="AO19" i="24"/>
  <c r="AK20" i="19"/>
  <c r="AO22" i="22"/>
  <c r="AK21" i="23"/>
  <c r="AK19" i="24"/>
  <c r="AD14" i="25"/>
  <c r="Y14" i="25"/>
  <c r="Z14" i="25"/>
  <c r="AA14" i="25" s="1"/>
  <c r="AB14" i="25" s="1"/>
  <c r="V15" i="25" s="1"/>
  <c r="W14" i="24"/>
  <c r="AC13" i="24"/>
  <c r="X14" i="24" s="1"/>
  <c r="AO19" i="21"/>
  <c r="W14" i="23"/>
  <c r="AC13" i="23"/>
  <c r="X14" i="23" s="1"/>
  <c r="AD14" i="22"/>
  <c r="Y14" i="22"/>
  <c r="Z14" i="22"/>
  <c r="AA14" i="22" s="1"/>
  <c r="AB14" i="22" s="1"/>
  <c r="V15" i="22" s="1"/>
  <c r="AK19" i="21"/>
  <c r="AI20" i="21" s="1"/>
  <c r="W14" i="21"/>
  <c r="AC13" i="21"/>
  <c r="X14" i="21" s="1"/>
  <c r="W14" i="20"/>
  <c r="AC13" i="20"/>
  <c r="X14" i="20" s="1"/>
  <c r="W14" i="19"/>
  <c r="AC13" i="19"/>
  <c r="X14" i="19" s="1"/>
  <c r="AI19" i="13"/>
  <c r="AO19" i="13" s="1"/>
  <c r="AG23" i="22" l="1"/>
  <c r="AO23" i="22" s="1"/>
  <c r="AO21" i="25"/>
  <c r="AK21" i="25"/>
  <c r="AK21" i="20"/>
  <c r="AG22" i="20"/>
  <c r="AI22" i="20"/>
  <c r="AO21" i="20"/>
  <c r="AI21" i="19"/>
  <c r="AG21" i="19"/>
  <c r="AK21" i="19" s="1"/>
  <c r="AK23" i="22"/>
  <c r="AI22" i="23"/>
  <c r="AG22" i="23"/>
  <c r="AG20" i="24"/>
  <c r="AI20" i="24"/>
  <c r="W15" i="25"/>
  <c r="AC14" i="25"/>
  <c r="X15" i="25" s="1"/>
  <c r="AD14" i="24"/>
  <c r="Y14" i="24"/>
  <c r="Z14" i="24"/>
  <c r="AA14" i="24" s="1"/>
  <c r="AB14" i="24" s="1"/>
  <c r="V15" i="24" s="1"/>
  <c r="AD14" i="23"/>
  <c r="Y14" i="23"/>
  <c r="Z14" i="23"/>
  <c r="AA14" i="23" s="1"/>
  <c r="AB14" i="23" s="1"/>
  <c r="V15" i="23" s="1"/>
  <c r="W15" i="22"/>
  <c r="AC14" i="22"/>
  <c r="X15" i="22" s="1"/>
  <c r="AG20" i="21"/>
  <c r="AO20" i="21" s="1"/>
  <c r="AD14" i="21"/>
  <c r="Y14" i="21"/>
  <c r="Z14" i="21"/>
  <c r="AA14" i="21" s="1"/>
  <c r="AB14" i="21" s="1"/>
  <c r="V15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K19" i="13"/>
  <c r="AG20" i="13" s="1"/>
  <c r="AG22" i="25" l="1"/>
  <c r="AI22" i="25"/>
  <c r="AO22" i="20"/>
  <c r="AK22" i="20"/>
  <c r="AG23" i="20" s="1"/>
  <c r="AO20" i="24"/>
  <c r="AI22" i="19"/>
  <c r="AG22" i="19"/>
  <c r="AK22" i="19" s="1"/>
  <c r="AO21" i="19"/>
  <c r="AK22" i="23"/>
  <c r="AI23" i="23" s="1"/>
  <c r="AG24" i="22"/>
  <c r="AI24" i="22"/>
  <c r="AG23" i="23"/>
  <c r="AO22" i="23"/>
  <c r="AK20" i="24"/>
  <c r="AD15" i="25"/>
  <c r="Y15" i="25"/>
  <c r="Z15" i="25"/>
  <c r="AA15" i="25" s="1"/>
  <c r="AB15" i="25" s="1"/>
  <c r="V16" i="25" s="1"/>
  <c r="W15" i="24"/>
  <c r="AC14" i="24"/>
  <c r="X15" i="24" s="1"/>
  <c r="W15" i="23"/>
  <c r="AC14" i="23"/>
  <c r="X15" i="23" s="1"/>
  <c r="AD15" i="22"/>
  <c r="Y15" i="22"/>
  <c r="Z15" i="22"/>
  <c r="AA15" i="22" s="1"/>
  <c r="AB15" i="22" s="1"/>
  <c r="V16" i="22" s="1"/>
  <c r="AK20" i="21"/>
  <c r="AI21" i="21" s="1"/>
  <c r="W15" i="21"/>
  <c r="AC14" i="21"/>
  <c r="X15" i="21" s="1"/>
  <c r="W15" i="20"/>
  <c r="AC14" i="20"/>
  <c r="X15" i="20" s="1"/>
  <c r="W15" i="19"/>
  <c r="AC14" i="19"/>
  <c r="X15" i="19" s="1"/>
  <c r="AI20" i="13"/>
  <c r="AO20" i="13" s="1"/>
  <c r="AO22" i="25" l="1"/>
  <c r="AK22" i="25"/>
  <c r="AI23" i="20"/>
  <c r="AK23" i="20" s="1"/>
  <c r="AO24" i="22"/>
  <c r="AG21" i="21"/>
  <c r="AK21" i="21" s="1"/>
  <c r="AG22" i="21" s="1"/>
  <c r="AG23" i="19"/>
  <c r="AI23" i="19"/>
  <c r="AO23" i="19" s="1"/>
  <c r="AO22" i="19"/>
  <c r="AO23" i="23"/>
  <c r="AK24" i="22"/>
  <c r="AK23" i="23"/>
  <c r="AG21" i="24"/>
  <c r="AI21" i="24"/>
  <c r="W16" i="25"/>
  <c r="AC15" i="25"/>
  <c r="X16" i="25" s="1"/>
  <c r="AD15" i="24"/>
  <c r="Y15" i="24"/>
  <c r="Z15" i="24"/>
  <c r="AA15" i="24" s="1"/>
  <c r="AB15" i="24" s="1"/>
  <c r="V16" i="24" s="1"/>
  <c r="AD15" i="23"/>
  <c r="Y15" i="23"/>
  <c r="Z15" i="23"/>
  <c r="AA15" i="23" s="1"/>
  <c r="AB15" i="23" s="1"/>
  <c r="V16" i="23" s="1"/>
  <c r="W16" i="22"/>
  <c r="AC15" i="22"/>
  <c r="X16" i="22" s="1"/>
  <c r="AD15" i="21"/>
  <c r="Y15" i="21"/>
  <c r="Z15" i="21"/>
  <c r="AA15" i="21" s="1"/>
  <c r="AB15" i="21" s="1"/>
  <c r="V16" i="21" s="1"/>
  <c r="AD15" i="20"/>
  <c r="Y15" i="20"/>
  <c r="Z15" i="20"/>
  <c r="AA15" i="20" s="1"/>
  <c r="AB15" i="20" s="1"/>
  <c r="V16" i="20" s="1"/>
  <c r="AD15" i="19"/>
  <c r="Y15" i="19"/>
  <c r="Z15" i="19"/>
  <c r="AA15" i="19" s="1"/>
  <c r="AB15" i="19" s="1"/>
  <c r="V16" i="19" s="1"/>
  <c r="AK20" i="13"/>
  <c r="AG21" i="13" s="1"/>
  <c r="AI23" i="25" l="1"/>
  <c r="AG23" i="25"/>
  <c r="AK23" i="25" s="1"/>
  <c r="AI24" i="20"/>
  <c r="AG24" i="20"/>
  <c r="AO23" i="20"/>
  <c r="AO21" i="21"/>
  <c r="AO21" i="24"/>
  <c r="AK23" i="19"/>
  <c r="AG25" i="22"/>
  <c r="AI25" i="22"/>
  <c r="AI24" i="23"/>
  <c r="AG24" i="23"/>
  <c r="AI22" i="21"/>
  <c r="AO22" i="21" s="1"/>
  <c r="AK21" i="24"/>
  <c r="AD16" i="25"/>
  <c r="Y16" i="25"/>
  <c r="Z16" i="25"/>
  <c r="AA16" i="25" s="1"/>
  <c r="AB16" i="25" s="1"/>
  <c r="V17" i="25" s="1"/>
  <c r="W16" i="24"/>
  <c r="AC15" i="24"/>
  <c r="X16" i="24" s="1"/>
  <c r="W16" i="23"/>
  <c r="AC15" i="23"/>
  <c r="X16" i="23" s="1"/>
  <c r="AD16" i="22"/>
  <c r="Y16" i="22"/>
  <c r="Z16" i="22"/>
  <c r="AA16" i="22" s="1"/>
  <c r="AB16" i="22" s="1"/>
  <c r="V17" i="22" s="1"/>
  <c r="W16" i="21"/>
  <c r="AC15" i="21"/>
  <c r="X16" i="21" s="1"/>
  <c r="W16" i="20"/>
  <c r="AC15" i="20"/>
  <c r="X16" i="20" s="1"/>
  <c r="W16" i="19"/>
  <c r="AC15" i="19"/>
  <c r="X16" i="19" s="1"/>
  <c r="AI21" i="13"/>
  <c r="AO21" i="13" s="1"/>
  <c r="AG24" i="25" l="1"/>
  <c r="AI24" i="25"/>
  <c r="AO24" i="25" s="1"/>
  <c r="AO23" i="25"/>
  <c r="AK24" i="20"/>
  <c r="AO24" i="20"/>
  <c r="AO25" i="22"/>
  <c r="AG25" i="20"/>
  <c r="AI25" i="20"/>
  <c r="AK24" i="23"/>
  <c r="AI25" i="23" s="1"/>
  <c r="AI24" i="19"/>
  <c r="AG24" i="19"/>
  <c r="AK24" i="19" s="1"/>
  <c r="AG25" i="19" s="1"/>
  <c r="AK25" i="22"/>
  <c r="AK22" i="21"/>
  <c r="AI23" i="21" s="1"/>
  <c r="AO24" i="23"/>
  <c r="AI22" i="24"/>
  <c r="AG22" i="24"/>
  <c r="W17" i="25"/>
  <c r="AC16" i="25"/>
  <c r="X17" i="25" s="1"/>
  <c r="AD16" i="24"/>
  <c r="Y16" i="24"/>
  <c r="Z16" i="24"/>
  <c r="AA16" i="24" s="1"/>
  <c r="AB16" i="24" s="1"/>
  <c r="V17" i="24" s="1"/>
  <c r="AD16" i="23"/>
  <c r="Y16" i="23"/>
  <c r="Z16" i="23"/>
  <c r="AA16" i="23" s="1"/>
  <c r="AB16" i="23" s="1"/>
  <c r="V17" i="23" s="1"/>
  <c r="W17" i="22"/>
  <c r="AC16" i="22"/>
  <c r="X17" i="22" s="1"/>
  <c r="AD16" i="21"/>
  <c r="Y16" i="21"/>
  <c r="Z16" i="21"/>
  <c r="AA16" i="21" s="1"/>
  <c r="AB16" i="21" s="1"/>
  <c r="V17" i="21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K21" i="13"/>
  <c r="AG22" i="13" s="1"/>
  <c r="AK24" i="25" l="1"/>
  <c r="AG25" i="23"/>
  <c r="AK25" i="23" s="1"/>
  <c r="AK25" i="20"/>
  <c r="AG26" i="20" s="1"/>
  <c r="AO25" i="23"/>
  <c r="AO25" i="20"/>
  <c r="AI25" i="19"/>
  <c r="AK25" i="19" s="1"/>
  <c r="AG26" i="19" s="1"/>
  <c r="AO25" i="19"/>
  <c r="AI26" i="20"/>
  <c r="AK26" i="20" s="1"/>
  <c r="AO24" i="19"/>
  <c r="AK22" i="24"/>
  <c r="AI23" i="24" s="1"/>
  <c r="AI26" i="22"/>
  <c r="AG26" i="22"/>
  <c r="AG23" i="21"/>
  <c r="AK23" i="21" s="1"/>
  <c r="AI24" i="21" s="1"/>
  <c r="AO22" i="24"/>
  <c r="AD17" i="25"/>
  <c r="Y17" i="25"/>
  <c r="Z17" i="25"/>
  <c r="AA17" i="25" s="1"/>
  <c r="AB17" i="25" s="1"/>
  <c r="V18" i="25" s="1"/>
  <c r="W17" i="24"/>
  <c r="AC16" i="24"/>
  <c r="X17" i="24" s="1"/>
  <c r="W17" i="23"/>
  <c r="AC16" i="23"/>
  <c r="X17" i="23" s="1"/>
  <c r="AD17" i="22"/>
  <c r="Y17" i="22"/>
  <c r="Z17" i="22"/>
  <c r="AA17" i="22" s="1"/>
  <c r="AB17" i="22" s="1"/>
  <c r="V18" i="22" s="1"/>
  <c r="W17" i="21"/>
  <c r="AC16" i="21"/>
  <c r="X17" i="21" s="1"/>
  <c r="W17" i="20"/>
  <c r="AC16" i="20"/>
  <c r="X17" i="20" s="1"/>
  <c r="W17" i="19"/>
  <c r="AC16" i="19"/>
  <c r="X17" i="19" s="1"/>
  <c r="AI22" i="13"/>
  <c r="AO22" i="13" s="1"/>
  <c r="AG25" i="25" l="1"/>
  <c r="AI25" i="25"/>
  <c r="AO25" i="25" s="1"/>
  <c r="AG23" i="24"/>
  <c r="AK23" i="24" s="1"/>
  <c r="AO26" i="20"/>
  <c r="AG27" i="20"/>
  <c r="AI27" i="20"/>
  <c r="AK27" i="20" s="1"/>
  <c r="AO23" i="24"/>
  <c r="AO23" i="21"/>
  <c r="AG24" i="21"/>
  <c r="AO24" i="21" s="1"/>
  <c r="AO26" i="22"/>
  <c r="AK26" i="22"/>
  <c r="AG26" i="23"/>
  <c r="AI26" i="23"/>
  <c r="AI26" i="19"/>
  <c r="AO26" i="19" s="1"/>
  <c r="W18" i="25"/>
  <c r="AC17" i="25"/>
  <c r="X18" i="25" s="1"/>
  <c r="AD17" i="24"/>
  <c r="Y17" i="24"/>
  <c r="Z17" i="24"/>
  <c r="AA17" i="24" s="1"/>
  <c r="AB17" i="24" s="1"/>
  <c r="V18" i="24" s="1"/>
  <c r="AD17" i="23"/>
  <c r="Y17" i="23"/>
  <c r="Z17" i="23"/>
  <c r="AA17" i="23" s="1"/>
  <c r="AB17" i="23" s="1"/>
  <c r="V18" i="23" s="1"/>
  <c r="W18" i="22"/>
  <c r="AC17" i="22"/>
  <c r="X18" i="22" s="1"/>
  <c r="AD17" i="21"/>
  <c r="Y17" i="21"/>
  <c r="Z17" i="21"/>
  <c r="AA17" i="21" s="1"/>
  <c r="AB17" i="21" s="1"/>
  <c r="V18" i="21" s="1"/>
  <c r="AD17" i="20"/>
  <c r="Y1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K22" i="13"/>
  <c r="AG23" i="13" s="1"/>
  <c r="AO27" i="20" l="1"/>
  <c r="AK25" i="25"/>
  <c r="AG28" i="20"/>
  <c r="AI28" i="20"/>
  <c r="AO28" i="20" s="1"/>
  <c r="AK24" i="21"/>
  <c r="AI25" i="21" s="1"/>
  <c r="AO26" i="23"/>
  <c r="AG25" i="21"/>
  <c r="AK25" i="21" s="1"/>
  <c r="AI26" i="21" s="1"/>
  <c r="AI27" i="22"/>
  <c r="AG27" i="22"/>
  <c r="AK26" i="23"/>
  <c r="AI24" i="24"/>
  <c r="AG24" i="24"/>
  <c r="AK26" i="19"/>
  <c r="AD18" i="25"/>
  <c r="Y18" i="25"/>
  <c r="Z18" i="25"/>
  <c r="AA18" i="25" s="1"/>
  <c r="AB18" i="25" s="1"/>
  <c r="V19" i="25" s="1"/>
  <c r="W18" i="24"/>
  <c r="AC17" i="24"/>
  <c r="X18" i="24" s="1"/>
  <c r="W18" i="23"/>
  <c r="AC17" i="23"/>
  <c r="X18" i="23" s="1"/>
  <c r="AD18" i="22"/>
  <c r="Y18" i="22"/>
  <c r="Z18" i="22"/>
  <c r="AA18" i="22" s="1"/>
  <c r="AB18" i="22" s="1"/>
  <c r="V19" i="22" s="1"/>
  <c r="W18" i="21"/>
  <c r="AC17" i="21"/>
  <c r="X18" i="21" s="1"/>
  <c r="W18" i="20"/>
  <c r="AC17" i="20"/>
  <c r="X18" i="20" s="1"/>
  <c r="W18" i="19"/>
  <c r="AC17" i="19"/>
  <c r="X18" i="19" s="1"/>
  <c r="AI23" i="13"/>
  <c r="AO23" i="13" s="1"/>
  <c r="AK28" i="20" l="1"/>
  <c r="AI29" i="20"/>
  <c r="AG29" i="20"/>
  <c r="AG26" i="25"/>
  <c r="AI26" i="25"/>
  <c r="AO26" i="25" s="1"/>
  <c r="AK27" i="22"/>
  <c r="AO25" i="21"/>
  <c r="AG26" i="21"/>
  <c r="AK26" i="21" s="1"/>
  <c r="AG27" i="21" s="1"/>
  <c r="AI28" i="22"/>
  <c r="AG28" i="22"/>
  <c r="AO27" i="22"/>
  <c r="AK24" i="24"/>
  <c r="AI25" i="24" s="1"/>
  <c r="AI27" i="23"/>
  <c r="AG27" i="23"/>
  <c r="AK27" i="23" s="1"/>
  <c r="AO24" i="24"/>
  <c r="AG27" i="19"/>
  <c r="AI27" i="19"/>
  <c r="W19" i="25"/>
  <c r="AC18" i="25"/>
  <c r="X19" i="25" s="1"/>
  <c r="AD18" i="24"/>
  <c r="Y18" i="24"/>
  <c r="Z18" i="24"/>
  <c r="AA18" i="24" s="1"/>
  <c r="AB18" i="24" s="1"/>
  <c r="V19" i="24" s="1"/>
  <c r="AD18" i="23"/>
  <c r="Y18" i="23"/>
  <c r="Z18" i="23"/>
  <c r="AA18" i="23" s="1"/>
  <c r="AB18" i="23" s="1"/>
  <c r="V19" i="23" s="1"/>
  <c r="W19" i="22"/>
  <c r="AC18" i="22"/>
  <c r="X19" i="22" s="1"/>
  <c r="AD18" i="21"/>
  <c r="Y18" i="21"/>
  <c r="Z18" i="21"/>
  <c r="AA18" i="21" s="1"/>
  <c r="AB18" i="21" s="1"/>
  <c r="V19" i="21" s="1"/>
  <c r="AD18" i="20"/>
  <c r="Y18" i="20"/>
  <c r="AO29" i="20"/>
  <c r="Z18" i="20"/>
  <c r="AA18" i="20" s="1"/>
  <c r="AB18" i="20" s="1"/>
  <c r="V19" i="20" s="1"/>
  <c r="AD18" i="19"/>
  <c r="Y18" i="19"/>
  <c r="Z18" i="19"/>
  <c r="AA18" i="19" s="1"/>
  <c r="AB18" i="19" s="1"/>
  <c r="V19" i="19" s="1"/>
  <c r="AK23" i="13"/>
  <c r="AG24" i="13" s="1"/>
  <c r="AK29" i="20" l="1"/>
  <c r="AI30" i="20"/>
  <c r="AG30" i="20"/>
  <c r="AO26" i="21"/>
  <c r="AK26" i="25"/>
  <c r="AI27" i="21"/>
  <c r="AK28" i="22"/>
  <c r="AG25" i="24"/>
  <c r="AO25" i="24" s="1"/>
  <c r="AI29" i="22"/>
  <c r="AG29" i="22"/>
  <c r="AO28" i="22"/>
  <c r="AO27" i="19"/>
  <c r="AI28" i="23"/>
  <c r="AG28" i="23"/>
  <c r="AO27" i="23"/>
  <c r="AK27" i="19"/>
  <c r="AD19" i="25"/>
  <c r="Y19" i="25"/>
  <c r="Z19" i="25"/>
  <c r="AA19" i="25" s="1"/>
  <c r="AB19" i="25" s="1"/>
  <c r="V20" i="25" s="1"/>
  <c r="W19" i="24"/>
  <c r="AC18" i="24"/>
  <c r="X19" i="24" s="1"/>
  <c r="W19" i="23"/>
  <c r="AC18" i="23"/>
  <c r="X19" i="23" s="1"/>
  <c r="AD19" i="22"/>
  <c r="Y19" i="22"/>
  <c r="Z19" i="22"/>
  <c r="AA19" i="22" s="1"/>
  <c r="AB19" i="22" s="1"/>
  <c r="V20" i="22" s="1"/>
  <c r="W19" i="21"/>
  <c r="AC18" i="21"/>
  <c r="X19" i="21" s="1"/>
  <c r="AK30" i="20"/>
  <c r="AG31" i="20" s="1"/>
  <c r="W19" i="20"/>
  <c r="AI31" i="20"/>
  <c r="AO30" i="20"/>
  <c r="AC18" i="20"/>
  <c r="X19" i="20" s="1"/>
  <c r="W19" i="19"/>
  <c r="AC18" i="19"/>
  <c r="X19" i="19" s="1"/>
  <c r="AI24" i="13"/>
  <c r="AO24" i="13" s="1"/>
  <c r="AG27" i="25" l="1"/>
  <c r="AI27" i="25"/>
  <c r="AO27" i="25" s="1"/>
  <c r="AO27" i="21"/>
  <c r="AK27" i="21"/>
  <c r="AK25" i="24"/>
  <c r="AI26" i="24" s="1"/>
  <c r="AK28" i="23"/>
  <c r="AK29" i="22"/>
  <c r="AI30" i="22"/>
  <c r="AG30" i="22"/>
  <c r="AO29" i="22"/>
  <c r="AI29" i="23"/>
  <c r="AG29" i="23"/>
  <c r="AO28" i="23"/>
  <c r="AI28" i="19"/>
  <c r="AG28" i="19"/>
  <c r="W20" i="25"/>
  <c r="AC19" i="25"/>
  <c r="X20" i="25" s="1"/>
  <c r="AD19" i="24"/>
  <c r="Y19" i="24"/>
  <c r="Z19" i="24"/>
  <c r="AA19" i="24" s="1"/>
  <c r="AB19" i="24" s="1"/>
  <c r="V20" i="24" s="1"/>
  <c r="AD19" i="23"/>
  <c r="Y19" i="23"/>
  <c r="Z19" i="23"/>
  <c r="AA19" i="23" s="1"/>
  <c r="AB19" i="23" s="1"/>
  <c r="V20" i="23" s="1"/>
  <c r="W20" i="22"/>
  <c r="AC19" i="22"/>
  <c r="X20" i="22" s="1"/>
  <c r="AD19" i="21"/>
  <c r="Y19" i="21"/>
  <c r="Z19" i="21"/>
  <c r="AA19" i="21" s="1"/>
  <c r="AB19" i="21" s="1"/>
  <c r="V20" i="21" s="1"/>
  <c r="AO31" i="20"/>
  <c r="AD19" i="20"/>
  <c r="Y19" i="20"/>
  <c r="AK31" i="20"/>
  <c r="Z19" i="20"/>
  <c r="AA19" i="20" s="1"/>
  <c r="AB19" i="20" s="1"/>
  <c r="V20" i="20" s="1"/>
  <c r="AD19" i="19"/>
  <c r="Y19" i="19"/>
  <c r="Z19" i="19"/>
  <c r="AA19" i="19" s="1"/>
  <c r="AB19" i="19" s="1"/>
  <c r="V20" i="19" s="1"/>
  <c r="AK24" i="13"/>
  <c r="AI25" i="13" s="1"/>
  <c r="AK27" i="25" l="1"/>
  <c r="AK29" i="23"/>
  <c r="AI30" i="23" s="1"/>
  <c r="AG26" i="24"/>
  <c r="AO26" i="24" s="1"/>
  <c r="AI28" i="21"/>
  <c r="AG28" i="21"/>
  <c r="AK30" i="22"/>
  <c r="AG31" i="22" s="1"/>
  <c r="AK28" i="19"/>
  <c r="AG29" i="19" s="1"/>
  <c r="AI31" i="22"/>
  <c r="AO30" i="22"/>
  <c r="AI29" i="19"/>
  <c r="AO29" i="19" s="1"/>
  <c r="AG30" i="23"/>
  <c r="AO29" i="23"/>
  <c r="AO28" i="19"/>
  <c r="AD20" i="25"/>
  <c r="Y20" i="25"/>
  <c r="Z20" i="25"/>
  <c r="AA20" i="25" s="1"/>
  <c r="AB20" i="25" s="1"/>
  <c r="V21" i="25" s="1"/>
  <c r="W20" i="24"/>
  <c r="AC19" i="24"/>
  <c r="X20" i="24" s="1"/>
  <c r="W20" i="23"/>
  <c r="AC19" i="23"/>
  <c r="X20" i="23" s="1"/>
  <c r="AD20" i="22"/>
  <c r="Y20" i="22"/>
  <c r="Z20" i="22"/>
  <c r="AA20" i="22" s="1"/>
  <c r="AB20" i="22" s="1"/>
  <c r="V21" i="22" s="1"/>
  <c r="W20" i="21"/>
  <c r="AC19" i="21"/>
  <c r="X20" i="21" s="1"/>
  <c r="W20" i="20"/>
  <c r="AG32" i="20"/>
  <c r="AI32" i="20"/>
  <c r="AC19" i="20"/>
  <c r="X20" i="20" s="1"/>
  <c r="W20" i="19"/>
  <c r="AC19" i="19"/>
  <c r="X20" i="19" s="1"/>
  <c r="AG25" i="13"/>
  <c r="AK25" i="13" s="1"/>
  <c r="AI28" i="25" l="1"/>
  <c r="AG28" i="25"/>
  <c r="AK28" i="25" s="1"/>
  <c r="AK26" i="24"/>
  <c r="AI27" i="24" s="1"/>
  <c r="AG27" i="24"/>
  <c r="AK27" i="24" s="1"/>
  <c r="AO28" i="21"/>
  <c r="AK28" i="21"/>
  <c r="AK30" i="23"/>
  <c r="AO31" i="22"/>
  <c r="AK29" i="19"/>
  <c r="AG30" i="19" s="1"/>
  <c r="AK31" i="22"/>
  <c r="AG31" i="23"/>
  <c r="AI31" i="23"/>
  <c r="AO30" i="23"/>
  <c r="W21" i="25"/>
  <c r="AC20" i="25"/>
  <c r="X21" i="25" s="1"/>
  <c r="AD20" i="24"/>
  <c r="Y20" i="24"/>
  <c r="Z20" i="24"/>
  <c r="AA20" i="24" s="1"/>
  <c r="AB20" i="24" s="1"/>
  <c r="V21" i="24" s="1"/>
  <c r="AD20" i="23"/>
  <c r="Y20" i="23"/>
  <c r="Z20" i="23"/>
  <c r="AA20" i="23" s="1"/>
  <c r="AB20" i="23" s="1"/>
  <c r="V21" i="23" s="1"/>
  <c r="W21" i="22"/>
  <c r="AC20" i="22"/>
  <c r="X21" i="22" s="1"/>
  <c r="AD20" i="21"/>
  <c r="Y20" i="21"/>
  <c r="Z20" i="21"/>
  <c r="AA20" i="21" s="1"/>
  <c r="AB20" i="21" s="1"/>
  <c r="V21" i="21" s="1"/>
  <c r="AO32" i="20"/>
  <c r="AD20" i="20"/>
  <c r="Y20" i="20"/>
  <c r="AK32" i="20"/>
  <c r="Z20" i="20"/>
  <c r="AA20" i="20" s="1"/>
  <c r="AB20" i="20" s="1"/>
  <c r="V21" i="20" s="1"/>
  <c r="AD20" i="19"/>
  <c r="Y20" i="19"/>
  <c r="Z20" i="19"/>
  <c r="AA20" i="19" s="1"/>
  <c r="AB20" i="19" s="1"/>
  <c r="V21" i="19" s="1"/>
  <c r="AI26" i="13"/>
  <c r="AG26" i="13"/>
  <c r="AO25" i="13"/>
  <c r="AI30" i="19" l="1"/>
  <c r="AI29" i="25"/>
  <c r="AG29" i="25"/>
  <c r="AK29" i="25" s="1"/>
  <c r="AO28" i="25"/>
  <c r="AO27" i="24"/>
  <c r="AO31" i="23"/>
  <c r="AG29" i="21"/>
  <c r="AI29" i="21"/>
  <c r="AG32" i="22"/>
  <c r="AI32" i="22"/>
  <c r="AK31" i="23"/>
  <c r="AI28" i="24"/>
  <c r="AG28" i="24"/>
  <c r="AD21" i="25"/>
  <c r="Y21" i="25"/>
  <c r="Z21" i="25"/>
  <c r="AA21" i="25" s="1"/>
  <c r="AB21" i="25" s="1"/>
  <c r="V22" i="25" s="1"/>
  <c r="W21" i="24"/>
  <c r="AC20" i="24"/>
  <c r="X21" i="24" s="1"/>
  <c r="W21" i="23"/>
  <c r="AC20" i="23"/>
  <c r="X21" i="23" s="1"/>
  <c r="AD21" i="22"/>
  <c r="Y21" i="22"/>
  <c r="Z21" i="22"/>
  <c r="AA21" i="22" s="1"/>
  <c r="AB21" i="22" s="1"/>
  <c r="V22" i="22" s="1"/>
  <c r="AO30" i="19"/>
  <c r="W21" i="21"/>
  <c r="AC20" i="21"/>
  <c r="X21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G30" i="25" l="1"/>
  <c r="AI30" i="25"/>
  <c r="AO30" i="25" s="1"/>
  <c r="AO29" i="25"/>
  <c r="AK29" i="21"/>
  <c r="AO29" i="21"/>
  <c r="AK28" i="24"/>
  <c r="AG29" i="24" s="1"/>
  <c r="AK32" i="22"/>
  <c r="AO32" i="22"/>
  <c r="AG32" i="23"/>
  <c r="AI32" i="23"/>
  <c r="AO32" i="23" s="1"/>
  <c r="AI29" i="24"/>
  <c r="AO28" i="24"/>
  <c r="W22" i="25"/>
  <c r="AC21" i="25"/>
  <c r="X22" i="25" s="1"/>
  <c r="AD21" i="24"/>
  <c r="Y21" i="24"/>
  <c r="Z21" i="24"/>
  <c r="AA21" i="24" s="1"/>
  <c r="AB21" i="24" s="1"/>
  <c r="V22" i="24" s="1"/>
  <c r="AI27" i="13"/>
  <c r="AO27" i="13" s="1"/>
  <c r="AD21" i="23"/>
  <c r="Y21" i="23"/>
  <c r="Z21" i="23"/>
  <c r="AA21" i="23" s="1"/>
  <c r="AB21" i="23" s="1"/>
  <c r="V22" i="23" s="1"/>
  <c r="W22" i="22"/>
  <c r="AC21" i="22"/>
  <c r="X22" i="22" s="1"/>
  <c r="AD21" i="21"/>
  <c r="Y21" i="21"/>
  <c r="Z21" i="21"/>
  <c r="AA21" i="21" s="1"/>
  <c r="AB21" i="21" s="1"/>
  <c r="V22" i="21" s="1"/>
  <c r="AO33" i="20"/>
  <c r="AD21" i="20"/>
  <c r="Y21" i="20"/>
  <c r="AK33" i="20"/>
  <c r="Z21" i="20"/>
  <c r="AA21" i="20" s="1"/>
  <c r="AB21" i="20" s="1"/>
  <c r="V22" i="20" s="1"/>
  <c r="AI31" i="19"/>
  <c r="AG31" i="19"/>
  <c r="AD21" i="19"/>
  <c r="Y21" i="19"/>
  <c r="Z21" i="19"/>
  <c r="AA21" i="19" s="1"/>
  <c r="AB21" i="19" s="1"/>
  <c r="V22" i="19" s="1"/>
  <c r="AK30" i="25" l="1"/>
  <c r="AI30" i="21"/>
  <c r="AG30" i="21"/>
  <c r="AK30" i="21" s="1"/>
  <c r="AK31" i="19"/>
  <c r="AK29" i="24"/>
  <c r="AG33" i="22"/>
  <c r="AI33" i="22"/>
  <c r="AO33" i="22" s="1"/>
  <c r="AK32" i="23"/>
  <c r="AI30" i="24"/>
  <c r="AG30" i="24"/>
  <c r="AO29" i="24"/>
  <c r="AK27" i="13"/>
  <c r="AI28" i="13" s="1"/>
  <c r="AD22" i="25"/>
  <c r="Y22" i="25"/>
  <c r="Z22" i="25"/>
  <c r="AA22" i="25" s="1"/>
  <c r="AB22" i="25" s="1"/>
  <c r="V23" i="25" s="1"/>
  <c r="W22" i="24"/>
  <c r="AC21" i="24"/>
  <c r="X22" i="24" s="1"/>
  <c r="W22" i="23"/>
  <c r="AC21" i="23"/>
  <c r="X22" i="23" s="1"/>
  <c r="AD22" i="22"/>
  <c r="Y22" i="22"/>
  <c r="Z22" i="22"/>
  <c r="AA22" i="22" s="1"/>
  <c r="AB22" i="22" s="1"/>
  <c r="V23" i="22" s="1"/>
  <c r="W22" i="21"/>
  <c r="AC21" i="21"/>
  <c r="X22" i="21" s="1"/>
  <c r="W22" i="20"/>
  <c r="AI34" i="20"/>
  <c r="AG34" i="20"/>
  <c r="AC21" i="20"/>
  <c r="X22" i="20" s="1"/>
  <c r="W22" i="19"/>
  <c r="AC21" i="19"/>
  <c r="X22" i="19" s="1"/>
  <c r="AG32" i="19"/>
  <c r="AI32" i="19"/>
  <c r="AO31" i="19"/>
  <c r="AI31" i="25" l="1"/>
  <c r="AG31" i="25"/>
  <c r="AI31" i="21"/>
  <c r="AG31" i="21"/>
  <c r="AO30" i="21"/>
  <c r="AG28" i="13"/>
  <c r="AO28" i="13" s="1"/>
  <c r="AK30" i="24"/>
  <c r="AI31" i="24" s="1"/>
  <c r="AK33" i="22"/>
  <c r="AG33" i="23"/>
  <c r="AI33" i="23"/>
  <c r="AG31" i="24"/>
  <c r="AO30" i="24"/>
  <c r="W23" i="25"/>
  <c r="AC22" i="25"/>
  <c r="X23" i="25" s="1"/>
  <c r="AD22" i="24"/>
  <c r="Y22" i="24"/>
  <c r="Z22" i="24"/>
  <c r="AA22" i="24" s="1"/>
  <c r="AB22" i="24" s="1"/>
  <c r="V23" i="24" s="1"/>
  <c r="AD22" i="23"/>
  <c r="Y22" i="23"/>
  <c r="Z22" i="23"/>
  <c r="AA22" i="23" s="1"/>
  <c r="AB22" i="23" s="1"/>
  <c r="V23" i="23" s="1"/>
  <c r="W23" i="22"/>
  <c r="AC22" i="22"/>
  <c r="X23" i="22" s="1"/>
  <c r="AD22" i="21"/>
  <c r="Y22" i="21"/>
  <c r="Z22" i="21"/>
  <c r="AA22" i="21" s="1"/>
  <c r="AB22" i="21" s="1"/>
  <c r="V23" i="21" s="1"/>
  <c r="AK34" i="20"/>
  <c r="AI35" i="20" s="1"/>
  <c r="AD22" i="20"/>
  <c r="Y22" i="20"/>
  <c r="AO34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31" i="25" l="1"/>
  <c r="AG32" i="25"/>
  <c r="AI32" i="25"/>
  <c r="AO31" i="25"/>
  <c r="AK31" i="21"/>
  <c r="AI32" i="21"/>
  <c r="AG32" i="21"/>
  <c r="AO31" i="21"/>
  <c r="AO33" i="23"/>
  <c r="AK28" i="13"/>
  <c r="AG29" i="13" s="1"/>
  <c r="AO31" i="24"/>
  <c r="AG34" i="22"/>
  <c r="AI34" i="22"/>
  <c r="AK33" i="23"/>
  <c r="AK31" i="24"/>
  <c r="AD23" i="25"/>
  <c r="Y23" i="25"/>
  <c r="Z23" i="25"/>
  <c r="AA23" i="25" s="1"/>
  <c r="AB23" i="25" s="1"/>
  <c r="V24" i="25" s="1"/>
  <c r="W23" i="24"/>
  <c r="AC22" i="24"/>
  <c r="X23" i="24" s="1"/>
  <c r="W23" i="23"/>
  <c r="AC22" i="23"/>
  <c r="X23" i="23" s="1"/>
  <c r="AD23" i="22"/>
  <c r="Y23" i="22"/>
  <c r="Z23" i="22"/>
  <c r="AA23" i="22" s="1"/>
  <c r="AB23" i="22" s="1"/>
  <c r="V24" i="22" s="1"/>
  <c r="W23" i="21"/>
  <c r="AC22" i="21"/>
  <c r="X23" i="21" s="1"/>
  <c r="AK35" i="20"/>
  <c r="AG36" i="20" s="1"/>
  <c r="W23" i="20"/>
  <c r="AO35" i="20"/>
  <c r="AC22" i="20"/>
  <c r="X23" i="20" s="1"/>
  <c r="W23" i="19"/>
  <c r="AC22" i="19"/>
  <c r="X23" i="19" s="1"/>
  <c r="AG33" i="19"/>
  <c r="AI33" i="19"/>
  <c r="AI29" i="13"/>
  <c r="AO32" i="25" l="1"/>
  <c r="AO34" i="22"/>
  <c r="AK32" i="25"/>
  <c r="AK29" i="13"/>
  <c r="AG30" i="13" s="1"/>
  <c r="AK32" i="21"/>
  <c r="AG33" i="21"/>
  <c r="AI33" i="21"/>
  <c r="AO32" i="21"/>
  <c r="AI36" i="20"/>
  <c r="AK36" i="20" s="1"/>
  <c r="AK34" i="22"/>
  <c r="AI34" i="23"/>
  <c r="AG34" i="23"/>
  <c r="AG32" i="24"/>
  <c r="AI32" i="24"/>
  <c r="W24" i="25"/>
  <c r="AC23" i="25"/>
  <c r="X24" i="25" s="1"/>
  <c r="AD23" i="24"/>
  <c r="Y23" i="24"/>
  <c r="Z23" i="24"/>
  <c r="AA23" i="24" s="1"/>
  <c r="AB23" i="24" s="1"/>
  <c r="V24" i="24" s="1"/>
  <c r="AD23" i="23"/>
  <c r="Y23" i="23"/>
  <c r="Z23" i="23"/>
  <c r="AA23" i="23" s="1"/>
  <c r="AB23" i="23" s="1"/>
  <c r="V24" i="23" s="1"/>
  <c r="W24" i="22"/>
  <c r="AC23" i="22"/>
  <c r="X24" i="22" s="1"/>
  <c r="AD23" i="21"/>
  <c r="Y23" i="21"/>
  <c r="Z23" i="21"/>
  <c r="AA23" i="21" s="1"/>
  <c r="AB23" i="21" s="1"/>
  <c r="V24" i="21" s="1"/>
  <c r="AO33" i="19"/>
  <c r="AD23" i="20"/>
  <c r="Y23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I30" i="13" l="1"/>
  <c r="AO36" i="20"/>
  <c r="AI33" i="25"/>
  <c r="AG33" i="25"/>
  <c r="AK33" i="25" s="1"/>
  <c r="AK34" i="23"/>
  <c r="AI35" i="23" s="1"/>
  <c r="AO33" i="21"/>
  <c r="AK33" i="21"/>
  <c r="AG37" i="20"/>
  <c r="AI37" i="20"/>
  <c r="AG35" i="22"/>
  <c r="AI35" i="22"/>
  <c r="AG35" i="23"/>
  <c r="AO34" i="23"/>
  <c r="AO32" i="24"/>
  <c r="AK32" i="24"/>
  <c r="AD24" i="25"/>
  <c r="Y24" i="25"/>
  <c r="Z24" i="25"/>
  <c r="AA24" i="25" s="1"/>
  <c r="AB24" i="25" s="1"/>
  <c r="V25" i="25" s="1"/>
  <c r="W24" i="24"/>
  <c r="AC23" i="24"/>
  <c r="X24" i="24" s="1"/>
  <c r="W24" i="23"/>
  <c r="AC23" i="23"/>
  <c r="X24" i="23" s="1"/>
  <c r="AD24" i="22"/>
  <c r="Y24" i="22"/>
  <c r="Z24" i="22"/>
  <c r="AA24" i="22" s="1"/>
  <c r="AB24" i="22" s="1"/>
  <c r="V25" i="22" s="1"/>
  <c r="W24" i="21"/>
  <c r="AC23" i="21"/>
  <c r="X24" i="21" s="1"/>
  <c r="W24" i="20"/>
  <c r="AC23" i="20"/>
  <c r="X24" i="20" s="1"/>
  <c r="W24" i="19"/>
  <c r="AC23" i="19"/>
  <c r="X24" i="19" s="1"/>
  <c r="AI34" i="19"/>
  <c r="AG34" i="19"/>
  <c r="AK30" i="13"/>
  <c r="AO30" i="13"/>
  <c r="AK37" i="20" l="1"/>
  <c r="AI34" i="25"/>
  <c r="AG34" i="25"/>
  <c r="AK34" i="25" s="1"/>
  <c r="AO33" i="25"/>
  <c r="AO35" i="23"/>
  <c r="AO35" i="22"/>
  <c r="AO37" i="20"/>
  <c r="AG34" i="21"/>
  <c r="AI34" i="21"/>
  <c r="AI38" i="20"/>
  <c r="AG38" i="20"/>
  <c r="AK35" i="22"/>
  <c r="AK35" i="23"/>
  <c r="AG33" i="24"/>
  <c r="AI33" i="24"/>
  <c r="W25" i="25"/>
  <c r="AC24" i="25"/>
  <c r="X25" i="25" s="1"/>
  <c r="AD24" i="24"/>
  <c r="Y24" i="24"/>
  <c r="Z24" i="24"/>
  <c r="AA24" i="24" s="1"/>
  <c r="AB24" i="24" s="1"/>
  <c r="V25" i="24" s="1"/>
  <c r="AD24" i="23"/>
  <c r="Y24" i="23"/>
  <c r="Z24" i="23"/>
  <c r="AA24" i="23" s="1"/>
  <c r="AB24" i="23" s="1"/>
  <c r="V25" i="23" s="1"/>
  <c r="W25" i="22"/>
  <c r="AC24" i="22"/>
  <c r="X25" i="22" s="1"/>
  <c r="AD24" i="21"/>
  <c r="Y24" i="21"/>
  <c r="Z24" i="21"/>
  <c r="AA24" i="21" s="1"/>
  <c r="AB24" i="21" s="1"/>
  <c r="V25" i="21" s="1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G35" i="25" l="1"/>
  <c r="AI35" i="25"/>
  <c r="AO35" i="25" s="1"/>
  <c r="AO34" i="25"/>
  <c r="AO34" i="21"/>
  <c r="AO33" i="24"/>
  <c r="AO38" i="20"/>
  <c r="AK34" i="21"/>
  <c r="AK38" i="20"/>
  <c r="AI39" i="20" s="1"/>
  <c r="AG36" i="22"/>
  <c r="AI36" i="22"/>
  <c r="AI36" i="23"/>
  <c r="AG36" i="23"/>
  <c r="AK33" i="24"/>
  <c r="AD25" i="25"/>
  <c r="Y25" i="25"/>
  <c r="Z25" i="25"/>
  <c r="AA25" i="25" s="1"/>
  <c r="AB25" i="25" s="1"/>
  <c r="V26" i="25" s="1"/>
  <c r="W25" i="24"/>
  <c r="AC24" i="24"/>
  <c r="X25" i="24" s="1"/>
  <c r="W25" i="23"/>
  <c r="AC24" i="23"/>
  <c r="X25" i="23" s="1"/>
  <c r="AD25" i="22"/>
  <c r="Y25" i="22"/>
  <c r="Z25" i="22"/>
  <c r="AA25" i="22" s="1"/>
  <c r="AB25" i="22" s="1"/>
  <c r="V26" i="22" s="1"/>
  <c r="AI35" i="19"/>
  <c r="AO35" i="19" s="1"/>
  <c r="W25" i="21"/>
  <c r="AC24" i="21"/>
  <c r="X25" i="21" s="1"/>
  <c r="W25" i="20"/>
  <c r="AC24" i="20"/>
  <c r="X25" i="20" s="1"/>
  <c r="W25" i="19"/>
  <c r="AC24" i="19"/>
  <c r="X25" i="19" s="1"/>
  <c r="AK31" i="13"/>
  <c r="AO31" i="13"/>
  <c r="AK35" i="25" l="1"/>
  <c r="AG39" i="20"/>
  <c r="AK39" i="20" s="1"/>
  <c r="AG40" i="20" s="1"/>
  <c r="AG35" i="21"/>
  <c r="AI35" i="21"/>
  <c r="AK36" i="23"/>
  <c r="AO36" i="22"/>
  <c r="AK36" i="22"/>
  <c r="AG37" i="23"/>
  <c r="AI37" i="23"/>
  <c r="AO37" i="23" s="1"/>
  <c r="AO36" i="23"/>
  <c r="AG34" i="24"/>
  <c r="AI34" i="24"/>
  <c r="W26" i="25"/>
  <c r="AC25" i="25"/>
  <c r="X26" i="25" s="1"/>
  <c r="AD25" i="24"/>
  <c r="Y25" i="24"/>
  <c r="Z25" i="24"/>
  <c r="AA25" i="24" s="1"/>
  <c r="AB25" i="24" s="1"/>
  <c r="V26" i="24" s="1"/>
  <c r="AD25" i="23"/>
  <c r="Y25" i="23"/>
  <c r="Z25" i="23"/>
  <c r="AA25" i="23" s="1"/>
  <c r="AB25" i="23" s="1"/>
  <c r="V26" i="23" s="1"/>
  <c r="AK35" i="19"/>
  <c r="AG36" i="19" s="1"/>
  <c r="W26" i="22"/>
  <c r="AC25" i="22"/>
  <c r="X26" i="22" s="1"/>
  <c r="AD25" i="21"/>
  <c r="Y25" i="21"/>
  <c r="Z25" i="21"/>
  <c r="AA25" i="21" s="1"/>
  <c r="AB25" i="21" s="1"/>
  <c r="V26" i="21" s="1"/>
  <c r="AD25" i="20"/>
  <c r="Y25" i="20"/>
  <c r="AO39" i="20"/>
  <c r="Z25" i="20"/>
  <c r="AA25" i="20" s="1"/>
  <c r="AB25" i="20" s="1"/>
  <c r="V26" i="20" s="1"/>
  <c r="AD25" i="19"/>
  <c r="Y25" i="19"/>
  <c r="Z25" i="19"/>
  <c r="AA25" i="19" s="1"/>
  <c r="AB25" i="19" s="1"/>
  <c r="V26" i="19" s="1"/>
  <c r="AG32" i="13"/>
  <c r="AI32" i="13"/>
  <c r="AG36" i="25" l="1"/>
  <c r="AI36" i="25"/>
  <c r="AO36" i="25" s="1"/>
  <c r="AK35" i="21"/>
  <c r="AO35" i="21"/>
  <c r="AO34" i="24"/>
  <c r="AG37" i="22"/>
  <c r="AI37" i="22"/>
  <c r="AO37" i="22" s="1"/>
  <c r="AK37" i="23"/>
  <c r="AK34" i="24"/>
  <c r="AI36" i="19"/>
  <c r="AK36" i="19" s="1"/>
  <c r="AD26" i="25"/>
  <c r="Y26" i="25"/>
  <c r="Z26" i="25"/>
  <c r="AA26" i="25" s="1"/>
  <c r="AB26" i="25" s="1"/>
  <c r="V27" i="25" s="1"/>
  <c r="W26" i="24"/>
  <c r="AC25" i="24"/>
  <c r="X26" i="24" s="1"/>
  <c r="AI40" i="20"/>
  <c r="AO40" i="20" s="1"/>
  <c r="W26" i="23"/>
  <c r="AC25" i="23"/>
  <c r="X26" i="23" s="1"/>
  <c r="AD26" i="22"/>
  <c r="Y26" i="22"/>
  <c r="Z26" i="22"/>
  <c r="AA26" i="22" s="1"/>
  <c r="AB26" i="22" s="1"/>
  <c r="V27" i="22" s="1"/>
  <c r="W26" i="21"/>
  <c r="AC25" i="21"/>
  <c r="X26" i="21" s="1"/>
  <c r="W26" i="20"/>
  <c r="AC25" i="20"/>
  <c r="X26" i="20" s="1"/>
  <c r="W26" i="19"/>
  <c r="AC25" i="19"/>
  <c r="X26" i="19" s="1"/>
  <c r="AO32" i="13"/>
  <c r="AK32" i="13"/>
  <c r="AK36" i="25" l="1"/>
  <c r="AG36" i="21"/>
  <c r="AI36" i="21"/>
  <c r="AO36" i="21" s="1"/>
  <c r="AO36" i="19"/>
  <c r="AK37" i="22"/>
  <c r="AG38" i="23"/>
  <c r="AI38" i="23"/>
  <c r="AO38" i="23" s="1"/>
  <c r="AG35" i="24"/>
  <c r="AI35" i="24"/>
  <c r="AK40" i="20"/>
  <c r="AG41" i="20" s="1"/>
  <c r="W27" i="25"/>
  <c r="AC26" i="25"/>
  <c r="X27" i="25" s="1"/>
  <c r="AD26" i="24"/>
  <c r="Y26" i="24"/>
  <c r="Z26" i="24"/>
  <c r="AA26" i="24" s="1"/>
  <c r="AB26" i="24" s="1"/>
  <c r="V27" i="24" s="1"/>
  <c r="AD26" i="23"/>
  <c r="Y26" i="23"/>
  <c r="Z26" i="23"/>
  <c r="AA26" i="23" s="1"/>
  <c r="AB26" i="23" s="1"/>
  <c r="V27" i="23" s="1"/>
  <c r="W27" i="22"/>
  <c r="AC26" i="22"/>
  <c r="X27" i="22" s="1"/>
  <c r="AD26" i="21"/>
  <c r="Y26" i="21"/>
  <c r="Z26" i="21"/>
  <c r="AA26" i="21" s="1"/>
  <c r="AB26" i="21" s="1"/>
  <c r="V27" i="21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G37" i="25" l="1"/>
  <c r="AI37" i="25"/>
  <c r="AK36" i="21"/>
  <c r="AI41" i="20"/>
  <c r="AO41" i="20" s="1"/>
  <c r="AO35" i="24"/>
  <c r="AG38" i="22"/>
  <c r="AI38" i="22"/>
  <c r="AO38" i="22" s="1"/>
  <c r="AK38" i="23"/>
  <c r="AK41" i="20"/>
  <c r="AI42" i="20" s="1"/>
  <c r="AK35" i="24"/>
  <c r="AD27" i="25"/>
  <c r="Y27" i="25"/>
  <c r="Z27" i="25"/>
  <c r="AA27" i="25" s="1"/>
  <c r="AB27" i="25" s="1"/>
  <c r="V28" i="25" s="1"/>
  <c r="W27" i="24"/>
  <c r="AC26" i="24"/>
  <c r="X27" i="24" s="1"/>
  <c r="W27" i="23"/>
  <c r="AC26" i="23"/>
  <c r="X27" i="23" s="1"/>
  <c r="AD27" i="22"/>
  <c r="Y27" i="22"/>
  <c r="Z27" i="22"/>
  <c r="AA27" i="22" s="1"/>
  <c r="AB27" i="22" s="1"/>
  <c r="V28" i="22" s="1"/>
  <c r="W27" i="21"/>
  <c r="AC26" i="21"/>
  <c r="X27" i="21" s="1"/>
  <c r="AK37" i="19"/>
  <c r="AG38" i="19" s="1"/>
  <c r="W27" i="20"/>
  <c r="AC26" i="20"/>
  <c r="X27" i="20" s="1"/>
  <c r="W27" i="19"/>
  <c r="AO37" i="19"/>
  <c r="AC26" i="19"/>
  <c r="X27" i="19" s="1"/>
  <c r="AK33" i="13"/>
  <c r="AO33" i="13"/>
  <c r="AO37" i="25" l="1"/>
  <c r="AK37" i="25"/>
  <c r="AI37" i="21"/>
  <c r="AG37" i="21"/>
  <c r="AK37" i="21" s="1"/>
  <c r="AG42" i="20"/>
  <c r="AO42" i="20" s="1"/>
  <c r="AK38" i="22"/>
  <c r="AG39" i="23"/>
  <c r="AI39" i="23"/>
  <c r="AI36" i="24"/>
  <c r="AG36" i="24"/>
  <c r="W28" i="25"/>
  <c r="AC27" i="25"/>
  <c r="X28" i="25" s="1"/>
  <c r="AD27" i="24"/>
  <c r="Y27" i="24"/>
  <c r="Z27" i="24"/>
  <c r="AA27" i="24" s="1"/>
  <c r="AB27" i="24" s="1"/>
  <c r="V28" i="24" s="1"/>
  <c r="AD27" i="23"/>
  <c r="Y27" i="23"/>
  <c r="Z27" i="23"/>
  <c r="AA27" i="23" s="1"/>
  <c r="AB27" i="23" s="1"/>
  <c r="V28" i="23" s="1"/>
  <c r="AI38" i="19"/>
  <c r="AO38" i="19" s="1"/>
  <c r="W28" i="22"/>
  <c r="AC27" i="22"/>
  <c r="X28" i="22" s="1"/>
  <c r="AD27" i="21"/>
  <c r="Y27" i="21"/>
  <c r="Z27" i="21"/>
  <c r="AA27" i="21" s="1"/>
  <c r="AB27" i="21" s="1"/>
  <c r="V28" i="21" s="1"/>
  <c r="AD27" i="20"/>
  <c r="Y27" i="20"/>
  <c r="Z27" i="20"/>
  <c r="AA27" i="20" s="1"/>
  <c r="AB27" i="20" s="1"/>
  <c r="V28" i="20" s="1"/>
  <c r="AD27" i="19"/>
  <c r="Y27" i="19"/>
  <c r="Z27" i="19"/>
  <c r="AA27" i="19" s="1"/>
  <c r="AB27" i="19" s="1"/>
  <c r="V28" i="19" s="1"/>
  <c r="AG34" i="13"/>
  <c r="AI34" i="13"/>
  <c r="AG38" i="25" l="1"/>
  <c r="AI38" i="25"/>
  <c r="AO38" i="25" s="1"/>
  <c r="AI38" i="21"/>
  <c r="AG38" i="21"/>
  <c r="AK38" i="21" s="1"/>
  <c r="AO37" i="21"/>
  <c r="AK36" i="24"/>
  <c r="AG37" i="24" s="1"/>
  <c r="AK42" i="20"/>
  <c r="AI43" i="20" s="1"/>
  <c r="AO39" i="23"/>
  <c r="AG39" i="22"/>
  <c r="AI39" i="22"/>
  <c r="AK39" i="23"/>
  <c r="AO36" i="24"/>
  <c r="AK38" i="19"/>
  <c r="AG39" i="19" s="1"/>
  <c r="AD28" i="25"/>
  <c r="Y28" i="25"/>
  <c r="Z28" i="25"/>
  <c r="AA28" i="25" s="1"/>
  <c r="AB28" i="25" s="1"/>
  <c r="V29" i="25" s="1"/>
  <c r="W28" i="24"/>
  <c r="AC27" i="24"/>
  <c r="X28" i="24" s="1"/>
  <c r="W28" i="23"/>
  <c r="AC27" i="23"/>
  <c r="X28" i="23" s="1"/>
  <c r="AD28" i="22"/>
  <c r="Y28" i="22"/>
  <c r="Z28" i="22"/>
  <c r="AA28" i="22" s="1"/>
  <c r="AB28" i="22" s="1"/>
  <c r="V29" i="22" s="1"/>
  <c r="W28" i="21"/>
  <c r="AC27" i="21"/>
  <c r="X28" i="21" s="1"/>
  <c r="W28" i="20"/>
  <c r="AC27" i="20"/>
  <c r="X28" i="20" s="1"/>
  <c r="W28" i="19"/>
  <c r="AC27" i="19"/>
  <c r="X28" i="19" s="1"/>
  <c r="AO34" i="13"/>
  <c r="AK34" i="13"/>
  <c r="AK38" i="25" l="1"/>
  <c r="AG43" i="20"/>
  <c r="AK43" i="20" s="1"/>
  <c r="AI44" i="20" s="1"/>
  <c r="AI37" i="24"/>
  <c r="AO37" i="24" s="1"/>
  <c r="AG39" i="21"/>
  <c r="AI39" i="21"/>
  <c r="AO39" i="21" s="1"/>
  <c r="AO38" i="21"/>
  <c r="AK39" i="22"/>
  <c r="AO39" i="22"/>
  <c r="AG40" i="23"/>
  <c r="AI40" i="23"/>
  <c r="AI39" i="19"/>
  <c r="AK39" i="19" s="1"/>
  <c r="AG40" i="19" s="1"/>
  <c r="AK37" i="24"/>
  <c r="W29" i="25"/>
  <c r="AC28" i="25"/>
  <c r="X29" i="25" s="1"/>
  <c r="AD28" i="24"/>
  <c r="Y28" i="24"/>
  <c r="Z28" i="24"/>
  <c r="AA28" i="24" s="1"/>
  <c r="AB28" i="24" s="1"/>
  <c r="V29" i="24" s="1"/>
  <c r="AD28" i="23"/>
  <c r="Y28" i="23"/>
  <c r="Z28" i="23"/>
  <c r="AA28" i="23" s="1"/>
  <c r="AB28" i="23" s="1"/>
  <c r="V29" i="23" s="1"/>
  <c r="W29" i="22"/>
  <c r="AC28" i="22"/>
  <c r="X29" i="22" s="1"/>
  <c r="AD28" i="21"/>
  <c r="Y28" i="21"/>
  <c r="Z28" i="21"/>
  <c r="AA28" i="21" s="1"/>
  <c r="AB28" i="21" s="1"/>
  <c r="V29" i="21" s="1"/>
  <c r="AD28" i="20"/>
  <c r="Y28" i="20"/>
  <c r="AO43" i="20"/>
  <c r="Z28" i="20"/>
  <c r="AA28" i="20" s="1"/>
  <c r="AB28" i="20" s="1"/>
  <c r="V29" i="20" s="1"/>
  <c r="AD28" i="19"/>
  <c r="Y28" i="19"/>
  <c r="Z28" i="19"/>
  <c r="AA28" i="19" s="1"/>
  <c r="AB28" i="19" s="1"/>
  <c r="V29" i="19" s="1"/>
  <c r="AG35" i="13"/>
  <c r="AI35" i="13"/>
  <c r="AI39" i="25" l="1"/>
  <c r="AG39" i="25"/>
  <c r="AK39" i="21"/>
  <c r="AO40" i="23"/>
  <c r="AO39" i="19"/>
  <c r="AI40" i="22"/>
  <c r="AG40" i="22"/>
  <c r="AK40" i="23"/>
  <c r="AG38" i="24"/>
  <c r="AI38" i="24"/>
  <c r="AI40" i="19"/>
  <c r="AK40" i="19" s="1"/>
  <c r="AD29" i="25"/>
  <c r="Y29" i="25"/>
  <c r="Z29" i="25"/>
  <c r="AA29" i="25" s="1"/>
  <c r="AB29" i="25" s="1"/>
  <c r="V30" i="25" s="1"/>
  <c r="W29" i="24"/>
  <c r="AC28" i="24"/>
  <c r="X29" i="24" s="1"/>
  <c r="AG44" i="20"/>
  <c r="AK44" i="20" s="1"/>
  <c r="W29" i="23"/>
  <c r="AC28" i="23"/>
  <c r="X29" i="23" s="1"/>
  <c r="AD29" i="22"/>
  <c r="Y29" i="22"/>
  <c r="Z29" i="22"/>
  <c r="AA29" i="22" s="1"/>
  <c r="AB29" i="22" s="1"/>
  <c r="V30" i="22" s="1"/>
  <c r="W29" i="21"/>
  <c r="AC28" i="21"/>
  <c r="X29" i="21" s="1"/>
  <c r="W29" i="20"/>
  <c r="AC28" i="20"/>
  <c r="X29" i="20" s="1"/>
  <c r="W29" i="19"/>
  <c r="AC28" i="19"/>
  <c r="X29" i="19" s="1"/>
  <c r="AO35" i="13"/>
  <c r="AK35" i="13"/>
  <c r="AK39" i="25" l="1"/>
  <c r="AI40" i="25" s="1"/>
  <c r="AG40" i="25"/>
  <c r="AO39" i="25"/>
  <c r="AG40" i="21"/>
  <c r="AI40" i="21"/>
  <c r="AO40" i="19"/>
  <c r="AK40" i="22"/>
  <c r="AI41" i="22" s="1"/>
  <c r="AG41" i="22"/>
  <c r="AO40" i="22"/>
  <c r="AG41" i="23"/>
  <c r="AI41" i="23"/>
  <c r="AK38" i="24"/>
  <c r="AO38" i="24"/>
  <c r="AO44" i="20"/>
  <c r="W30" i="25"/>
  <c r="AC29" i="25"/>
  <c r="X30" i="25" s="1"/>
  <c r="AD29" i="24"/>
  <c r="Y29" i="24"/>
  <c r="Z29" i="24"/>
  <c r="AA29" i="24" s="1"/>
  <c r="AB29" i="24" s="1"/>
  <c r="V30" i="24" s="1"/>
  <c r="AD29" i="23"/>
  <c r="Y29" i="23"/>
  <c r="Z29" i="23"/>
  <c r="AA29" i="23" s="1"/>
  <c r="AB29" i="23" s="1"/>
  <c r="V30" i="23" s="1"/>
  <c r="W30" i="22"/>
  <c r="AC29" i="22"/>
  <c r="X30" i="22" s="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O41" i="22" l="1"/>
  <c r="AO40" i="25"/>
  <c r="AK40" i="25"/>
  <c r="AO40" i="21"/>
  <c r="AK40" i="21"/>
  <c r="AO41" i="23"/>
  <c r="AK41" i="22"/>
  <c r="AK41" i="23"/>
  <c r="AG39" i="24"/>
  <c r="AI39" i="24"/>
  <c r="AD30" i="25"/>
  <c r="Y30" i="25"/>
  <c r="Z30" i="25"/>
  <c r="AA30" i="25" s="1"/>
  <c r="AB30" i="25" s="1"/>
  <c r="V31" i="25" s="1"/>
  <c r="W30" i="24"/>
  <c r="AC29" i="24"/>
  <c r="X30" i="24" s="1"/>
  <c r="W30" i="23"/>
  <c r="AC29" i="23"/>
  <c r="X30" i="23" s="1"/>
  <c r="AD30" i="22"/>
  <c r="Y30" i="22"/>
  <c r="Z30" i="22"/>
  <c r="AA30" i="22" s="1"/>
  <c r="AB30" i="22" s="1"/>
  <c r="V31" i="22" s="1"/>
  <c r="W30" i="21"/>
  <c r="AC29" i="21"/>
  <c r="X30" i="21" s="1"/>
  <c r="AK41" i="19"/>
  <c r="AI42" i="19" s="1"/>
  <c r="W30" i="20"/>
  <c r="AC29" i="20"/>
  <c r="X30" i="20" s="1"/>
  <c r="W30" i="19"/>
  <c r="AO41" i="19"/>
  <c r="AC29" i="19"/>
  <c r="X30" i="19" s="1"/>
  <c r="AO36" i="13"/>
  <c r="AK36" i="13"/>
  <c r="AG41" i="25" l="1"/>
  <c r="AI41" i="25"/>
  <c r="AI41" i="21"/>
  <c r="AG41" i="21"/>
  <c r="AK41" i="21" s="1"/>
  <c r="AO39" i="24"/>
  <c r="AG42" i="22"/>
  <c r="AI42" i="22"/>
  <c r="AG42" i="23"/>
  <c r="AI42" i="23"/>
  <c r="AK39" i="24"/>
  <c r="W31" i="25"/>
  <c r="AC30" i="25"/>
  <c r="X31" i="25" s="1"/>
  <c r="AD30" i="24"/>
  <c r="Y30" i="24"/>
  <c r="Z30" i="24"/>
  <c r="AA30" i="24" s="1"/>
  <c r="AB30" i="24" s="1"/>
  <c r="V31" i="24" s="1"/>
  <c r="AG42" i="19"/>
  <c r="AO42" i="19" s="1"/>
  <c r="AD30" i="23"/>
  <c r="Y30" i="23"/>
  <c r="Z30" i="23"/>
  <c r="AA30" i="23" s="1"/>
  <c r="AB30" i="23" s="1"/>
  <c r="V31" i="23" s="1"/>
  <c r="W31" i="22"/>
  <c r="AC30" i="22"/>
  <c r="X31" i="22" s="1"/>
  <c r="AD30" i="21"/>
  <c r="Y30" i="21"/>
  <c r="Z30" i="21"/>
  <c r="AA30" i="21" s="1"/>
  <c r="AB30" i="21" s="1"/>
  <c r="V31" i="21" s="1"/>
  <c r="AD30" i="20"/>
  <c r="Y30" i="20"/>
  <c r="Z30" i="20"/>
  <c r="AA30" i="20" s="1"/>
  <c r="AB30" i="20" s="1"/>
  <c r="V31" i="20" s="1"/>
  <c r="AD30" i="19"/>
  <c r="Y30" i="19"/>
  <c r="Z30" i="19"/>
  <c r="AA30" i="19" s="1"/>
  <c r="AB30" i="19" s="1"/>
  <c r="V31" i="19" s="1"/>
  <c r="AG37" i="13"/>
  <c r="AI37" i="13"/>
  <c r="AO41" i="25" l="1"/>
  <c r="AK41" i="25"/>
  <c r="AO42" i="23"/>
  <c r="AG42" i="21"/>
  <c r="AI42" i="21"/>
  <c r="AO41" i="21"/>
  <c r="AK42" i="22"/>
  <c r="AO42" i="22"/>
  <c r="AK42" i="23"/>
  <c r="AK42" i="19"/>
  <c r="AI43" i="19" s="1"/>
  <c r="AI40" i="24"/>
  <c r="AG40" i="24"/>
  <c r="AD31" i="25"/>
  <c r="Y31" i="25"/>
  <c r="Z31" i="25"/>
  <c r="AA31" i="25" s="1"/>
  <c r="AB31" i="25" s="1"/>
  <c r="V32" i="25" s="1"/>
  <c r="W31" i="24"/>
  <c r="AC30" i="24"/>
  <c r="X31" i="24" s="1"/>
  <c r="W31" i="23"/>
  <c r="AC30" i="23"/>
  <c r="X31" i="23" s="1"/>
  <c r="AD31" i="22"/>
  <c r="Y31" i="22"/>
  <c r="Z31" i="22"/>
  <c r="AA31" i="22" s="1"/>
  <c r="AB31" i="22" s="1"/>
  <c r="V32" i="22" s="1"/>
  <c r="W31" i="21"/>
  <c r="AC30" i="21"/>
  <c r="X31" i="21" s="1"/>
  <c r="W31" i="20"/>
  <c r="AC30" i="20"/>
  <c r="X31" i="20" s="1"/>
  <c r="W31" i="19"/>
  <c r="AC30" i="19"/>
  <c r="X31" i="19" s="1"/>
  <c r="AO37" i="13"/>
  <c r="AK37" i="13"/>
  <c r="AG42" i="25" l="1"/>
  <c r="AI42" i="25"/>
  <c r="AO42" i="25" s="1"/>
  <c r="AO42" i="21"/>
  <c r="AK42" i="21"/>
  <c r="AK40" i="24"/>
  <c r="AI43" i="22"/>
  <c r="AG43" i="22"/>
  <c r="AK43" i="22" s="1"/>
  <c r="AG43" i="19"/>
  <c r="AK43" i="19" s="1"/>
  <c r="AG44" i="19" s="1"/>
  <c r="AG43" i="23"/>
  <c r="AI43" i="23"/>
  <c r="AO43" i="23" s="1"/>
  <c r="AG41" i="24"/>
  <c r="AI41" i="24"/>
  <c r="AO40" i="24"/>
  <c r="W32" i="25"/>
  <c r="AC31" i="25"/>
  <c r="X32" i="25" s="1"/>
  <c r="AD31" i="24"/>
  <c r="Y31" i="24"/>
  <c r="Z31" i="24"/>
  <c r="AA31" i="24" s="1"/>
  <c r="AB31" i="24" s="1"/>
  <c r="V32" i="24" s="1"/>
  <c r="AD31" i="23"/>
  <c r="Y31" i="23"/>
  <c r="Z31" i="23"/>
  <c r="AA31" i="23" s="1"/>
  <c r="AB31" i="23" s="1"/>
  <c r="V32" i="23" s="1"/>
  <c r="W32" i="22"/>
  <c r="AC31" i="22"/>
  <c r="X32" i="22" s="1"/>
  <c r="AD31" i="2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D31" i="19"/>
  <c r="Y31" i="19"/>
  <c r="Z31" i="19"/>
  <c r="AA31" i="19" s="1"/>
  <c r="AB31" i="19" s="1"/>
  <c r="V32" i="19" s="1"/>
  <c r="AI38" i="13"/>
  <c r="AG38" i="13"/>
  <c r="AO43" i="19" l="1"/>
  <c r="AK42" i="25"/>
  <c r="AI43" i="21"/>
  <c r="AG43" i="21"/>
  <c r="AG44" i="22"/>
  <c r="AI44" i="22"/>
  <c r="AO43" i="22"/>
  <c r="AK43" i="23"/>
  <c r="AK41" i="24"/>
  <c r="AO41" i="24"/>
  <c r="AD32" i="25"/>
  <c r="Y32" i="25"/>
  <c r="Z32" i="25"/>
  <c r="AA32" i="25" s="1"/>
  <c r="AB32" i="25" s="1"/>
  <c r="V33" i="25" s="1"/>
  <c r="W32" i="24"/>
  <c r="AC31" i="24"/>
  <c r="X32" i="24" s="1"/>
  <c r="AI44" i="19"/>
  <c r="AO44" i="19" s="1"/>
  <c r="W32" i="23"/>
  <c r="AC31" i="23"/>
  <c r="X32" i="23" s="1"/>
  <c r="AD32" i="22"/>
  <c r="Y32" i="22"/>
  <c r="Z32" i="22"/>
  <c r="AA32" i="22" s="1"/>
  <c r="AB32" i="22" s="1"/>
  <c r="V33" i="22" s="1"/>
  <c r="W32" i="21"/>
  <c r="AC31" i="21"/>
  <c r="X32" i="21" s="1"/>
  <c r="W32" i="20"/>
  <c r="AC31" i="20"/>
  <c r="X32" i="20" s="1"/>
  <c r="W32" i="19"/>
  <c r="AC31" i="19"/>
  <c r="X32" i="19" s="1"/>
  <c r="AK38" i="13"/>
  <c r="AI39" i="13" s="1"/>
  <c r="AO38" i="13"/>
  <c r="AI43" i="25" l="1"/>
  <c r="AG43" i="25"/>
  <c r="AK43" i="25" s="1"/>
  <c r="AK43" i="21"/>
  <c r="AI44" i="21"/>
  <c r="AG44" i="21"/>
  <c r="AO43" i="21"/>
  <c r="AO44" i="22"/>
  <c r="AK44" i="22"/>
  <c r="AI44" i="23"/>
  <c r="AG44" i="23"/>
  <c r="AG42" i="24"/>
  <c r="AI42" i="24"/>
  <c r="AK44" i="19"/>
  <c r="W33" i="25"/>
  <c r="AC32" i="25"/>
  <c r="X33" i="25" s="1"/>
  <c r="AD32" i="24"/>
  <c r="Y32" i="24"/>
  <c r="Z32" i="24"/>
  <c r="AA32" i="24" s="1"/>
  <c r="AB32" i="24" s="1"/>
  <c r="V33" i="24" s="1"/>
  <c r="AD32" i="23"/>
  <c r="Y32" i="23"/>
  <c r="Z32" i="23"/>
  <c r="AA32" i="23" s="1"/>
  <c r="AB32" i="23" s="1"/>
  <c r="V33" i="23" s="1"/>
  <c r="W33" i="22"/>
  <c r="AC32" i="22"/>
  <c r="X33" i="22" s="1"/>
  <c r="AD32" i="2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AK44" i="21" l="1"/>
  <c r="AI44" i="25"/>
  <c r="AG44" i="25"/>
  <c r="AK44" i="25" s="1"/>
  <c r="AO43" i="25"/>
  <c r="AO42" i="24"/>
  <c r="AO44" i="21"/>
  <c r="AK44" i="23"/>
  <c r="AO44" i="23"/>
  <c r="AK42" i="24"/>
  <c r="AD33" i="25"/>
  <c r="Y33" i="25"/>
  <c r="Z33" i="25"/>
  <c r="AA33" i="25" s="1"/>
  <c r="AB33" i="25" s="1"/>
  <c r="V34" i="25" s="1"/>
  <c r="W33" i="24"/>
  <c r="AC32" i="24"/>
  <c r="X33" i="24" s="1"/>
  <c r="W33" i="23"/>
  <c r="AC32" i="23"/>
  <c r="X33" i="23" s="1"/>
  <c r="AD33" i="22"/>
  <c r="Y33" i="22"/>
  <c r="Z33" i="22"/>
  <c r="AA33" i="22" s="1"/>
  <c r="AB33" i="22" s="1"/>
  <c r="V34" i="22" s="1"/>
  <c r="W33" i="21"/>
  <c r="AC32" i="21"/>
  <c r="X33" i="21" s="1"/>
  <c r="W33" i="20"/>
  <c r="AC32" i="20"/>
  <c r="X33" i="20" s="1"/>
  <c r="W33" i="19"/>
  <c r="AC32" i="19"/>
  <c r="X33" i="19" s="1"/>
  <c r="AK39" i="13"/>
  <c r="AG40" i="13" s="1"/>
  <c r="AO44" i="25" l="1"/>
  <c r="AG43" i="24"/>
  <c r="AI43" i="24"/>
  <c r="W34" i="25"/>
  <c r="AC33" i="25"/>
  <c r="X34" i="25" s="1"/>
  <c r="AD33" i="24"/>
  <c r="Y33" i="24"/>
  <c r="Z33" i="24"/>
  <c r="AA33" i="24" s="1"/>
  <c r="AB33" i="24" s="1"/>
  <c r="V34" i="24" s="1"/>
  <c r="AI40" i="13"/>
  <c r="AK40" i="13" s="1"/>
  <c r="AD33" i="23"/>
  <c r="Y33" i="23"/>
  <c r="Z33" i="23"/>
  <c r="AA33" i="23" s="1"/>
  <c r="AB33" i="23" s="1"/>
  <c r="V34" i="23" s="1"/>
  <c r="W34" i="22"/>
  <c r="AC33" i="22"/>
  <c r="X34" i="22" s="1"/>
  <c r="AD33" i="2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 l="1"/>
  <c r="AO43" i="24"/>
  <c r="AK43" i="24"/>
  <c r="AD34" i="25"/>
  <c r="Y34" i="25"/>
  <c r="Z34" i="25"/>
  <c r="W34" i="24"/>
  <c r="AC33" i="24"/>
  <c r="X34" i="24" s="1"/>
  <c r="W34" i="23"/>
  <c r="AC33" i="23"/>
  <c r="X34" i="23" s="1"/>
  <c r="AD34" i="22"/>
  <c r="Y34" i="22"/>
  <c r="Z34" i="22"/>
  <c r="W34" i="21"/>
  <c r="AC33" i="21"/>
  <c r="X34" i="21" s="1"/>
  <c r="W34" i="20"/>
  <c r="AC33" i="20"/>
  <c r="X34" i="20" s="1"/>
  <c r="W34" i="19"/>
  <c r="AC33" i="19"/>
  <c r="X34" i="19" s="1"/>
  <c r="AI41" i="13"/>
  <c r="AG41" i="13"/>
  <c r="AG44" i="24" l="1"/>
  <c r="AI44" i="24"/>
  <c r="AO44" i="24" s="1"/>
  <c r="O24" i="25"/>
  <c r="O25" i="25" s="1"/>
  <c r="G19" i="25" s="1"/>
  <c r="AA34" i="25"/>
  <c r="AB34" i="25" s="1"/>
  <c r="AD34" i="24"/>
  <c r="Y34" i="24"/>
  <c r="Z34" i="24"/>
  <c r="AD34" i="23"/>
  <c r="Y34" i="23"/>
  <c r="Z34" i="23"/>
  <c r="O24" i="22"/>
  <c r="O25" i="22" s="1"/>
  <c r="G19" i="22" s="1"/>
  <c r="AA34" i="22"/>
  <c r="AB34" i="22" s="1"/>
  <c r="AD34" i="21"/>
  <c r="Y34" i="21"/>
  <c r="Z34" i="21"/>
  <c r="AD34" i="20"/>
  <c r="Y34" i="20"/>
  <c r="Z34" i="20"/>
  <c r="AD34" i="19"/>
  <c r="Y34" i="19"/>
  <c r="Z34" i="19"/>
  <c r="AK41" i="13"/>
  <c r="AI42" i="13" s="1"/>
  <c r="AO41" i="13"/>
  <c r="AK44" i="24" l="1"/>
  <c r="AC34" i="25"/>
  <c r="G22" i="25"/>
  <c r="G20" i="25"/>
  <c r="O24" i="24"/>
  <c r="O25" i="24" s="1"/>
  <c r="G19" i="24" s="1"/>
  <c r="AA34" i="24"/>
  <c r="AB34" i="24" s="1"/>
  <c r="O24" i="23"/>
  <c r="O25" i="23" s="1"/>
  <c r="G19" i="23" s="1"/>
  <c r="AA34" i="23"/>
  <c r="AB34" i="23" s="1"/>
  <c r="AC34" i="22"/>
  <c r="G22" i="22"/>
  <c r="G20" i="22"/>
  <c r="O24" i="21"/>
  <c r="O25" i="21" s="1"/>
  <c r="G19" i="21" s="1"/>
  <c r="AA34" i="21"/>
  <c r="AB34" i="21" s="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G35" i="25" l="1"/>
  <c r="K4" i="25" s="1"/>
  <c r="G22" i="24"/>
  <c r="G20" i="24"/>
  <c r="AC34" i="24"/>
  <c r="G22" i="23"/>
  <c r="G20" i="23"/>
  <c r="AC34" i="23"/>
  <c r="G35" i="22"/>
  <c r="K8" i="22"/>
  <c r="K4" i="22"/>
  <c r="AC34" i="21"/>
  <c r="G22" i="21"/>
  <c r="G20" i="21"/>
  <c r="AC34" i="20"/>
  <c r="G22" i="20"/>
  <c r="G20" i="20"/>
  <c r="AC34" i="19"/>
  <c r="G22" i="19"/>
  <c r="G20" i="19"/>
  <c r="AK42" i="13"/>
  <c r="AG43" i="13" s="1"/>
  <c r="K13" i="22" l="1"/>
  <c r="E7" i="26"/>
  <c r="K8" i="25"/>
  <c r="K5" i="25"/>
  <c r="G35" i="24"/>
  <c r="K4" i="24"/>
  <c r="K8" i="24"/>
  <c r="G35" i="23"/>
  <c r="K4" i="23" s="1"/>
  <c r="K8" i="23"/>
  <c r="K17" i="22"/>
  <c r="K17" i="23" s="1"/>
  <c r="K16" i="22"/>
  <c r="K16" i="23" s="1"/>
  <c r="K5" i="22"/>
  <c r="K40" i="22"/>
  <c r="K48" i="22"/>
  <c r="K32" i="22"/>
  <c r="G35" i="21"/>
  <c r="K8" i="21" s="1"/>
  <c r="K4" i="21"/>
  <c r="G35" i="20"/>
  <c r="K8" i="20" s="1"/>
  <c r="K4" i="20"/>
  <c r="G35" i="19"/>
  <c r="K8" i="19" s="1"/>
  <c r="AI43" i="13"/>
  <c r="AK43" i="13" s="1"/>
  <c r="AG44" i="13" s="1"/>
  <c r="K16" i="25" l="1"/>
  <c r="K16" i="24"/>
  <c r="K17" i="25"/>
  <c r="K49" i="25" s="1"/>
  <c r="K17" i="24"/>
  <c r="K13" i="21"/>
  <c r="K48" i="21" s="1"/>
  <c r="E15" i="26"/>
  <c r="K13" i="20"/>
  <c r="K48" i="20" s="1"/>
  <c r="E14" i="26"/>
  <c r="K13" i="19"/>
  <c r="K48" i="19" s="1"/>
  <c r="E13" i="26"/>
  <c r="K13" i="25"/>
  <c r="K32" i="25" s="1"/>
  <c r="E10" i="26"/>
  <c r="K13" i="24"/>
  <c r="K40" i="24" s="1"/>
  <c r="E9" i="26"/>
  <c r="K13" i="23"/>
  <c r="K40" i="23" s="1"/>
  <c r="E8" i="26"/>
  <c r="K27" i="22"/>
  <c r="AJ4" i="22" s="1"/>
  <c r="K4" i="19"/>
  <c r="K5" i="24"/>
  <c r="K5" i="23"/>
  <c r="K49" i="22"/>
  <c r="K50" i="22" s="1"/>
  <c r="K33" i="22"/>
  <c r="K36" i="22" s="1"/>
  <c r="K41" i="22"/>
  <c r="K44" i="22" s="1"/>
  <c r="K5" i="21"/>
  <c r="K5" i="20"/>
  <c r="AI44" i="13"/>
  <c r="AK44" i="13" s="1"/>
  <c r="AO43" i="13"/>
  <c r="K33" i="25" l="1"/>
  <c r="K36" i="25" s="1"/>
  <c r="K41" i="25"/>
  <c r="K40" i="20"/>
  <c r="K32" i="20"/>
  <c r="K40" i="21"/>
  <c r="K32" i="21"/>
  <c r="E4" i="26"/>
  <c r="K32" i="19"/>
  <c r="K40" i="19"/>
  <c r="K27" i="25"/>
  <c r="K28" i="25" s="1"/>
  <c r="K40" i="25"/>
  <c r="K32" i="24"/>
  <c r="K48" i="24"/>
  <c r="K48" i="25"/>
  <c r="K50" i="25" s="1"/>
  <c r="K48" i="23"/>
  <c r="K27" i="23"/>
  <c r="K28" i="23" s="1"/>
  <c r="K32" i="23"/>
  <c r="AL4" i="22"/>
  <c r="AH4" i="22"/>
  <c r="K28" i="22"/>
  <c r="K5" i="19"/>
  <c r="K27" i="24"/>
  <c r="AH4" i="24" s="1"/>
  <c r="K49" i="24"/>
  <c r="K41" i="24"/>
  <c r="K44" i="24" s="1"/>
  <c r="K33" i="24"/>
  <c r="K49" i="23"/>
  <c r="K33" i="23"/>
  <c r="K41" i="23"/>
  <c r="K44" i="23" s="1"/>
  <c r="AO44" i="13"/>
  <c r="K25" i="13"/>
  <c r="K25" i="19" s="1"/>
  <c r="G12" i="13"/>
  <c r="G9" i="13"/>
  <c r="K19" i="13"/>
  <c r="K19" i="19" s="1"/>
  <c r="K47" i="13"/>
  <c r="O7" i="13"/>
  <c r="O10" i="13" s="1"/>
  <c r="G28" i="13"/>
  <c r="K18" i="13"/>
  <c r="K18" i="19" s="1"/>
  <c r="G31" i="13"/>
  <c r="G29" i="13" s="1"/>
  <c r="K39" i="13"/>
  <c r="K24" i="13"/>
  <c r="K24" i="19" s="1"/>
  <c r="K12" i="13"/>
  <c r="K23" i="13"/>
  <c r="K23" i="19" s="1"/>
  <c r="K26" i="13"/>
  <c r="K26" i="19" s="1"/>
  <c r="K35" i="19" l="1"/>
  <c r="K43" i="19"/>
  <c r="K26" i="21"/>
  <c r="K26" i="20"/>
  <c r="K19" i="21"/>
  <c r="K19" i="20"/>
  <c r="K23" i="21"/>
  <c r="K23" i="20"/>
  <c r="K24" i="21"/>
  <c r="K24" i="20"/>
  <c r="K25" i="21"/>
  <c r="K25" i="20"/>
  <c r="K18" i="21"/>
  <c r="K18" i="20"/>
  <c r="K44" i="25"/>
  <c r="AL4" i="25"/>
  <c r="AJ4" i="25"/>
  <c r="AH4" i="25"/>
  <c r="K50" i="24"/>
  <c r="K36" i="24"/>
  <c r="AH4" i="23"/>
  <c r="AJ4" i="23"/>
  <c r="AL4" i="23"/>
  <c r="K50" i="23"/>
  <c r="K36" i="23"/>
  <c r="AL4" i="24"/>
  <c r="AJ4" i="24"/>
  <c r="K28" i="24"/>
  <c r="O8" i="13"/>
  <c r="O9" i="13" s="1"/>
  <c r="G10" i="13"/>
  <c r="G11" i="13" s="1"/>
  <c r="O46" i="13"/>
  <c r="O47" i="13" s="1"/>
  <c r="G30" i="13"/>
  <c r="K22" i="13"/>
  <c r="K35" i="13"/>
  <c r="K43" i="13"/>
  <c r="K22" i="20" l="1"/>
  <c r="K22" i="19"/>
  <c r="K35" i="21"/>
  <c r="K42" i="20"/>
  <c r="K34" i="20"/>
  <c r="K35" i="20"/>
  <c r="K43" i="20"/>
  <c r="K43" i="21"/>
  <c r="K42" i="13"/>
  <c r="K22" i="21"/>
  <c r="K34" i="13"/>
  <c r="K42" i="19" l="1"/>
  <c r="K34" i="19"/>
  <c r="K34" i="21"/>
  <c r="K42" i="21"/>
  <c r="O13" i="13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4" i="21" s="1"/>
  <c r="K14" i="19" l="1"/>
  <c r="K14" i="20"/>
  <c r="K15" i="13"/>
  <c r="K15" i="19" s="1"/>
  <c r="Y4" i="13"/>
  <c r="W4" i="13"/>
  <c r="AA4" i="13"/>
  <c r="K15" i="21" l="1"/>
  <c r="K15" i="20"/>
  <c r="AC4" i="13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 l="1"/>
  <c r="AA29" i="13" s="1"/>
  <c r="AB29" i="13" s="1"/>
  <c r="V30" i="13" s="1"/>
  <c r="W30" i="13" s="1"/>
  <c r="Y29" i="13"/>
  <c r="AC29" i="13" l="1"/>
  <c r="X30" i="13" s="1"/>
  <c r="Z30" i="13" s="1"/>
  <c r="AA30" i="13" s="1"/>
  <c r="AB30" i="13" s="1"/>
  <c r="V31" i="13" s="1"/>
  <c r="AD30" i="13" l="1"/>
  <c r="Y30" i="13"/>
  <c r="AC30" i="13" s="1"/>
  <c r="X31" i="13" s="1"/>
  <c r="AD31" i="13" s="1"/>
  <c r="W31" i="13"/>
  <c r="Z31" i="13" l="1"/>
  <c r="AA31" i="13" s="1"/>
  <c r="AB31" i="13" s="1"/>
  <c r="V32" i="13" s="1"/>
  <c r="W32" i="13" s="1"/>
  <c r="Y31" i="13"/>
  <c r="AC31" i="13" l="1"/>
  <c r="X32" i="13" s="1"/>
  <c r="AD32" i="13" s="1"/>
  <c r="Y32" i="13" l="1"/>
  <c r="Z32" i="13"/>
  <c r="AA32" i="13" s="1"/>
  <c r="AB32" i="13" s="1"/>
  <c r="V33" i="13" s="1"/>
  <c r="W33" i="13" s="1"/>
  <c r="AC32" i="13" l="1"/>
  <c r="X33" i="13" s="1"/>
  <c r="Z33" i="13" s="1"/>
  <c r="AA33" i="13" s="1"/>
  <c r="AB33" i="13" s="1"/>
  <c r="V34" i="13" s="1"/>
  <c r="W34" i="13" s="1"/>
  <c r="Y33" i="13" l="1"/>
  <c r="AC33" i="13" s="1"/>
  <c r="X34" i="13" s="1"/>
  <c r="Z34" i="13" s="1"/>
  <c r="O24" i="13" s="1"/>
  <c r="O25" i="13" s="1"/>
  <c r="G19" i="13" s="1"/>
  <c r="G22" i="13" s="1"/>
  <c r="G35" i="13" s="1"/>
  <c r="K4" i="13" s="1"/>
  <c r="K5" i="13" s="1"/>
  <c r="AD33" i="13"/>
  <c r="AA34" i="13" l="1"/>
  <c r="AB34" i="13" s="1"/>
  <c r="Y34" i="13"/>
  <c r="AC34" i="13" s="1"/>
  <c r="AD34" i="13"/>
  <c r="G20" i="13"/>
  <c r="K8" i="13"/>
  <c r="K17" i="13"/>
  <c r="K17" i="19" s="1"/>
  <c r="K16" i="13"/>
  <c r="K16" i="19" s="1"/>
  <c r="K27" i="19" l="1"/>
  <c r="K41" i="19"/>
  <c r="K44" i="19" s="1"/>
  <c r="K33" i="19"/>
  <c r="K36" i="19" s="1"/>
  <c r="K49" i="19"/>
  <c r="K50" i="19" s="1"/>
  <c r="K17" i="21"/>
  <c r="K17" i="20"/>
  <c r="K16" i="21"/>
  <c r="K16" i="20"/>
  <c r="K13" i="13"/>
  <c r="K48" i="13" s="1"/>
  <c r="E12" i="26"/>
  <c r="F4" i="26" s="1"/>
  <c r="K41" i="13"/>
  <c r="K49" i="13"/>
  <c r="K33" i="13"/>
  <c r="K49" i="21" l="1"/>
  <c r="K50" i="21" s="1"/>
  <c r="K41" i="21"/>
  <c r="K44" i="21" s="1"/>
  <c r="K27" i="21"/>
  <c r="AH4" i="21" s="1"/>
  <c r="K33" i="21"/>
  <c r="K36" i="21" s="1"/>
  <c r="K28" i="19"/>
  <c r="AJ4" i="19"/>
  <c r="AL4" i="19"/>
  <c r="AH4" i="19"/>
  <c r="K49" i="20"/>
  <c r="K50" i="20" s="1"/>
  <c r="K33" i="20"/>
  <c r="K36" i="20" s="1"/>
  <c r="K27" i="20"/>
  <c r="K41" i="20"/>
  <c r="K44" i="20" s="1"/>
  <c r="K40" i="13"/>
  <c r="K44" i="13" s="1"/>
  <c r="K32" i="13"/>
  <c r="K36" i="13" s="1"/>
  <c r="K27" i="13"/>
  <c r="AH4" i="13" s="1"/>
  <c r="K50" i="13"/>
  <c r="K28" i="21" l="1"/>
  <c r="AL4" i="21"/>
  <c r="AJ4" i="21"/>
  <c r="AL4" i="13"/>
  <c r="K28" i="13"/>
  <c r="AJ4" i="13"/>
  <c r="AL4" i="20"/>
  <c r="AH4" i="20"/>
  <c r="AJ4" i="20"/>
  <c r="K28" i="20"/>
</calcChain>
</file>

<file path=xl/sharedStrings.xml><?xml version="1.0" encoding="utf-8"?>
<sst xmlns="http://schemas.openxmlformats.org/spreadsheetml/2006/main" count="2159" uniqueCount="166">
  <si>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</si>
  <si>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</si>
  <si>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</si>
  <si>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</si>
  <si>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</si>
  <si>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</si>
  <si>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</si>
  <si>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</si>
  <si>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</si>
  <si>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</si>
  <si>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</si>
  <si>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</si>
  <si>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</si>
  <si>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</si>
  <si>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</si>
  <si>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</si>
  <si>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</si>
  <si>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</si>
  <si>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</si>
  <si>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</si>
  <si>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</si>
  <si>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</si>
  <si>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</si>
  <si>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</si>
  <si>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</si>
  <si>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</si>
  <si>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</si>
  <si>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</si>
  <si>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</si>
  <si>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</si>
  <si>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</si>
  <si>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</si>
  <si>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</si>
  <si>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</si>
  <si>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</si>
  <si>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</si>
  <si>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</si>
  <si>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</si>
  <si>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</si>
  <si>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</si>
  <si>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</si>
  <si>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</si>
  <si>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</si>
  <si>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</si>
  <si>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</si>
  <si>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</si>
  <si>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</si>
  <si>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</si>
  <si>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</si>
  <si>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</si>
  <si>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</si>
  <si>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</si>
  <si>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</si>
  <si>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</si>
  <si>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</si>
  <si>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</si>
  <si>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</si>
  <si>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</si>
  <si>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</si>
  <si>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</si>
  <si>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</si>
  <si>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</si>
  <si>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</si>
  <si>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</si>
  <si>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</si>
  <si>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</si>
  <si>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</si>
  <si>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</si>
  <si>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</si>
  <si>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</si>
  <si>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</si>
  <si>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</si>
  <si>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</si>
  <si>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</si>
  <si>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</si>
  <si>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</si>
  <si>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</si>
  <si>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</si>
  <si>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</si>
  <si>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</si>
  <si>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</si>
  <si>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</si>
  <si>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</si>
  <si>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</si>
  <si>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</si>
  <si>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</si>
  <si>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</si>
  <si>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</si>
  <si>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</si>
  <si>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</si>
  <si>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</si>
  <si>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</si>
  <si>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</si>
  <si>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</si>
  <si>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</si>
  <si>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</si>
  <si>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</si>
  <si>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</si>
  <si>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</si>
  <si>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</si>
  <si>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</si>
  <si>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</si>
  <si>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</si>
  <si>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</si>
  <si>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</si>
  <si>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</si>
  <si>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</si>
  <si>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</si>
  <si>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</si>
  <si>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</si>
  <si>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</si>
  <si>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</si>
  <si>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</si>
  <si>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</si>
  <si>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</si>
  <si>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</si>
  <si>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</si>
  <si>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</si>
  <si>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</si>
  <si>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</si>
  <si>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</si>
  <si>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</si>
  <si>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</si>
  <si>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</si>
  <si>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</si>
  <si>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</si>
  <si>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</si>
  <si>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</si>
  <si>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</si>
  <si>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</si>
  <si>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</si>
  <si>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</si>
  <si>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</si>
  <si>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</si>
  <si>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</si>
  <si>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</si>
  <si>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</si>
  <si>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</si>
  <si>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</si>
  <si>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</si>
  <si>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</si>
  <si>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</si>
  <si>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</si>
  <si>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</si>
  <si>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</si>
  <si>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</si>
  <si>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</si>
  <si>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</si>
  <si>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</si>
  <si>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</si>
  <si>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</si>
  <si>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</si>
  <si>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</si>
  <si>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</si>
  <si>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</si>
  <si>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</si>
  <si>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</si>
  <si>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</si>
  <si>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</si>
  <si>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</si>
  <si>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linear</t>
  </si>
  <si>
    <t>uniform</t>
  </si>
  <si>
    <t>uniform
coeffs</t>
  </si>
  <si>
    <t>linear
coeffs</t>
  </si>
  <si>
    <t>weighted_sum_of_energy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</si>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</sst>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F2-FE4B-B9B4-0EB698CFD2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F2-FE4B-B9B4-0EB698CFD2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F2-FE4B-B9B4-0EB698CFD2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F2-FE4B-B9B4-0EB698CFD2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F2-FE4B-B9B4-0EB698CFD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uniform_250!$K$39:$K$43</c:f>
              <c:numCache>
                <c:formatCode>General</c:formatCode>
                <c:ptCount val="5"/>
                <c:pt idx="0">
                  <c:v>19.89</c:v>
                </c:pt>
                <c:pt idx="1">
                  <c:v>43.4</c:v>
                </c:pt>
                <c:pt idx="2">
                  <c:v>25.29</c:v>
                </c:pt>
                <c:pt idx="3">
                  <c:v>6.51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F2-FE4B-B9B4-0EB698CFD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E2-E949-B52E-31FA0C9EF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E2-E949-B52E-31FA0C9EF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E2-E949-B52E-31FA0C9EF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E2-E949-B52E-31FA0C9EF3A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E2-E949-B52E-31FA0C9EF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1309.6099999999999</c:v>
                </c:pt>
                <c:pt idx="2">
                  <c:v>763.04</c:v>
                </c:pt>
                <c:pt idx="3">
                  <c:v>196.28</c:v>
                </c:pt>
                <c:pt idx="4">
                  <c:v>148.31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E2-E949-B52E-31FA0C9EF3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7-FE41-A57A-A42FAE1A17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7-FE41-A57A-A42FAE1A17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B7-FE41-A57A-A42FAE1A17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B7-FE41-A57A-A42FAE1A171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B7-FE41-A57A-A42FAE1A17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uniform_400!$K$39:$K$43</c:f>
              <c:numCache>
                <c:formatCode>General</c:formatCode>
                <c:ptCount val="5"/>
                <c:pt idx="0">
                  <c:v>24.55</c:v>
                </c:pt>
                <c:pt idx="1">
                  <c:v>30.14</c:v>
                </c:pt>
                <c:pt idx="2">
                  <c:v>31.22</c:v>
                </c:pt>
                <c:pt idx="3">
                  <c:v>8.0299999999999994</c:v>
                </c:pt>
                <c:pt idx="4">
                  <c:v>6.07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B7-FE41-A57A-A42FAE1A17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A7-6C4E-A193-C372EB799B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A7-6C4E-A193-C372EB799B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A7-6C4E-A193-C372EB799B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A7-6C4E-A193-C372EB799B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A7-6C4E-A193-C372EB799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736.83</c:v>
                </c:pt>
                <c:pt idx="2">
                  <c:v>763.04</c:v>
                </c:pt>
                <c:pt idx="3">
                  <c:v>196.28</c:v>
                </c:pt>
                <c:pt idx="4">
                  <c:v>148.31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A7-6C4E-A193-C372EB799B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35-704C-A065-3390A93787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35-704C-A065-3390A93787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35-704C-A065-3390A93787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35-704C-A065-3390A93787A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35-704C-A065-3390A93787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uniform_550!$K$39:$K$43</c:f>
              <c:numCache>
                <c:formatCode>General</c:formatCode>
                <c:ptCount val="5"/>
                <c:pt idx="0">
                  <c:v>27</c:v>
                </c:pt>
                <c:pt idx="1">
                  <c:v>23.14</c:v>
                </c:pt>
                <c:pt idx="2">
                  <c:v>34.340000000000003</c:v>
                </c:pt>
                <c:pt idx="3">
                  <c:v>8.83</c:v>
                </c:pt>
                <c:pt idx="4">
                  <c:v>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35-704C-A065-3390A93787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DB-E945-B5C7-75DC41F09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DB-E945-B5C7-75DC41F090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DB-E945-B5C7-75DC41F090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DB-E945-B5C7-75DC41F0904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DB-E945-B5C7-75DC41F090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514.19000000000005</c:v>
                </c:pt>
                <c:pt idx="2">
                  <c:v>763.04</c:v>
                </c:pt>
                <c:pt idx="3">
                  <c:v>196.28</c:v>
                </c:pt>
                <c:pt idx="4">
                  <c:v>148.31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B-E945-B5C7-75DC41F090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0-5C44-B2FD-9FBF7FA3CB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0-5C44-B2FD-9FBF7FA3CB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0-5C44-B2FD-9FBF7FA3CB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0-5C44-B2FD-9FBF7FA3CB4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0-5C44-B2FD-9FBF7FA3C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uniform_700!$K$39:$K$43</c:f>
              <c:numCache>
                <c:formatCode>General</c:formatCode>
                <c:ptCount val="5"/>
                <c:pt idx="0">
                  <c:v>28.53</c:v>
                </c:pt>
                <c:pt idx="1">
                  <c:v>18.79</c:v>
                </c:pt>
                <c:pt idx="2">
                  <c:v>36.29</c:v>
                </c:pt>
                <c:pt idx="3">
                  <c:v>9.33</c:v>
                </c:pt>
                <c:pt idx="4">
                  <c:v>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90-5C44-B2FD-9FBF7FA3CB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92-2E47-AB32-D545C1FFC6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92-2E47-AB32-D545C1FFC6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92-2E47-AB32-D545C1FFC6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92-2E47-AB32-D545C1FFC6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92-2E47-AB32-D545C1FFC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395.14</c:v>
                </c:pt>
                <c:pt idx="2">
                  <c:v>763.04</c:v>
                </c:pt>
                <c:pt idx="3">
                  <c:v>196.28</c:v>
                </c:pt>
                <c:pt idx="4">
                  <c:v>148.31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2-2E47-AB32-D545C1FFC6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linear_250!$K$39:$K$43</c:f>
              <c:numCache>
                <c:formatCode>General</c:formatCode>
                <c:ptCount val="5"/>
                <c:pt idx="0">
                  <c:v>19.97</c:v>
                </c:pt>
                <c:pt idx="1">
                  <c:v>43.69</c:v>
                </c:pt>
                <c:pt idx="2">
                  <c:v>24.89</c:v>
                </c:pt>
                <c:pt idx="3">
                  <c:v>6.53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1312.76</c:v>
                </c:pt>
                <c:pt idx="2">
                  <c:v>747.7</c:v>
                </c:pt>
                <c:pt idx="3">
                  <c:v>196.29</c:v>
                </c:pt>
                <c:pt idx="4">
                  <c:v>147.63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linear_400!$K$39:$K$43</c:f>
              <c:numCache>
                <c:formatCode>General</c:formatCode>
                <c:ptCount val="5"/>
                <c:pt idx="0">
                  <c:v>24.71</c:v>
                </c:pt>
                <c:pt idx="1">
                  <c:v>30.34</c:v>
                </c:pt>
                <c:pt idx="2">
                  <c:v>30.79</c:v>
                </c:pt>
                <c:pt idx="3">
                  <c:v>8.08</c:v>
                </c:pt>
                <c:pt idx="4">
                  <c:v>6.08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736.87</c:v>
                </c:pt>
                <c:pt idx="2">
                  <c:v>747.7</c:v>
                </c:pt>
                <c:pt idx="3">
                  <c:v>196.29</c:v>
                </c:pt>
                <c:pt idx="4">
                  <c:v>147.63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linear_550!$K$39:$K$43</c:f>
              <c:numCache>
                <c:formatCode>General</c:formatCode>
                <c:ptCount val="5"/>
                <c:pt idx="0">
                  <c:v>27.21</c:v>
                </c:pt>
                <c:pt idx="1">
                  <c:v>23.3</c:v>
                </c:pt>
                <c:pt idx="2">
                  <c:v>33.9</c:v>
                </c:pt>
                <c:pt idx="3">
                  <c:v>8.9</c:v>
                </c:pt>
                <c:pt idx="4">
                  <c:v>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513.83000000000004</c:v>
                </c:pt>
                <c:pt idx="2">
                  <c:v>747.7</c:v>
                </c:pt>
                <c:pt idx="3">
                  <c:v>196.29</c:v>
                </c:pt>
                <c:pt idx="4">
                  <c:v>147.63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F-3A4D-BBD3-2F23F15907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3A4D-BBD3-2F23F15907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F-3A4D-BBD3-2F23F15907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F-3A4D-BBD3-2F23F159073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F-3A4D-BBD3-2F23F15907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linear_700!$K$39:$K$43</c:f>
              <c:numCache>
                <c:formatCode>General</c:formatCode>
                <c:ptCount val="5"/>
                <c:pt idx="0">
                  <c:v>28.76</c:v>
                </c:pt>
                <c:pt idx="1">
                  <c:v>18.920000000000002</c:v>
                </c:pt>
                <c:pt idx="2">
                  <c:v>35.840000000000003</c:v>
                </c:pt>
                <c:pt idx="3">
                  <c:v>9.41</c:v>
                </c:pt>
                <c:pt idx="4">
                  <c:v>7.08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F-3A4D-BBD3-2F23F15907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4-494E-BD7F-F6FE7B71FF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4-494E-BD7F-F6FE7B71FF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4-494E-BD7F-F6FE7B71FF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D4-494E-BD7F-F6FE7B71FF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D4-494E-BD7F-F6FE7B71F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394.71</c:v>
                </c:pt>
                <c:pt idx="2">
                  <c:v>747.7</c:v>
                </c:pt>
                <c:pt idx="3">
                  <c:v>196.29</c:v>
                </c:pt>
                <c:pt idx="4">
                  <c:v>147.63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94E-BD7F-F6FE7B71FF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1F4B7-41F9-F343-8C66-DE24ECDCF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E5DE6-D8D9-4940-ABC3-31A47A6C7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AFF0-ECE8-4348-B104-D28BF959B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36292-9C07-1D4B-BB6A-46072D7B8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C58BF-675E-F14E-87F7-BBB63CE39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EBF69-1962-AE44-AA63-85E96CD84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4E75F-D816-5547-BAA4-8874E30CD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BF315-BBE2-E348-A167-264200A47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2F4A6-32A6-944F-8823-D4F26A0C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C6612-7A71-C042-840A-D8B50650F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0743-77EF-074A-8B11-1BF1065A8D4A}">
  <dimension ref="B3:G15"/>
  <sheetViews>
    <sheetView tabSelected="1" topLeftCell="A2" workbookViewId="0">
      <selection activeCell="F6" sqref="F6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161</v>
      </c>
      <c r="F3" s="2" t="s">
        <v>160</v>
      </c>
    </row>
    <row r="4" spans="2:7" x14ac:dyDescent="0.2">
      <c r="B4" s="27" t="s">
        <v>164</v>
      </c>
      <c r="C4" s="27"/>
      <c r="D4" s="27"/>
      <c r="E4" s="4">
        <f>C7*E7 + C8*E8 + C9*E9 + C10*E10</f>
        <v>200.86093405726984</v>
      </c>
      <c r="F4" s="4">
        <f xml:space="preserve"> C12*E12 + C13*E13 + C14*E14 + C15*E15</f>
        <v>195.20846397639912</v>
      </c>
    </row>
    <row r="6" spans="2:7" x14ac:dyDescent="0.2">
      <c r="D6" s="2"/>
      <c r="E6" s="2"/>
      <c r="F6" s="2"/>
      <c r="G6" s="2"/>
    </row>
    <row r="7" spans="2:7" x14ac:dyDescent="0.2">
      <c r="B7" s="28" t="s">
        <v>162</v>
      </c>
      <c r="C7" s="2">
        <v>0.25</v>
      </c>
      <c r="D7" s="27" t="s">
        <v>165</v>
      </c>
      <c r="E7" s="2">
        <f>uniform_250!K8</f>
        <v>222.63362830925334</v>
      </c>
      <c r="F7" s="2"/>
      <c r="G7" s="2"/>
    </row>
    <row r="8" spans="2:7" x14ac:dyDescent="0.2">
      <c r="B8" s="27"/>
      <c r="C8" s="2">
        <v>0.25</v>
      </c>
      <c r="D8" s="27"/>
      <c r="E8" s="2">
        <f>uniform_400!K8</f>
        <v>200.41763468844576</v>
      </c>
      <c r="F8" s="2"/>
      <c r="G8" s="2"/>
    </row>
    <row r="9" spans="2:7" x14ac:dyDescent="0.2">
      <c r="B9" s="27"/>
      <c r="C9" s="2">
        <v>0.25</v>
      </c>
      <c r="D9" s="27"/>
      <c r="E9" s="2">
        <f>uniform_550!K8</f>
        <v>192.30724466196372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uniform_700!K8</f>
        <v>188.08522856941653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163</v>
      </c>
      <c r="C12" s="2">
        <v>0.1</v>
      </c>
      <c r="D12" s="27" t="s">
        <v>165</v>
      </c>
      <c r="E12" s="2">
        <f>linear_250!K8</f>
        <v>223.16928519336918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linear_400!K8</f>
        <v>200.42932491528768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linear_550!K8</f>
        <v>192.17335966044831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linear_700!K8</f>
        <v>187.88415643967534</v>
      </c>
      <c r="F15" s="2"/>
      <c r="G15" s="2"/>
    </row>
  </sheetData>
  <mergeCells count="5">
    <mergeCell ref="B4:D4"/>
    <mergeCell ref="B7:B10"/>
    <mergeCell ref="B12:B15"/>
    <mergeCell ref="D7:D10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382-40AF-4244-A673-F9A2ECD93E49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540.46402417451475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5.3424634894986466E-2</v>
      </c>
      <c r="X4" s="3">
        <v>1</v>
      </c>
      <c r="Y4" s="2">
        <f t="shared" ref="Y4:Y34" si="1" xml:space="preserve"> $O$20 * TAN($O$17/180*PI()) + $O$21 / (2 * SQRT($O$20^2 + X4^2)) - X4</f>
        <v>-0.95056362573714848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-0.44856731033955338</v>
      </c>
      <c r="AB4" s="2">
        <f>W4*AA4</f>
        <v>-2.3964544780716728E-2</v>
      </c>
      <c r="AC4" s="2">
        <f>Y4*AA4</f>
        <v>0.42639176890352654</v>
      </c>
      <c r="AD4" s="2">
        <f>X4-V4</f>
        <v>1</v>
      </c>
      <c r="AF4" s="2">
        <v>0</v>
      </c>
      <c r="AG4" s="2"/>
      <c r="AH4" s="2">
        <f>K27</f>
        <v>-4.496221331464767E-4</v>
      </c>
      <c r="AI4" s="2"/>
      <c r="AJ4" s="2">
        <f>K27</f>
        <v>-4.496221331464767E-4</v>
      </c>
      <c r="AK4" s="2"/>
      <c r="AL4" s="2">
        <f>K27</f>
        <v>-4.496221331464767E-4</v>
      </c>
      <c r="AM4" s="2"/>
      <c r="AN4" s="2"/>
      <c r="AO4" s="2"/>
    </row>
    <row r="5" spans="2:41" x14ac:dyDescent="0.2">
      <c r="B5" s="10" t="s">
        <v>37</v>
      </c>
      <c r="C5" s="10">
        <v>3017.2292069291698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135.11600604362869</v>
      </c>
      <c r="L5" s="6" t="s">
        <v>101</v>
      </c>
      <c r="N5" s="6" t="s">
        <v>114</v>
      </c>
      <c r="O5" s="6">
        <f xml:space="preserve"> $C$18 * 0.85 * ($C$5/$C$18 *2.20462/1000)^(2/3) * 0.3048^2</f>
        <v>0.44336718401122838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5.3424634894986466E-2</v>
      </c>
      <c r="X5" s="2">
        <f>IF(AC4&gt;0, Z4, X4)</f>
        <v>0.5</v>
      </c>
      <c r="Y5" s="2">
        <f t="shared" si="1"/>
        <v>-0.44856731033955338</v>
      </c>
      <c r="Z5" s="2">
        <f t="shared" ref="Z5:Z34" si="3" xml:space="preserve"> (V5 + X5)/2</f>
        <v>0.25</v>
      </c>
      <c r="AA5" s="2">
        <f t="shared" si="2"/>
        <v>-0.1972592190376562</v>
      </c>
      <c r="AB5" s="2">
        <f t="shared" ref="AB5:AB34" si="4">W5*AA5</f>
        <v>-1.0538501756756946E-2</v>
      </c>
      <c r="AC5" s="2">
        <f t="shared" ref="AC5:AC34" si="5">Y5*AA5</f>
        <v>8.8484037323402265E-2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-1298.3868725091959</v>
      </c>
      <c r="AI5" s="3">
        <v>10000</v>
      </c>
      <c r="AJ5" s="2">
        <f t="dataTable" ref="AJ5:AJ44" dt2D="0" dtr="0" r1="C5" ca="1"/>
        <v>2097.5557538052344</v>
      </c>
      <c r="AK5" s="2">
        <f>(AG5+AI5)/2</f>
        <v>5250</v>
      </c>
      <c r="AL5" s="2">
        <f t="dataTable" ref="AL5:AL44" dt2D="0" dtr="0" r1="C5" ca="1"/>
        <v>922.57480100466501</v>
      </c>
      <c r="AM5" s="2">
        <f>AH5*AL5</f>
        <v>-1197859.0105322408</v>
      </c>
      <c r="AN5" s="2">
        <f>AJ5*AL5</f>
        <v>1935152.0821630543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5.3424634894986466E-2</v>
      </c>
      <c r="X6" s="2">
        <f t="shared" ref="X6:X34" si="8">IF(AC5&gt;0, Z5, X5)</f>
        <v>0.25</v>
      </c>
      <c r="Y6" s="2">
        <f t="shared" si="1"/>
        <v>-0.1972592190376562</v>
      </c>
      <c r="Z6" s="2">
        <f t="shared" si="3"/>
        <v>0.125</v>
      </c>
      <c r="AA6" s="2">
        <f t="shared" si="2"/>
        <v>-7.176477955008187E-2</v>
      </c>
      <c r="AB6" s="2">
        <f t="shared" si="4"/>
        <v>-3.834007145782315E-3</v>
      </c>
      <c r="AC6" s="2">
        <f t="shared" si="5"/>
        <v>1.415626436845871E-2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-1298.3868725091959</v>
      </c>
      <c r="AI6" s="2">
        <f>IF(AN5&gt;0, AK5, AI5)</f>
        <v>5250</v>
      </c>
      <c r="AJ6" s="2">
        <v>922.57480100466501</v>
      </c>
      <c r="AK6" s="2">
        <f t="shared" ref="AK6:AK43" si="9">(AG6+AI6)/2</f>
        <v>2875</v>
      </c>
      <c r="AL6" s="2">
        <v>-66.646252912379168</v>
      </c>
      <c r="AM6" s="2">
        <f t="shared" ref="AM6:AM44" si="10">AH6*AL6</f>
        <v>86532.61988336088</v>
      </c>
      <c r="AN6" s="2">
        <f t="shared" ref="AN6:AN44" si="11">AJ6*AL6</f>
        <v>-61486.153518344785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265.47670474857102</v>
      </c>
      <c r="D7" s="6" t="s">
        <v>125</v>
      </c>
      <c r="F7" t="s">
        <v>121</v>
      </c>
      <c r="G7" s="8">
        <f>$C$6*2*PI()/60*$C$9</f>
        <v>181.48430700343272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1.0736438073463244</v>
      </c>
      <c r="P7" s="6" t="s">
        <v>115</v>
      </c>
      <c r="U7" s="2">
        <v>3</v>
      </c>
      <c r="V7" s="2">
        <f t="shared" si="7"/>
        <v>0</v>
      </c>
      <c r="W7" s="2">
        <f t="shared" si="0"/>
        <v>5.3424634894986466E-2</v>
      </c>
      <c r="X7" s="2">
        <f t="shared" si="8"/>
        <v>0.125</v>
      </c>
      <c r="Y7" s="2">
        <f t="shared" si="1"/>
        <v>-7.176477955008187E-2</v>
      </c>
      <c r="Z7" s="2">
        <f t="shared" si="3"/>
        <v>6.25E-2</v>
      </c>
      <c r="AA7" s="2">
        <f t="shared" si="2"/>
        <v>-9.1240510501707645E-3</v>
      </c>
      <c r="AB7" s="2">
        <f t="shared" si="4"/>
        <v>-4.8744909611859094E-4</v>
      </c>
      <c r="AC7" s="2">
        <f t="shared" si="5"/>
        <v>6.547855122191979E-4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-66.646252912379168</v>
      </c>
      <c r="AI7" s="2">
        <f t="shared" ref="AI7:AI44" si="14">IF(AN6&gt;0, AK6, AI6)</f>
        <v>5250</v>
      </c>
      <c r="AJ7" s="2">
        <v>922.57480100466501</v>
      </c>
      <c r="AK7" s="2">
        <f t="shared" si="9"/>
        <v>4062.5</v>
      </c>
      <c r="AL7" s="2">
        <v>462.51727007954241</v>
      </c>
      <c r="AM7" s="2">
        <f t="shared" si="10"/>
        <v>-30825.042958064365</v>
      </c>
      <c r="AN7" s="2">
        <f t="shared" si="11"/>
        <v>426706.77840485476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0.54350134052527943</v>
      </c>
      <c r="H8" s="6" t="s">
        <v>122</v>
      </c>
      <c r="J8" s="6" t="s">
        <v>96</v>
      </c>
      <c r="K8" s="6">
        <f xml:space="preserve"> $C$15 * (G12*G6 + G22*G15 + G31*G27 +G35*G34)/3600</f>
        <v>222.63362830925334</v>
      </c>
      <c r="L8" s="6" t="s">
        <v>102</v>
      </c>
      <c r="N8" s="6" t="s">
        <v>38</v>
      </c>
      <c r="O8" s="6">
        <f xml:space="preserve"> O4 *O7</f>
        <v>2434.4484517851511</v>
      </c>
      <c r="P8" s="6" t="s">
        <v>20</v>
      </c>
      <c r="U8" s="2">
        <v>4</v>
      </c>
      <c r="V8" s="2">
        <f t="shared" si="7"/>
        <v>0</v>
      </c>
      <c r="W8" s="2">
        <f t="shared" si="0"/>
        <v>5.3424634894986466E-2</v>
      </c>
      <c r="X8" s="2">
        <f t="shared" si="8"/>
        <v>6.25E-2</v>
      </c>
      <c r="Y8" s="2">
        <f t="shared" si="1"/>
        <v>-9.1240510501707645E-3</v>
      </c>
      <c r="Z8" s="2">
        <f t="shared" si="3"/>
        <v>3.125E-2</v>
      </c>
      <c r="AA8" s="2">
        <f t="shared" si="2"/>
        <v>2.2162376853510572E-2</v>
      </c>
      <c r="AB8" s="2">
        <f t="shared" si="4"/>
        <v>1.1840168918039013E-3</v>
      </c>
      <c r="AC8" s="2">
        <f t="shared" si="5"/>
        <v>-2.0221065780455337E-4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-66.646252912379168</v>
      </c>
      <c r="AI8" s="2">
        <f t="shared" si="14"/>
        <v>4062.5</v>
      </c>
      <c r="AJ8" s="2">
        <v>462.51727007954241</v>
      </c>
      <c r="AK8" s="2">
        <f t="shared" si="9"/>
        <v>3468.75</v>
      </c>
      <c r="AL8" s="2">
        <v>206.05412658153045</v>
      </c>
      <c r="AM8" s="2">
        <f t="shared" si="10"/>
        <v>-13732.73543379207</v>
      </c>
      <c r="AN8" s="2">
        <f t="shared" si="11"/>
        <v>95303.592115113934</v>
      </c>
      <c r="AO8" s="2">
        <f t="shared" si="12"/>
        <v>1187.5</v>
      </c>
    </row>
    <row r="9" spans="2:41" x14ac:dyDescent="0.2">
      <c r="B9" s="6" t="s">
        <v>95</v>
      </c>
      <c r="C9" s="17">
        <v>4.3326186829805096</v>
      </c>
      <c r="D9" s="6" t="s">
        <v>8</v>
      </c>
      <c r="F9" t="s">
        <v>19</v>
      </c>
      <c r="G9" s="6">
        <f xml:space="preserve"> $C$5 * $C$44 / $C$18</f>
        <v>7393.3363742927831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2434.4484517851511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2.2162376853510572E-2</v>
      </c>
      <c r="X9" s="2">
        <f t="shared" si="8"/>
        <v>6.25E-2</v>
      </c>
      <c r="Y9" s="2">
        <f t="shared" si="1"/>
        <v>-9.1240510501707645E-3</v>
      </c>
      <c r="Z9" s="2">
        <f t="shared" si="3"/>
        <v>4.6875E-2</v>
      </c>
      <c r="AA9" s="2">
        <f t="shared" si="2"/>
        <v>6.5221358199760576E-3</v>
      </c>
      <c r="AB9" s="2">
        <f t="shared" si="4"/>
        <v>1.4454603193208958E-4</v>
      </c>
      <c r="AC9" s="2">
        <f t="shared" si="5"/>
        <v>-5.9508300177608912E-5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-66.646252912379168</v>
      </c>
      <c r="AI9" s="2">
        <f t="shared" si="14"/>
        <v>3468.75</v>
      </c>
      <c r="AJ9" s="2">
        <v>206.05412658153045</v>
      </c>
      <c r="AK9" s="2">
        <f t="shared" si="9"/>
        <v>3171.875</v>
      </c>
      <c r="AL9" s="2">
        <v>71.552299059399957</v>
      </c>
      <c r="AM9" s="2">
        <f t="shared" si="10"/>
        <v>-4768.6926195749593</v>
      </c>
      <c r="AN9" s="2">
        <f t="shared" si="11"/>
        <v>14743.646487585122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90.077337362419129</v>
      </c>
      <c r="H10" s="6" t="s">
        <v>101</v>
      </c>
      <c r="N10" s="6" t="s">
        <v>113</v>
      </c>
      <c r="O10" s="6">
        <f>O7/(0.3048^2)/($C$5*2.20462/1000)^(2/3)</f>
        <v>3.2673997198694478</v>
      </c>
      <c r="U10" s="2">
        <v>6</v>
      </c>
      <c r="V10" s="2">
        <f t="shared" si="7"/>
        <v>4.6875E-2</v>
      </c>
      <c r="W10" s="2">
        <f t="shared" si="0"/>
        <v>6.5221358199760576E-3</v>
      </c>
      <c r="X10" s="2">
        <f t="shared" si="8"/>
        <v>6.25E-2</v>
      </c>
      <c r="Y10" s="2">
        <f t="shared" si="1"/>
        <v>-9.1240510501707645E-3</v>
      </c>
      <c r="Z10" s="2">
        <f t="shared" si="3"/>
        <v>5.46875E-2</v>
      </c>
      <c r="AA10" s="2">
        <f t="shared" si="2"/>
        <v>-1.3002226702426428E-3</v>
      </c>
      <c r="AB10" s="2">
        <f t="shared" si="4"/>
        <v>-8.4802288515344586E-6</v>
      </c>
      <c r="AC10" s="2">
        <f t="shared" si="5"/>
        <v>1.1863298019883221E-5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-66.646252912379168</v>
      </c>
      <c r="AI10" s="2">
        <f t="shared" si="14"/>
        <v>3171.875</v>
      </c>
      <c r="AJ10" s="2">
        <v>71.552299059399957</v>
      </c>
      <c r="AK10" s="2">
        <f t="shared" si="9"/>
        <v>3023.4375</v>
      </c>
      <c r="AL10" s="2">
        <v>2.8906556132969854</v>
      </c>
      <c r="AM10" s="2">
        <f t="shared" si="10"/>
        <v>-192.6513650863794</v>
      </c>
      <c r="AN10" s="2">
        <f t="shared" si="11"/>
        <v>206.8330549203591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8.3739964326142982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4.6875E-2</v>
      </c>
      <c r="W11" s="2">
        <f t="shared" si="0"/>
        <v>6.5221358199760576E-3</v>
      </c>
      <c r="X11" s="2">
        <f t="shared" si="8"/>
        <v>5.46875E-2</v>
      </c>
      <c r="Y11" s="2">
        <f t="shared" si="1"/>
        <v>-1.3002226702426428E-3</v>
      </c>
      <c r="Z11" s="2">
        <f t="shared" si="3"/>
        <v>5.078125E-2</v>
      </c>
      <c r="AA11" s="2">
        <f t="shared" si="2"/>
        <v>2.6111414434643251E-3</v>
      </c>
      <c r="AB11" s="2">
        <f t="shared" si="4"/>
        <v>1.7030219139442664E-5</v>
      </c>
      <c r="AC11" s="2">
        <f t="shared" si="5"/>
        <v>-3.3950653000024134E-6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-66.646252912379168</v>
      </c>
      <c r="AI11" s="2">
        <f t="shared" si="14"/>
        <v>3023.4375</v>
      </c>
      <c r="AJ11" s="2">
        <v>2.8906556132969854</v>
      </c>
      <c r="AK11" s="2">
        <f t="shared" si="9"/>
        <v>2949.21875</v>
      </c>
      <c r="AL11" s="2">
        <v>-31.771237007694253</v>
      </c>
      <c r="AM11" s="2">
        <f t="shared" si="10"/>
        <v>2117.4338969539322</v>
      </c>
      <c r="AN11" s="2">
        <f t="shared" si="11"/>
        <v>-91.83970459768031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360.30934944967652</v>
      </c>
      <c r="H12" s="25" t="s">
        <v>101</v>
      </c>
      <c r="J12" s="10" t="s">
        <v>79</v>
      </c>
      <c r="K12" s="6">
        <f>C5</f>
        <v>3017.2292069291698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5.078125E-2</v>
      </c>
      <c r="W12" s="2">
        <f t="shared" si="0"/>
        <v>2.6111414434643251E-3</v>
      </c>
      <c r="X12" s="2">
        <f t="shared" si="8"/>
        <v>5.46875E-2</v>
      </c>
      <c r="Y12" s="2">
        <f t="shared" si="1"/>
        <v>-1.3002226702426428E-3</v>
      </c>
      <c r="Z12" s="2">
        <f t="shared" si="3"/>
        <v>5.2734375E-2</v>
      </c>
      <c r="AA12" s="2">
        <f t="shared" si="2"/>
        <v>6.5550546815308641E-4</v>
      </c>
      <c r="AB12" s="2">
        <f t="shared" si="4"/>
        <v>1.7116174943120082E-6</v>
      </c>
      <c r="AC12" s="2">
        <f t="shared" si="5"/>
        <v>-8.523030701606597E-7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-31.771237007694253</v>
      </c>
      <c r="AI12" s="2">
        <f t="shared" si="14"/>
        <v>3023.4375</v>
      </c>
      <c r="AJ12" s="2">
        <v>2.8906556132969854</v>
      </c>
      <c r="AK12" s="2">
        <f t="shared" si="9"/>
        <v>2986.328125</v>
      </c>
      <c r="AL12" s="2">
        <v>-14.413310041472414</v>
      </c>
      <c r="AM12" s="2">
        <f t="shared" si="10"/>
        <v>457.92868939299956</v>
      </c>
      <c r="AN12" s="2">
        <f t="shared" si="11"/>
        <v>-41.663915577572041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1309.6095782897255</v>
      </c>
      <c r="L13" s="6" t="s">
        <v>7</v>
      </c>
      <c r="N13" s="6" t="s">
        <v>74</v>
      </c>
      <c r="O13" s="6">
        <f xml:space="preserve"> SQRT( ($C$5*$C$50)^2 + O9^2)</f>
        <v>29670.557810677812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6.5550546815308641E-4</v>
      </c>
      <c r="X13" s="2">
        <f t="shared" si="8"/>
        <v>5.46875E-2</v>
      </c>
      <c r="Y13" s="2">
        <f t="shared" si="1"/>
        <v>-1.3002226702426428E-3</v>
      </c>
      <c r="Z13" s="2">
        <f t="shared" si="3"/>
        <v>5.37109375E-2</v>
      </c>
      <c r="AA13" s="2">
        <f t="shared" si="2"/>
        <v>-3.223470981340848E-4</v>
      </c>
      <c r="AB13" s="2">
        <f t="shared" si="4"/>
        <v>-2.1130028547017215E-7</v>
      </c>
      <c r="AC13" s="2">
        <f t="shared" si="5"/>
        <v>4.1912300468086695E-7</v>
      </c>
      <c r="AD13" s="2">
        <f t="shared" si="6"/>
        <v>1.953125E-3</v>
      </c>
      <c r="AF13" s="2">
        <v>9</v>
      </c>
      <c r="AG13" s="2">
        <f t="shared" si="13"/>
        <v>2986.328125</v>
      </c>
      <c r="AH13" s="2">
        <v>-14.413310041472414</v>
      </c>
      <c r="AI13" s="2">
        <f t="shared" si="14"/>
        <v>3023.4375</v>
      </c>
      <c r="AJ13" s="2">
        <v>2.8906556132969854</v>
      </c>
      <c r="AK13" s="2">
        <f t="shared" si="9"/>
        <v>3004.8828125</v>
      </c>
      <c r="AL13" s="2">
        <v>-5.7545355982683759</v>
      </c>
      <c r="AM13" s="2">
        <f t="shared" si="10"/>
        <v>82.941905722532042</v>
      </c>
      <c r="AN13" s="2">
        <f t="shared" si="11"/>
        <v>-16.634380629051808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219.32823936115139</v>
      </c>
      <c r="L14" s="6" t="s">
        <v>7</v>
      </c>
      <c r="N14" s="6" t="s">
        <v>75</v>
      </c>
      <c r="O14" s="6">
        <f>$C$5*$C$50/O13</f>
        <v>0.99662827204053661</v>
      </c>
      <c r="U14" s="2">
        <v>10</v>
      </c>
      <c r="V14" s="2">
        <f t="shared" si="7"/>
        <v>5.2734375E-2</v>
      </c>
      <c r="W14" s="2">
        <f t="shared" si="0"/>
        <v>6.5550546815308641E-4</v>
      </c>
      <c r="X14" s="2">
        <f t="shared" si="8"/>
        <v>5.37109375E-2</v>
      </c>
      <c r="Y14" s="2">
        <f t="shared" si="1"/>
        <v>-3.223470981340848E-4</v>
      </c>
      <c r="Z14" s="2">
        <f t="shared" si="3"/>
        <v>5.322265625E-2</v>
      </c>
      <c r="AA14" s="2">
        <f t="shared" si="2"/>
        <v>1.6658206294479366E-4</v>
      </c>
      <c r="AB14" s="2">
        <f t="shared" si="4"/>
        <v>1.0919545315653388E-7</v>
      </c>
      <c r="AC14" s="2">
        <f t="shared" si="5"/>
        <v>-5.3697244591443693E-8</v>
      </c>
      <c r="AD14" s="2">
        <f t="shared" si="6"/>
        <v>9.765625E-4</v>
      </c>
      <c r="AF14" s="2">
        <v>10</v>
      </c>
      <c r="AG14" s="2">
        <f t="shared" si="13"/>
        <v>3004.8828125</v>
      </c>
      <c r="AH14" s="2">
        <v>-5.7545355982683759</v>
      </c>
      <c r="AI14" s="2">
        <f t="shared" si="14"/>
        <v>3023.4375</v>
      </c>
      <c r="AJ14" s="2">
        <v>2.8906556132969854</v>
      </c>
      <c r="AK14" s="2">
        <f t="shared" si="9"/>
        <v>3014.16015625</v>
      </c>
      <c r="AL14" s="2">
        <v>-1.4302400292885977</v>
      </c>
      <c r="AM14" s="2">
        <f t="shared" si="10"/>
        <v>8.2303671626096406</v>
      </c>
      <c r="AN14" s="2">
        <f t="shared" si="11"/>
        <v>-4.13433136902513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401.58932914605032</v>
      </c>
      <c r="L15" s="6" t="s">
        <v>7</v>
      </c>
      <c r="U15" s="2">
        <v>11</v>
      </c>
      <c r="V15" s="2">
        <f t="shared" si="7"/>
        <v>5.322265625E-2</v>
      </c>
      <c r="W15" s="2">
        <f t="shared" si="0"/>
        <v>1.6658206294479366E-4</v>
      </c>
      <c r="X15" s="2">
        <f t="shared" si="8"/>
        <v>5.37109375E-2</v>
      </c>
      <c r="Y15" s="2">
        <f t="shared" si="1"/>
        <v>-3.223470981340848E-4</v>
      </c>
      <c r="Z15" s="2">
        <f t="shared" si="3"/>
        <v>5.3466796875E-2</v>
      </c>
      <c r="AA15" s="2">
        <f t="shared" si="2"/>
        <v>-7.7881798385324996E-5</v>
      </c>
      <c r="AB15" s="2">
        <f t="shared" si="4"/>
        <v>-1.2973710640877939E-8</v>
      </c>
      <c r="AC15" s="2">
        <f t="shared" si="5"/>
        <v>2.5104971706973362E-8</v>
      </c>
      <c r="AD15" s="2">
        <f t="shared" si="6"/>
        <v>4.8828125E-4</v>
      </c>
      <c r="AF15" s="2">
        <v>11</v>
      </c>
      <c r="AG15" s="2">
        <f t="shared" si="13"/>
        <v>3014.16015625</v>
      </c>
      <c r="AH15" s="2">
        <v>-1.4302400292885977</v>
      </c>
      <c r="AI15" s="2">
        <f t="shared" si="14"/>
        <v>3023.4375</v>
      </c>
      <c r="AJ15" s="2">
        <v>2.8906556132969854</v>
      </c>
      <c r="AK15" s="2">
        <f t="shared" si="9"/>
        <v>3018.798828125</v>
      </c>
      <c r="AL15" s="2">
        <v>0.73064331483647038</v>
      </c>
      <c r="AM15" s="2">
        <f t="shared" si="10"/>
        <v>-1.0449953160112315</v>
      </c>
      <c r="AN15" s="2">
        <f t="shared" si="11"/>
        <v>2.1120381993499597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120.44963946712333</v>
      </c>
      <c r="H16" s="6" t="s">
        <v>10</v>
      </c>
      <c r="J16" s="13" t="s">
        <v>53</v>
      </c>
      <c r="K16" s="6">
        <f xml:space="preserve"> $C$54 * 0.2138 * K4</f>
        <v>92.440966694809006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5.322265625E-2</v>
      </c>
      <c r="W16" s="2">
        <f t="shared" si="0"/>
        <v>1.6658206294479366E-4</v>
      </c>
      <c r="X16" s="2">
        <f t="shared" si="8"/>
        <v>5.3466796875E-2</v>
      </c>
      <c r="Y16" s="2">
        <f t="shared" si="1"/>
        <v>-7.7881798385324996E-5</v>
      </c>
      <c r="Z16" s="2">
        <f t="shared" si="3"/>
        <v>5.33447265625E-2</v>
      </c>
      <c r="AA16" s="2">
        <f t="shared" si="2"/>
        <v>4.4350312116470114E-5</v>
      </c>
      <c r="AB16" s="2">
        <f t="shared" si="4"/>
        <v>7.3879664846070694E-9</v>
      </c>
      <c r="AC16" s="2">
        <f t="shared" si="5"/>
        <v>-3.4540820665811617E-9</v>
      </c>
      <c r="AD16" s="2">
        <f t="shared" si="6"/>
        <v>2.44140625E-4</v>
      </c>
      <c r="AF16" s="2">
        <v>12</v>
      </c>
      <c r="AG16" s="2">
        <f t="shared" si="13"/>
        <v>3014.16015625</v>
      </c>
      <c r="AH16" s="2">
        <v>-1.4302400292885977</v>
      </c>
      <c r="AI16" s="2">
        <f t="shared" si="14"/>
        <v>3018.798828125</v>
      </c>
      <c r="AJ16" s="2">
        <v>0.73064331483647038</v>
      </c>
      <c r="AK16" s="2">
        <f t="shared" si="9"/>
        <v>3016.4794921875</v>
      </c>
      <c r="AL16" s="2">
        <v>-0.34968201703168234</v>
      </c>
      <c r="AM16" s="2">
        <f t="shared" si="10"/>
        <v>0.50012921828108925</v>
      </c>
      <c r="AN16" s="2">
        <f t="shared" si="11"/>
        <v>-0.25549282806273149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0.36201311963971544</v>
      </c>
      <c r="H17" s="6" t="s">
        <v>122</v>
      </c>
      <c r="J17" s="13" t="s">
        <v>77</v>
      </c>
      <c r="K17" s="6">
        <f xml:space="preserve"> $C$54 * 0.1149 * K4</f>
        <v>49.6794531021214</v>
      </c>
      <c r="L17" s="6" t="s">
        <v>7</v>
      </c>
      <c r="N17" s="6" t="s">
        <v>25</v>
      </c>
      <c r="O17" s="6">
        <f xml:space="preserve"> ACOS(O14)/PI()*180</f>
        <v>4.7063692330648186</v>
      </c>
      <c r="P17" s="6" t="s">
        <v>40</v>
      </c>
      <c r="U17" s="2">
        <v>13</v>
      </c>
      <c r="V17" s="2">
        <f t="shared" si="7"/>
        <v>5.33447265625E-2</v>
      </c>
      <c r="W17" s="2">
        <f t="shared" si="0"/>
        <v>4.4350312116470114E-5</v>
      </c>
      <c r="X17" s="2">
        <f t="shared" si="8"/>
        <v>5.3466796875E-2</v>
      </c>
      <c r="Y17" s="2">
        <f t="shared" si="1"/>
        <v>-7.7881798385324996E-5</v>
      </c>
      <c r="Z17" s="2">
        <f t="shared" si="3"/>
        <v>5.340576171875E-2</v>
      </c>
      <c r="AA17" s="2">
        <f t="shared" si="2"/>
        <v>-1.6765698179536936E-5</v>
      </c>
      <c r="AB17" s="2">
        <f t="shared" si="4"/>
        <v>-7.4356394711299789E-10</v>
      </c>
      <c r="AC17" s="2">
        <f t="shared" si="5"/>
        <v>1.305742725407906E-9</v>
      </c>
      <c r="AD17" s="2">
        <f t="shared" si="6"/>
        <v>1.220703125E-4</v>
      </c>
      <c r="AF17" s="2">
        <v>13</v>
      </c>
      <c r="AG17" s="2">
        <f t="shared" si="13"/>
        <v>3016.4794921875</v>
      </c>
      <c r="AH17" s="2">
        <v>-0.34968201703168234</v>
      </c>
      <c r="AI17" s="2">
        <f t="shared" si="14"/>
        <v>3018.798828125</v>
      </c>
      <c r="AJ17" s="2">
        <v>0.73064331483647038</v>
      </c>
      <c r="AK17" s="2">
        <f t="shared" si="9"/>
        <v>3017.63916015625</v>
      </c>
      <c r="AL17" s="2">
        <v>0.19050157152742031</v>
      </c>
      <c r="AM17" s="2">
        <f t="shared" si="10"/>
        <v>-6.6614973779413639E-2</v>
      </c>
      <c r="AN17" s="2">
        <f t="shared" si="11"/>
        <v>0.13918869970235134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7417.639452669453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137.93600889298654</v>
      </c>
      <c r="L18" s="6" t="s">
        <v>7</v>
      </c>
      <c r="N18" s="6" t="s">
        <v>19</v>
      </c>
      <c r="O18" s="6">
        <f xml:space="preserve"> O13 / $C$18</f>
        <v>7417.639452669453</v>
      </c>
      <c r="P18" s="6" t="s">
        <v>20</v>
      </c>
      <c r="U18" s="2">
        <v>14</v>
      </c>
      <c r="V18" s="2">
        <f t="shared" si="7"/>
        <v>5.33447265625E-2</v>
      </c>
      <c r="W18" s="2">
        <f t="shared" si="0"/>
        <v>4.4350312116470114E-5</v>
      </c>
      <c r="X18" s="2">
        <f t="shared" si="8"/>
        <v>5.340576171875E-2</v>
      </c>
      <c r="Y18" s="2">
        <f t="shared" si="1"/>
        <v>-1.6765698179536936E-5</v>
      </c>
      <c r="Z18" s="2">
        <f t="shared" si="3"/>
        <v>5.3375244140625E-2</v>
      </c>
      <c r="AA18" s="2">
        <f t="shared" si="2"/>
        <v>1.3792318207722642E-5</v>
      </c>
      <c r="AB18" s="2">
        <f t="shared" si="4"/>
        <v>6.1169361732217284E-10</v>
      </c>
      <c r="AC18" s="2">
        <f t="shared" si="5"/>
        <v>-2.3123784426680966E-10</v>
      </c>
      <c r="AD18" s="2">
        <f t="shared" si="6"/>
        <v>6.103515625E-5</v>
      </c>
      <c r="AF18" s="2">
        <v>14</v>
      </c>
      <c r="AG18" s="2">
        <f t="shared" si="13"/>
        <v>3016.4794921875</v>
      </c>
      <c r="AH18" s="2">
        <v>-0.34968201703168234</v>
      </c>
      <c r="AI18" s="2">
        <f t="shared" si="14"/>
        <v>3017.63916015625</v>
      </c>
      <c r="AJ18" s="2">
        <v>0.19050157152742031</v>
      </c>
      <c r="AK18" s="2">
        <f t="shared" si="9"/>
        <v>3017.059326171875</v>
      </c>
      <c r="AL18" s="2">
        <v>-7.9578806098652421E-2</v>
      </c>
      <c r="AM18" s="2">
        <f t="shared" si="10"/>
        <v>2.7827277429549921E-2</v>
      </c>
      <c r="AN18" s="2">
        <f t="shared" si="11"/>
        <v>-1.5159887622069147E-2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66.004854348517483</v>
      </c>
      <c r="H19" s="6" t="s">
        <v>101</v>
      </c>
      <c r="J19" s="14" t="s">
        <v>61</v>
      </c>
      <c r="K19" s="6">
        <f xml:space="preserve"> $C$55 * C31 * $C$5</f>
        <v>33.792967117606707</v>
      </c>
      <c r="L19" s="6" t="s">
        <v>7</v>
      </c>
      <c r="N19" s="6" t="s">
        <v>26</v>
      </c>
      <c r="O19" s="6">
        <f>$C$7*2*PI()/60</f>
        <v>27.800655511244578</v>
      </c>
      <c r="P19" s="6" t="s">
        <v>27</v>
      </c>
      <c r="U19" s="2">
        <v>15</v>
      </c>
      <c r="V19" s="2">
        <f t="shared" si="7"/>
        <v>5.3375244140625E-2</v>
      </c>
      <c r="W19" s="2">
        <f t="shared" si="0"/>
        <v>1.3792318207722642E-5</v>
      </c>
      <c r="X19" s="2">
        <f t="shared" si="8"/>
        <v>5.340576171875E-2</v>
      </c>
      <c r="Y19" s="2">
        <f t="shared" si="1"/>
        <v>-1.6765698179536936E-5</v>
      </c>
      <c r="Z19" s="2">
        <f t="shared" si="3"/>
        <v>5.33905029296875E-2</v>
      </c>
      <c r="AA19" s="2">
        <f t="shared" si="2"/>
        <v>-1.4866871761581857E-6</v>
      </c>
      <c r="AB19" s="2">
        <f t="shared" si="4"/>
        <v>-2.0504862608914305E-11</v>
      </c>
      <c r="AC19" s="2">
        <f t="shared" si="5"/>
        <v>2.4925348482856202E-11</v>
      </c>
      <c r="AD19" s="2">
        <f t="shared" si="6"/>
        <v>3.0517578125E-5</v>
      </c>
      <c r="AF19" s="2">
        <v>15</v>
      </c>
      <c r="AG19" s="2">
        <f t="shared" si="13"/>
        <v>3017.059326171875</v>
      </c>
      <c r="AH19" s="2">
        <v>-7.9578806098652421E-2</v>
      </c>
      <c r="AI19" s="2">
        <f t="shared" si="14"/>
        <v>3017.63916015625</v>
      </c>
      <c r="AJ19" s="2">
        <v>0.19050157152742031</v>
      </c>
      <c r="AK19" s="2">
        <f t="shared" si="9"/>
        <v>3017.3492431640625</v>
      </c>
      <c r="AL19" s="2">
        <v>5.5466304858782678E-2</v>
      </c>
      <c r="AM19" s="2">
        <f t="shared" si="10"/>
        <v>-4.4139423193658095E-3</v>
      </c>
      <c r="AN19" s="2">
        <f t="shared" si="11"/>
        <v>1.0566418242417089E-2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11.466720631587679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0.55483690698959209</v>
      </c>
      <c r="U20" s="2">
        <v>16</v>
      </c>
      <c r="V20" s="2">
        <f t="shared" si="7"/>
        <v>5.3375244140625E-2</v>
      </c>
      <c r="W20" s="2">
        <f t="shared" si="0"/>
        <v>1.3792318207722642E-5</v>
      </c>
      <c r="X20" s="2">
        <f t="shared" si="8"/>
        <v>5.33905029296875E-2</v>
      </c>
      <c r="Y20" s="2">
        <f t="shared" si="1"/>
        <v>-1.4866871761581857E-6</v>
      </c>
      <c r="Z20" s="2">
        <f t="shared" si="3"/>
        <v>5.338287353515625E-2</v>
      </c>
      <c r="AA20" s="2">
        <f t="shared" si="2"/>
        <v>6.152816218227275E-6</v>
      </c>
      <c r="AB20" s="2">
        <f t="shared" si="4"/>
        <v>8.4861599155427215E-11</v>
      </c>
      <c r="AC20" s="2">
        <f t="shared" si="5"/>
        <v>-9.147312968896594E-12</v>
      </c>
      <c r="AD20" s="2">
        <f t="shared" si="6"/>
        <v>1.52587890625E-5</v>
      </c>
      <c r="AF20" s="2">
        <v>16</v>
      </c>
      <c r="AG20" s="2">
        <f t="shared" si="13"/>
        <v>3017.059326171875</v>
      </c>
      <c r="AH20" s="2">
        <v>-7.9578806098652421E-2</v>
      </c>
      <c r="AI20" s="2">
        <f t="shared" si="14"/>
        <v>3017.3492431640625</v>
      </c>
      <c r="AJ20" s="2">
        <v>5.5466304858782678E-2</v>
      </c>
      <c r="AK20" s="2">
        <f t="shared" si="9"/>
        <v>3017.2042846679688</v>
      </c>
      <c r="AL20" s="2">
        <v>-1.2065350284956367E-2</v>
      </c>
      <c r="AM20" s="2">
        <f t="shared" si="10"/>
        <v>9.6014617083886339E-4</v>
      </c>
      <c r="AN20" s="2">
        <f t="shared" si="11"/>
        <v>-6.6922039713339029E-4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0.13999949817093985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8.5962459729830177E-3</v>
      </c>
      <c r="U21" s="2">
        <v>17</v>
      </c>
      <c r="V21" s="2">
        <f t="shared" si="7"/>
        <v>5.338287353515625E-2</v>
      </c>
      <c r="W21" s="2">
        <f t="shared" si="0"/>
        <v>6.152816218227275E-6</v>
      </c>
      <c r="X21" s="2">
        <f t="shared" si="8"/>
        <v>5.33905029296875E-2</v>
      </c>
      <c r="Y21" s="2">
        <f t="shared" si="1"/>
        <v>-1.4866871761581857E-6</v>
      </c>
      <c r="Z21" s="2">
        <f t="shared" si="3"/>
        <v>5.3386688232421875E-2</v>
      </c>
      <c r="AA21" s="2">
        <f t="shared" si="2"/>
        <v>2.3330646966440716E-6</v>
      </c>
      <c r="AB21" s="2">
        <f t="shared" si="4"/>
        <v>1.4354918303685141E-11</v>
      </c>
      <c r="AC21" s="2">
        <f t="shared" si="5"/>
        <v>-3.4685373656481288E-12</v>
      </c>
      <c r="AD21" s="2">
        <f t="shared" si="6"/>
        <v>7.62939453125E-6</v>
      </c>
      <c r="AF21" s="2">
        <v>17</v>
      </c>
      <c r="AG21" s="2">
        <f t="shared" si="13"/>
        <v>3017.2042846679688</v>
      </c>
      <c r="AH21" s="2">
        <v>-1.2065350284956367E-2</v>
      </c>
      <c r="AI21" s="2">
        <f t="shared" si="14"/>
        <v>3017.3492431640625</v>
      </c>
      <c r="AJ21" s="2">
        <v>5.5466304858782678E-2</v>
      </c>
      <c r="AK21" s="2">
        <f t="shared" si="9"/>
        <v>3017.2767639160156</v>
      </c>
      <c r="AL21" s="2">
        <v>2.1692004138458287E-2</v>
      </c>
      <c r="AM21" s="2">
        <f t="shared" si="10"/>
        <v>-2.6172162831322238E-4</v>
      </c>
      <c r="AN21" s="2">
        <f t="shared" si="11"/>
        <v>1.2031753145417029E-3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264.01941739406993</v>
      </c>
      <c r="H22" s="25" t="s">
        <v>101</v>
      </c>
      <c r="J22" s="14" t="s">
        <v>112</v>
      </c>
      <c r="K22" s="6">
        <f>$C$55*(0.14*$G$12*1000/745.7)*0.453592</f>
        <v>24.546795098276387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5.3386688232421875E-2</v>
      </c>
      <c r="W22" s="2">
        <f t="shared" si="0"/>
        <v>2.3330646966440716E-6</v>
      </c>
      <c r="X22" s="2">
        <f t="shared" si="8"/>
        <v>5.33905029296875E-2</v>
      </c>
      <c r="Y22" s="2">
        <f t="shared" si="1"/>
        <v>-1.4866871761581857E-6</v>
      </c>
      <c r="Z22" s="2">
        <f t="shared" si="3"/>
        <v>5.3388595581054688E-2</v>
      </c>
      <c r="AA22" s="2">
        <f t="shared" si="2"/>
        <v>4.2318880414532467E-7</v>
      </c>
      <c r="AB22" s="2">
        <f t="shared" si="4"/>
        <v>9.873268589664793E-13</v>
      </c>
      <c r="AC22" s="2">
        <f t="shared" si="5"/>
        <v>-6.2914936821657224E-13</v>
      </c>
      <c r="AD22" s="2">
        <f t="shared" si="6"/>
        <v>3.814697265625E-6</v>
      </c>
      <c r="AF22" s="2">
        <v>18</v>
      </c>
      <c r="AG22" s="2">
        <f t="shared" si="13"/>
        <v>3017.2042846679688</v>
      </c>
      <c r="AH22" s="2">
        <v>-1.2065350284956367E-2</v>
      </c>
      <c r="AI22" s="2">
        <f t="shared" si="14"/>
        <v>3017.2767639160156</v>
      </c>
      <c r="AJ22" s="2">
        <v>2.1692004138458287E-2</v>
      </c>
      <c r="AK22" s="2">
        <f t="shared" si="9"/>
        <v>3017.2405242919922</v>
      </c>
      <c r="AL22" s="2">
        <v>4.8132747165254841E-3</v>
      </c>
      <c r="AM22" s="2">
        <f t="shared" si="10"/>
        <v>-5.8073845472604021E-5</v>
      </c>
      <c r="AN22" s="2">
        <f t="shared" si="11"/>
        <v>1.0440957507040744E-4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64.689394196561395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17262.929486541114</v>
      </c>
      <c r="P23" s="6" t="s">
        <v>18</v>
      </c>
      <c r="U23" s="2">
        <v>19</v>
      </c>
      <c r="V23" s="2">
        <f t="shared" si="7"/>
        <v>5.3388595581054688E-2</v>
      </c>
      <c r="W23" s="2">
        <f t="shared" si="0"/>
        <v>4.2318880414532467E-7</v>
      </c>
      <c r="X23" s="2">
        <f t="shared" si="8"/>
        <v>5.33905029296875E-2</v>
      </c>
      <c r="Y23" s="2">
        <f t="shared" si="1"/>
        <v>-1.4866871761581857E-6</v>
      </c>
      <c r="Z23" s="2">
        <f t="shared" si="3"/>
        <v>5.3389549255371094E-2</v>
      </c>
      <c r="AA23" s="2">
        <f t="shared" si="2"/>
        <v>-5.317491750325698E-7</v>
      </c>
      <c r="AB23" s="2">
        <f t="shared" si="4"/>
        <v>-2.2503029748729616E-13</v>
      </c>
      <c r="AC23" s="2">
        <f t="shared" si="5"/>
        <v>7.90544679453616E-13</v>
      </c>
      <c r="AD23" s="2">
        <f t="shared" si="6"/>
        <v>1.9073486328125E-6</v>
      </c>
      <c r="AF23" s="2">
        <v>19</v>
      </c>
      <c r="AG23" s="2">
        <f t="shared" si="13"/>
        <v>3017.2042846679688</v>
      </c>
      <c r="AH23" s="2">
        <v>-1.2065350284956367E-2</v>
      </c>
      <c r="AI23" s="2">
        <f t="shared" si="14"/>
        <v>3017.2405242919922</v>
      </c>
      <c r="AJ23" s="2">
        <v>4.8132747165254841E-3</v>
      </c>
      <c r="AK23" s="2">
        <f t="shared" si="9"/>
        <v>3017.2224044799805</v>
      </c>
      <c r="AL23" s="2">
        <v>-3.6177868760205456E-3</v>
      </c>
      <c r="AM23" s="2">
        <f t="shared" si="10"/>
        <v>4.3649865915505893E-5</v>
      </c>
      <c r="AN23" s="2">
        <f t="shared" si="11"/>
        <v>-1.7413402100127409E-5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8.9049202019502118</v>
      </c>
      <c r="L24" s="6" t="s">
        <v>7</v>
      </c>
      <c r="N24" s="6" t="s">
        <v>31</v>
      </c>
      <c r="O24" s="18">
        <f>Z34</f>
        <v>5.3389017935842276E-2</v>
      </c>
      <c r="U24" s="2">
        <v>20</v>
      </c>
      <c r="V24" s="2">
        <f t="shared" si="7"/>
        <v>5.3388595581054688E-2</v>
      </c>
      <c r="W24" s="2">
        <f t="shared" si="0"/>
        <v>4.2318880414532467E-7</v>
      </c>
      <c r="X24" s="2">
        <f t="shared" si="8"/>
        <v>5.3389549255371094E-2</v>
      </c>
      <c r="Y24" s="2">
        <f t="shared" si="1"/>
        <v>-5.317491750325698E-7</v>
      </c>
      <c r="Z24" s="2">
        <f t="shared" si="3"/>
        <v>5.3389072418212891E-2</v>
      </c>
      <c r="AA24" s="2">
        <f t="shared" si="2"/>
        <v>-5.4280182695820578E-8</v>
      </c>
      <c r="AB24" s="2">
        <f t="shared" si="4"/>
        <v>-2.2970765603834056E-14</v>
      </c>
      <c r="AC24" s="2">
        <f t="shared" si="5"/>
        <v>2.8863442369119764E-14</v>
      </c>
      <c r="AD24" s="2">
        <f t="shared" si="6"/>
        <v>9.5367431640625E-7</v>
      </c>
      <c r="AF24" s="2">
        <v>20</v>
      </c>
      <c r="AG24" s="2">
        <f t="shared" si="13"/>
        <v>3017.2224044799805</v>
      </c>
      <c r="AH24" s="2">
        <v>-3.6177868760205456E-3</v>
      </c>
      <c r="AI24" s="2">
        <f t="shared" si="14"/>
        <v>3017.2405242919922</v>
      </c>
      <c r="AJ24" s="2">
        <v>4.8132747165254841E-3</v>
      </c>
      <c r="AK24" s="2">
        <f t="shared" si="9"/>
        <v>3017.2314643859863</v>
      </c>
      <c r="AL24" s="2">
        <v>5.9774066949103144E-4</v>
      </c>
      <c r="AM24" s="2">
        <f t="shared" si="10"/>
        <v>-2.1624983493483879E-6</v>
      </c>
      <c r="AN24" s="2">
        <f t="shared" si="11"/>
        <v>2.8770900515001975E-6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19.310266924346688</v>
      </c>
      <c r="L25" s="6" t="s">
        <v>7</v>
      </c>
      <c r="N25" s="6" t="s">
        <v>32</v>
      </c>
      <c r="O25" s="6">
        <f xml:space="preserve"> O19 * $C$9 * O24 - $C$8 * SIN(O17/180*PI())</f>
        <v>0.92879020772734489</v>
      </c>
      <c r="P25" s="6" t="s">
        <v>10</v>
      </c>
      <c r="U25" s="2">
        <v>21</v>
      </c>
      <c r="V25" s="2">
        <f t="shared" si="7"/>
        <v>5.3388595581054688E-2</v>
      </c>
      <c r="W25" s="2">
        <f t="shared" si="0"/>
        <v>4.2318880414532467E-7</v>
      </c>
      <c r="X25" s="2">
        <f t="shared" si="8"/>
        <v>5.3389072418212891E-2</v>
      </c>
      <c r="Y25" s="2">
        <f t="shared" si="1"/>
        <v>-5.4280182695820578E-8</v>
      </c>
      <c r="Z25" s="2">
        <f t="shared" si="3"/>
        <v>5.3388833999633789E-2</v>
      </c>
      <c r="AA25" s="2">
        <f t="shared" si="2"/>
        <v>1.844543114082331E-7</v>
      </c>
      <c r="AB25" s="2">
        <f t="shared" si="4"/>
        <v>7.8058999464299479E-14</v>
      </c>
      <c r="AC25" s="2">
        <f t="shared" si="5"/>
        <v>-1.0012213722270675E-14</v>
      </c>
      <c r="AD25" s="2">
        <f t="shared" si="6"/>
        <v>4.76837158203125E-7</v>
      </c>
      <c r="AF25" s="2">
        <v>21</v>
      </c>
      <c r="AG25" s="2">
        <f t="shared" si="13"/>
        <v>3017.2224044799805</v>
      </c>
      <c r="AH25" s="2">
        <v>-3.6177868760205456E-3</v>
      </c>
      <c r="AI25" s="2">
        <f t="shared" si="14"/>
        <v>3017.2314643859863</v>
      </c>
      <c r="AJ25" s="2">
        <v>5.9774066949103144E-4</v>
      </c>
      <c r="AK25" s="2">
        <f t="shared" si="9"/>
        <v>3017.2269344329834</v>
      </c>
      <c r="AL25" s="2">
        <v>-1.5182878883024387E-3</v>
      </c>
      <c r="AM25" s="2">
        <f t="shared" si="10"/>
        <v>5.4928419963215105E-6</v>
      </c>
      <c r="AN25" s="2">
        <f t="shared" si="11"/>
        <v>-9.0754241883402403E-7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55.401737525717024</v>
      </c>
      <c r="L26" s="6" t="s">
        <v>7</v>
      </c>
      <c r="N26" s="6" t="s">
        <v>33</v>
      </c>
      <c r="O26" s="6">
        <f xml:space="preserve"> 1/$C$21 - O23 * SQRT( (2*$C$47*PI()*$C$9^2) / O18^3 )</f>
        <v>1.0386172389611068</v>
      </c>
      <c r="U26" s="2">
        <v>22</v>
      </c>
      <c r="V26" s="2">
        <f t="shared" si="7"/>
        <v>5.3388833999633789E-2</v>
      </c>
      <c r="W26" s="2">
        <f t="shared" si="0"/>
        <v>1.844543114082331E-7</v>
      </c>
      <c r="X26" s="2">
        <f t="shared" si="8"/>
        <v>5.3389072418212891E-2</v>
      </c>
      <c r="Y26" s="2">
        <f t="shared" si="1"/>
        <v>-5.4280182695820578E-8</v>
      </c>
      <c r="Z26" s="2">
        <f t="shared" si="3"/>
        <v>5.338895320892334E-2</v>
      </c>
      <c r="AA26" s="2">
        <f t="shared" si="2"/>
        <v>6.5087064529678607E-8</v>
      </c>
      <c r="AB26" s="2">
        <f t="shared" si="4"/>
        <v>1.2005589669405101E-14</v>
      </c>
      <c r="AC26" s="2">
        <f t="shared" si="5"/>
        <v>-3.5329377538056178E-15</v>
      </c>
      <c r="AD26" s="2">
        <f t="shared" si="6"/>
        <v>2.384185791015625E-7</v>
      </c>
      <c r="AF26" s="2">
        <v>22</v>
      </c>
      <c r="AG26" s="2">
        <f t="shared" si="13"/>
        <v>3017.2269344329834</v>
      </c>
      <c r="AH26" s="2">
        <v>-1.5182878883024387E-3</v>
      </c>
      <c r="AI26" s="2">
        <f t="shared" si="14"/>
        <v>3017.2314643859863</v>
      </c>
      <c r="AJ26" s="2">
        <v>5.9774066949103144E-4</v>
      </c>
      <c r="AK26" s="2">
        <f t="shared" si="9"/>
        <v>3017.2291994094849</v>
      </c>
      <c r="AL26" s="2">
        <v>-4.5200983413451468E-4</v>
      </c>
      <c r="AM26" s="2">
        <f t="shared" si="10"/>
        <v>6.8628105656002779E-7</v>
      </c>
      <c r="AN26" s="2">
        <f t="shared" si="11"/>
        <v>-2.7018466087209487E-7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-4.496221331464767E-4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5.338895320892334E-2</v>
      </c>
      <c r="W27" s="2">
        <f t="shared" si="0"/>
        <v>6.5087064529678607E-8</v>
      </c>
      <c r="X27" s="2">
        <f t="shared" si="8"/>
        <v>5.3389072418212891E-2</v>
      </c>
      <c r="Y27" s="2">
        <f t="shared" si="1"/>
        <v>-5.4280182695820578E-8</v>
      </c>
      <c r="Z27" s="2">
        <f t="shared" si="3"/>
        <v>5.3389012813568115E-2</v>
      </c>
      <c r="AA27" s="2">
        <f t="shared" si="2"/>
        <v>5.4034409585623777E-9</v>
      </c>
      <c r="AB27" s="2">
        <f t="shared" si="4"/>
        <v>3.516941103522579E-16</v>
      </c>
      <c r="AC27" s="2">
        <f t="shared" si="5"/>
        <v>-2.9329976241684572E-16</v>
      </c>
      <c r="AD27" s="2">
        <f t="shared" si="6"/>
        <v>1.1920928955078125E-7</v>
      </c>
      <c r="AF27" s="2">
        <v>23</v>
      </c>
      <c r="AG27" s="2">
        <f t="shared" si="13"/>
        <v>3017.2291994094849</v>
      </c>
      <c r="AH27" s="2">
        <v>-4.5200983413451468E-4</v>
      </c>
      <c r="AI27" s="2">
        <f t="shared" si="14"/>
        <v>3017.2314643859863</v>
      </c>
      <c r="AJ27" s="2">
        <v>5.9774066949103144E-4</v>
      </c>
      <c r="AK27" s="2">
        <f t="shared" si="9"/>
        <v>3017.2303318977356</v>
      </c>
      <c r="AL27" s="2">
        <v>7.2865368110797135E-5</v>
      </c>
      <c r="AM27" s="2">
        <f t="shared" si="10"/>
        <v>-3.293586295391177E-8</v>
      </c>
      <c r="AN27" s="2">
        <f t="shared" si="11"/>
        <v>4.3554593917258333E-8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7393.3363742927831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1.151159093555703</v>
      </c>
      <c r="U28" s="2">
        <v>24</v>
      </c>
      <c r="V28" s="2">
        <f t="shared" si="7"/>
        <v>5.3389012813568115E-2</v>
      </c>
      <c r="W28" s="2">
        <f t="shared" si="0"/>
        <v>5.4034409585623777E-9</v>
      </c>
      <c r="X28" s="2">
        <f t="shared" si="8"/>
        <v>5.3389072418212891E-2</v>
      </c>
      <c r="Y28" s="2">
        <f t="shared" si="1"/>
        <v>-5.4280182695820578E-8</v>
      </c>
      <c r="Z28" s="2">
        <f t="shared" si="3"/>
        <v>5.3389042615890503E-2</v>
      </c>
      <c r="AA28" s="2">
        <f t="shared" si="2"/>
        <v>-2.4438370861690206E-8</v>
      </c>
      <c r="AB28" s="2">
        <f t="shared" si="4"/>
        <v>-1.3205129407459421E-16</v>
      </c>
      <c r="AC28" s="2">
        <f t="shared" si="5"/>
        <v>1.3265192351607626E-15</v>
      </c>
      <c r="AD28" s="2">
        <f t="shared" si="6"/>
        <v>5.9604644775390625E-8</v>
      </c>
      <c r="AF28" s="2">
        <v>24</v>
      </c>
      <c r="AG28" s="2">
        <f t="shared" si="13"/>
        <v>3017.2291994094849</v>
      </c>
      <c r="AH28" s="2">
        <v>-4.5200983413451468E-4</v>
      </c>
      <c r="AI28" s="2">
        <f t="shared" si="14"/>
        <v>3017.2303318977356</v>
      </c>
      <c r="AJ28" s="2">
        <v>7.2865368110797135E-5</v>
      </c>
      <c r="AK28" s="2">
        <f t="shared" si="9"/>
        <v>3017.2297656536102</v>
      </c>
      <c r="AL28" s="2">
        <v>-1.8957224619953195E-4</v>
      </c>
      <c r="AM28" s="2">
        <f t="shared" si="10"/>
        <v>8.5688519561157815E-8</v>
      </c>
      <c r="AN28" s="2">
        <f t="shared" si="11"/>
        <v>-1.3813251502919559E-8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76.54084757375783</v>
      </c>
      <c r="H29" t="s">
        <v>18</v>
      </c>
      <c r="U29" s="2">
        <v>25</v>
      </c>
      <c r="V29" s="2">
        <f t="shared" si="7"/>
        <v>5.3389012813568115E-2</v>
      </c>
      <c r="W29" s="2">
        <f t="shared" si="0"/>
        <v>5.4034409585623777E-9</v>
      </c>
      <c r="X29" s="2">
        <f t="shared" si="8"/>
        <v>5.3389042615890503E-2</v>
      </c>
      <c r="Y29" s="2">
        <f t="shared" si="1"/>
        <v>-2.4438370861690206E-8</v>
      </c>
      <c r="Z29" s="2">
        <f t="shared" si="3"/>
        <v>5.3389027714729309E-2</v>
      </c>
      <c r="AA29" s="2">
        <f t="shared" si="2"/>
        <v>-9.5174649480944673E-9</v>
      </c>
      <c r="AB29" s="2">
        <f t="shared" si="4"/>
        <v>-5.1427059922215397E-17</v>
      </c>
      <c r="AC29" s="2">
        <f t="shared" si="5"/>
        <v>2.325913380646697E-16</v>
      </c>
      <c r="AD29" s="2">
        <f t="shared" si="6"/>
        <v>2.9802322387695312E-8</v>
      </c>
      <c r="AF29" s="2">
        <v>25</v>
      </c>
      <c r="AG29" s="2">
        <f t="shared" si="13"/>
        <v>3017.2297656536102</v>
      </c>
      <c r="AH29" s="2">
        <v>-1.8957224619953195E-4</v>
      </c>
      <c r="AI29" s="2">
        <f t="shared" si="14"/>
        <v>3017.2303318977356</v>
      </c>
      <c r="AJ29" s="2">
        <v>7.2865368110797135E-5</v>
      </c>
      <c r="AK29" s="2">
        <f t="shared" si="9"/>
        <v>3017.2300487756729</v>
      </c>
      <c r="AL29" s="2">
        <v>-6.6617424181458773E-5</v>
      </c>
      <c r="AM29" s="2">
        <f t="shared" si="10"/>
        <v>1.2628814738106155E-8</v>
      </c>
      <c r="AN29" s="2">
        <f t="shared" si="11"/>
        <v>-4.8541031355751122E-9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9.8549640570077521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5.3389012813568115E-2</v>
      </c>
      <c r="W30" s="2">
        <f t="shared" si="0"/>
        <v>5.4034409585623777E-9</v>
      </c>
      <c r="X30" s="2">
        <f t="shared" si="8"/>
        <v>5.3389027714729309E-2</v>
      </c>
      <c r="Y30" s="2">
        <f t="shared" si="1"/>
        <v>-9.5174649480944673E-9</v>
      </c>
      <c r="Z30" s="2">
        <f t="shared" si="3"/>
        <v>5.3389020264148712E-2</v>
      </c>
      <c r="AA30" s="2">
        <f t="shared" si="2"/>
        <v>-2.0570119912965978E-9</v>
      </c>
      <c r="AB30" s="2">
        <f t="shared" si="4"/>
        <v>-1.1114942846025995E-17</v>
      </c>
      <c r="AC30" s="2">
        <f t="shared" si="5"/>
        <v>1.9577539524975371E-17</v>
      </c>
      <c r="AD30" s="2">
        <f t="shared" si="6"/>
        <v>1.4901161193847656E-8</v>
      </c>
      <c r="AF30" s="2">
        <v>26</v>
      </c>
      <c r="AG30" s="2">
        <f t="shared" si="13"/>
        <v>3017.2300487756729</v>
      </c>
      <c r="AH30" s="2">
        <v>-6.6617424181458773E-5</v>
      </c>
      <c r="AI30" s="2">
        <f t="shared" si="14"/>
        <v>3017.2303318977356</v>
      </c>
      <c r="AJ30" s="2">
        <v>7.2865368110797135E-5</v>
      </c>
      <c r="AK30" s="2">
        <f t="shared" si="9"/>
        <v>3017.2301903367043</v>
      </c>
      <c r="AL30" s="2">
        <v>1.1387952326913364E-5</v>
      </c>
      <c r="AM30" s="2">
        <f t="shared" si="10"/>
        <v>-7.5863605072021805E-10</v>
      </c>
      <c r="AN30" s="2">
        <f t="shared" si="11"/>
        <v>8.2978733832875108E-10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306.16339029503132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5.3389012813568115E-2</v>
      </c>
      <c r="W31" s="2">
        <f t="shared" si="0"/>
        <v>5.4034409585623777E-9</v>
      </c>
      <c r="X31" s="2">
        <f t="shared" si="8"/>
        <v>5.3389020264148712E-2</v>
      </c>
      <c r="Y31" s="2">
        <f t="shared" si="1"/>
        <v>-2.0570119912965978E-9</v>
      </c>
      <c r="Z31" s="2">
        <f t="shared" si="3"/>
        <v>5.3389016538858414E-2</v>
      </c>
      <c r="AA31" s="2">
        <f t="shared" si="2"/>
        <v>1.6732144836328899E-9</v>
      </c>
      <c r="AB31" s="2">
        <f t="shared" si="4"/>
        <v>9.041115673321757E-18</v>
      </c>
      <c r="AC31" s="2">
        <f t="shared" si="5"/>
        <v>-3.4418222568439996E-18</v>
      </c>
      <c r="AD31" s="2">
        <f t="shared" si="6"/>
        <v>7.4505805969238281E-9</v>
      </c>
      <c r="AF31" s="2">
        <v>27</v>
      </c>
      <c r="AG31" s="2">
        <f t="shared" si="13"/>
        <v>3017.2300487756729</v>
      </c>
      <c r="AH31" s="2">
        <v>-6.6617424181458773E-5</v>
      </c>
      <c r="AI31" s="2">
        <f t="shared" si="14"/>
        <v>3017.2301903367043</v>
      </c>
      <c r="AJ31" s="2">
        <v>1.1387952326913364E-5</v>
      </c>
      <c r="AK31" s="2">
        <f t="shared" si="9"/>
        <v>3017.2301195561886</v>
      </c>
      <c r="AL31" s="2">
        <v>3.3862678264995338E-5</v>
      </c>
      <c r="AM31" s="2">
        <f t="shared" si="10"/>
        <v>-2.2558444018994587E-9</v>
      </c>
      <c r="AN31" s="2">
        <f t="shared" si="11"/>
        <v>3.8562656574337227E-10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1309.6099999999999</v>
      </c>
      <c r="L32" s="6" t="s">
        <v>7</v>
      </c>
      <c r="U32" s="2">
        <v>28</v>
      </c>
      <c r="V32" s="2">
        <f t="shared" si="7"/>
        <v>5.3389016538858414E-2</v>
      </c>
      <c r="W32" s="2">
        <f t="shared" si="0"/>
        <v>1.6732144836328899E-9</v>
      </c>
      <c r="X32" s="2">
        <f t="shared" si="8"/>
        <v>5.3389020264148712E-2</v>
      </c>
      <c r="Y32" s="2">
        <f t="shared" si="1"/>
        <v>-2.0570119912965978E-9</v>
      </c>
      <c r="Z32" s="2">
        <f t="shared" si="3"/>
        <v>5.3389018401503563E-2</v>
      </c>
      <c r="AA32" s="2">
        <f t="shared" si="2"/>
        <v>-1.9189875383185395E-10</v>
      </c>
      <c r="AB32" s="2">
        <f t="shared" si="4"/>
        <v>-3.2108777430256057E-19</v>
      </c>
      <c r="AC32" s="2">
        <f t="shared" si="5"/>
        <v>3.9473803774699753E-19</v>
      </c>
      <c r="AD32" s="2">
        <f t="shared" si="6"/>
        <v>3.7252902984619141E-9</v>
      </c>
      <c r="AF32" s="2">
        <v>28</v>
      </c>
      <c r="AG32" s="2">
        <f t="shared" si="13"/>
        <v>3017.2300487756729</v>
      </c>
      <c r="AH32" s="2">
        <v>-2.7614735699899029E-5</v>
      </c>
      <c r="AI32" s="2">
        <f t="shared" si="14"/>
        <v>3017.2301195561886</v>
      </c>
      <c r="AJ32" s="2">
        <v>-2.7614735699899029E-5</v>
      </c>
      <c r="AK32" s="2">
        <f t="shared" si="9"/>
        <v>3017.2300841659307</v>
      </c>
      <c r="AL32" s="2">
        <v>3.3862678264995338E-5</v>
      </c>
      <c r="AM32" s="2">
        <f t="shared" si="10"/>
        <v>-9.3510891037856168E-10</v>
      </c>
      <c r="AN32" s="2">
        <f t="shared" si="11"/>
        <v>-9.3510891037856168E-10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763.04</v>
      </c>
      <c r="L33" s="6" t="s">
        <v>7</v>
      </c>
      <c r="U33" s="2">
        <v>29</v>
      </c>
      <c r="V33" s="2">
        <f t="shared" si="7"/>
        <v>5.3389016538858414E-2</v>
      </c>
      <c r="W33" s="2">
        <f t="shared" si="0"/>
        <v>1.6732144836328899E-9</v>
      </c>
      <c r="X33" s="2">
        <f t="shared" si="8"/>
        <v>5.3389018401503563E-2</v>
      </c>
      <c r="Y33" s="2">
        <f t="shared" si="1"/>
        <v>-1.9189875383185395E-10</v>
      </c>
      <c r="Z33" s="2">
        <f t="shared" si="3"/>
        <v>5.3389017470180988E-2</v>
      </c>
      <c r="AA33" s="2">
        <f t="shared" si="2"/>
        <v>7.4065786143107104E-10</v>
      </c>
      <c r="AB33" s="2">
        <f t="shared" si="4"/>
        <v>1.2392794611630301E-18</v>
      </c>
      <c r="AC33" s="2">
        <f t="shared" si="5"/>
        <v>-1.421313206243885E-19</v>
      </c>
      <c r="AD33" s="2">
        <f t="shared" si="6"/>
        <v>1.862645149230957E-9</v>
      </c>
      <c r="AF33" s="2">
        <v>29</v>
      </c>
      <c r="AG33" s="2">
        <f t="shared" si="13"/>
        <v>3017.2300487756729</v>
      </c>
      <c r="AH33" s="2">
        <v>-2.7614735699899029E-5</v>
      </c>
      <c r="AI33" s="2">
        <f t="shared" si="14"/>
        <v>3017.2301195561886</v>
      </c>
      <c r="AJ33" s="2">
        <v>-2.7614735699899029E-5</v>
      </c>
      <c r="AK33" s="2">
        <f t="shared" si="9"/>
        <v>3017.2300841659307</v>
      </c>
      <c r="AL33" s="2">
        <v>3.3862678264995338E-5</v>
      </c>
      <c r="AM33" s="2">
        <f t="shared" si="10"/>
        <v>-9.3510891037856168E-10</v>
      </c>
      <c r="AN33" s="2">
        <f t="shared" si="11"/>
        <v>-9.3510891037856168E-10</v>
      </c>
      <c r="AO33" s="2">
        <f t="shared" si="12"/>
        <v>7.0780515670776367E-5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196.28</v>
      </c>
      <c r="L34" s="6" t="s">
        <v>7</v>
      </c>
      <c r="U34" s="2">
        <v>30</v>
      </c>
      <c r="V34" s="2">
        <f t="shared" si="7"/>
        <v>5.3389017470180988E-2</v>
      </c>
      <c r="W34" s="2">
        <f t="shared" si="0"/>
        <v>7.4065786143107104E-10</v>
      </c>
      <c r="X34" s="2">
        <f t="shared" si="8"/>
        <v>5.3389018401503563E-2</v>
      </c>
      <c r="Y34" s="2">
        <f t="shared" si="1"/>
        <v>-1.9189875383185395E-10</v>
      </c>
      <c r="Z34" s="2">
        <f t="shared" si="3"/>
        <v>5.3389017935842276E-2</v>
      </c>
      <c r="AA34" s="2">
        <f t="shared" si="2"/>
        <v>2.7437955379960854E-10</v>
      </c>
      <c r="AB34" s="2">
        <f t="shared" si="4"/>
        <v>2.0322137353762957E-19</v>
      </c>
      <c r="AC34" s="2">
        <f t="shared" si="5"/>
        <v>-5.2653094451085008E-20</v>
      </c>
      <c r="AD34" s="2">
        <f>X34-V34</f>
        <v>9.3132257461547852E-10</v>
      </c>
      <c r="AF34" s="2">
        <v>30</v>
      </c>
      <c r="AG34" s="2">
        <f t="shared" si="13"/>
        <v>3017.2300487756729</v>
      </c>
      <c r="AH34" s="2">
        <v>-2.7614735699899029E-5</v>
      </c>
      <c r="AI34" s="2">
        <f t="shared" si="14"/>
        <v>3017.2301195561886</v>
      </c>
      <c r="AJ34" s="2">
        <v>-2.7614735699899029E-5</v>
      </c>
      <c r="AK34" s="2">
        <f t="shared" si="9"/>
        <v>3017.2300841659307</v>
      </c>
      <c r="AL34" s="2">
        <v>3.3862678264995338E-5</v>
      </c>
      <c r="AM34" s="2">
        <f t="shared" si="10"/>
        <v>-9.3510891037856168E-10</v>
      </c>
      <c r="AN34" s="2">
        <f t="shared" si="11"/>
        <v>-9.3510891037856168E-10</v>
      </c>
      <c r="AO34" s="2">
        <f t="shared" si="12"/>
        <v>7.0780515670776367E-5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264.01941739406993</v>
      </c>
      <c r="H35" s="25" t="s">
        <v>101</v>
      </c>
      <c r="J35" s="15" t="s">
        <v>70</v>
      </c>
      <c r="K35" s="6">
        <f>ROUND(SUM(K23:K26),2)</f>
        <v>148.31</v>
      </c>
      <c r="L35" s="6" t="s">
        <v>7</v>
      </c>
      <c r="AF35" s="2">
        <v>31</v>
      </c>
      <c r="AG35" s="2">
        <f t="shared" si="13"/>
        <v>3017.2300487756729</v>
      </c>
      <c r="AH35" s="2">
        <v>-2.7614735699899029E-5</v>
      </c>
      <c r="AI35" s="2">
        <f t="shared" si="14"/>
        <v>3017.2301195561886</v>
      </c>
      <c r="AJ35" s="2">
        <v>-2.7614735699899029E-5</v>
      </c>
      <c r="AK35" s="2">
        <f t="shared" si="9"/>
        <v>3017.2300841659307</v>
      </c>
      <c r="AL35" s="2">
        <v>3.3862678264995338E-5</v>
      </c>
      <c r="AM35" s="2">
        <f t="shared" si="10"/>
        <v>-9.3510891037856168E-10</v>
      </c>
      <c r="AN35" s="2">
        <f t="shared" si="11"/>
        <v>-9.3510891037856168E-10</v>
      </c>
      <c r="AO35" s="2">
        <f t="shared" si="12"/>
        <v>7.0780515670776367E-5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3017.24</v>
      </c>
      <c r="L36" s="6" t="s">
        <v>7</v>
      </c>
      <c r="AF36" s="2">
        <v>32</v>
      </c>
      <c r="AG36" s="2">
        <f t="shared" si="13"/>
        <v>3017.2300487756729</v>
      </c>
      <c r="AH36" s="2">
        <v>-2.7614735699899029E-5</v>
      </c>
      <c r="AI36" s="2">
        <f t="shared" si="14"/>
        <v>3017.2301195561886</v>
      </c>
      <c r="AJ36" s="2">
        <v>-2.7614735699899029E-5</v>
      </c>
      <c r="AK36" s="2">
        <f t="shared" si="9"/>
        <v>3017.2300841659307</v>
      </c>
      <c r="AL36" s="2">
        <v>3.3862678264995338E-5</v>
      </c>
      <c r="AM36" s="2">
        <f t="shared" si="10"/>
        <v>-9.3510891037856168E-10</v>
      </c>
      <c r="AN36" s="2">
        <f t="shared" si="11"/>
        <v>-9.3510891037856168E-10</v>
      </c>
      <c r="AO36" s="2">
        <f t="shared" si="12"/>
        <v>7.0780515670776367E-5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3017.2300487756729</v>
      </c>
      <c r="AH37" s="2">
        <v>-2.7614735699899029E-5</v>
      </c>
      <c r="AI37" s="2">
        <f t="shared" si="14"/>
        <v>3017.2301195561886</v>
      </c>
      <c r="AJ37" s="2">
        <v>-2.7614735699899029E-5</v>
      </c>
      <c r="AK37" s="2">
        <f t="shared" si="9"/>
        <v>3017.2300841659307</v>
      </c>
      <c r="AL37" s="2">
        <v>3.3862678264995338E-5</v>
      </c>
      <c r="AM37" s="2">
        <f t="shared" si="10"/>
        <v>-9.3510891037856168E-10</v>
      </c>
      <c r="AN37" s="2">
        <f t="shared" si="11"/>
        <v>-9.3510891037856168E-10</v>
      </c>
      <c r="AO37" s="2">
        <f t="shared" si="12"/>
        <v>7.0780515670776367E-5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3017.2300487756729</v>
      </c>
      <c r="AH38" s="2">
        <v>-2.7614735699899029E-5</v>
      </c>
      <c r="AI38" s="2">
        <f t="shared" si="14"/>
        <v>3017.2301195561886</v>
      </c>
      <c r="AJ38" s="2">
        <v>-2.7614735699899029E-5</v>
      </c>
      <c r="AK38" s="2">
        <f t="shared" si="9"/>
        <v>3017.2300841659307</v>
      </c>
      <c r="AL38" s="2">
        <v>3.3862678264995338E-5</v>
      </c>
      <c r="AM38" s="2">
        <f t="shared" si="10"/>
        <v>-9.3510891037856168E-10</v>
      </c>
      <c r="AN38" s="2">
        <f t="shared" si="11"/>
        <v>-9.3510891037856168E-10</v>
      </c>
      <c r="AO38" s="2">
        <f t="shared" si="12"/>
        <v>7.0780515670776367E-5</v>
      </c>
    </row>
    <row r="39" spans="2:41" x14ac:dyDescent="0.2">
      <c r="J39" s="6" t="s">
        <v>57</v>
      </c>
      <c r="K39" s="6">
        <f>ROUND($C$13/$C$5 * 100, 2)</f>
        <v>19.89</v>
      </c>
      <c r="L39" s="6" t="s">
        <v>58</v>
      </c>
      <c r="AF39" s="2">
        <v>35</v>
      </c>
      <c r="AG39" s="2">
        <f t="shared" si="13"/>
        <v>3017.2300487756729</v>
      </c>
      <c r="AH39" s="2">
        <v>-2.7614735699899029E-5</v>
      </c>
      <c r="AI39" s="2">
        <f t="shared" si="14"/>
        <v>3017.2301195561886</v>
      </c>
      <c r="AJ39" s="2">
        <v>-2.7614735699899029E-5</v>
      </c>
      <c r="AK39" s="2">
        <f t="shared" si="9"/>
        <v>3017.2300841659307</v>
      </c>
      <c r="AL39" s="2">
        <v>3.3862678264995338E-5</v>
      </c>
      <c r="AM39" s="2">
        <f t="shared" si="10"/>
        <v>-9.3510891037856168E-10</v>
      </c>
      <c r="AN39" s="2">
        <f t="shared" si="11"/>
        <v>-9.3510891037856168E-10</v>
      </c>
      <c r="AO39" s="2">
        <f t="shared" si="12"/>
        <v>7.0780515670776367E-5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43.4</v>
      </c>
      <c r="L40" s="6" t="s">
        <v>58</v>
      </c>
      <c r="AF40" s="2">
        <v>36</v>
      </c>
      <c r="AG40" s="2">
        <f t="shared" si="13"/>
        <v>3017.2300487756729</v>
      </c>
      <c r="AH40" s="2">
        <v>-2.7614735699899029E-5</v>
      </c>
      <c r="AI40" s="2">
        <f t="shared" si="14"/>
        <v>3017.2301195561886</v>
      </c>
      <c r="AJ40" s="2">
        <v>-2.7614735699899029E-5</v>
      </c>
      <c r="AK40" s="2">
        <f t="shared" si="9"/>
        <v>3017.2300841659307</v>
      </c>
      <c r="AL40" s="2">
        <v>3.3862678264995338E-5</v>
      </c>
      <c r="AM40" s="2">
        <f t="shared" si="10"/>
        <v>-9.3510891037856168E-10</v>
      </c>
      <c r="AN40" s="2">
        <f t="shared" si="11"/>
        <v>-9.3510891037856168E-10</v>
      </c>
      <c r="AO40" s="2">
        <f t="shared" si="12"/>
        <v>7.0780515670776367E-5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25.29</v>
      </c>
      <c r="L41" s="6" t="s">
        <v>58</v>
      </c>
      <c r="AF41" s="2">
        <v>37</v>
      </c>
      <c r="AG41" s="2">
        <f t="shared" si="13"/>
        <v>3017.2300487756729</v>
      </c>
      <c r="AH41" s="2">
        <v>-2.7614735699899029E-5</v>
      </c>
      <c r="AI41" s="2">
        <f t="shared" si="14"/>
        <v>3017.2301195561886</v>
      </c>
      <c r="AJ41" s="2">
        <v>-2.7614735699899029E-5</v>
      </c>
      <c r="AK41" s="2">
        <f t="shared" si="9"/>
        <v>3017.2300841659307</v>
      </c>
      <c r="AL41" s="2">
        <v>3.3862678264995338E-5</v>
      </c>
      <c r="AM41" s="2">
        <f t="shared" si="10"/>
        <v>-9.3510891037856168E-10</v>
      </c>
      <c r="AN41" s="2">
        <f t="shared" si="11"/>
        <v>-9.3510891037856168E-10</v>
      </c>
      <c r="AO41" s="2">
        <f t="shared" si="12"/>
        <v>7.0780515670776367E-5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6.51</v>
      </c>
      <c r="L42" s="6" t="s">
        <v>58</v>
      </c>
      <c r="AF42" s="2">
        <v>38</v>
      </c>
      <c r="AG42" s="2">
        <f t="shared" si="13"/>
        <v>3017.2300487756729</v>
      </c>
      <c r="AH42" s="2">
        <v>-2.7614735699899029E-5</v>
      </c>
      <c r="AI42" s="2">
        <f t="shared" si="14"/>
        <v>3017.2301195561886</v>
      </c>
      <c r="AJ42" s="2">
        <v>-2.7614735699899029E-5</v>
      </c>
      <c r="AK42" s="2">
        <f t="shared" si="9"/>
        <v>3017.2300841659307</v>
      </c>
      <c r="AL42" s="2">
        <v>3.3862678264995338E-5</v>
      </c>
      <c r="AM42" s="2">
        <f t="shared" si="10"/>
        <v>-9.3510891037856168E-10</v>
      </c>
      <c r="AN42" s="2">
        <f t="shared" si="11"/>
        <v>-9.3510891037856168E-10</v>
      </c>
      <c r="AO42" s="2">
        <f t="shared" si="12"/>
        <v>7.0780515670776367E-5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3017.2300487756729</v>
      </c>
      <c r="AH43" s="2">
        <v>-2.7614735699899029E-5</v>
      </c>
      <c r="AI43" s="2">
        <f t="shared" si="14"/>
        <v>3017.2301195561886</v>
      </c>
      <c r="AJ43" s="2">
        <v>-2.7614735699899029E-5</v>
      </c>
      <c r="AK43" s="2">
        <f t="shared" si="9"/>
        <v>3017.2300841659307</v>
      </c>
      <c r="AL43" s="2">
        <v>3.3862678264995338E-5</v>
      </c>
      <c r="AM43" s="2">
        <f t="shared" si="10"/>
        <v>-9.3510891037856168E-10</v>
      </c>
      <c r="AN43" s="2">
        <f t="shared" si="11"/>
        <v>-9.3510891037856168E-10</v>
      </c>
      <c r="AO43" s="2">
        <f t="shared" si="12"/>
        <v>7.0780515670776367E-5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3017.2300487756729</v>
      </c>
      <c r="AH44" s="2">
        <v>-2.7614735699899029E-5</v>
      </c>
      <c r="AI44" s="2">
        <f t="shared" si="14"/>
        <v>3017.2301195561886</v>
      </c>
      <c r="AJ44" s="2">
        <v>-2.7614735699899029E-5</v>
      </c>
      <c r="AK44" s="5">
        <f>(AG44+AI44)/2</f>
        <v>3017.2300841659307</v>
      </c>
      <c r="AL44" s="2">
        <v>3.3862678264995338E-5</v>
      </c>
      <c r="AM44" s="2">
        <f t="shared" si="10"/>
        <v>-9.3510891037856168E-10</v>
      </c>
      <c r="AN44" s="2">
        <f t="shared" si="11"/>
        <v>-9.3510891037856168E-10</v>
      </c>
      <c r="AO44" s="2">
        <f t="shared" si="12"/>
        <v>7.0780515670776367E-5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2867.2507003570549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19.89</v>
      </c>
      <c r="L47" s="6" t="s">
        <v>58</v>
      </c>
      <c r="N47" s="6" t="s">
        <v>154</v>
      </c>
      <c r="O47" s="6">
        <f>0.377*O46^0.6945</f>
        <v>94.962306894911933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43.4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36.71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CEE-80A2-D348-8290-F5D3DEF324D6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401.23220317690749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5.9558771033130849E-2</v>
      </c>
      <c r="X4" s="3">
        <v>1</v>
      </c>
      <c r="Y4" s="2">
        <f t="shared" ref="Y4:Y34" si="1" xml:space="preserve"> $O$20 * TAN($O$17/180*PI()) + $O$21 / (2 * SQRT($O$20^2 + X4^2)) - X4</f>
        <v>-0.94368312372885066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-0.44206153573766427</v>
      </c>
      <c r="AB4" s="2">
        <f>W4*AA4</f>
        <v>-2.6328641789553735E-2</v>
      </c>
      <c r="AC4" s="2">
        <f>Y4*AA4</f>
        <v>0.41716601092529199</v>
      </c>
      <c r="AD4" s="2">
        <f>X4-V4</f>
        <v>1</v>
      </c>
      <c r="AF4" s="2">
        <v>0</v>
      </c>
      <c r="AG4" s="2"/>
      <c r="AH4" s="2">
        <f>K27</f>
        <v>6.4721096578068682E-5</v>
      </c>
      <c r="AI4" s="2"/>
      <c r="AJ4" s="2">
        <f>K27</f>
        <v>6.4721096578068682E-5</v>
      </c>
      <c r="AK4" s="2"/>
      <c r="AL4" s="2">
        <f>K27</f>
        <v>6.4721096578068682E-5</v>
      </c>
      <c r="AM4" s="2"/>
      <c r="AN4" s="2"/>
      <c r="AO4" s="2"/>
    </row>
    <row r="5" spans="2:41" x14ac:dyDescent="0.2">
      <c r="B5" s="10" t="s">
        <v>37</v>
      </c>
      <c r="C5" s="10">
        <v>2444.4496822784299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100.30805079422687</v>
      </c>
      <c r="L5" s="6" t="s">
        <v>101</v>
      </c>
      <c r="N5" s="6" t="s">
        <v>114</v>
      </c>
      <c r="O5" s="6">
        <f xml:space="preserve"> $C$18 * 0.85 * ($C$5/$C$18 *2.20462/1000)^(2/3) * 0.3048^2</f>
        <v>0.38531159489070826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5.9558771033130849E-2</v>
      </c>
      <c r="X5" s="2">
        <f>IF(AC4&gt;0, Z4, X4)</f>
        <v>0.5</v>
      </c>
      <c r="Y5" s="2">
        <f t="shared" si="1"/>
        <v>-0.44206153573766427</v>
      </c>
      <c r="Z5" s="2">
        <f t="shared" ref="Z5:Z34" si="3" xml:space="preserve"> (V5 + X5)/2</f>
        <v>0.25</v>
      </c>
      <c r="AA5" s="2">
        <f t="shared" si="2"/>
        <v>-0.1909978005836874</v>
      </c>
      <c r="AB5" s="2">
        <f t="shared" ref="AB5:AB34" si="4">W5*AA5</f>
        <v>-1.1375594272795423E-2</v>
      </c>
      <c r="AC5" s="2">
        <f t="shared" ref="AC5:AC34" si="5">Y5*AA5</f>
        <v>8.4432781048541003E-2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-1706.0619117901158</v>
      </c>
      <c r="AI5" s="3">
        <v>10000</v>
      </c>
      <c r="AJ5" s="2">
        <f t="dataTable" ref="AJ5:AJ44" dt2D="0" dtr="0" r1="C5"/>
        <v>5776.9608336396986</v>
      </c>
      <c r="AK5" s="2">
        <f>(AG5+AI5)/2</f>
        <v>5250</v>
      </c>
      <c r="AL5" s="2">
        <f t="dataTable" ref="AL5:AL44" dt2D="0" dtr="0" r1="C5" ca="1"/>
        <v>2322.3757323205714</v>
      </c>
      <c r="AM5" s="2">
        <f>AH5*AL5</f>
        <v>-3962116.7817778043</v>
      </c>
      <c r="AN5" s="2">
        <f>AJ5*AL5</f>
        <v>13416273.646611253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5.9558771033130849E-2</v>
      </c>
      <c r="X6" s="2">
        <f t="shared" ref="X6:X34" si="8">IF(AC5&gt;0, Z5, X5)</f>
        <v>0.25</v>
      </c>
      <c r="Y6" s="2">
        <f t="shared" si="1"/>
        <v>-0.1909978005836874</v>
      </c>
      <c r="Z6" s="2">
        <f t="shared" si="3"/>
        <v>0.125</v>
      </c>
      <c r="AA6" s="2">
        <f t="shared" si="2"/>
        <v>-6.5595423377520279E-2</v>
      </c>
      <c r="AB6" s="2">
        <f t="shared" si="4"/>
        <v>-3.9067828017630086E-3</v>
      </c>
      <c r="AC6" s="2">
        <f t="shared" si="5"/>
        <v>1.2528581593462165E-2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-1706.0619117901158</v>
      </c>
      <c r="AI6" s="2">
        <f>IF(AN5&gt;0, AK5, AI5)</f>
        <v>5250</v>
      </c>
      <c r="AJ6" s="2">
        <v>2322.3757323205714</v>
      </c>
      <c r="AK6" s="2">
        <f t="shared" ref="AK6:AK43" si="9">(AG6+AI6)/2</f>
        <v>2875</v>
      </c>
      <c r="AL6" s="2">
        <v>369.84795166461458</v>
      </c>
      <c r="AM6" s="2">
        <f t="shared" ref="AM6:AM44" si="10">AH6*AL6</f>
        <v>-630983.50348859071</v>
      </c>
      <c r="AN6" s="2">
        <f t="shared" ref="AN6:AN44" si="11">AJ6*AL6</f>
        <v>858925.90759437263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265.47670474857102</v>
      </c>
      <c r="D7" s="6" t="s">
        <v>125</v>
      </c>
      <c r="F7" t="s">
        <v>121</v>
      </c>
      <c r="G7" s="8">
        <f>$C$6*2*PI()/60*$C$9</f>
        <v>181.48430700343272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1.0155882182258043</v>
      </c>
      <c r="P7" s="6" t="s">
        <v>115</v>
      </c>
      <c r="U7" s="2">
        <v>3</v>
      </c>
      <c r="V7" s="2">
        <f t="shared" si="7"/>
        <v>0</v>
      </c>
      <c r="W7" s="2">
        <f t="shared" si="0"/>
        <v>5.9558771033130849E-2</v>
      </c>
      <c r="X7" s="2">
        <f t="shared" si="8"/>
        <v>0.125</v>
      </c>
      <c r="Y7" s="2">
        <f t="shared" si="1"/>
        <v>-6.5595423377520279E-2</v>
      </c>
      <c r="Z7" s="2">
        <f t="shared" si="3"/>
        <v>6.25E-2</v>
      </c>
      <c r="AA7" s="2">
        <f t="shared" si="2"/>
        <v>-2.9808647808052605E-3</v>
      </c>
      <c r="AB7" s="2">
        <f t="shared" si="4"/>
        <v>-1.7753664296070429E-4</v>
      </c>
      <c r="AC7" s="2">
        <f t="shared" si="5"/>
        <v>1.9553108732806024E-4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-1706.0619117901158</v>
      </c>
      <c r="AI7" s="2">
        <f t="shared" ref="AI7:AI44" si="14">IF(AN6&gt;0, AK6, AI6)</f>
        <v>2875</v>
      </c>
      <c r="AJ7" s="2">
        <v>369.84795166461458</v>
      </c>
      <c r="AK7" s="2">
        <f t="shared" si="9"/>
        <v>1687.5</v>
      </c>
      <c r="AL7" s="2">
        <v>-659.64533702910671</v>
      </c>
      <c r="AM7" s="2">
        <f t="shared" si="10"/>
        <v>1125395.7847953131</v>
      </c>
      <c r="AN7" s="2">
        <f t="shared" si="11"/>
        <v>-243968.47672532947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0.54350134052527943</v>
      </c>
      <c r="H8" s="6" t="s">
        <v>122</v>
      </c>
      <c r="J8" s="6" t="s">
        <v>96</v>
      </c>
      <c r="K8" s="6">
        <f xml:space="preserve"> $C$15 * (G12*G6 + G22*G15 + G31*G27 +G35*G34)/3600</f>
        <v>200.41763468844576</v>
      </c>
      <c r="L8" s="6" t="s">
        <v>102</v>
      </c>
      <c r="N8" s="6" t="s">
        <v>38</v>
      </c>
      <c r="O8" s="6">
        <f xml:space="preserve"> O4 *O7</f>
        <v>2302.8095059030411</v>
      </c>
      <c r="P8" s="6" t="s">
        <v>20</v>
      </c>
      <c r="U8" s="2">
        <v>4</v>
      </c>
      <c r="V8" s="2">
        <f t="shared" si="7"/>
        <v>0</v>
      </c>
      <c r="W8" s="2">
        <f t="shared" si="0"/>
        <v>5.9558771033130849E-2</v>
      </c>
      <c r="X8" s="2">
        <f t="shared" si="8"/>
        <v>6.25E-2</v>
      </c>
      <c r="Y8" s="2">
        <f t="shared" si="1"/>
        <v>-2.9808647808052605E-3</v>
      </c>
      <c r="Z8" s="2">
        <f t="shared" si="3"/>
        <v>3.125E-2</v>
      </c>
      <c r="AA8" s="2">
        <f t="shared" si="2"/>
        <v>2.8298791442353519E-2</v>
      </c>
      <c r="AB8" s="2">
        <f t="shared" si="4"/>
        <v>1.6854412400294559E-3</v>
      </c>
      <c r="AC8" s="2">
        <f t="shared" si="5"/>
        <v>-8.4354870749864898E-5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-659.64533702910671</v>
      </c>
      <c r="AI8" s="2">
        <f t="shared" si="14"/>
        <v>2875</v>
      </c>
      <c r="AJ8" s="2">
        <v>369.84795166461458</v>
      </c>
      <c r="AK8" s="2">
        <f t="shared" si="9"/>
        <v>2281.25</v>
      </c>
      <c r="AL8" s="2">
        <v>-141.24048969522505</v>
      </c>
      <c r="AM8" s="2">
        <f t="shared" si="10"/>
        <v>93168.630427162803</v>
      </c>
      <c r="AN8" s="2">
        <f t="shared" si="11"/>
        <v>-52237.505805886089</v>
      </c>
      <c r="AO8" s="2">
        <f t="shared" si="12"/>
        <v>1187.5</v>
      </c>
    </row>
    <row r="9" spans="2:41" x14ac:dyDescent="0.2">
      <c r="B9" s="6" t="s">
        <v>95</v>
      </c>
      <c r="C9" s="17">
        <v>4.3326186829805096</v>
      </c>
      <c r="D9" s="6" t="s">
        <v>8</v>
      </c>
      <c r="F9" t="s">
        <v>19</v>
      </c>
      <c r="G9" s="6">
        <f xml:space="preserve"> $C$5 * $C$44 / $C$18</f>
        <v>5989.8130077798269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2302.8095059030411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2.8298791442353519E-2</v>
      </c>
      <c r="X9" s="2">
        <f t="shared" si="8"/>
        <v>6.25E-2</v>
      </c>
      <c r="Y9" s="2">
        <f t="shared" si="1"/>
        <v>-2.9808647808052605E-3</v>
      </c>
      <c r="Z9" s="2">
        <f t="shared" si="3"/>
        <v>4.6875E-2</v>
      </c>
      <c r="AA9" s="2">
        <f t="shared" si="2"/>
        <v>1.2661383481342305E-2</v>
      </c>
      <c r="AB9" s="2">
        <f t="shared" si="4"/>
        <v>3.5830185051016582E-4</v>
      </c>
      <c r="AC9" s="2">
        <f t="shared" si="5"/>
        <v>-3.7741872095802776E-5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-141.24048969522505</v>
      </c>
      <c r="AI9" s="2">
        <f t="shared" si="14"/>
        <v>2875</v>
      </c>
      <c r="AJ9" s="2">
        <v>369.84795166461458</v>
      </c>
      <c r="AK9" s="2">
        <f t="shared" si="9"/>
        <v>2578.125</v>
      </c>
      <c r="AL9" s="2">
        <v>115.26542649291491</v>
      </c>
      <c r="AM9" s="2">
        <f t="shared" si="10"/>
        <v>-16280.145282788269</v>
      </c>
      <c r="AN9" s="2">
        <f t="shared" si="11"/>
        <v>42630.681886152779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66.872033862817915</v>
      </c>
      <c r="H10" s="6" t="s">
        <v>101</v>
      </c>
      <c r="N10" s="6" t="s">
        <v>113</v>
      </c>
      <c r="O10" s="6">
        <f>O7/(0.3048^2)/($C$5*2.20462/1000)^(2/3)</f>
        <v>3.5564046170739139</v>
      </c>
      <c r="U10" s="2">
        <v>6</v>
      </c>
      <c r="V10" s="2">
        <f t="shared" si="7"/>
        <v>4.6875E-2</v>
      </c>
      <c r="W10" s="2">
        <f t="shared" si="0"/>
        <v>1.2661383481342305E-2</v>
      </c>
      <c r="X10" s="2">
        <f t="shared" si="8"/>
        <v>6.25E-2</v>
      </c>
      <c r="Y10" s="2">
        <f t="shared" si="1"/>
        <v>-2.9808647808052605E-3</v>
      </c>
      <c r="Z10" s="2">
        <f t="shared" si="3"/>
        <v>5.46875E-2</v>
      </c>
      <c r="AA10" s="2">
        <f t="shared" si="2"/>
        <v>4.8408576271176812E-3</v>
      </c>
      <c r="AB10" s="2">
        <f t="shared" si="4"/>
        <v>6.1291954795517707E-5</v>
      </c>
      <c r="AC10" s="2">
        <f t="shared" si="5"/>
        <v>-1.442994200956762E-5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-141.24048969522505</v>
      </c>
      <c r="AI10" s="2">
        <f t="shared" si="14"/>
        <v>2578.125</v>
      </c>
      <c r="AJ10" s="2">
        <v>115.26542649291491</v>
      </c>
      <c r="AK10" s="2">
        <f t="shared" si="9"/>
        <v>2429.6875</v>
      </c>
      <c r="AL10" s="2">
        <v>-12.752601608666964</v>
      </c>
      <c r="AM10" s="2">
        <f t="shared" si="10"/>
        <v>1801.1836960962369</v>
      </c>
      <c r="AN10" s="2">
        <f t="shared" si="11"/>
        <v>-1469.9340633172305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9.138534978960724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5.46875E-2</v>
      </c>
      <c r="W11" s="2">
        <f t="shared" si="0"/>
        <v>4.8408576271176812E-3</v>
      </c>
      <c r="X11" s="2">
        <f t="shared" si="8"/>
        <v>6.25E-2</v>
      </c>
      <c r="Y11" s="2">
        <f t="shared" si="1"/>
        <v>-2.9808647808052605E-3</v>
      </c>
      <c r="Z11" s="2">
        <f t="shared" si="3"/>
        <v>5.859375E-2</v>
      </c>
      <c r="AA11" s="2">
        <f t="shared" si="2"/>
        <v>9.3014503744043298E-4</v>
      </c>
      <c r="AB11" s="2">
        <f t="shared" si="4"/>
        <v>4.5026996988191813E-6</v>
      </c>
      <c r="AC11" s="2">
        <f t="shared" si="5"/>
        <v>-2.7726365831469769E-6</v>
      </c>
      <c r="AD11" s="2">
        <f t="shared" si="6"/>
        <v>7.8125E-3</v>
      </c>
      <c r="AF11" s="2">
        <v>7</v>
      </c>
      <c r="AG11" s="2">
        <f t="shared" si="13"/>
        <v>2429.6875</v>
      </c>
      <c r="AH11" s="2">
        <v>-12.752601608666964</v>
      </c>
      <c r="AI11" s="2">
        <f t="shared" si="14"/>
        <v>2578.125</v>
      </c>
      <c r="AJ11" s="2">
        <v>115.26542649291491</v>
      </c>
      <c r="AK11" s="2">
        <f t="shared" si="9"/>
        <v>2503.90625</v>
      </c>
      <c r="AL11" s="2">
        <v>51.315784776555347</v>
      </c>
      <c r="AM11" s="2">
        <f t="shared" si="10"/>
        <v>-654.40975949150743</v>
      </c>
      <c r="AN11" s="2">
        <f t="shared" si="11"/>
        <v>5914.9358180882828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267.48813545127166</v>
      </c>
      <c r="H12" s="25" t="s">
        <v>101</v>
      </c>
      <c r="J12" s="10" t="s">
        <v>79</v>
      </c>
      <c r="K12" s="6">
        <f>C5</f>
        <v>2444.4496822784299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5.859375E-2</v>
      </c>
      <c r="W12" s="2">
        <f t="shared" si="0"/>
        <v>9.3014503744043298E-4</v>
      </c>
      <c r="X12" s="2">
        <f t="shared" si="8"/>
        <v>6.25E-2</v>
      </c>
      <c r="Y12" s="2">
        <f t="shared" si="1"/>
        <v>-2.9808647808052605E-3</v>
      </c>
      <c r="Z12" s="2">
        <f t="shared" si="3"/>
        <v>6.0546875E-2</v>
      </c>
      <c r="AA12" s="2">
        <f t="shared" si="2"/>
        <v>-1.0253228441642476E-3</v>
      </c>
      <c r="AB12" s="2">
        <f t="shared" si="4"/>
        <v>-9.5369895527368523E-7</v>
      </c>
      <c r="AC12" s="2">
        <f t="shared" si="5"/>
        <v>3.0563487551242862E-6</v>
      </c>
      <c r="AD12" s="2">
        <f t="shared" si="6"/>
        <v>3.90625E-3</v>
      </c>
      <c r="AF12" s="2">
        <v>8</v>
      </c>
      <c r="AG12" s="2">
        <f t="shared" si="13"/>
        <v>2429.6875</v>
      </c>
      <c r="AH12" s="2">
        <v>-12.752601608666964</v>
      </c>
      <c r="AI12" s="2">
        <f t="shared" si="14"/>
        <v>2503.90625</v>
      </c>
      <c r="AJ12" s="2">
        <v>51.315784776555347</v>
      </c>
      <c r="AK12" s="2">
        <f t="shared" si="9"/>
        <v>2466.796875</v>
      </c>
      <c r="AL12" s="2">
        <v>19.296355810095747</v>
      </c>
      <c r="AM12" s="2">
        <f t="shared" si="10"/>
        <v>-246.07873814523714</v>
      </c>
      <c r="AN12" s="2">
        <f t="shared" si="11"/>
        <v>990.20764172270663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736.82953929575638</v>
      </c>
      <c r="L13" s="6" t="s">
        <v>7</v>
      </c>
      <c r="N13" s="6" t="s">
        <v>74</v>
      </c>
      <c r="O13" s="6">
        <f xml:space="preserve"> SQRT( ($C$5*$C$50)^2 + O9^2)</f>
        <v>24067.382035642921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9.3014503744043298E-4</v>
      </c>
      <c r="X13" s="2">
        <f t="shared" si="8"/>
        <v>6.0546875E-2</v>
      </c>
      <c r="Y13" s="2">
        <f t="shared" si="1"/>
        <v>-1.0253228441642476E-3</v>
      </c>
      <c r="Z13" s="2">
        <f t="shared" si="3"/>
        <v>5.95703125E-2</v>
      </c>
      <c r="AA13" s="2">
        <f t="shared" si="2"/>
        <v>-4.7579630430928666E-5</v>
      </c>
      <c r="AB13" s="2">
        <f t="shared" si="4"/>
        <v>-4.4255957128578105E-8</v>
      </c>
      <c r="AC13" s="2">
        <f t="shared" si="5"/>
        <v>4.8784481997723563E-8</v>
      </c>
      <c r="AD13" s="2">
        <f t="shared" si="6"/>
        <v>1.953125E-3</v>
      </c>
      <c r="AF13" s="2">
        <v>9</v>
      </c>
      <c r="AG13" s="2">
        <f t="shared" si="13"/>
        <v>2429.6875</v>
      </c>
      <c r="AH13" s="2">
        <v>-12.752601608666964</v>
      </c>
      <c r="AI13" s="2">
        <f t="shared" si="14"/>
        <v>2466.796875</v>
      </c>
      <c r="AJ13" s="2">
        <v>19.296355810095747</v>
      </c>
      <c r="AK13" s="2">
        <f t="shared" si="9"/>
        <v>2448.2421875</v>
      </c>
      <c r="AL13" s="2">
        <v>3.2755553114902796</v>
      </c>
      <c r="AM13" s="2">
        <f t="shared" si="10"/>
        <v>-41.771851934588561</v>
      </c>
      <c r="AN13" s="2">
        <f t="shared" si="11"/>
        <v>63.206280766165442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>uniform_250!K14</f>
        <v>219.32823936115139</v>
      </c>
      <c r="L14" s="6" t="s">
        <v>7</v>
      </c>
      <c r="N14" s="6" t="s">
        <v>75</v>
      </c>
      <c r="O14" s="6">
        <f>$C$5*$C$50/O13</f>
        <v>0.99541197528051029</v>
      </c>
      <c r="U14" s="2">
        <v>10</v>
      </c>
      <c r="V14" s="2">
        <f t="shared" si="7"/>
        <v>5.859375E-2</v>
      </c>
      <c r="W14" s="2">
        <f t="shared" si="0"/>
        <v>9.3014503744043298E-4</v>
      </c>
      <c r="X14" s="2">
        <f t="shared" si="8"/>
        <v>5.95703125E-2</v>
      </c>
      <c r="Y14" s="2">
        <f t="shared" si="1"/>
        <v>-4.7579630430928666E-5</v>
      </c>
      <c r="Z14" s="2">
        <f t="shared" si="3"/>
        <v>5.908203125E-2</v>
      </c>
      <c r="AA14" s="2">
        <f t="shared" si="2"/>
        <v>4.4128502371824918E-4</v>
      </c>
      <c r="AB14" s="2">
        <f t="shared" si="4"/>
        <v>4.1045907490831325E-7</v>
      </c>
      <c r="AC14" s="2">
        <f t="shared" si="5"/>
        <v>-2.0996178343217888E-8</v>
      </c>
      <c r="AD14" s="2">
        <f t="shared" si="6"/>
        <v>9.765625E-4</v>
      </c>
      <c r="AF14" s="2">
        <v>10</v>
      </c>
      <c r="AG14" s="2">
        <f t="shared" si="13"/>
        <v>2429.6875</v>
      </c>
      <c r="AH14" s="2">
        <v>-12.752601608666964</v>
      </c>
      <c r="AI14" s="2">
        <f t="shared" si="14"/>
        <v>2448.2421875</v>
      </c>
      <c r="AJ14" s="2">
        <v>3.2755553114902796</v>
      </c>
      <c r="AK14" s="2">
        <f t="shared" si="9"/>
        <v>2438.96484375</v>
      </c>
      <c r="AL14" s="2">
        <v>-4.7376045365690516</v>
      </c>
      <c r="AM14" s="2">
        <f t="shared" si="10"/>
        <v>60.416783234278391</v>
      </c>
      <c r="AN14" s="2">
        <f t="shared" si="11"/>
        <v>-15.518285703499201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uniform_250!K15</f>
        <v>401.58932914605032</v>
      </c>
      <c r="L15" s="6" t="s">
        <v>7</v>
      </c>
      <c r="U15" s="2">
        <v>11</v>
      </c>
      <c r="V15" s="2">
        <f t="shared" si="7"/>
        <v>5.908203125E-2</v>
      </c>
      <c r="W15" s="2">
        <f t="shared" si="0"/>
        <v>4.4128502371824918E-4</v>
      </c>
      <c r="X15" s="2">
        <f t="shared" si="8"/>
        <v>5.95703125E-2</v>
      </c>
      <c r="Y15" s="2">
        <f t="shared" si="1"/>
        <v>-4.7579630430928666E-5</v>
      </c>
      <c r="Z15" s="2">
        <f t="shared" si="3"/>
        <v>5.9326171875E-2</v>
      </c>
      <c r="AA15" s="2">
        <f t="shared" si="2"/>
        <v>1.9685327645058842E-4</v>
      </c>
      <c r="AB15" s="2">
        <f t="shared" si="4"/>
        <v>8.6868402767512975E-8</v>
      </c>
      <c r="AC15" s="2">
        <f t="shared" si="5"/>
        <v>-9.3662061426364296E-9</v>
      </c>
      <c r="AD15" s="2">
        <f t="shared" si="6"/>
        <v>4.8828125E-4</v>
      </c>
      <c r="AF15" s="2">
        <v>11</v>
      </c>
      <c r="AG15" s="2">
        <f t="shared" si="13"/>
        <v>2438.96484375</v>
      </c>
      <c r="AH15" s="2">
        <v>-4.7376045365690516</v>
      </c>
      <c r="AI15" s="2">
        <f t="shared" si="14"/>
        <v>2448.2421875</v>
      </c>
      <c r="AJ15" s="2">
        <v>3.2755553114902796</v>
      </c>
      <c r="AK15" s="2">
        <f t="shared" si="9"/>
        <v>2443.603515625</v>
      </c>
      <c r="AL15" s="2">
        <v>-0.7307987044885067</v>
      </c>
      <c r="AM15" s="2">
        <f t="shared" si="10"/>
        <v>3.4622352577035351</v>
      </c>
      <c r="AN15" s="2">
        <f t="shared" si="11"/>
        <v>-2.3937715781175433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120.44963946712333</v>
      </c>
      <c r="H16" s="6" t="s">
        <v>10</v>
      </c>
      <c r="J16" s="13" t="s">
        <v>53</v>
      </c>
      <c r="K16" s="6">
        <f>uniform_250!K16</f>
        <v>92.440966694809006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5.9326171875E-2</v>
      </c>
      <c r="W16" s="2">
        <f t="shared" si="0"/>
        <v>1.9685327645058842E-4</v>
      </c>
      <c r="X16" s="2">
        <f t="shared" si="8"/>
        <v>5.95703125E-2</v>
      </c>
      <c r="Y16" s="2">
        <f t="shared" si="1"/>
        <v>-4.7579630430928666E-5</v>
      </c>
      <c r="Z16" s="2">
        <f t="shared" si="3"/>
        <v>5.94482421875E-2</v>
      </c>
      <c r="AA16" s="2">
        <f t="shared" si="2"/>
        <v>7.4636967930655218E-5</v>
      </c>
      <c r="AB16" s="2">
        <f t="shared" si="4"/>
        <v>1.4692531681486974E-8</v>
      </c>
      <c r="AC16" s="2">
        <f t="shared" si="5"/>
        <v>-3.5511993506256497E-9</v>
      </c>
      <c r="AD16" s="2">
        <f t="shared" si="6"/>
        <v>2.44140625E-4</v>
      </c>
      <c r="AF16" s="2">
        <v>12</v>
      </c>
      <c r="AG16" s="2">
        <f t="shared" si="13"/>
        <v>2443.603515625</v>
      </c>
      <c r="AH16" s="2">
        <v>-0.7307987044885067</v>
      </c>
      <c r="AI16" s="2">
        <f t="shared" si="14"/>
        <v>2448.2421875</v>
      </c>
      <c r="AJ16" s="2">
        <v>3.2755553114902796</v>
      </c>
      <c r="AK16" s="2">
        <f t="shared" si="9"/>
        <v>2445.9228515625</v>
      </c>
      <c r="AL16" s="2">
        <v>1.2724398007205764</v>
      </c>
      <c r="AM16" s="2">
        <f t="shared" si="10"/>
        <v>-0.92989735790621086</v>
      </c>
      <c r="AN16" s="2">
        <f t="shared" si="11"/>
        <v>4.1679469478019167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0.36201311963971544</v>
      </c>
      <c r="H17" s="6" t="s">
        <v>122</v>
      </c>
      <c r="J17" s="13" t="s">
        <v>77</v>
      </c>
      <c r="K17" s="6">
        <f>uniform_250!K17</f>
        <v>49.6794531021214</v>
      </c>
      <c r="L17" s="6" t="s">
        <v>7</v>
      </c>
      <c r="N17" s="6" t="s">
        <v>25</v>
      </c>
      <c r="O17" s="6">
        <f xml:space="preserve"> ACOS(O14)/PI()*180</f>
        <v>5.49056061944309</v>
      </c>
      <c r="P17" s="6" t="s">
        <v>40</v>
      </c>
      <c r="U17" s="2">
        <v>13</v>
      </c>
      <c r="V17" s="2">
        <f t="shared" si="7"/>
        <v>5.94482421875E-2</v>
      </c>
      <c r="W17" s="2">
        <f t="shared" si="0"/>
        <v>7.4636967930655218E-5</v>
      </c>
      <c r="X17" s="2">
        <f t="shared" si="8"/>
        <v>5.95703125E-2</v>
      </c>
      <c r="Y17" s="2">
        <f t="shared" si="1"/>
        <v>-4.7579630430928666E-5</v>
      </c>
      <c r="Z17" s="2">
        <f t="shared" si="3"/>
        <v>5.950927734375E-2</v>
      </c>
      <c r="AA17" s="2">
        <f t="shared" si="2"/>
        <v>1.3528704976201178E-5</v>
      </c>
      <c r="AB17" s="2">
        <f t="shared" si="4"/>
        <v>1.0097415194520231E-9</v>
      </c>
      <c r="AC17" s="2">
        <f t="shared" si="5"/>
        <v>-6.4369078297671763E-10</v>
      </c>
      <c r="AD17" s="2">
        <f t="shared" si="6"/>
        <v>1.220703125E-4</v>
      </c>
      <c r="AF17" s="2">
        <v>13</v>
      </c>
      <c r="AG17" s="2">
        <f t="shared" si="13"/>
        <v>2443.603515625</v>
      </c>
      <c r="AH17" s="2">
        <v>-0.7307987044885067</v>
      </c>
      <c r="AI17" s="2">
        <f t="shared" si="14"/>
        <v>2445.9228515625</v>
      </c>
      <c r="AJ17" s="2">
        <v>1.2724398007205764</v>
      </c>
      <c r="AK17" s="2">
        <f t="shared" si="9"/>
        <v>2444.76318359375</v>
      </c>
      <c r="AL17" s="2">
        <v>0.27084000299578292</v>
      </c>
      <c r="AM17" s="2">
        <f t="shared" si="10"/>
        <v>-0.19792952331298144</v>
      </c>
      <c r="AN17" s="2">
        <f t="shared" si="11"/>
        <v>0.34462759943911436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6016.8455089107301</v>
      </c>
      <c r="H18" s="6" t="s">
        <v>20</v>
      </c>
      <c r="J18" s="14" t="s">
        <v>60</v>
      </c>
      <c r="K18" s="6">
        <f>uniform_250!K18</f>
        <v>137.93600889298654</v>
      </c>
      <c r="L18" s="6" t="s">
        <v>7</v>
      </c>
      <c r="N18" s="6" t="s">
        <v>19</v>
      </c>
      <c r="O18" s="6">
        <f xml:space="preserve"> O13 / $C$18</f>
        <v>6016.8455089107301</v>
      </c>
      <c r="P18" s="6" t="s">
        <v>20</v>
      </c>
      <c r="U18" s="2">
        <v>14</v>
      </c>
      <c r="V18" s="2">
        <f t="shared" si="7"/>
        <v>5.950927734375E-2</v>
      </c>
      <c r="W18" s="2">
        <f t="shared" si="0"/>
        <v>1.3528704976201178E-5</v>
      </c>
      <c r="X18" s="2">
        <f t="shared" si="8"/>
        <v>5.95703125E-2</v>
      </c>
      <c r="Y18" s="2">
        <f t="shared" si="1"/>
        <v>-4.7579630430928666E-5</v>
      </c>
      <c r="Z18" s="2">
        <f t="shared" si="3"/>
        <v>5.9539794921875E-2</v>
      </c>
      <c r="AA18" s="2">
        <f t="shared" si="2"/>
        <v>-1.7025453671264124E-5</v>
      </c>
      <c r="AB18" s="2">
        <f t="shared" si="4"/>
        <v>-2.3033233980451357E-10</v>
      </c>
      <c r="AC18" s="2">
        <f t="shared" si="5"/>
        <v>8.1006479359764467E-10</v>
      </c>
      <c r="AD18" s="2">
        <f t="shared" si="6"/>
        <v>6.103515625E-5</v>
      </c>
      <c r="AF18" s="2">
        <v>14</v>
      </c>
      <c r="AG18" s="2">
        <f t="shared" si="13"/>
        <v>2443.603515625</v>
      </c>
      <c r="AH18" s="2">
        <v>-0.7307987044885067</v>
      </c>
      <c r="AI18" s="2">
        <f t="shared" si="14"/>
        <v>2444.76318359375</v>
      </c>
      <c r="AJ18" s="2">
        <v>0.27084000299578292</v>
      </c>
      <c r="AK18" s="2">
        <f t="shared" si="9"/>
        <v>2444.183349609375</v>
      </c>
      <c r="AL18" s="2">
        <v>-0.22997345467979358</v>
      </c>
      <c r="AM18" s="2">
        <f t="shared" si="10"/>
        <v>0.16806430274673945</v>
      </c>
      <c r="AN18" s="2">
        <f t="shared" si="11"/>
        <v>-6.2286011154425842E-2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61.056131691624032</v>
      </c>
      <c r="H19" s="6" t="s">
        <v>101</v>
      </c>
      <c r="J19" s="14" t="s">
        <v>61</v>
      </c>
      <c r="K19" s="6">
        <f>uniform_250!K19</f>
        <v>33.792967117606707</v>
      </c>
      <c r="L19" s="6" t="s">
        <v>7</v>
      </c>
      <c r="N19" s="6" t="s">
        <v>26</v>
      </c>
      <c r="O19" s="6">
        <f>$C$7*2*PI()/60</f>
        <v>27.800655511244578</v>
      </c>
      <c r="P19" s="6" t="s">
        <v>27</v>
      </c>
      <c r="U19" s="2">
        <v>15</v>
      </c>
      <c r="V19" s="2">
        <f t="shared" si="7"/>
        <v>5.950927734375E-2</v>
      </c>
      <c r="W19" s="2">
        <f t="shared" si="0"/>
        <v>1.3528704976201178E-5</v>
      </c>
      <c r="X19" s="2">
        <f t="shared" si="8"/>
        <v>5.9539794921875E-2</v>
      </c>
      <c r="Y19" s="2">
        <f t="shared" si="1"/>
        <v>-1.7025453671264124E-5</v>
      </c>
      <c r="Z19" s="2">
        <f t="shared" si="3"/>
        <v>5.95245361328125E-2</v>
      </c>
      <c r="AA19" s="2">
        <f t="shared" si="2"/>
        <v>-1.7483720834432503E-6</v>
      </c>
      <c r="AB19" s="2">
        <f t="shared" si="4"/>
        <v>-2.3653210105529921E-11</v>
      </c>
      <c r="AC19" s="2">
        <f t="shared" si="5"/>
        <v>2.9766827906794589E-11</v>
      </c>
      <c r="AD19" s="2">
        <f t="shared" si="6"/>
        <v>3.0517578125E-5</v>
      </c>
      <c r="AF19" s="2">
        <v>15</v>
      </c>
      <c r="AG19" s="2">
        <f t="shared" si="13"/>
        <v>2444.183349609375</v>
      </c>
      <c r="AH19" s="2">
        <v>-0.22997345467979358</v>
      </c>
      <c r="AI19" s="2">
        <f t="shared" si="14"/>
        <v>2444.76318359375</v>
      </c>
      <c r="AJ19" s="2">
        <v>0.27084000299578292</v>
      </c>
      <c r="AK19" s="2">
        <f t="shared" si="9"/>
        <v>2444.4732666015625</v>
      </c>
      <c r="AL19" s="2">
        <v>2.0433703611843157E-2</v>
      </c>
      <c r="AM19" s="2">
        <f t="shared" si="10"/>
        <v>-4.6992094115185469E-3</v>
      </c>
      <c r="AN19" s="2">
        <f t="shared" si="11"/>
        <v>5.5342643474465408E-3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10.055159500652287</v>
      </c>
      <c r="H20" s="6" t="s">
        <v>147</v>
      </c>
      <c r="J20" s="14" t="s">
        <v>62</v>
      </c>
      <c r="K20" s="6">
        <f>uniform_250!K20</f>
        <v>0</v>
      </c>
      <c r="L20" s="6" t="s">
        <v>7</v>
      </c>
      <c r="N20" s="6" t="s">
        <v>28</v>
      </c>
      <c r="O20" s="6">
        <f xml:space="preserve"> $C$8 * COS(O17/180*PI()) / (O19 * $C$9)</f>
        <v>0.55415977756105139</v>
      </c>
      <c r="U20" s="2">
        <v>16</v>
      </c>
      <c r="V20" s="2">
        <f t="shared" si="7"/>
        <v>5.950927734375E-2</v>
      </c>
      <c r="W20" s="2">
        <f t="shared" si="0"/>
        <v>1.3528704976201178E-5</v>
      </c>
      <c r="X20" s="2">
        <f t="shared" si="8"/>
        <v>5.95245361328125E-2</v>
      </c>
      <c r="Y20" s="2">
        <f t="shared" si="1"/>
        <v>-1.7483720834432503E-6</v>
      </c>
      <c r="Z20" s="2">
        <f t="shared" si="3"/>
        <v>5.951690673828125E-2</v>
      </c>
      <c r="AA20" s="2">
        <f t="shared" si="2"/>
        <v>5.8901670124122951E-6</v>
      </c>
      <c r="AB20" s="2">
        <f t="shared" si="4"/>
        <v>7.9686331771478238E-11</v>
      </c>
      <c r="AC20" s="2">
        <f t="shared" si="5"/>
        <v>-1.029820357131999E-11</v>
      </c>
      <c r="AD20" s="2">
        <f t="shared" si="6"/>
        <v>1.52587890625E-5</v>
      </c>
      <c r="AF20" s="2">
        <v>16</v>
      </c>
      <c r="AG20" s="2">
        <f t="shared" si="13"/>
        <v>2444.183349609375</v>
      </c>
      <c r="AH20" s="2">
        <v>-0.22997345467979358</v>
      </c>
      <c r="AI20" s="2">
        <f t="shared" si="14"/>
        <v>2444.4732666015625</v>
      </c>
      <c r="AJ20" s="2">
        <v>2.0433703611843157E-2</v>
      </c>
      <c r="AK20" s="2">
        <f t="shared" si="9"/>
        <v>2444.3283081054688</v>
      </c>
      <c r="AL20" s="2">
        <v>-0.10477500002889428</v>
      </c>
      <c r="AM20" s="2">
        <f t="shared" si="10"/>
        <v>2.4095468720720291E-2</v>
      </c>
      <c r="AN20" s="2">
        <f t="shared" si="11"/>
        <v>-2.140941296521284E-3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0.11356110757262938</v>
      </c>
      <c r="J21" s="14" t="s">
        <v>63</v>
      </c>
      <c r="K21" s="6">
        <f>uniform_250!K21</f>
        <v>0</v>
      </c>
      <c r="L21" s="6" t="s">
        <v>7</v>
      </c>
      <c r="N21" s="6" t="s">
        <v>29</v>
      </c>
      <c r="O21" s="6">
        <f xml:space="preserve"> O18 / ($C$47 * PI() * $C$9^2 * O19^2 * $C$9^2)</f>
        <v>6.972876520362695E-3</v>
      </c>
      <c r="U21" s="2">
        <v>17</v>
      </c>
      <c r="V21" s="2">
        <f t="shared" si="7"/>
        <v>5.951690673828125E-2</v>
      </c>
      <c r="W21" s="2">
        <f t="shared" si="0"/>
        <v>5.8901670124122951E-6</v>
      </c>
      <c r="X21" s="2">
        <f t="shared" si="8"/>
        <v>5.95245361328125E-2</v>
      </c>
      <c r="Y21" s="2">
        <f t="shared" si="1"/>
        <v>-1.7483720834432503E-6</v>
      </c>
      <c r="Z21" s="2">
        <f t="shared" si="3"/>
        <v>5.9520721435546875E-2</v>
      </c>
      <c r="AA21" s="2">
        <f t="shared" si="2"/>
        <v>2.0708976059893858E-6</v>
      </c>
      <c r="AB21" s="2">
        <f t="shared" si="4"/>
        <v>1.2197932764882274E-11</v>
      </c>
      <c r="AC21" s="2">
        <f t="shared" si="5"/>
        <v>-3.6206995619813019E-12</v>
      </c>
      <c r="AD21" s="2">
        <f t="shared" si="6"/>
        <v>7.62939453125E-6</v>
      </c>
      <c r="AF21" s="2">
        <v>17</v>
      </c>
      <c r="AG21" s="2">
        <f t="shared" si="13"/>
        <v>2444.3283081054688</v>
      </c>
      <c r="AH21" s="2">
        <v>-0.10477500002889428</v>
      </c>
      <c r="AI21" s="2">
        <f t="shared" si="14"/>
        <v>2444.4732666015625</v>
      </c>
      <c r="AJ21" s="2">
        <v>2.0433703611843157E-2</v>
      </c>
      <c r="AK21" s="2">
        <f t="shared" si="9"/>
        <v>2444.4007873535156</v>
      </c>
      <c r="AL21" s="2">
        <v>-4.2170883059725384E-2</v>
      </c>
      <c r="AM21" s="2">
        <f t="shared" si="10"/>
        <v>4.4184542738012244E-3</v>
      </c>
      <c r="AN21" s="2">
        <f t="shared" si="11"/>
        <v>-8.6170732549212595E-4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244.22452676649613</v>
      </c>
      <c r="H22" s="25" t="s">
        <v>101</v>
      </c>
      <c r="J22" s="14" t="s">
        <v>112</v>
      </c>
      <c r="K22" s="6">
        <f>uniform_250!K22</f>
        <v>24.546795098276387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5.9520721435546875E-2</v>
      </c>
      <c r="W22" s="2">
        <f t="shared" si="0"/>
        <v>2.0708976059893858E-6</v>
      </c>
      <c r="X22" s="2">
        <f t="shared" si="8"/>
        <v>5.95245361328125E-2</v>
      </c>
      <c r="Y22" s="2">
        <f t="shared" si="1"/>
        <v>-1.7483720834432503E-6</v>
      </c>
      <c r="Z22" s="2">
        <f t="shared" si="3"/>
        <v>5.9522628784179688E-2</v>
      </c>
      <c r="AA22" s="2">
        <f t="shared" si="2"/>
        <v>1.6126279665101828E-7</v>
      </c>
      <c r="AB22" s="2">
        <f t="shared" si="4"/>
        <v>3.3395873951974691E-13</v>
      </c>
      <c r="AC22" s="2">
        <f t="shared" si="5"/>
        <v>-2.8194737176262604E-13</v>
      </c>
      <c r="AD22" s="2">
        <f t="shared" si="6"/>
        <v>3.814697265625E-6</v>
      </c>
      <c r="AF22" s="2">
        <v>18</v>
      </c>
      <c r="AG22" s="2">
        <f t="shared" si="13"/>
        <v>2444.4007873535156</v>
      </c>
      <c r="AH22" s="2">
        <v>-4.2170883059725384E-2</v>
      </c>
      <c r="AI22" s="2">
        <f t="shared" si="14"/>
        <v>2444.4732666015625</v>
      </c>
      <c r="AJ22" s="2">
        <v>2.0433703611843157E-2</v>
      </c>
      <c r="AK22" s="2">
        <f t="shared" si="9"/>
        <v>2444.4370269775391</v>
      </c>
      <c r="AL22" s="2">
        <v>-1.0868648437053707E-2</v>
      </c>
      <c r="AM22" s="2">
        <f t="shared" si="10"/>
        <v>4.5834050225625894E-4</v>
      </c>
      <c r="AN22" s="2">
        <f t="shared" si="11"/>
        <v>-2.2208674082407781E-4</v>
      </c>
      <c r="AO22" s="2">
        <f t="shared" si="12"/>
        <v>7.2479248046875E-2</v>
      </c>
    </row>
    <row r="23" spans="2:41" x14ac:dyDescent="0.2">
      <c r="J23" s="15" t="s">
        <v>64</v>
      </c>
      <c r="K23" s="6">
        <f>uniform_250!K23</f>
        <v>64.689394196561395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17238.138166344084</v>
      </c>
      <c r="P23" s="6" t="s">
        <v>18</v>
      </c>
      <c r="U23" s="2">
        <v>19</v>
      </c>
      <c r="V23" s="2">
        <f t="shared" si="7"/>
        <v>5.9522628784179688E-2</v>
      </c>
      <c r="W23" s="2">
        <f t="shared" si="0"/>
        <v>1.6126279665101828E-7</v>
      </c>
      <c r="X23" s="2">
        <f t="shared" si="8"/>
        <v>5.95245361328125E-2</v>
      </c>
      <c r="Y23" s="2">
        <f t="shared" si="1"/>
        <v>-1.7483720834432503E-6</v>
      </c>
      <c r="Z23" s="2">
        <f t="shared" si="3"/>
        <v>5.9523582458496094E-2</v>
      </c>
      <c r="AA23" s="2">
        <f t="shared" si="2"/>
        <v>-7.9355463455249575E-7</v>
      </c>
      <c r="AB23" s="2">
        <f t="shared" si="4"/>
        <v>-1.2797083966331226E-13</v>
      </c>
      <c r="AC23" s="2">
        <f t="shared" si="5"/>
        <v>1.3874287697385941E-12</v>
      </c>
      <c r="AD23" s="2">
        <f t="shared" si="6"/>
        <v>1.9073486328125E-6</v>
      </c>
      <c r="AF23" s="2">
        <v>19</v>
      </c>
      <c r="AG23" s="2">
        <f t="shared" si="13"/>
        <v>2444.4370269775391</v>
      </c>
      <c r="AH23" s="2">
        <v>-1.0868648437053707E-2</v>
      </c>
      <c r="AI23" s="2">
        <f t="shared" si="14"/>
        <v>2444.4732666015625</v>
      </c>
      <c r="AJ23" s="2">
        <v>2.0433703611843157E-2</v>
      </c>
      <c r="AK23" s="2">
        <f t="shared" si="9"/>
        <v>2444.4551467895508</v>
      </c>
      <c r="AL23" s="2">
        <v>4.7783273528239079E-3</v>
      </c>
      <c r="AM23" s="2">
        <f t="shared" si="10"/>
        <v>-5.1933960115000544E-5</v>
      </c>
      <c r="AN23" s="2">
        <f t="shared" si="11"/>
        <v>9.7638924887966834E-5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>uniform_250!K24</f>
        <v>8.9049202019502118</v>
      </c>
      <c r="L24" s="6" t="s">
        <v>7</v>
      </c>
      <c r="N24" s="6" t="s">
        <v>31</v>
      </c>
      <c r="O24" s="18">
        <f>Z34</f>
        <v>5.9522789437323809E-2</v>
      </c>
      <c r="U24" s="2">
        <v>20</v>
      </c>
      <c r="V24" s="2">
        <f t="shared" si="7"/>
        <v>5.9522628784179688E-2</v>
      </c>
      <c r="W24" s="2">
        <f t="shared" si="0"/>
        <v>1.6126279665101828E-7</v>
      </c>
      <c r="X24" s="2">
        <f t="shared" si="8"/>
        <v>5.9523582458496094E-2</v>
      </c>
      <c r="Y24" s="2">
        <f t="shared" si="1"/>
        <v>-7.9355463455249575E-7</v>
      </c>
      <c r="Z24" s="2">
        <f t="shared" si="3"/>
        <v>5.9523105621337891E-2</v>
      </c>
      <c r="AA24" s="2">
        <f t="shared" si="2"/>
        <v>-3.1614591673723158E-7</v>
      </c>
      <c r="AB24" s="2">
        <f t="shared" si="4"/>
        <v>-5.098257468284593E-14</v>
      </c>
      <c r="AC24" s="2">
        <f t="shared" si="5"/>
        <v>2.5087905742167756E-13</v>
      </c>
      <c r="AD24" s="2">
        <f t="shared" si="6"/>
        <v>9.5367431640625E-7</v>
      </c>
      <c r="AF24" s="2">
        <v>20</v>
      </c>
      <c r="AG24" s="2">
        <f t="shared" si="13"/>
        <v>2444.4370269775391</v>
      </c>
      <c r="AH24" s="2">
        <v>-1.0868648437053707E-2</v>
      </c>
      <c r="AI24" s="2">
        <f t="shared" si="14"/>
        <v>2444.4551467895508</v>
      </c>
      <c r="AJ24" s="2">
        <v>4.7783273528239079E-3</v>
      </c>
      <c r="AK24" s="2">
        <f t="shared" si="9"/>
        <v>2444.4460868835449</v>
      </c>
      <c r="AL24" s="2">
        <v>-3.0451642035131954E-3</v>
      </c>
      <c r="AM24" s="2">
        <f t="shared" si="10"/>
        <v>3.3096819161085592E-5</v>
      </c>
      <c r="AN24" s="2">
        <f t="shared" si="11"/>
        <v>-1.4550791407487331E-5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uniform_250!K25</f>
        <v>19.310266924346688</v>
      </c>
      <c r="L25" s="6" t="s">
        <v>7</v>
      </c>
      <c r="N25" s="6" t="s">
        <v>32</v>
      </c>
      <c r="O25" s="6">
        <f xml:space="preserve"> O19 * $C$9 * O24 - $C$8 * SIN(O17/180*PI())</f>
        <v>0.75346233412210761</v>
      </c>
      <c r="P25" s="6" t="s">
        <v>10</v>
      </c>
      <c r="U25" s="2">
        <v>21</v>
      </c>
      <c r="V25" s="2">
        <f t="shared" si="7"/>
        <v>5.9522628784179688E-2</v>
      </c>
      <c r="W25" s="2">
        <f t="shared" si="0"/>
        <v>1.6126279665101828E-7</v>
      </c>
      <c r="X25" s="2">
        <f t="shared" si="8"/>
        <v>5.9523105621337891E-2</v>
      </c>
      <c r="Y25" s="2">
        <f t="shared" si="1"/>
        <v>-3.1614591673723158E-7</v>
      </c>
      <c r="Z25" s="2">
        <f t="shared" si="3"/>
        <v>5.9522867202758789E-2</v>
      </c>
      <c r="AA25" s="2">
        <f t="shared" si="2"/>
        <v>-7.7441559491464584E-8</v>
      </c>
      <c r="AB25" s="2">
        <f t="shared" si="4"/>
        <v>-1.2488442460609788E-14</v>
      </c>
      <c r="AC25" s="2">
        <f t="shared" si="5"/>
        <v>2.4482832818989928E-14</v>
      </c>
      <c r="AD25" s="2">
        <f t="shared" si="6"/>
        <v>4.76837158203125E-7</v>
      </c>
      <c r="AF25" s="2">
        <v>21</v>
      </c>
      <c r="AG25" s="2">
        <f t="shared" si="13"/>
        <v>2444.4460868835449</v>
      </c>
      <c r="AH25" s="2">
        <v>-3.0451642035131954E-3</v>
      </c>
      <c r="AI25" s="2">
        <f t="shared" si="14"/>
        <v>2444.4551467895508</v>
      </c>
      <c r="AJ25" s="2">
        <v>4.7783273528239079E-3</v>
      </c>
      <c r="AK25" s="2">
        <f t="shared" si="9"/>
        <v>2444.4506168365479</v>
      </c>
      <c r="AL25" s="2">
        <v>8.665806583394442E-4</v>
      </c>
      <c r="AM25" s="2">
        <f t="shared" si="10"/>
        <v>-2.6388804002321742E-6</v>
      </c>
      <c r="AN25" s="2">
        <f t="shared" si="11"/>
        <v>4.1408060631715156E-6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uniform_250!K26</f>
        <v>55.401737525717024</v>
      </c>
      <c r="L26" s="6" t="s">
        <v>7</v>
      </c>
      <c r="N26" s="6" t="s">
        <v>33</v>
      </c>
      <c r="O26" s="6">
        <f xml:space="preserve"> 1/$C$21 - O23 * SQRT( (2*$C$47*PI()*$C$9^2) / O18^3 )</f>
        <v>0.93050036827311844</v>
      </c>
      <c r="U26" s="2">
        <v>22</v>
      </c>
      <c r="V26" s="2">
        <f t="shared" si="7"/>
        <v>5.9522628784179688E-2</v>
      </c>
      <c r="W26" s="2">
        <f t="shared" si="0"/>
        <v>1.6126279665101828E-7</v>
      </c>
      <c r="X26" s="2">
        <f t="shared" si="8"/>
        <v>5.9522867202758789E-2</v>
      </c>
      <c r="Y26" s="2">
        <f t="shared" si="1"/>
        <v>-7.7441559491464584E-8</v>
      </c>
      <c r="Z26" s="2">
        <f t="shared" si="3"/>
        <v>5.9522747993469238E-2</v>
      </c>
      <c r="AA26" s="2">
        <f t="shared" si="2"/>
        <v>4.1910618718554726E-8</v>
      </c>
      <c r="AB26" s="2">
        <f t="shared" si="4"/>
        <v>6.7586235839286515E-15</v>
      </c>
      <c r="AC26" s="2">
        <f t="shared" si="5"/>
        <v>-3.245623672817045E-15</v>
      </c>
      <c r="AD26" s="2">
        <f t="shared" si="6"/>
        <v>2.384185791015625E-7</v>
      </c>
      <c r="AF26" s="2">
        <v>22</v>
      </c>
      <c r="AG26" s="2">
        <f t="shared" si="13"/>
        <v>2444.4460868835449</v>
      </c>
      <c r="AH26" s="2">
        <v>-3.0451642035131954E-3</v>
      </c>
      <c r="AI26" s="2">
        <f t="shared" si="14"/>
        <v>2444.4506168365479</v>
      </c>
      <c r="AJ26" s="2">
        <v>8.665806583394442E-4</v>
      </c>
      <c r="AK26" s="2">
        <f t="shared" si="9"/>
        <v>2444.4483518600464</v>
      </c>
      <c r="AL26" s="2">
        <v>-1.0892920006426721E-3</v>
      </c>
      <c r="AM26" s="2">
        <f t="shared" si="10"/>
        <v>3.3170730075303375E-6</v>
      </c>
      <c r="AN26" s="2">
        <f t="shared" si="11"/>
        <v>-9.4395937904081705E-7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6.4721096578068682E-5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5.9522747993469238E-2</v>
      </c>
      <c r="W27" s="2">
        <f t="shared" si="0"/>
        <v>4.1910618718554726E-8</v>
      </c>
      <c r="X27" s="2">
        <f t="shared" si="8"/>
        <v>5.9522867202758789E-2</v>
      </c>
      <c r="Y27" s="2">
        <f t="shared" si="1"/>
        <v>-7.7441559491464584E-8</v>
      </c>
      <c r="Z27" s="2">
        <f t="shared" si="3"/>
        <v>5.9522807598114014E-2</v>
      </c>
      <c r="AA27" s="2">
        <f t="shared" si="2"/>
        <v>-1.776547035176046E-8</v>
      </c>
      <c r="AB27" s="2">
        <f t="shared" si="4"/>
        <v>-7.4456185426842092E-16</v>
      </c>
      <c r="AC27" s="2">
        <f t="shared" si="5"/>
        <v>1.3757857291397079E-15</v>
      </c>
      <c r="AD27" s="2">
        <f t="shared" si="6"/>
        <v>1.1920928955078125E-7</v>
      </c>
      <c r="AF27" s="2">
        <v>23</v>
      </c>
      <c r="AG27" s="2">
        <f t="shared" si="13"/>
        <v>2444.4483518600464</v>
      </c>
      <c r="AH27" s="2">
        <v>-1.0892920006426721E-3</v>
      </c>
      <c r="AI27" s="2">
        <f t="shared" si="14"/>
        <v>2444.4506168365479</v>
      </c>
      <c r="AJ27" s="2">
        <v>8.665806583394442E-4</v>
      </c>
      <c r="AK27" s="2">
        <f t="shared" si="9"/>
        <v>2444.4494843482971</v>
      </c>
      <c r="AL27" s="2">
        <v>-1.0717018244577048E-4</v>
      </c>
      <c r="AM27" s="2">
        <f t="shared" si="10"/>
        <v>1.167396224455935E-7</v>
      </c>
      <c r="AN27" s="2">
        <f t="shared" si="11"/>
        <v>-9.2871607258214133E-8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5989.8130077798269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1.1500459996666694</v>
      </c>
      <c r="U28" s="2">
        <v>24</v>
      </c>
      <c r="V28" s="2">
        <f t="shared" si="7"/>
        <v>5.9522747993469238E-2</v>
      </c>
      <c r="W28" s="2">
        <f t="shared" si="0"/>
        <v>4.1910618718554726E-8</v>
      </c>
      <c r="X28" s="2">
        <f t="shared" si="8"/>
        <v>5.9522807598114014E-2</v>
      </c>
      <c r="Y28" s="2">
        <f t="shared" si="1"/>
        <v>-1.776547035176046E-8</v>
      </c>
      <c r="Z28" s="2">
        <f t="shared" si="3"/>
        <v>5.9522777795791626E-2</v>
      </c>
      <c r="AA28" s="2">
        <f t="shared" si="2"/>
        <v>1.2072574190336027E-8</v>
      </c>
      <c r="AB28" s="2">
        <f t="shared" si="4"/>
        <v>5.059690538426378E-16</v>
      </c>
      <c r="AC28" s="2">
        <f t="shared" si="5"/>
        <v>-2.1447495884784324E-16</v>
      </c>
      <c r="AD28" s="2">
        <f t="shared" si="6"/>
        <v>5.9604644775390625E-8</v>
      </c>
      <c r="AF28" s="2">
        <v>24</v>
      </c>
      <c r="AG28" s="2">
        <f t="shared" si="13"/>
        <v>2444.4494843482971</v>
      </c>
      <c r="AH28" s="2">
        <v>-1.0717018244577048E-4</v>
      </c>
      <c r="AI28" s="2">
        <f t="shared" si="14"/>
        <v>2444.4506168365479</v>
      </c>
      <c r="AJ28" s="2">
        <v>8.665806583394442E-4</v>
      </c>
      <c r="AK28" s="2">
        <f t="shared" si="9"/>
        <v>2444.4500505924225</v>
      </c>
      <c r="AL28" s="2">
        <v>3.7970522475916368E-4</v>
      </c>
      <c r="AM28" s="2">
        <f t="shared" si="10"/>
        <v>-4.0693078213051859E-8</v>
      </c>
      <c r="AN28" s="2">
        <f t="shared" si="11"/>
        <v>3.2904520364672269E-7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55.815197450877989</v>
      </c>
      <c r="H29" t="s">
        <v>18</v>
      </c>
      <c r="U29" s="2">
        <v>25</v>
      </c>
      <c r="V29" s="2">
        <f t="shared" si="7"/>
        <v>5.9522777795791626E-2</v>
      </c>
      <c r="W29" s="2">
        <f t="shared" si="0"/>
        <v>1.2072574190336027E-8</v>
      </c>
      <c r="X29" s="2">
        <f t="shared" si="8"/>
        <v>5.9522807598114014E-2</v>
      </c>
      <c r="Y29" s="2">
        <f t="shared" si="1"/>
        <v>-1.776547035176046E-8</v>
      </c>
      <c r="Z29" s="2">
        <f t="shared" si="3"/>
        <v>5.952279269695282E-2</v>
      </c>
      <c r="AA29" s="2">
        <f t="shared" si="2"/>
        <v>-2.8464480772427692E-9</v>
      </c>
      <c r="AB29" s="2">
        <f t="shared" si="4"/>
        <v>-3.4363955591452662E-17</v>
      </c>
      <c r="AC29" s="2">
        <f t="shared" si="5"/>
        <v>5.0568488924081981E-17</v>
      </c>
      <c r="AD29" s="2">
        <f t="shared" si="6"/>
        <v>2.9802322387695312E-8</v>
      </c>
      <c r="AF29" s="2">
        <v>25</v>
      </c>
      <c r="AG29" s="2">
        <f t="shared" si="13"/>
        <v>2444.4494843482971</v>
      </c>
      <c r="AH29" s="2">
        <v>-1.0717018244577048E-4</v>
      </c>
      <c r="AI29" s="2">
        <f t="shared" si="14"/>
        <v>2444.4500505924225</v>
      </c>
      <c r="AJ29" s="2">
        <v>3.7970522475916368E-4</v>
      </c>
      <c r="AK29" s="2">
        <f t="shared" si="9"/>
        <v>2444.4497674703598</v>
      </c>
      <c r="AL29" s="2">
        <v>1.3626751865558617E-4</v>
      </c>
      <c r="AM29" s="2">
        <f t="shared" si="10"/>
        <v>-1.4603814835751603E-8</v>
      </c>
      <c r="AN29" s="2">
        <f t="shared" si="11"/>
        <v>5.174148879849288E-8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10.948853510863904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5.9522777795791626E-2</v>
      </c>
      <c r="W30" s="2">
        <f t="shared" si="0"/>
        <v>1.2072574190336027E-8</v>
      </c>
      <c r="X30" s="2">
        <f t="shared" si="8"/>
        <v>5.952279269695282E-2</v>
      </c>
      <c r="Y30" s="2">
        <f t="shared" si="1"/>
        <v>-2.8464480772427692E-9</v>
      </c>
      <c r="Z30" s="2">
        <f t="shared" si="3"/>
        <v>5.9522785246372223E-2</v>
      </c>
      <c r="AA30" s="2">
        <f t="shared" si="2"/>
        <v>4.6130630565466291E-9</v>
      </c>
      <c r="AB30" s="2">
        <f t="shared" si="4"/>
        <v>5.5691545994857464E-17</v>
      </c>
      <c r="AC30" s="2">
        <f t="shared" si="5"/>
        <v>-1.3130844467506804E-17</v>
      </c>
      <c r="AD30" s="2">
        <f t="shared" si="6"/>
        <v>1.4901161193847656E-8</v>
      </c>
      <c r="AF30" s="2">
        <v>26</v>
      </c>
      <c r="AG30" s="2">
        <f t="shared" si="13"/>
        <v>2444.4494843482971</v>
      </c>
      <c r="AH30" s="2">
        <v>-1.0717018244577048E-4</v>
      </c>
      <c r="AI30" s="2">
        <f t="shared" si="14"/>
        <v>2444.4497674703598</v>
      </c>
      <c r="AJ30" s="2">
        <v>1.3626751865558617E-4</v>
      </c>
      <c r="AK30" s="2">
        <f t="shared" si="9"/>
        <v>2444.4496259093285</v>
      </c>
      <c r="AL30" s="2">
        <v>1.4548667650160496E-5</v>
      </c>
      <c r="AM30" s="2">
        <f t="shared" si="10"/>
        <v>-1.5591833664105793E-9</v>
      </c>
      <c r="AN30" s="2">
        <f t="shared" si="11"/>
        <v>1.9825108404321684E-9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223.26078980351195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5.9522785246372223E-2</v>
      </c>
      <c r="W31" s="2">
        <f t="shared" si="0"/>
        <v>4.6130630565466291E-9</v>
      </c>
      <c r="X31" s="2">
        <f t="shared" si="8"/>
        <v>5.952279269695282E-2</v>
      </c>
      <c r="Y31" s="2">
        <f t="shared" si="1"/>
        <v>-2.8464480772427692E-9</v>
      </c>
      <c r="Z31" s="2">
        <f t="shared" si="3"/>
        <v>5.9522788971662521E-2</v>
      </c>
      <c r="AA31" s="2">
        <f t="shared" si="2"/>
        <v>8.8330748965192996E-10</v>
      </c>
      <c r="AB31" s="2">
        <f t="shared" si="4"/>
        <v>4.0747531480842618E-18</v>
      </c>
      <c r="AC31" s="2">
        <f t="shared" si="5"/>
        <v>-2.5142889055338732E-18</v>
      </c>
      <c r="AD31" s="2">
        <f t="shared" si="6"/>
        <v>7.4505805969238281E-9</v>
      </c>
      <c r="AF31" s="2">
        <v>27</v>
      </c>
      <c r="AG31" s="2">
        <f t="shared" si="13"/>
        <v>2444.4494843482971</v>
      </c>
      <c r="AH31" s="2">
        <v>-1.0717018244577048E-4</v>
      </c>
      <c r="AI31" s="2">
        <f t="shared" si="14"/>
        <v>2444.4496259093285</v>
      </c>
      <c r="AJ31" s="2">
        <v>1.4548667650160496E-5</v>
      </c>
      <c r="AK31" s="2">
        <f t="shared" si="9"/>
        <v>2444.4495551288128</v>
      </c>
      <c r="AL31" s="2">
        <v>-4.6310757397804991E-5</v>
      </c>
      <c r="AM31" s="2">
        <f t="shared" si="10"/>
        <v>4.9631323195245755E-9</v>
      </c>
      <c r="AN31" s="2">
        <f t="shared" si="11"/>
        <v>-6.737598180078763E-10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736.83</v>
      </c>
      <c r="L32" s="6" t="s">
        <v>7</v>
      </c>
      <c r="U32" s="2">
        <v>28</v>
      </c>
      <c r="V32" s="2">
        <f t="shared" si="7"/>
        <v>5.9522788971662521E-2</v>
      </c>
      <c r="W32" s="2">
        <f t="shared" si="0"/>
        <v>8.8330748965192996E-10</v>
      </c>
      <c r="X32" s="2">
        <f t="shared" si="8"/>
        <v>5.952279269695282E-2</v>
      </c>
      <c r="Y32" s="2">
        <f t="shared" si="1"/>
        <v>-2.8464480772427692E-9</v>
      </c>
      <c r="Z32" s="2">
        <f t="shared" si="3"/>
        <v>5.9522790834307671E-2</v>
      </c>
      <c r="AA32" s="2">
        <f t="shared" si="2"/>
        <v>-9.8157029726486655E-10</v>
      </c>
      <c r="AB32" s="2">
        <f t="shared" si="4"/>
        <v>-8.6702839519392792E-19</v>
      </c>
      <c r="AC32" s="2">
        <f t="shared" si="5"/>
        <v>2.7939888853281928E-18</v>
      </c>
      <c r="AD32" s="2">
        <f t="shared" si="6"/>
        <v>3.7252902984619141E-9</v>
      </c>
      <c r="AF32" s="2">
        <v>28</v>
      </c>
      <c r="AG32" s="2">
        <f t="shared" si="13"/>
        <v>2444.4495551288128</v>
      </c>
      <c r="AH32" s="2">
        <v>-4.6310757397804991E-5</v>
      </c>
      <c r="AI32" s="2">
        <f t="shared" si="14"/>
        <v>2444.4496259093285</v>
      </c>
      <c r="AJ32" s="2">
        <v>1.4548667650160496E-5</v>
      </c>
      <c r="AK32" s="2">
        <f t="shared" si="9"/>
        <v>2444.4495905190706</v>
      </c>
      <c r="AL32" s="2">
        <v>-2.0066591105205589E-5</v>
      </c>
      <c r="AM32" s="2">
        <f t="shared" si="10"/>
        <v>9.2929903247412752E-10</v>
      </c>
      <c r="AN32" s="2">
        <f t="shared" si="11"/>
        <v>-2.9194216486130291E-10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763.04</v>
      </c>
      <c r="L33" s="6" t="s">
        <v>7</v>
      </c>
      <c r="U33" s="2">
        <v>29</v>
      </c>
      <c r="V33" s="2">
        <f t="shared" si="7"/>
        <v>5.9522788971662521E-2</v>
      </c>
      <c r="W33" s="2">
        <f t="shared" si="0"/>
        <v>8.8330748965192996E-10</v>
      </c>
      <c r="X33" s="2">
        <f t="shared" si="8"/>
        <v>5.9522790834307671E-2</v>
      </c>
      <c r="Y33" s="2">
        <f t="shared" si="1"/>
        <v>-9.8157029726486655E-10</v>
      </c>
      <c r="Z33" s="2">
        <f t="shared" si="3"/>
        <v>5.9522789902985096E-2</v>
      </c>
      <c r="AA33" s="2">
        <f t="shared" si="2"/>
        <v>-4.9131407275915251E-11</v>
      </c>
      <c r="AB33" s="2">
        <f t="shared" si="4"/>
        <v>-4.3398140023955267E-20</v>
      </c>
      <c r="AC33" s="2">
        <f t="shared" si="5"/>
        <v>4.822593004486136E-20</v>
      </c>
      <c r="AD33" s="2">
        <f t="shared" si="6"/>
        <v>1.862645149230957E-9</v>
      </c>
      <c r="AF33" s="2">
        <v>29</v>
      </c>
      <c r="AG33" s="2">
        <f t="shared" si="13"/>
        <v>2444.4495905190706</v>
      </c>
      <c r="AH33" s="2">
        <v>-2.0066591105205589E-5</v>
      </c>
      <c r="AI33" s="2">
        <f t="shared" si="14"/>
        <v>2444.4496259093285</v>
      </c>
      <c r="AJ33" s="2">
        <v>1.4548667650160496E-5</v>
      </c>
      <c r="AK33" s="2">
        <f t="shared" si="9"/>
        <v>2444.4496082141995</v>
      </c>
      <c r="AL33" s="2">
        <v>-6.9445086410269141E-6</v>
      </c>
      <c r="AM33" s="2">
        <f t="shared" si="10"/>
        <v>1.3935261532605403E-10</v>
      </c>
      <c r="AN33" s="2">
        <f t="shared" si="11"/>
        <v>-1.0103334821196829E-10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196.28</v>
      </c>
      <c r="L34" s="6" t="s">
        <v>7</v>
      </c>
      <c r="U34" s="2">
        <v>30</v>
      </c>
      <c r="V34" s="2">
        <f t="shared" si="7"/>
        <v>5.9522788971662521E-2</v>
      </c>
      <c r="W34" s="2">
        <f t="shared" si="0"/>
        <v>8.8330748965192996E-10</v>
      </c>
      <c r="X34" s="2">
        <f t="shared" si="8"/>
        <v>5.9522789902985096E-2</v>
      </c>
      <c r="Y34" s="2">
        <f t="shared" si="1"/>
        <v>-4.9131407275915251E-11</v>
      </c>
      <c r="Z34" s="2">
        <f t="shared" si="3"/>
        <v>5.9522789437323809E-2</v>
      </c>
      <c r="AA34" s="2">
        <f t="shared" si="2"/>
        <v>4.170880446574543E-10</v>
      </c>
      <c r="AB34" s="2">
        <f t="shared" si="4"/>
        <v>3.6841699369020802E-19</v>
      </c>
      <c r="AC34" s="2">
        <f t="shared" si="5"/>
        <v>-2.0492122591980516E-20</v>
      </c>
      <c r="AD34" s="2">
        <f>X34-V34</f>
        <v>9.3132257461547852E-10</v>
      </c>
      <c r="AF34" s="2">
        <v>30</v>
      </c>
      <c r="AG34" s="2">
        <f t="shared" si="13"/>
        <v>2444.4496082141995</v>
      </c>
      <c r="AH34" s="2">
        <v>-6.9445086410269141E-6</v>
      </c>
      <c r="AI34" s="2">
        <f t="shared" si="14"/>
        <v>2444.4496259093285</v>
      </c>
      <c r="AJ34" s="2">
        <v>1.4548667650160496E-5</v>
      </c>
      <c r="AK34" s="2">
        <f t="shared" si="9"/>
        <v>2444.449617061764</v>
      </c>
      <c r="AL34" s="2">
        <v>7.9876260770106455E-6</v>
      </c>
      <c r="AM34" s="2">
        <f t="shared" si="10"/>
        <v>-5.5470138313092339E-11</v>
      </c>
      <c r="AN34" s="2">
        <f t="shared" si="11"/>
        <v>1.1620931710818317E-10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244.22452676649613</v>
      </c>
      <c r="H35" s="25" t="s">
        <v>101</v>
      </c>
      <c r="J35" s="15" t="s">
        <v>70</v>
      </c>
      <c r="K35" s="6">
        <f>ROUND(SUM(K23:K26),2)</f>
        <v>148.31</v>
      </c>
      <c r="L35" s="6" t="s">
        <v>7</v>
      </c>
      <c r="AF35" s="2">
        <v>31</v>
      </c>
      <c r="AG35" s="2">
        <f t="shared" si="13"/>
        <v>2444.4496082141995</v>
      </c>
      <c r="AH35" s="2">
        <v>-6.9445086410269141E-6</v>
      </c>
      <c r="AI35" s="2">
        <f t="shared" si="14"/>
        <v>2444.449617061764</v>
      </c>
      <c r="AJ35" s="2">
        <v>7.9876260770106455E-6</v>
      </c>
      <c r="AK35" s="2">
        <f t="shared" si="9"/>
        <v>2444.4496126379818</v>
      </c>
      <c r="AL35" s="2">
        <v>4.7071048356883693E-6</v>
      </c>
      <c r="AM35" s="2">
        <f t="shared" si="10"/>
        <v>-3.2688530205657454E-11</v>
      </c>
      <c r="AN35" s="2">
        <f t="shared" si="11"/>
        <v>3.7598593332767329E-11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2444.46</v>
      </c>
      <c r="L36" s="6" t="s">
        <v>7</v>
      </c>
      <c r="AF36" s="2">
        <v>32</v>
      </c>
      <c r="AG36" s="2">
        <f t="shared" si="13"/>
        <v>2444.4496082141995</v>
      </c>
      <c r="AH36" s="2">
        <v>-6.9445086410269141E-6</v>
      </c>
      <c r="AI36" s="2">
        <f t="shared" si="14"/>
        <v>2444.4496126379818</v>
      </c>
      <c r="AJ36" s="2">
        <v>4.7071048356883693E-6</v>
      </c>
      <c r="AK36" s="2">
        <f t="shared" si="9"/>
        <v>2444.4496104260907</v>
      </c>
      <c r="AL36" s="2">
        <v>3.0668454655824462E-6</v>
      </c>
      <c r="AM36" s="2">
        <f t="shared" si="10"/>
        <v>-2.1297734836431507E-11</v>
      </c>
      <c r="AN36" s="2">
        <f t="shared" si="11"/>
        <v>1.4435963121352081E-11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2444.4496082141995</v>
      </c>
      <c r="AH37" s="2">
        <v>-6.9445086410269141E-6</v>
      </c>
      <c r="AI37" s="2">
        <f t="shared" si="14"/>
        <v>2444.4496104260907</v>
      </c>
      <c r="AJ37" s="2">
        <v>3.0668454655824462E-6</v>
      </c>
      <c r="AK37" s="2">
        <f t="shared" si="9"/>
        <v>2444.4496093201451</v>
      </c>
      <c r="AL37" s="2">
        <v>-6.1243788422871148E-6</v>
      </c>
      <c r="AM37" s="2">
        <f t="shared" si="10"/>
        <v>4.2530801791185277E-11</v>
      </c>
      <c r="AN37" s="2">
        <f t="shared" si="11"/>
        <v>-1.8782523481977309E-11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2444.4496093201451</v>
      </c>
      <c r="AH38" s="2">
        <v>-6.1243788422871148E-6</v>
      </c>
      <c r="AI38" s="2">
        <f t="shared" si="14"/>
        <v>2444.4496104260907</v>
      </c>
      <c r="AJ38" s="2">
        <v>3.0668454655824462E-6</v>
      </c>
      <c r="AK38" s="2">
        <f t="shared" si="9"/>
        <v>2444.4496098731179</v>
      </c>
      <c r="AL38" s="2">
        <v>-5.7143138292303775E-6</v>
      </c>
      <c r="AM38" s="2">
        <f t="shared" si="10"/>
        <v>3.4996622713927189E-11</v>
      </c>
      <c r="AN38" s="2">
        <f t="shared" si="11"/>
        <v>-1.7524917456090248E-11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24.55</v>
      </c>
      <c r="L39" s="6" t="s">
        <v>58</v>
      </c>
      <c r="AF39" s="2">
        <v>35</v>
      </c>
      <c r="AG39" s="2">
        <f t="shared" si="13"/>
        <v>2444.4496098731179</v>
      </c>
      <c r="AH39" s="2">
        <v>-5.7143138292303775E-6</v>
      </c>
      <c r="AI39" s="2">
        <f t="shared" si="14"/>
        <v>2444.4496104260907</v>
      </c>
      <c r="AJ39" s="2">
        <v>3.0668454655824462E-6</v>
      </c>
      <c r="AK39" s="2">
        <f t="shared" si="9"/>
        <v>2444.4496101496043</v>
      </c>
      <c r="AL39" s="2">
        <v>2.8618123906198889E-6</v>
      </c>
      <c r="AM39" s="2">
        <f t="shared" si="10"/>
        <v>-1.6353294120382078E-11</v>
      </c>
      <c r="AN39" s="2">
        <f t="shared" si="11"/>
        <v>8.7767363535202666E-12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30.14</v>
      </c>
      <c r="L40" s="6" t="s">
        <v>58</v>
      </c>
      <c r="AF40" s="2">
        <v>36</v>
      </c>
      <c r="AG40" s="2">
        <f t="shared" si="13"/>
        <v>2444.4496098731179</v>
      </c>
      <c r="AH40" s="2">
        <v>-5.7143138292303775E-6</v>
      </c>
      <c r="AI40" s="2">
        <f t="shared" si="14"/>
        <v>2444.4496101496043</v>
      </c>
      <c r="AJ40" s="2">
        <v>2.8618123906198889E-6</v>
      </c>
      <c r="AK40" s="2">
        <f t="shared" si="9"/>
        <v>2444.4496100113611</v>
      </c>
      <c r="AL40" s="2">
        <v>-5.6117980875569629E-6</v>
      </c>
      <c r="AM40" s="2">
        <f t="shared" si="10"/>
        <v>3.2067575418575337E-11</v>
      </c>
      <c r="AN40" s="2">
        <f t="shared" si="11"/>
        <v>-1.6059913300627512E-11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31.22</v>
      </c>
      <c r="L41" s="6" t="s">
        <v>58</v>
      </c>
      <c r="AF41" s="2">
        <v>37</v>
      </c>
      <c r="AG41" s="2">
        <f t="shared" si="13"/>
        <v>2444.4496100113611</v>
      </c>
      <c r="AH41" s="2">
        <v>-5.6117980875569629E-6</v>
      </c>
      <c r="AI41" s="2">
        <f t="shared" si="14"/>
        <v>2444.4496101496043</v>
      </c>
      <c r="AJ41" s="2">
        <v>2.8618123906198889E-6</v>
      </c>
      <c r="AK41" s="2">
        <f t="shared" si="9"/>
        <v>2444.4496100804827</v>
      </c>
      <c r="AL41" s="2">
        <v>-5.5605401030334178E-6</v>
      </c>
      <c r="AM41" s="2">
        <f t="shared" si="10"/>
        <v>3.1204628315986731E-11</v>
      </c>
      <c r="AN41" s="2">
        <f t="shared" si="11"/>
        <v>-1.5913222565399829E-11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8.0299999999999994</v>
      </c>
      <c r="L42" s="6" t="s">
        <v>58</v>
      </c>
      <c r="AF42" s="2">
        <v>38</v>
      </c>
      <c r="AG42" s="2">
        <f t="shared" si="13"/>
        <v>2444.4496100804827</v>
      </c>
      <c r="AH42" s="2">
        <v>-5.5605401030334178E-6</v>
      </c>
      <c r="AI42" s="2">
        <f t="shared" si="14"/>
        <v>2444.4496101496043</v>
      </c>
      <c r="AJ42" s="2">
        <v>2.8618123906198889E-6</v>
      </c>
      <c r="AK42" s="2">
        <f t="shared" si="9"/>
        <v>2444.4496101150435</v>
      </c>
      <c r="AL42" s="2">
        <v>-5.5349103149637813E-6</v>
      </c>
      <c r="AM42" s="2">
        <f t="shared" si="10"/>
        <v>3.0777090773049431E-11</v>
      </c>
      <c r="AN42" s="2">
        <f t="shared" si="11"/>
        <v>-1.5839874920333181E-11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6.07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2444.4496101150435</v>
      </c>
      <c r="AH43" s="2">
        <v>-5.5349103149637813E-6</v>
      </c>
      <c r="AI43" s="2">
        <f t="shared" si="14"/>
        <v>2444.4496101496043</v>
      </c>
      <c r="AJ43" s="2">
        <v>2.8618123906198889E-6</v>
      </c>
      <c r="AK43" s="2">
        <f t="shared" si="9"/>
        <v>2444.4496101323239</v>
      </c>
      <c r="AL43" s="2">
        <v>-5.5220955346158007E-6</v>
      </c>
      <c r="AM43" s="2">
        <f t="shared" si="10"/>
        <v>3.0564303534760432E-11</v>
      </c>
      <c r="AN43" s="2">
        <f t="shared" si="11"/>
        <v>-1.5803201423150258E-11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2444.4496101323239</v>
      </c>
      <c r="AH44" s="2">
        <v>-5.5220955346158007E-6</v>
      </c>
      <c r="AI44" s="2">
        <f t="shared" si="14"/>
        <v>2444.4496101496043</v>
      </c>
      <c r="AJ44" s="2">
        <v>2.8618123906198889E-6</v>
      </c>
      <c r="AK44" s="5">
        <f>(AG44+AI44)/2</f>
        <v>2444.4496101409641</v>
      </c>
      <c r="AL44" s="2">
        <v>2.8554054551932495E-6</v>
      </c>
      <c r="AM44" s="2">
        <f t="shared" si="10"/>
        <v>-1.5767821713640241E-11</v>
      </c>
      <c r="AN44" s="2">
        <f t="shared" si="11"/>
        <v>8.1716347119156654E-12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2128.6029487752166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24.55</v>
      </c>
      <c r="L47" s="6" t="s">
        <v>58</v>
      </c>
      <c r="N47" s="6" t="s">
        <v>154</v>
      </c>
      <c r="O47" s="6">
        <f>0.377*O46^0.6945</f>
        <v>77.215251652085286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30.14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45.31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725-853A-524C-AA19-CDE8E81561F8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355.42850169803029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6.2919608574786359E-2</v>
      </c>
      <c r="X4" s="3">
        <v>1</v>
      </c>
      <c r="Y4" s="2">
        <f t="shared" ref="Y4:Y34" si="1" xml:space="preserve"> $O$20 * TAN($O$17/180*PI()) + $O$21 / (2 * SQRT($O$20^2 + X4^2)) - X4</f>
        <v>-0.94003268940401263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-0.43855655558446283</v>
      </c>
      <c r="AB4" s="2">
        <f>W4*AA4</f>
        <v>-2.7593806815280938E-2</v>
      </c>
      <c r="AC4" s="2">
        <f>Y4*AA4</f>
        <v>0.41225749840182296</v>
      </c>
      <c r="AD4" s="2">
        <f>X4-V4</f>
        <v>1</v>
      </c>
      <c r="AF4" s="2">
        <v>0</v>
      </c>
      <c r="AG4" s="2"/>
      <c r="AH4" s="2">
        <f>K27</f>
        <v>4.6657708269322029E-3</v>
      </c>
      <c r="AI4" s="2"/>
      <c r="AJ4" s="2">
        <f>K27</f>
        <v>4.6657708269322029E-3</v>
      </c>
      <c r="AK4" s="2"/>
      <c r="AL4" s="2">
        <f>K27</f>
        <v>4.6657708269322029E-3</v>
      </c>
      <c r="AM4" s="2"/>
      <c r="AN4" s="2"/>
      <c r="AO4" s="2"/>
    </row>
    <row r="5" spans="2:41" x14ac:dyDescent="0.2">
      <c r="B5" s="10" t="s">
        <v>37</v>
      </c>
      <c r="C5" s="10">
        <v>2221.8152377809702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88.857125424507572</v>
      </c>
      <c r="L5" s="6" t="s">
        <v>101</v>
      </c>
      <c r="N5" s="6" t="s">
        <v>114</v>
      </c>
      <c r="O5" s="6">
        <f xml:space="preserve"> $C$18 * 0.85 * ($C$5/$C$18 *2.20462/1000)^(2/3) * 0.3048^2</f>
        <v>0.36154578609639898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6.2919608574786359E-2</v>
      </c>
      <c r="X5" s="2">
        <f>IF(AC4&gt;0, Z4, X4)</f>
        <v>0.5</v>
      </c>
      <c r="Y5" s="2">
        <f t="shared" si="1"/>
        <v>-0.43855655558446283</v>
      </c>
      <c r="Z5" s="2">
        <f t="shared" ref="Z5:Z34" si="3" xml:space="preserve"> (V5 + X5)/2</f>
        <v>0.25</v>
      </c>
      <c r="AA5" s="2">
        <f t="shared" si="2"/>
        <v>-0.18758761122590989</v>
      </c>
      <c r="AB5" s="2">
        <f t="shared" ref="AB5:AB34" si="4">W5*AA5</f>
        <v>-1.1802939071813449E-2</v>
      </c>
      <c r="AC5" s="2">
        <f t="shared" ref="AC5:AC34" si="5">Y5*AA5</f>
        <v>8.2267776649552357E-2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-1570.1232299186961</v>
      </c>
      <c r="AI5" s="3">
        <v>10000</v>
      </c>
      <c r="AJ5" s="2">
        <f t="dataTable" ref="AJ5:AJ44" dt2D="0" dtr="0" r1="C5" ca="1"/>
        <v>6462.984221302987</v>
      </c>
      <c r="AK5" s="2">
        <f>(AG5+AI5)/2</f>
        <v>5250</v>
      </c>
      <c r="AL5" s="2">
        <f t="dataTable" ref="AL5:AL44" dt2D="0" dtr="0" r1="C5" ca="1"/>
        <v>2655.1041476163491</v>
      </c>
      <c r="AM5" s="2">
        <f>AH5*AL5</f>
        <v>-4168840.7000259086</v>
      </c>
      <c r="AN5" s="2">
        <f>AJ5*AL5</f>
        <v>17159896.21196058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6.2919608574786359E-2</v>
      </c>
      <c r="X6" s="2">
        <f t="shared" ref="X6:X34" si="8">IF(AC5&gt;0, Z5, X5)</f>
        <v>0.25</v>
      </c>
      <c r="Y6" s="2">
        <f t="shared" si="1"/>
        <v>-0.18758761122590989</v>
      </c>
      <c r="Z6" s="2">
        <f t="shared" si="3"/>
        <v>0.125</v>
      </c>
      <c r="AA6" s="2">
        <f t="shared" si="2"/>
        <v>-6.222093159215554E-2</v>
      </c>
      <c r="AB6" s="2">
        <f t="shared" si="4"/>
        <v>-3.9149166609369849E-3</v>
      </c>
      <c r="AC6" s="2">
        <f t="shared" si="5"/>
        <v>1.1671875925623208E-2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-1570.1232299186961</v>
      </c>
      <c r="AI6" s="2">
        <f>IF(AN5&gt;0, AK5, AI5)</f>
        <v>5250</v>
      </c>
      <c r="AJ6" s="2">
        <v>2655.1041476163491</v>
      </c>
      <c r="AK6" s="2">
        <f t="shared" ref="AK6:AK43" si="9">(AG6+AI6)/2</f>
        <v>2875</v>
      </c>
      <c r="AL6" s="2">
        <v>587.35667077565313</v>
      </c>
      <c r="AM6" s="2">
        <f t="shared" ref="AM6:AM44" si="10">AH6*AL6</f>
        <v>-922222.35303256067</v>
      </c>
      <c r="AN6" s="2">
        <f t="shared" ref="AN6:AN44" si="11">AJ6*AL6</f>
        <v>1559493.1327065672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265.47670474857102</v>
      </c>
      <c r="D7" s="6" t="s">
        <v>125</v>
      </c>
      <c r="F7" t="s">
        <v>121</v>
      </c>
      <c r="G7" s="8">
        <f>$C$6*2*PI()/60*$C$9</f>
        <v>181.48430700343272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0.99182240943149502</v>
      </c>
      <c r="P7" s="6" t="s">
        <v>115</v>
      </c>
      <c r="U7" s="2">
        <v>3</v>
      </c>
      <c r="V7" s="2">
        <f t="shared" si="7"/>
        <v>0</v>
      </c>
      <c r="W7" s="2">
        <f t="shared" si="0"/>
        <v>6.2919608574786359E-2</v>
      </c>
      <c r="X7" s="2">
        <f t="shared" si="8"/>
        <v>0.125</v>
      </c>
      <c r="Y7" s="2">
        <f t="shared" si="1"/>
        <v>-6.222093159215554E-2</v>
      </c>
      <c r="Z7" s="2">
        <f t="shared" si="3"/>
        <v>6.25E-2</v>
      </c>
      <c r="AA7" s="2">
        <f t="shared" si="2"/>
        <v>3.8348121571667171E-4</v>
      </c>
      <c r="AB7" s="2">
        <f t="shared" si="4"/>
        <v>2.4128487988676194E-5</v>
      </c>
      <c r="AC7" s="2">
        <f t="shared" si="5"/>
        <v>-2.3860558489983672E-5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-1570.1232299186961</v>
      </c>
      <c r="AI7" s="2">
        <f t="shared" ref="AI7:AI44" si="14">IF(AN6&gt;0, AK6, AI6)</f>
        <v>2875</v>
      </c>
      <c r="AJ7" s="2">
        <v>587.35667077565313</v>
      </c>
      <c r="AK7" s="2">
        <f t="shared" si="9"/>
        <v>1687.5</v>
      </c>
      <c r="AL7" s="2">
        <v>-485.22935736523505</v>
      </c>
      <c r="AM7" s="2">
        <f t="shared" si="10"/>
        <v>761869.88583767612</v>
      </c>
      <c r="AN7" s="2">
        <f t="shared" si="11"/>
        <v>-285002.69990465412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0.54350134052527943</v>
      </c>
      <c r="H8" s="6" t="s">
        <v>122</v>
      </c>
      <c r="J8" s="6" t="s">
        <v>96</v>
      </c>
      <c r="K8" s="6">
        <f xml:space="preserve"> $C$15 * (G12*G6 + G22*G15 + G31*G27 +G35*G34)/3600</f>
        <v>192.30724466196372</v>
      </c>
      <c r="L8" s="6" t="s">
        <v>102</v>
      </c>
      <c r="N8" s="6" t="s">
        <v>38</v>
      </c>
      <c r="O8" s="6">
        <f xml:space="preserve"> O4 *O7</f>
        <v>2248.9213951265915</v>
      </c>
      <c r="P8" s="6" t="s">
        <v>20</v>
      </c>
      <c r="U8" s="2">
        <v>4</v>
      </c>
      <c r="V8" s="2">
        <f t="shared" si="7"/>
        <v>6.25E-2</v>
      </c>
      <c r="W8" s="2">
        <f t="shared" si="0"/>
        <v>3.8348121571667171E-4</v>
      </c>
      <c r="X8" s="2">
        <f t="shared" si="8"/>
        <v>0.125</v>
      </c>
      <c r="Y8" s="2">
        <f t="shared" si="1"/>
        <v>-6.222093159215554E-2</v>
      </c>
      <c r="Z8" s="2">
        <f t="shared" si="3"/>
        <v>9.375E-2</v>
      </c>
      <c r="AA8" s="2">
        <f t="shared" si="2"/>
        <v>-3.0910730869726427E-2</v>
      </c>
      <c r="AB8" s="2">
        <f t="shared" si="4"/>
        <v>-1.1853684652613544E-5</v>
      </c>
      <c r="AC8" s="2">
        <f t="shared" si="5"/>
        <v>1.9232944709087786E-3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-485.22935736523505</v>
      </c>
      <c r="AI8" s="2">
        <f t="shared" si="14"/>
        <v>2875</v>
      </c>
      <c r="AJ8" s="2">
        <v>587.35667077565313</v>
      </c>
      <c r="AK8" s="2">
        <f t="shared" si="9"/>
        <v>2281.25</v>
      </c>
      <c r="AL8" s="2">
        <v>53.724167968496886</v>
      </c>
      <c r="AM8" s="2">
        <f t="shared" si="10"/>
        <v>-26068.54349833569</v>
      </c>
      <c r="AN8" s="2">
        <f t="shared" si="11"/>
        <v>31555.248438168313</v>
      </c>
      <c r="AO8" s="2">
        <f t="shared" si="12"/>
        <v>1187.5</v>
      </c>
    </row>
    <row r="9" spans="2:41" x14ac:dyDescent="0.2">
      <c r="B9" s="6" t="s">
        <v>95</v>
      </c>
      <c r="C9" s="17">
        <v>4.3326186829805096</v>
      </c>
      <c r="D9" s="6" t="s">
        <v>8</v>
      </c>
      <c r="F9" t="s">
        <v>19</v>
      </c>
      <c r="G9" s="6">
        <f xml:space="preserve"> $C$5 * $C$44 / $C$18</f>
        <v>5444.2756210630951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2248.9213951265915</v>
      </c>
      <c r="P9" s="6" t="s">
        <v>20</v>
      </c>
      <c r="U9" s="2">
        <v>5</v>
      </c>
      <c r="V9" s="2">
        <f t="shared" si="7"/>
        <v>6.25E-2</v>
      </c>
      <c r="W9" s="2">
        <f t="shared" si="0"/>
        <v>3.8348121571667171E-4</v>
      </c>
      <c r="X9" s="2">
        <f t="shared" si="8"/>
        <v>9.375E-2</v>
      </c>
      <c r="Y9" s="2">
        <f t="shared" si="1"/>
        <v>-3.0910730869726427E-2</v>
      </c>
      <c r="Z9" s="2">
        <f t="shared" si="3"/>
        <v>7.8125E-2</v>
      </c>
      <c r="AA9" s="2">
        <f t="shared" si="2"/>
        <v>-1.5261542331396635E-2</v>
      </c>
      <c r="AB9" s="2">
        <f t="shared" si="4"/>
        <v>-5.8525148069554303E-6</v>
      </c>
      <c r="AC9" s="2">
        <f t="shared" si="5"/>
        <v>4.7174542766273859E-4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-485.22935736523505</v>
      </c>
      <c r="AI9" s="2">
        <f t="shared" si="14"/>
        <v>2281.25</v>
      </c>
      <c r="AJ9" s="2">
        <v>53.724167968496886</v>
      </c>
      <c r="AK9" s="2">
        <f t="shared" si="9"/>
        <v>1984.375</v>
      </c>
      <c r="AL9" s="2">
        <v>-215.12638102119649</v>
      </c>
      <c r="AM9" s="2">
        <f t="shared" si="10"/>
        <v>104385.63561522387</v>
      </c>
      <c r="AN9" s="2">
        <f t="shared" si="11"/>
        <v>-11557.485828437621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58.456021655634387</v>
      </c>
      <c r="H10" s="6" t="s">
        <v>101</v>
      </c>
      <c r="N10" s="6" t="s">
        <v>113</v>
      </c>
      <c r="O10" s="6">
        <f>O7/(0.3048^2)/($C$5*2.20462/1000)^(2/3)</f>
        <v>3.7014867746952285</v>
      </c>
      <c r="U10" s="2">
        <v>6</v>
      </c>
      <c r="V10" s="2">
        <f t="shared" si="7"/>
        <v>6.25E-2</v>
      </c>
      <c r="W10" s="2">
        <f t="shared" si="0"/>
        <v>3.8348121571667171E-4</v>
      </c>
      <c r="X10" s="2">
        <f t="shared" si="8"/>
        <v>7.8125E-2</v>
      </c>
      <c r="Y10" s="2">
        <f t="shared" si="1"/>
        <v>-1.5261542331396635E-2</v>
      </c>
      <c r="Z10" s="2">
        <f t="shared" si="3"/>
        <v>7.03125E-2</v>
      </c>
      <c r="AA10" s="2">
        <f t="shared" si="2"/>
        <v>-7.4385007398601599E-3</v>
      </c>
      <c r="AB10" s="2">
        <f t="shared" si="4"/>
        <v>-2.8525253068309363E-6</v>
      </c>
      <c r="AC10" s="2">
        <f t="shared" si="5"/>
        <v>1.1352299392350103E-4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-215.12638102119649</v>
      </c>
      <c r="AI10" s="2">
        <f t="shared" si="14"/>
        <v>2281.25</v>
      </c>
      <c r="AJ10" s="2">
        <v>53.724167968496886</v>
      </c>
      <c r="AK10" s="2">
        <f t="shared" si="9"/>
        <v>2132.8125</v>
      </c>
      <c r="AL10" s="2">
        <v>-80.538534078845714</v>
      </c>
      <c r="AM10" s="2">
        <f t="shared" si="10"/>
        <v>17325.963369134381</v>
      </c>
      <c r="AN10" s="2">
        <f t="shared" si="11"/>
        <v>-4326.8657327884175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9.5020802598820726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6.25E-2</v>
      </c>
      <c r="W11" s="2">
        <f t="shared" si="0"/>
        <v>3.8348121571667171E-4</v>
      </c>
      <c r="X11" s="2">
        <f t="shared" si="8"/>
        <v>7.03125E-2</v>
      </c>
      <c r="Y11" s="2">
        <f t="shared" si="1"/>
        <v>-7.4385007398601599E-3</v>
      </c>
      <c r="Z11" s="2">
        <f t="shared" si="3"/>
        <v>6.640625E-2</v>
      </c>
      <c r="AA11" s="2">
        <f t="shared" si="2"/>
        <v>-3.5273762465965475E-3</v>
      </c>
      <c r="AB11" s="2">
        <f t="shared" si="4"/>
        <v>-1.3526825313349543E-6</v>
      </c>
      <c r="AC11" s="2">
        <f t="shared" si="5"/>
        <v>2.6238390820073571E-5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-80.538534078845714</v>
      </c>
      <c r="AI11" s="2">
        <f t="shared" si="14"/>
        <v>2281.25</v>
      </c>
      <c r="AJ11" s="2">
        <v>53.724167968496886</v>
      </c>
      <c r="AK11" s="2">
        <f t="shared" si="9"/>
        <v>2207.03125</v>
      </c>
      <c r="AL11" s="2">
        <v>-13.36594929498483</v>
      </c>
      <c r="AM11" s="2">
        <f t="shared" si="10"/>
        <v>1076.4739627902595</v>
      </c>
      <c r="AN11" s="2">
        <f t="shared" si="11"/>
        <v>-718.07450498217759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233.82408662253755</v>
      </c>
      <c r="H12" s="25" t="s">
        <v>101</v>
      </c>
      <c r="J12" s="10" t="s">
        <v>79</v>
      </c>
      <c r="K12" s="6">
        <f>C5</f>
        <v>2221.8152377809702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6.25E-2</v>
      </c>
      <c r="W12" s="2">
        <f t="shared" si="0"/>
        <v>3.8348121571667171E-4</v>
      </c>
      <c r="X12" s="2">
        <f t="shared" si="8"/>
        <v>6.640625E-2</v>
      </c>
      <c r="Y12" s="2">
        <f t="shared" si="1"/>
        <v>-3.5273762465965475E-3</v>
      </c>
      <c r="Z12" s="2">
        <f t="shared" si="3"/>
        <v>6.4453125E-2</v>
      </c>
      <c r="AA12" s="2">
        <f t="shared" si="2"/>
        <v>-1.571914009676087E-3</v>
      </c>
      <c r="AB12" s="2">
        <f t="shared" si="4"/>
        <v>-6.0279949543265389E-7</v>
      </c>
      <c r="AC12" s="2">
        <f t="shared" si="5"/>
        <v>5.5447321394237649E-6</v>
      </c>
      <c r="AD12" s="2">
        <f t="shared" si="6"/>
        <v>3.90625E-3</v>
      </c>
      <c r="AF12" s="2">
        <v>8</v>
      </c>
      <c r="AG12" s="2">
        <f t="shared" si="13"/>
        <v>2207.03125</v>
      </c>
      <c r="AH12" s="2">
        <v>-13.36594929498483</v>
      </c>
      <c r="AI12" s="2">
        <f t="shared" si="14"/>
        <v>2281.25</v>
      </c>
      <c r="AJ12" s="2">
        <v>53.724167968496886</v>
      </c>
      <c r="AK12" s="2">
        <f t="shared" si="9"/>
        <v>2244.140625</v>
      </c>
      <c r="AL12" s="2">
        <v>20.189484595316571</v>
      </c>
      <c r="AM12" s="2">
        <f t="shared" si="10"/>
        <v>-269.85162739287864</v>
      </c>
      <c r="AN12" s="2">
        <f t="shared" si="11"/>
        <v>1084.6632615961678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514.19049374856604</v>
      </c>
      <c r="L13" s="6" t="s">
        <v>7</v>
      </c>
      <c r="N13" s="6" t="s">
        <v>74</v>
      </c>
      <c r="O13" s="6">
        <f xml:space="preserve"> SQRT( ($C$5*$C$50)^2 + O9^2)</f>
        <v>21890.845584500421</v>
      </c>
      <c r="P13" s="6" t="s">
        <v>20</v>
      </c>
      <c r="U13" s="2">
        <v>9</v>
      </c>
      <c r="V13" s="2">
        <f t="shared" si="7"/>
        <v>6.25E-2</v>
      </c>
      <c r="W13" s="2">
        <f t="shared" si="0"/>
        <v>3.8348121571667171E-4</v>
      </c>
      <c r="X13" s="2">
        <f t="shared" si="8"/>
        <v>6.4453125E-2</v>
      </c>
      <c r="Y13" s="2">
        <f t="shared" si="1"/>
        <v>-1.571914009676087E-3</v>
      </c>
      <c r="Z13" s="2">
        <f t="shared" si="3"/>
        <v>6.34765625E-2</v>
      </c>
      <c r="AA13" s="2">
        <f t="shared" si="2"/>
        <v>-5.9420800504106364E-4</v>
      </c>
      <c r="AB13" s="2">
        <f t="shared" si="4"/>
        <v>-2.2786760816172526E-7</v>
      </c>
      <c r="AC13" s="2">
        <f t="shared" si="5"/>
        <v>9.3404388778572686E-7</v>
      </c>
      <c r="AD13" s="2">
        <f t="shared" si="6"/>
        <v>1.953125E-3</v>
      </c>
      <c r="AF13" s="2">
        <v>9</v>
      </c>
      <c r="AG13" s="2">
        <f t="shared" si="13"/>
        <v>2207.03125</v>
      </c>
      <c r="AH13" s="2">
        <v>-13.36594929498483</v>
      </c>
      <c r="AI13" s="2">
        <f t="shared" si="14"/>
        <v>2244.140625</v>
      </c>
      <c r="AJ13" s="2">
        <v>20.189484595316571</v>
      </c>
      <c r="AK13" s="2">
        <f t="shared" si="9"/>
        <v>2225.5859375</v>
      </c>
      <c r="AL13" s="2">
        <v>3.4143576243370717</v>
      </c>
      <c r="AM13" s="2">
        <f t="shared" si="10"/>
        <v>-45.636130881834163</v>
      </c>
      <c r="AN13" s="2">
        <f t="shared" si="11"/>
        <v>68.93412065945499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>uniform_250!K14</f>
        <v>219.32823936115139</v>
      </c>
      <c r="L14" s="6" t="s">
        <v>7</v>
      </c>
      <c r="N14" s="6" t="s">
        <v>75</v>
      </c>
      <c r="O14" s="6">
        <f>$C$5*$C$50/O13</f>
        <v>0.99470892464886318</v>
      </c>
      <c r="U14" s="2">
        <v>10</v>
      </c>
      <c r="V14" s="2">
        <f t="shared" si="7"/>
        <v>6.25E-2</v>
      </c>
      <c r="W14" s="2">
        <f t="shared" si="0"/>
        <v>3.8348121571667171E-4</v>
      </c>
      <c r="X14" s="2">
        <f t="shared" si="8"/>
        <v>6.34765625E-2</v>
      </c>
      <c r="Y14" s="2">
        <f t="shared" si="1"/>
        <v>-5.9420800504106364E-4</v>
      </c>
      <c r="Z14" s="2">
        <f t="shared" si="3"/>
        <v>6.298828125E-2</v>
      </c>
      <c r="AA14" s="2">
        <f t="shared" si="2"/>
        <v>-1.0536129476326761E-4</v>
      </c>
      <c r="AB14" s="2">
        <f t="shared" si="4"/>
        <v>-4.0404077405300458E-8</v>
      </c>
      <c r="AC14" s="2">
        <f t="shared" si="5"/>
        <v>6.2606524769824709E-8</v>
      </c>
      <c r="AD14" s="2">
        <f t="shared" si="6"/>
        <v>9.765625E-4</v>
      </c>
      <c r="AF14" s="2">
        <v>10</v>
      </c>
      <c r="AG14" s="2">
        <f t="shared" si="13"/>
        <v>2207.03125</v>
      </c>
      <c r="AH14" s="2">
        <v>-13.36594929498483</v>
      </c>
      <c r="AI14" s="2">
        <f t="shared" si="14"/>
        <v>2225.5859375</v>
      </c>
      <c r="AJ14" s="2">
        <v>3.4143576243370717</v>
      </c>
      <c r="AK14" s="2">
        <f t="shared" si="9"/>
        <v>2216.30859375</v>
      </c>
      <c r="AL14" s="2">
        <v>-4.9751507445080279</v>
      </c>
      <c r="AM14" s="2">
        <f t="shared" si="10"/>
        <v>66.497612586000329</v>
      </c>
      <c r="AN14" s="2">
        <f t="shared" si="11"/>
        <v>-16.986943876737243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uniform_250!K15</f>
        <v>401.58932914605032</v>
      </c>
      <c r="L15" s="6" t="s">
        <v>7</v>
      </c>
      <c r="U15" s="2">
        <v>11</v>
      </c>
      <c r="V15" s="2">
        <f t="shared" si="7"/>
        <v>6.25E-2</v>
      </c>
      <c r="W15" s="2">
        <f t="shared" si="0"/>
        <v>3.8348121571667171E-4</v>
      </c>
      <c r="X15" s="2">
        <f t="shared" si="8"/>
        <v>6.298828125E-2</v>
      </c>
      <c r="Y15" s="2">
        <f t="shared" si="1"/>
        <v>-1.0536129476326761E-4</v>
      </c>
      <c r="Z15" s="2">
        <f t="shared" si="3"/>
        <v>6.2744140625E-2</v>
      </c>
      <c r="AA15" s="2">
        <f t="shared" si="2"/>
        <v>1.3906048568927687E-4</v>
      </c>
      <c r="AB15" s="2">
        <f t="shared" si="4"/>
        <v>5.3327084110274722E-8</v>
      </c>
      <c r="AC15" s="2">
        <f t="shared" si="5"/>
        <v>-1.4651592822631058E-8</v>
      </c>
      <c r="AD15" s="2">
        <f t="shared" si="6"/>
        <v>4.8828125E-4</v>
      </c>
      <c r="AF15" s="2">
        <v>11</v>
      </c>
      <c r="AG15" s="2">
        <f t="shared" si="13"/>
        <v>2216.30859375</v>
      </c>
      <c r="AH15" s="2">
        <v>-4.9751507445080279</v>
      </c>
      <c r="AI15" s="2">
        <f t="shared" si="14"/>
        <v>2225.5859375</v>
      </c>
      <c r="AJ15" s="2">
        <v>3.4143576243370717</v>
      </c>
      <c r="AK15" s="2">
        <f t="shared" si="9"/>
        <v>2220.947265625</v>
      </c>
      <c r="AL15" s="2">
        <v>-0.78023855743117565</v>
      </c>
      <c r="AM15" s="2">
        <f t="shared" si="10"/>
        <v>3.8818044398975831</v>
      </c>
      <c r="AN15" s="2">
        <f t="shared" si="11"/>
        <v>-2.6640134673668929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120.44963946712333</v>
      </c>
      <c r="H16" s="6" t="s">
        <v>10</v>
      </c>
      <c r="J16" s="13" t="s">
        <v>53</v>
      </c>
      <c r="K16" s="6">
        <f>uniform_250!K16</f>
        <v>92.440966694809006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6.2744140625E-2</v>
      </c>
      <c r="W16" s="2">
        <f t="shared" si="0"/>
        <v>1.3906048568927687E-4</v>
      </c>
      <c r="X16" s="2">
        <f t="shared" si="8"/>
        <v>6.298828125E-2</v>
      </c>
      <c r="Y16" s="2">
        <f t="shared" si="1"/>
        <v>-1.0536129476326761E-4</v>
      </c>
      <c r="Z16" s="2">
        <f t="shared" si="3"/>
        <v>6.28662109375E-2</v>
      </c>
      <c r="AA16" s="2">
        <f t="shared" si="2"/>
        <v>1.684972673647589E-5</v>
      </c>
      <c r="AB16" s="2">
        <f t="shared" si="4"/>
        <v>2.3431311837059311E-9</v>
      </c>
      <c r="AC16" s="2">
        <f t="shared" si="5"/>
        <v>-1.7753090253623473E-9</v>
      </c>
      <c r="AD16" s="2">
        <f t="shared" si="6"/>
        <v>2.44140625E-4</v>
      </c>
      <c r="AF16" s="2">
        <v>12</v>
      </c>
      <c r="AG16" s="2">
        <f t="shared" si="13"/>
        <v>2220.947265625</v>
      </c>
      <c r="AH16" s="2">
        <v>-0.78023855743117565</v>
      </c>
      <c r="AI16" s="2">
        <f t="shared" si="14"/>
        <v>2225.5859375</v>
      </c>
      <c r="AJ16" s="2">
        <v>3.4143576243370717</v>
      </c>
      <c r="AK16" s="2">
        <f t="shared" si="9"/>
        <v>2223.2666015625</v>
      </c>
      <c r="AL16" s="2">
        <v>1.317098443483701</v>
      </c>
      <c r="AM16" s="2">
        <f t="shared" si="10"/>
        <v>-1.0276509895385697</v>
      </c>
      <c r="AN16" s="2">
        <f t="shared" si="11"/>
        <v>4.4970451125110644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0.36201311963971544</v>
      </c>
      <c r="H17" s="6" t="s">
        <v>122</v>
      </c>
      <c r="J17" s="13" t="s">
        <v>77</v>
      </c>
      <c r="K17" s="6">
        <f>uniform_250!K17</f>
        <v>49.6794531021214</v>
      </c>
      <c r="L17" s="6" t="s">
        <v>7</v>
      </c>
      <c r="N17" s="6" t="s">
        <v>25</v>
      </c>
      <c r="O17" s="6">
        <f xml:space="preserve"> ACOS(O14)/PI()*180</f>
        <v>5.8965947289833442</v>
      </c>
      <c r="P17" s="6" t="s">
        <v>40</v>
      </c>
      <c r="U17" s="2">
        <v>13</v>
      </c>
      <c r="V17" s="2">
        <f t="shared" si="7"/>
        <v>6.28662109375E-2</v>
      </c>
      <c r="W17" s="2">
        <f t="shared" si="0"/>
        <v>1.684972673647589E-5</v>
      </c>
      <c r="X17" s="2">
        <f t="shared" si="8"/>
        <v>6.298828125E-2</v>
      </c>
      <c r="Y17" s="2">
        <f t="shared" si="1"/>
        <v>-1.0536129476326761E-4</v>
      </c>
      <c r="Z17" s="2">
        <f t="shared" si="3"/>
        <v>6.292724609375E-2</v>
      </c>
      <c r="AA17" s="2">
        <f t="shared" si="2"/>
        <v>-4.4255751198735149E-5</v>
      </c>
      <c r="AB17" s="2">
        <f t="shared" si="4"/>
        <v>-7.4569731421615254E-10</v>
      </c>
      <c r="AC17" s="2">
        <f t="shared" si="5"/>
        <v>4.6628432470197681E-9</v>
      </c>
      <c r="AD17" s="2">
        <f t="shared" si="6"/>
        <v>1.220703125E-4</v>
      </c>
      <c r="AF17" s="2">
        <v>13</v>
      </c>
      <c r="AG17" s="2">
        <f t="shared" si="13"/>
        <v>2220.947265625</v>
      </c>
      <c r="AH17" s="2">
        <v>-0.78023855743117565</v>
      </c>
      <c r="AI17" s="2">
        <f t="shared" si="14"/>
        <v>2223.2666015625</v>
      </c>
      <c r="AJ17" s="2">
        <v>1.317098443483701</v>
      </c>
      <c r="AK17" s="2">
        <f t="shared" si="9"/>
        <v>2222.10693359375</v>
      </c>
      <c r="AL17" s="2">
        <v>0.26844441751995873</v>
      </c>
      <c r="AM17" s="2">
        <f t="shared" si="10"/>
        <v>-0.20945068507622483</v>
      </c>
      <c r="AN17" s="2">
        <f t="shared" si="11"/>
        <v>0.3535677244774264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5472.7113961251052</v>
      </c>
      <c r="H18" s="6" t="s">
        <v>20</v>
      </c>
      <c r="J18" s="14" t="s">
        <v>60</v>
      </c>
      <c r="K18" s="6">
        <f>uniform_250!K18</f>
        <v>137.93600889298654</v>
      </c>
      <c r="L18" s="6" t="s">
        <v>7</v>
      </c>
      <c r="N18" s="6" t="s">
        <v>19</v>
      </c>
      <c r="O18" s="6">
        <f xml:space="preserve"> O13 / $C$18</f>
        <v>5472.7113961251052</v>
      </c>
      <c r="P18" s="6" t="s">
        <v>20</v>
      </c>
      <c r="U18" s="2">
        <v>14</v>
      </c>
      <c r="V18" s="2">
        <f t="shared" si="7"/>
        <v>6.28662109375E-2</v>
      </c>
      <c r="W18" s="2">
        <f t="shared" si="0"/>
        <v>1.684972673647589E-5</v>
      </c>
      <c r="X18" s="2">
        <f t="shared" si="8"/>
        <v>6.292724609375E-2</v>
      </c>
      <c r="Y18" s="2">
        <f t="shared" si="1"/>
        <v>-4.4255751198735149E-5</v>
      </c>
      <c r="Z18" s="2">
        <f t="shared" si="3"/>
        <v>6.2896728515625E-2</v>
      </c>
      <c r="AA18" s="2">
        <f t="shared" si="2"/>
        <v>-1.370300402700475E-5</v>
      </c>
      <c r="AB18" s="2">
        <f t="shared" si="4"/>
        <v>-2.3089187332385872E-10</v>
      </c>
      <c r="AC18" s="2">
        <f t="shared" si="5"/>
        <v>6.0643673689438811E-10</v>
      </c>
      <c r="AD18" s="2">
        <f t="shared" si="6"/>
        <v>6.103515625E-5</v>
      </c>
      <c r="AF18" s="2">
        <v>14</v>
      </c>
      <c r="AG18" s="2">
        <f t="shared" si="13"/>
        <v>2220.947265625</v>
      </c>
      <c r="AH18" s="2">
        <v>-0.78023855743117565</v>
      </c>
      <c r="AI18" s="2">
        <f t="shared" si="14"/>
        <v>2222.10693359375</v>
      </c>
      <c r="AJ18" s="2">
        <v>0.26844441751995873</v>
      </c>
      <c r="AK18" s="2">
        <f t="shared" si="9"/>
        <v>2221.527099609375</v>
      </c>
      <c r="AL18" s="2">
        <v>-0.25589415669560367</v>
      </c>
      <c r="AM18" s="2">
        <f t="shared" si="10"/>
        <v>0.19965848767524502</v>
      </c>
      <c r="AN18" s="2">
        <f t="shared" si="11"/>
        <v>-6.8693357840912378E-2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59.238083616338379</v>
      </c>
      <c r="H19" s="6" t="s">
        <v>101</v>
      </c>
      <c r="J19" s="14" t="s">
        <v>61</v>
      </c>
      <c r="K19" s="6">
        <f>uniform_250!K19</f>
        <v>33.792967117606707</v>
      </c>
      <c r="L19" s="6" t="s">
        <v>7</v>
      </c>
      <c r="N19" s="6" t="s">
        <v>26</v>
      </c>
      <c r="O19" s="6">
        <f>$C$7*2*PI()/60</f>
        <v>27.800655511244578</v>
      </c>
      <c r="P19" s="6" t="s">
        <v>27</v>
      </c>
      <c r="U19" s="2">
        <v>15</v>
      </c>
      <c r="V19" s="2">
        <f t="shared" si="7"/>
        <v>6.28662109375E-2</v>
      </c>
      <c r="W19" s="2">
        <f t="shared" si="0"/>
        <v>1.684972673647589E-5</v>
      </c>
      <c r="X19" s="2">
        <f t="shared" si="8"/>
        <v>6.2896728515625E-2</v>
      </c>
      <c r="Y19" s="2">
        <f t="shared" si="1"/>
        <v>-1.370300402700475E-5</v>
      </c>
      <c r="Z19" s="2">
        <f t="shared" si="3"/>
        <v>6.28814697265625E-2</v>
      </c>
      <c r="AA19" s="2">
        <f t="shared" si="2"/>
        <v>1.5733634058240353E-6</v>
      </c>
      <c r="AB19" s="2">
        <f t="shared" si="4"/>
        <v>2.6510743445306014E-11</v>
      </c>
      <c r="AC19" s="2">
        <f t="shared" si="5"/>
        <v>-2.1559805085948665E-11</v>
      </c>
      <c r="AD19" s="2">
        <f t="shared" si="6"/>
        <v>3.0517578125E-5</v>
      </c>
      <c r="AF19" s="2">
        <v>15</v>
      </c>
      <c r="AG19" s="2">
        <f t="shared" si="13"/>
        <v>2221.527099609375</v>
      </c>
      <c r="AH19" s="2">
        <v>-0.25589415669560367</v>
      </c>
      <c r="AI19" s="2">
        <f t="shared" si="14"/>
        <v>2222.10693359375</v>
      </c>
      <c r="AJ19" s="2">
        <v>0.26844441751995873</v>
      </c>
      <c r="AK19" s="2">
        <f t="shared" si="9"/>
        <v>2221.8170166015625</v>
      </c>
      <c r="AL19" s="2">
        <v>6.2744759932229499E-3</v>
      </c>
      <c r="AM19" s="2">
        <f t="shared" si="10"/>
        <v>-1.605601742992597E-3</v>
      </c>
      <c r="AN19" s="2">
        <f t="shared" si="11"/>
        <v>1.6843480532436994E-3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9.4265100459983966</v>
      </c>
      <c r="H20" s="6" t="s">
        <v>147</v>
      </c>
      <c r="J20" s="14" t="s">
        <v>62</v>
      </c>
      <c r="K20" s="6">
        <f>uniform_250!K20</f>
        <v>0</v>
      </c>
      <c r="L20" s="6" t="s">
        <v>7</v>
      </c>
      <c r="N20" s="6" t="s">
        <v>28</v>
      </c>
      <c r="O20" s="6">
        <f xml:space="preserve"> $C$8 * COS(O17/180*PI()) / (O19 * $C$9)</f>
        <v>0.55376837943512669</v>
      </c>
      <c r="U20" s="2">
        <v>16</v>
      </c>
      <c r="V20" s="2">
        <f t="shared" si="7"/>
        <v>6.28814697265625E-2</v>
      </c>
      <c r="W20" s="2">
        <f t="shared" si="0"/>
        <v>1.5733634058240353E-6</v>
      </c>
      <c r="X20" s="2">
        <f t="shared" si="8"/>
        <v>6.2896728515625E-2</v>
      </c>
      <c r="Y20" s="2">
        <f t="shared" si="1"/>
        <v>-1.370300402700475E-5</v>
      </c>
      <c r="Z20" s="2">
        <f t="shared" si="3"/>
        <v>6.288909912109375E-2</v>
      </c>
      <c r="AA20" s="2">
        <f t="shared" si="2"/>
        <v>-6.0648197978269147E-6</v>
      </c>
      <c r="AB20" s="2">
        <f t="shared" si="4"/>
        <v>-9.5421655328179915E-12</v>
      </c>
      <c r="AC20" s="2">
        <f t="shared" si="5"/>
        <v>8.3106250112680344E-11</v>
      </c>
      <c r="AD20" s="2">
        <f t="shared" si="6"/>
        <v>1.52587890625E-5</v>
      </c>
      <c r="AF20" s="2">
        <v>16</v>
      </c>
      <c r="AG20" s="2">
        <f t="shared" si="13"/>
        <v>2221.527099609375</v>
      </c>
      <c r="AH20" s="2">
        <v>-0.25589415669560367</v>
      </c>
      <c r="AI20" s="2">
        <f t="shared" si="14"/>
        <v>2221.8170166015625</v>
      </c>
      <c r="AJ20" s="2">
        <v>6.2744759932229499E-3</v>
      </c>
      <c r="AK20" s="2">
        <f t="shared" si="9"/>
        <v>2221.6720581054688</v>
      </c>
      <c r="AL20" s="2">
        <v>-0.12481069620730523</v>
      </c>
      <c r="AM20" s="2">
        <f t="shared" si="10"/>
        <v>3.1938327852559553E-2</v>
      </c>
      <c r="AN20" s="2">
        <f t="shared" si="11"/>
        <v>-7.8312171705017934E-4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0.10329119580167345</v>
      </c>
      <c r="J21" s="14" t="s">
        <v>63</v>
      </c>
      <c r="K21" s="6">
        <f>uniform_250!K21</f>
        <v>0</v>
      </c>
      <c r="L21" s="6" t="s">
        <v>7</v>
      </c>
      <c r="N21" s="6" t="s">
        <v>29</v>
      </c>
      <c r="O21" s="6">
        <f xml:space="preserve"> O18 / ($C$47 * PI() * $C$9^2 * O19^2 * $C$9^2)</f>
        <v>6.3422836335497914E-3</v>
      </c>
      <c r="U21" s="2">
        <v>17</v>
      </c>
      <c r="V21" s="2">
        <f t="shared" si="7"/>
        <v>6.28814697265625E-2</v>
      </c>
      <c r="W21" s="2">
        <f t="shared" si="0"/>
        <v>1.5733634058240353E-6</v>
      </c>
      <c r="X21" s="2">
        <f t="shared" si="8"/>
        <v>6.288909912109375E-2</v>
      </c>
      <c r="Y21" s="2">
        <f t="shared" si="1"/>
        <v>-6.0648197978269147E-6</v>
      </c>
      <c r="Z21" s="2">
        <f t="shared" si="3"/>
        <v>6.2885284423828125E-2</v>
      </c>
      <c r="AA21" s="2">
        <f t="shared" si="2"/>
        <v>-2.2457280678123137E-6</v>
      </c>
      <c r="AB21" s="2">
        <f t="shared" si="4"/>
        <v>-3.533346361327812E-12</v>
      </c>
      <c r="AC21" s="2">
        <f t="shared" si="5"/>
        <v>1.3619936046203704E-11</v>
      </c>
      <c r="AD21" s="2">
        <f t="shared" si="6"/>
        <v>7.62939453125E-6</v>
      </c>
      <c r="AF21" s="2">
        <v>17</v>
      </c>
      <c r="AG21" s="2">
        <f t="shared" si="13"/>
        <v>2221.6720581054688</v>
      </c>
      <c r="AH21" s="2">
        <v>-0.12481069620730523</v>
      </c>
      <c r="AI21" s="2">
        <f t="shared" si="14"/>
        <v>2221.8170166015625</v>
      </c>
      <c r="AJ21" s="2">
        <v>6.2744759932229499E-3</v>
      </c>
      <c r="AK21" s="2">
        <f t="shared" si="9"/>
        <v>2221.7445373535156</v>
      </c>
      <c r="AL21" s="2">
        <v>-5.9268324071354073E-2</v>
      </c>
      <c r="AM21" s="2">
        <f t="shared" si="10"/>
        <v>7.3973207903858884E-3</v>
      </c>
      <c r="AN21" s="2">
        <f t="shared" si="11"/>
        <v>-3.7187767654426902E-4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236.95233446535352</v>
      </c>
      <c r="H22" s="25" t="s">
        <v>101</v>
      </c>
      <c r="J22" s="14" t="s">
        <v>112</v>
      </c>
      <c r="K22" s="6">
        <f>uniform_250!K22</f>
        <v>24.546795098276387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6.28814697265625E-2</v>
      </c>
      <c r="W22" s="2">
        <f t="shared" si="0"/>
        <v>1.5733634058240353E-6</v>
      </c>
      <c r="X22" s="2">
        <f t="shared" si="8"/>
        <v>6.2885284423828125E-2</v>
      </c>
      <c r="Y22" s="2">
        <f t="shared" si="1"/>
        <v>-2.2457280678123137E-6</v>
      </c>
      <c r="Z22" s="2">
        <f t="shared" si="3"/>
        <v>6.2883377075195312E-2</v>
      </c>
      <c r="AA22" s="2">
        <f t="shared" si="2"/>
        <v>-3.3618229894338825E-7</v>
      </c>
      <c r="AB22" s="2">
        <f t="shared" si="4"/>
        <v>-5.2893692684332333E-13</v>
      </c>
      <c r="AC22" s="2">
        <f t="shared" si="5"/>
        <v>7.5497402463883687E-13</v>
      </c>
      <c r="AD22" s="2">
        <f t="shared" si="6"/>
        <v>3.814697265625E-6</v>
      </c>
      <c r="AF22" s="2">
        <v>18</v>
      </c>
      <c r="AG22" s="2">
        <f t="shared" si="13"/>
        <v>2221.7445373535156</v>
      </c>
      <c r="AH22" s="2">
        <v>-5.9268324071354073E-2</v>
      </c>
      <c r="AI22" s="2">
        <f t="shared" si="14"/>
        <v>2221.8170166015625</v>
      </c>
      <c r="AJ22" s="2">
        <v>6.2744759932229499E-3</v>
      </c>
      <c r="AK22" s="2">
        <f t="shared" si="9"/>
        <v>2221.7807769775391</v>
      </c>
      <c r="AL22" s="2">
        <v>-2.6494208919530138E-2</v>
      </c>
      <c r="AM22" s="2">
        <f t="shared" si="10"/>
        <v>1.5702673602568718E-3</v>
      </c>
      <c r="AN22" s="2">
        <f t="shared" si="11"/>
        <v>-1.6623727782502521E-4</v>
      </c>
      <c r="AO22" s="2">
        <f t="shared" si="12"/>
        <v>7.2479248046875E-2</v>
      </c>
    </row>
    <row r="23" spans="2:41" x14ac:dyDescent="0.2">
      <c r="J23" s="15" t="s">
        <v>64</v>
      </c>
      <c r="K23" s="6">
        <f>uniform_250!K23</f>
        <v>64.689394196561395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17223.821956372816</v>
      </c>
      <c r="P23" s="6" t="s">
        <v>18</v>
      </c>
      <c r="U23" s="2">
        <v>19</v>
      </c>
      <c r="V23" s="2">
        <f t="shared" si="7"/>
        <v>6.28814697265625E-2</v>
      </c>
      <c r="W23" s="2">
        <f t="shared" si="0"/>
        <v>1.5733634058240353E-6</v>
      </c>
      <c r="X23" s="2">
        <f t="shared" si="8"/>
        <v>6.2883377075195312E-2</v>
      </c>
      <c r="Y23" s="2">
        <f t="shared" si="1"/>
        <v>-3.3618229894338825E-7</v>
      </c>
      <c r="Z23" s="2">
        <f t="shared" si="3"/>
        <v>6.2882423400878906E-2</v>
      </c>
      <c r="AA23" s="2">
        <f t="shared" si="2"/>
        <v>6.18590561454746E-7</v>
      </c>
      <c r="AB23" s="2">
        <f t="shared" si="4"/>
        <v>9.7326775258104147E-13</v>
      </c>
      <c r="AC23" s="2">
        <f t="shared" si="5"/>
        <v>-2.079591970545378E-13</v>
      </c>
      <c r="AD23" s="2">
        <f t="shared" si="6"/>
        <v>1.9073486328125E-6</v>
      </c>
      <c r="AF23" s="2">
        <v>19</v>
      </c>
      <c r="AG23" s="2">
        <f t="shared" si="13"/>
        <v>2221.7807769775391</v>
      </c>
      <c r="AH23" s="2">
        <v>-2.6494208919530138E-2</v>
      </c>
      <c r="AI23" s="2">
        <f t="shared" si="14"/>
        <v>2221.8170166015625</v>
      </c>
      <c r="AJ23" s="2">
        <v>6.2744759932229499E-3</v>
      </c>
      <c r="AK23" s="2">
        <f t="shared" si="9"/>
        <v>2221.7988967895508</v>
      </c>
      <c r="AL23" s="2">
        <v>-1.0112648457607065E-2</v>
      </c>
      <c r="AM23" s="2">
        <f t="shared" si="10"/>
        <v>2.6792662096560579E-4</v>
      </c>
      <c r="AN23" s="2">
        <f t="shared" si="11"/>
        <v>-6.3451569975158623E-5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>uniform_250!K24</f>
        <v>8.9049202019502118</v>
      </c>
      <c r="L24" s="6" t="s">
        <v>7</v>
      </c>
      <c r="N24" s="6" t="s">
        <v>31</v>
      </c>
      <c r="O24" s="18">
        <f>Z34</f>
        <v>6.2883041333407164E-2</v>
      </c>
      <c r="U24" s="2">
        <v>20</v>
      </c>
      <c r="V24" s="2">
        <f t="shared" si="7"/>
        <v>6.2882423400878906E-2</v>
      </c>
      <c r="W24" s="2">
        <f t="shared" si="0"/>
        <v>6.18590561454746E-7</v>
      </c>
      <c r="X24" s="2">
        <f t="shared" si="8"/>
        <v>6.2883377075195312E-2</v>
      </c>
      <c r="Y24" s="2">
        <f t="shared" si="1"/>
        <v>-3.3618229894338825E-7</v>
      </c>
      <c r="Z24" s="2">
        <f t="shared" si="3"/>
        <v>6.2882900238037109E-2</v>
      </c>
      <c r="AA24" s="2">
        <f t="shared" si="2"/>
        <v>1.4120413326101922E-7</v>
      </c>
      <c r="AB24" s="2">
        <f t="shared" si="4"/>
        <v>8.7347544073664654E-14</v>
      </c>
      <c r="AC24" s="2">
        <f t="shared" si="5"/>
        <v>-4.7470330139997992E-14</v>
      </c>
      <c r="AD24" s="2">
        <f t="shared" si="6"/>
        <v>9.5367431640625E-7</v>
      </c>
      <c r="AF24" s="2">
        <v>20</v>
      </c>
      <c r="AG24" s="2">
        <f t="shared" si="13"/>
        <v>2221.7988967895508</v>
      </c>
      <c r="AH24" s="2">
        <v>-1.0112648457607065E-2</v>
      </c>
      <c r="AI24" s="2">
        <f t="shared" si="14"/>
        <v>2221.8170166015625</v>
      </c>
      <c r="AJ24" s="2">
        <v>6.2744759932229499E-3</v>
      </c>
      <c r="AK24" s="2">
        <f t="shared" si="9"/>
        <v>2221.8079566955566</v>
      </c>
      <c r="AL24" s="2">
        <v>-1.9190895784504391E-3</v>
      </c>
      <c r="AM24" s="2">
        <f t="shared" si="10"/>
        <v>1.9407078265526627E-5</v>
      </c>
      <c r="AN24" s="2">
        <f t="shared" si="11"/>
        <v>-1.2041281488831632E-5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uniform_250!K25</f>
        <v>19.310266924346688</v>
      </c>
      <c r="L25" s="6" t="s">
        <v>7</v>
      </c>
      <c r="N25" s="6" t="s">
        <v>32</v>
      </c>
      <c r="O25" s="6">
        <f xml:space="preserve"> O19 * $C$9 * O24 - $C$8 * SIN(O17/180*PI())</f>
        <v>0.68534756349888681</v>
      </c>
      <c r="P25" s="6" t="s">
        <v>10</v>
      </c>
      <c r="U25" s="2">
        <v>21</v>
      </c>
      <c r="V25" s="2">
        <f t="shared" si="7"/>
        <v>6.2882900238037109E-2</v>
      </c>
      <c r="W25" s="2">
        <f t="shared" si="0"/>
        <v>1.4120413326101922E-7</v>
      </c>
      <c r="X25" s="2">
        <f t="shared" si="8"/>
        <v>6.2883377075195312E-2</v>
      </c>
      <c r="Y25" s="2">
        <f t="shared" si="1"/>
        <v>-3.3618229894338825E-7</v>
      </c>
      <c r="Z25" s="2">
        <f t="shared" si="3"/>
        <v>6.2883138656616211E-2</v>
      </c>
      <c r="AA25" s="2">
        <f t="shared" si="2"/>
        <v>-9.7489082334645261E-8</v>
      </c>
      <c r="AB25" s="2">
        <f t="shared" si="4"/>
        <v>-1.3765861373475724E-14</v>
      </c>
      <c r="AC25" s="2">
        <f t="shared" si="5"/>
        <v>3.27741038211423E-14</v>
      </c>
      <c r="AD25" s="2">
        <f t="shared" si="6"/>
        <v>4.76837158203125E-7</v>
      </c>
      <c r="AF25" s="2">
        <v>21</v>
      </c>
      <c r="AG25" s="2">
        <f t="shared" si="13"/>
        <v>2221.8079566955566</v>
      </c>
      <c r="AH25" s="2">
        <v>-1.9190895784504391E-3</v>
      </c>
      <c r="AI25" s="2">
        <f t="shared" si="14"/>
        <v>2221.8170166015625</v>
      </c>
      <c r="AJ25" s="2">
        <v>6.2744759932229499E-3</v>
      </c>
      <c r="AK25" s="2">
        <f t="shared" si="9"/>
        <v>2221.8124866485596</v>
      </c>
      <c r="AL25" s="2">
        <v>2.1804610209983366E-3</v>
      </c>
      <c r="AM25" s="2">
        <f t="shared" si="10"/>
        <v>-4.1845000216153121E-6</v>
      </c>
      <c r="AN25" s="2">
        <f t="shared" si="11"/>
        <v>1.3681250330412466E-5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uniform_250!K26</f>
        <v>55.401737525717024</v>
      </c>
      <c r="L26" s="6" t="s">
        <v>7</v>
      </c>
      <c r="N26" s="6" t="s">
        <v>33</v>
      </c>
      <c r="O26" s="6">
        <f xml:space="preserve"> 1/$C$21 - O23 * SQRT( (2*$C$47*PI()*$C$9^2) / O18^3 )</f>
        <v>0.8693379657967254</v>
      </c>
      <c r="U26" s="2">
        <v>22</v>
      </c>
      <c r="V26" s="2">
        <f t="shared" si="7"/>
        <v>6.2882900238037109E-2</v>
      </c>
      <c r="W26" s="2">
        <f t="shared" si="0"/>
        <v>1.4120413326101922E-7</v>
      </c>
      <c r="X26" s="2">
        <f t="shared" si="8"/>
        <v>6.2883138656616211E-2</v>
      </c>
      <c r="Y26" s="2">
        <f t="shared" si="1"/>
        <v>-9.7489082334645261E-8</v>
      </c>
      <c r="Z26" s="2">
        <f t="shared" si="3"/>
        <v>6.288301944732666E-2</v>
      </c>
      <c r="AA26" s="2">
        <f t="shared" si="2"/>
        <v>2.1857525581148174E-8</v>
      </c>
      <c r="AB26" s="2">
        <f t="shared" si="4"/>
        <v>3.086372954916583E-15</v>
      </c>
      <c r="AC26" s="2">
        <f t="shared" si="5"/>
        <v>-2.1308701110121695E-15</v>
      </c>
      <c r="AD26" s="2">
        <f t="shared" si="6"/>
        <v>2.384185791015625E-7</v>
      </c>
      <c r="AF26" s="2">
        <v>22</v>
      </c>
      <c r="AG26" s="2">
        <f t="shared" si="13"/>
        <v>2221.8079566955566</v>
      </c>
      <c r="AH26" s="2">
        <v>-1.9190895784504391E-3</v>
      </c>
      <c r="AI26" s="2">
        <f t="shared" si="14"/>
        <v>2221.8124866485596</v>
      </c>
      <c r="AJ26" s="2">
        <v>2.1804610209983366E-3</v>
      </c>
      <c r="AK26" s="2">
        <f t="shared" si="9"/>
        <v>2221.8102216720581</v>
      </c>
      <c r="AL26" s="2">
        <v>1.3068551038486476E-4</v>
      </c>
      <c r="AM26" s="2">
        <f t="shared" si="10"/>
        <v>-2.5079720103407058E-7</v>
      </c>
      <c r="AN26" s="2">
        <f t="shared" si="11"/>
        <v>2.8495466140347095E-7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4.6657708269322029E-3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6.288301944732666E-2</v>
      </c>
      <c r="W27" s="2">
        <f t="shared" si="0"/>
        <v>2.1857525581148174E-8</v>
      </c>
      <c r="X27" s="2">
        <f t="shared" si="8"/>
        <v>6.2883138656616211E-2</v>
      </c>
      <c r="Y27" s="2">
        <f t="shared" si="1"/>
        <v>-9.7489082334645261E-8</v>
      </c>
      <c r="Z27" s="2">
        <f t="shared" si="3"/>
        <v>6.2883079051971436E-2</v>
      </c>
      <c r="AA27" s="2">
        <f t="shared" si="2"/>
        <v>-3.7815778342054074E-8</v>
      </c>
      <c r="AB27" s="2">
        <f t="shared" si="4"/>
        <v>-8.2655934248247603E-16</v>
      </c>
      <c r="AC27" s="2">
        <f t="shared" si="5"/>
        <v>3.6866255283372048E-15</v>
      </c>
      <c r="AD27" s="2">
        <f t="shared" si="6"/>
        <v>1.1920928955078125E-7</v>
      </c>
      <c r="AF27" s="2">
        <v>23</v>
      </c>
      <c r="AG27" s="2">
        <f t="shared" si="13"/>
        <v>2221.8079566955566</v>
      </c>
      <c r="AH27" s="2">
        <v>-1.9190895784504391E-3</v>
      </c>
      <c r="AI27" s="2">
        <f t="shared" si="14"/>
        <v>2221.8102216720581</v>
      </c>
      <c r="AJ27" s="2">
        <v>1.3068551038486476E-4</v>
      </c>
      <c r="AK27" s="2">
        <f t="shared" si="9"/>
        <v>2221.8090891838074</v>
      </c>
      <c r="AL27" s="2">
        <v>-8.914334405289992E-4</v>
      </c>
      <c r="AM27" s="2">
        <f t="shared" si="10"/>
        <v>1.7107406256014216E-6</v>
      </c>
      <c r="AN27" s="2">
        <f t="shared" si="11"/>
        <v>-1.1649743414966825E-7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5444.2756210630951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1.1500073473664116</v>
      </c>
      <c r="U28" s="2">
        <v>24</v>
      </c>
      <c r="V28" s="2">
        <f t="shared" si="7"/>
        <v>6.288301944732666E-2</v>
      </c>
      <c r="W28" s="2">
        <f t="shared" si="0"/>
        <v>2.1857525581148174E-8</v>
      </c>
      <c r="X28" s="2">
        <f t="shared" si="8"/>
        <v>6.2883079051971436E-2</v>
      </c>
      <c r="Y28" s="2">
        <f t="shared" si="1"/>
        <v>-3.7815778342054074E-8</v>
      </c>
      <c r="Z28" s="2">
        <f t="shared" si="3"/>
        <v>6.2883049249649048E-2</v>
      </c>
      <c r="AA28" s="2">
        <f t="shared" si="2"/>
        <v>-7.9791263735140561E-9</v>
      </c>
      <c r="AB28" s="2">
        <f t="shared" si="4"/>
        <v>-1.7440395882429754E-16</v>
      </c>
      <c r="AC28" s="2">
        <f t="shared" si="5"/>
        <v>3.0173687430404528E-16</v>
      </c>
      <c r="AD28" s="2">
        <f t="shared" si="6"/>
        <v>5.9604644775390625E-8</v>
      </c>
      <c r="AF28" s="2">
        <v>24</v>
      </c>
      <c r="AG28" s="2">
        <f t="shared" si="13"/>
        <v>2221.8090891838074</v>
      </c>
      <c r="AH28" s="2">
        <v>-8.914334405289992E-4</v>
      </c>
      <c r="AI28" s="2">
        <f t="shared" si="14"/>
        <v>2221.8102216720581</v>
      </c>
      <c r="AJ28" s="2">
        <v>1.3068551038486476E-4</v>
      </c>
      <c r="AK28" s="2">
        <f t="shared" si="9"/>
        <v>2221.8096554279327</v>
      </c>
      <c r="AL28" s="2">
        <v>-3.8037397757761937E-4</v>
      </c>
      <c r="AM28" s="2">
        <f t="shared" si="10"/>
        <v>3.3907808351971763E-7</v>
      </c>
      <c r="AN28" s="2">
        <f t="shared" si="11"/>
        <v>-4.9709367396852293E-8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48.366284249789359</v>
      </c>
      <c r="H29" t="s">
        <v>18</v>
      </c>
      <c r="U29" s="2">
        <v>25</v>
      </c>
      <c r="V29" s="2">
        <f t="shared" si="7"/>
        <v>6.288301944732666E-2</v>
      </c>
      <c r="W29" s="2">
        <f t="shared" si="0"/>
        <v>2.1857525581148174E-8</v>
      </c>
      <c r="X29" s="2">
        <f t="shared" si="8"/>
        <v>6.2883049249649048E-2</v>
      </c>
      <c r="Y29" s="2">
        <f t="shared" si="1"/>
        <v>-7.9791263735140561E-9</v>
      </c>
      <c r="Z29" s="2">
        <f t="shared" si="3"/>
        <v>6.2883034348487854E-2</v>
      </c>
      <c r="AA29" s="2">
        <f t="shared" si="2"/>
        <v>6.9391996038170589E-9</v>
      </c>
      <c r="AB29" s="2">
        <f t="shared" si="4"/>
        <v>1.5167373285312464E-16</v>
      </c>
      <c r="AC29" s="2">
        <f t="shared" si="5"/>
        <v>-5.5368750569894982E-17</v>
      </c>
      <c r="AD29" s="2">
        <f t="shared" si="6"/>
        <v>2.9802322387695312E-8</v>
      </c>
      <c r="AF29" s="2">
        <v>25</v>
      </c>
      <c r="AG29" s="2">
        <f t="shared" si="13"/>
        <v>2221.8096554279327</v>
      </c>
      <c r="AH29" s="2">
        <v>-3.8037397757761937E-4</v>
      </c>
      <c r="AI29" s="2">
        <f t="shared" si="14"/>
        <v>2221.8102216720581</v>
      </c>
      <c r="AJ29" s="2">
        <v>1.3068551038486476E-4</v>
      </c>
      <c r="AK29" s="2">
        <f t="shared" si="9"/>
        <v>2221.8099385499954</v>
      </c>
      <c r="AL29" s="2">
        <v>-1.2484423677960876E-4</v>
      </c>
      <c r="AM29" s="2">
        <f t="shared" si="10"/>
        <v>4.7487498921501907E-8</v>
      </c>
      <c r="AN29" s="2">
        <f t="shared" si="11"/>
        <v>-1.6315332802152077E-8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11.484318426790489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6.2883034348487854E-2</v>
      </c>
      <c r="W30" s="2">
        <f t="shared" si="0"/>
        <v>6.9391996038170589E-9</v>
      </c>
      <c r="X30" s="2">
        <f t="shared" si="8"/>
        <v>6.2883049249649048E-2</v>
      </c>
      <c r="Y30" s="2">
        <f t="shared" si="1"/>
        <v>-7.9791263735140561E-9</v>
      </c>
      <c r="Z30" s="2">
        <f t="shared" si="3"/>
        <v>6.2883041799068451E-2</v>
      </c>
      <c r="AA30" s="2">
        <f t="shared" si="2"/>
        <v>-5.1996337790960467E-10</v>
      </c>
      <c r="AB30" s="2">
        <f t="shared" si="4"/>
        <v>-3.6081296659897084E-18</v>
      </c>
      <c r="AC30" s="2">
        <f t="shared" si="5"/>
        <v>4.148853501939983E-18</v>
      </c>
      <c r="AD30" s="2">
        <f t="shared" si="6"/>
        <v>1.4901161193847656E-8</v>
      </c>
      <c r="AF30" s="2">
        <v>26</v>
      </c>
      <c r="AG30" s="2">
        <f t="shared" si="13"/>
        <v>2221.8099385499954</v>
      </c>
      <c r="AH30" s="2">
        <v>-1.2484423677960876E-4</v>
      </c>
      <c r="AI30" s="2">
        <f t="shared" si="14"/>
        <v>2221.8102216720581</v>
      </c>
      <c r="AJ30" s="2">
        <v>1.3068551038486476E-4</v>
      </c>
      <c r="AK30" s="2">
        <f t="shared" si="9"/>
        <v>2221.8100801110268</v>
      </c>
      <c r="AL30" s="2">
        <v>1.5198929759208113E-7</v>
      </c>
      <c r="AM30" s="2">
        <f t="shared" si="10"/>
        <v>-1.8974987856552197E-11</v>
      </c>
      <c r="AN30" s="2">
        <f t="shared" si="11"/>
        <v>1.9862798928858218E-11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193.46513699915744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6.2883034348487854E-2</v>
      </c>
      <c r="W31" s="2">
        <f t="shared" si="0"/>
        <v>6.9391996038170589E-9</v>
      </c>
      <c r="X31" s="2">
        <f t="shared" si="8"/>
        <v>6.2883041799068451E-2</v>
      </c>
      <c r="Y31" s="2">
        <f t="shared" si="1"/>
        <v>-5.1996337790960467E-10</v>
      </c>
      <c r="Z31" s="2">
        <f t="shared" si="3"/>
        <v>6.2883038073778152E-2</v>
      </c>
      <c r="AA31" s="2">
        <f t="shared" si="2"/>
        <v>3.2096181129537271E-9</v>
      </c>
      <c r="AB31" s="2">
        <f t="shared" si="4"/>
        <v>2.2272180737812559E-17</v>
      </c>
      <c r="AC31" s="2">
        <f t="shared" si="5"/>
        <v>-1.668883875811271E-18</v>
      </c>
      <c r="AD31" s="2">
        <f t="shared" si="6"/>
        <v>7.4505805969238281E-9</v>
      </c>
      <c r="AF31" s="2">
        <v>27</v>
      </c>
      <c r="AG31" s="2">
        <f t="shared" si="13"/>
        <v>2221.8099385499954</v>
      </c>
      <c r="AH31" s="2">
        <v>-1.2484423677960876E-4</v>
      </c>
      <c r="AI31" s="2">
        <f t="shared" si="14"/>
        <v>2221.8100801110268</v>
      </c>
      <c r="AJ31" s="2">
        <v>1.5198929759208113E-7</v>
      </c>
      <c r="AK31" s="2">
        <f t="shared" si="9"/>
        <v>2221.8100093305111</v>
      </c>
      <c r="AL31" s="2">
        <v>-6.2346123513634666E-5</v>
      </c>
      <c r="AM31" s="2">
        <f t="shared" si="10"/>
        <v>7.7835542062269401E-9</v>
      </c>
      <c r="AN31" s="2">
        <f t="shared" si="11"/>
        <v>-9.475943520426466E-12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514.19000000000005</v>
      </c>
      <c r="L32" s="6" t="s">
        <v>7</v>
      </c>
      <c r="U32" s="2">
        <v>28</v>
      </c>
      <c r="V32" s="2">
        <f t="shared" si="7"/>
        <v>6.2883038073778152E-2</v>
      </c>
      <c r="W32" s="2">
        <f t="shared" si="0"/>
        <v>3.2096181129537271E-9</v>
      </c>
      <c r="X32" s="2">
        <f t="shared" si="8"/>
        <v>6.2883041799068451E-2</v>
      </c>
      <c r="Y32" s="2">
        <f t="shared" si="1"/>
        <v>-5.1996337790960467E-10</v>
      </c>
      <c r="Z32" s="2">
        <f t="shared" si="3"/>
        <v>6.2883039936423302E-2</v>
      </c>
      <c r="AA32" s="2">
        <f t="shared" si="2"/>
        <v>1.3448273605831673E-9</v>
      </c>
      <c r="AB32" s="2">
        <f t="shared" si="4"/>
        <v>4.316382255323487E-18</v>
      </c>
      <c r="AC32" s="2">
        <f t="shared" si="5"/>
        <v>-6.9926097711408162E-19</v>
      </c>
      <c r="AD32" s="2">
        <f t="shared" si="6"/>
        <v>3.7252902984619141E-9</v>
      </c>
      <c r="AF32" s="2">
        <v>28</v>
      </c>
      <c r="AG32" s="2">
        <f t="shared" si="13"/>
        <v>2221.8100093305111</v>
      </c>
      <c r="AH32" s="2">
        <v>-6.2346123513634666E-5</v>
      </c>
      <c r="AI32" s="2">
        <f t="shared" si="14"/>
        <v>2221.8100801110268</v>
      </c>
      <c r="AJ32" s="2">
        <v>1.5198929759208113E-7</v>
      </c>
      <c r="AK32" s="2">
        <f t="shared" si="9"/>
        <v>2221.8100447207689</v>
      </c>
      <c r="AL32" s="2">
        <v>-2.8328420512480079E-5</v>
      </c>
      <c r="AM32" s="2">
        <f t="shared" si="10"/>
        <v>1.7661672042172648E-9</v>
      </c>
      <c r="AN32" s="2">
        <f t="shared" si="11"/>
        <v>-4.3056167355849502E-12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763.04</v>
      </c>
      <c r="L33" s="6" t="s">
        <v>7</v>
      </c>
      <c r="U33" s="2">
        <v>29</v>
      </c>
      <c r="V33" s="2">
        <f t="shared" si="7"/>
        <v>6.2883039936423302E-2</v>
      </c>
      <c r="W33" s="2">
        <f t="shared" si="0"/>
        <v>1.3448273605831673E-9</v>
      </c>
      <c r="X33" s="2">
        <f t="shared" si="8"/>
        <v>6.2883041799068451E-2</v>
      </c>
      <c r="Y33" s="2">
        <f t="shared" si="1"/>
        <v>-5.1996337790960467E-10</v>
      </c>
      <c r="Z33" s="2">
        <f t="shared" si="3"/>
        <v>6.2883040867745876E-2</v>
      </c>
      <c r="AA33" s="2">
        <f t="shared" si="2"/>
        <v>4.1243199133678132E-10</v>
      </c>
      <c r="AB33" s="2">
        <f t="shared" si="4"/>
        <v>5.5464982632950336E-19</v>
      </c>
      <c r="AC33" s="2">
        <f t="shared" si="5"/>
        <v>-2.1444953137345763E-19</v>
      </c>
      <c r="AD33" s="2">
        <f t="shared" si="6"/>
        <v>1.862645149230957E-9</v>
      </c>
      <c r="AF33" s="2">
        <v>29</v>
      </c>
      <c r="AG33" s="2">
        <f t="shared" si="13"/>
        <v>2221.8100447207689</v>
      </c>
      <c r="AH33" s="2">
        <v>-2.8328420512480079E-5</v>
      </c>
      <c r="AI33" s="2">
        <f t="shared" si="14"/>
        <v>2221.8100801110268</v>
      </c>
      <c r="AJ33" s="2">
        <v>1.5198929759208113E-7</v>
      </c>
      <c r="AK33" s="2">
        <f t="shared" si="9"/>
        <v>2221.8100624158978</v>
      </c>
      <c r="AL33" s="2">
        <v>-1.4088215948504512E-5</v>
      </c>
      <c r="AM33" s="2">
        <f t="shared" si="10"/>
        <v>3.9909690565986422E-10</v>
      </c>
      <c r="AN33" s="2">
        <f t="shared" si="11"/>
        <v>-2.1412580463387558E-12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196.28</v>
      </c>
      <c r="L34" s="6" t="s">
        <v>7</v>
      </c>
      <c r="U34" s="2">
        <v>30</v>
      </c>
      <c r="V34" s="2">
        <f t="shared" si="7"/>
        <v>6.2883040867745876E-2</v>
      </c>
      <c r="W34" s="2">
        <f t="shared" si="0"/>
        <v>4.1243199133678132E-10</v>
      </c>
      <c r="X34" s="2">
        <f t="shared" si="8"/>
        <v>6.2883041799068451E-2</v>
      </c>
      <c r="Y34" s="2">
        <f t="shared" si="1"/>
        <v>-5.1996337790960467E-10</v>
      </c>
      <c r="Z34" s="2">
        <f t="shared" si="3"/>
        <v>6.2883041333407164E-2</v>
      </c>
      <c r="AA34" s="2">
        <f t="shared" si="2"/>
        <v>-5.3765700225305579E-11</v>
      </c>
      <c r="AB34" s="2">
        <f t="shared" si="4"/>
        <v>-2.2174694809539212E-20</v>
      </c>
      <c r="AC34" s="2">
        <f t="shared" si="5"/>
        <v>2.7956195104825082E-20</v>
      </c>
      <c r="AD34" s="2">
        <f>X34-V34</f>
        <v>9.3132257461547852E-10</v>
      </c>
      <c r="AF34" s="2">
        <v>30</v>
      </c>
      <c r="AG34" s="2">
        <f t="shared" si="13"/>
        <v>2221.8100624158978</v>
      </c>
      <c r="AH34" s="2">
        <v>-1.4088215948504512E-5</v>
      </c>
      <c r="AI34" s="2">
        <f t="shared" si="14"/>
        <v>2221.8100801110268</v>
      </c>
      <c r="AJ34" s="2">
        <v>1.5198929759208113E-7</v>
      </c>
      <c r="AK34" s="2">
        <f t="shared" si="9"/>
        <v>2221.8100712634623</v>
      </c>
      <c r="AL34" s="2">
        <v>-6.9681134391430533E-6</v>
      </c>
      <c r="AM34" s="2">
        <f t="shared" si="10"/>
        <v>9.8168286884323789E-11</v>
      </c>
      <c r="AN34" s="2">
        <f t="shared" si="11"/>
        <v>-1.0590786671572934E-12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236.95233446535352</v>
      </c>
      <c r="H35" s="25" t="s">
        <v>101</v>
      </c>
      <c r="J35" s="15" t="s">
        <v>70</v>
      </c>
      <c r="K35" s="6">
        <f>ROUND(SUM(K23:K26),2)</f>
        <v>148.31</v>
      </c>
      <c r="L35" s="6" t="s">
        <v>7</v>
      </c>
      <c r="AF35" s="2">
        <v>31</v>
      </c>
      <c r="AG35" s="2">
        <f t="shared" si="13"/>
        <v>2221.8100712634623</v>
      </c>
      <c r="AH35" s="2">
        <v>-6.9681134391430533E-6</v>
      </c>
      <c r="AI35" s="2">
        <f t="shared" si="14"/>
        <v>2221.8100801110268</v>
      </c>
      <c r="AJ35" s="2">
        <v>-6.9681134391430533E-6</v>
      </c>
      <c r="AK35" s="2">
        <f t="shared" si="9"/>
        <v>2221.8100756872445</v>
      </c>
      <c r="AL35" s="2">
        <v>-6.9681134391430533E-6</v>
      </c>
      <c r="AM35" s="2">
        <f t="shared" si="10"/>
        <v>4.8554604900766029E-11</v>
      </c>
      <c r="AN35" s="2">
        <f t="shared" si="11"/>
        <v>4.8554604900766029E-11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2221.8200000000002</v>
      </c>
      <c r="L36" s="6" t="s">
        <v>7</v>
      </c>
      <c r="AF36" s="2">
        <v>32</v>
      </c>
      <c r="AG36" s="2">
        <f t="shared" si="13"/>
        <v>2221.8100756872445</v>
      </c>
      <c r="AH36" s="2">
        <v>-3.4080619570886483E-6</v>
      </c>
      <c r="AI36" s="2">
        <f t="shared" si="14"/>
        <v>2221.8100756872445</v>
      </c>
      <c r="AJ36" s="2">
        <v>-6.9681134391430533E-6</v>
      </c>
      <c r="AK36" s="2">
        <f t="shared" si="9"/>
        <v>2221.8100756872445</v>
      </c>
      <c r="AL36" s="2">
        <v>-6.9681134391430533E-6</v>
      </c>
      <c r="AM36" s="2">
        <f t="shared" si="10"/>
        <v>2.3747762324621586E-11</v>
      </c>
      <c r="AN36" s="2">
        <f t="shared" si="11"/>
        <v>4.8554604900766029E-11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2221.8100756872445</v>
      </c>
      <c r="AH37" s="2">
        <v>-3.4080619570886483E-6</v>
      </c>
      <c r="AI37" s="2">
        <f t="shared" si="14"/>
        <v>2221.8100756872445</v>
      </c>
      <c r="AJ37" s="2">
        <v>-6.9681134391430533E-6</v>
      </c>
      <c r="AK37" s="2">
        <f t="shared" si="9"/>
        <v>2221.8100756872445</v>
      </c>
      <c r="AL37" s="2">
        <v>-6.9681134391430533E-6</v>
      </c>
      <c r="AM37" s="2">
        <f t="shared" si="10"/>
        <v>2.3747762324621586E-11</v>
      </c>
      <c r="AN37" s="2">
        <f t="shared" si="11"/>
        <v>4.8554604900766029E-11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2221.8100756872445</v>
      </c>
      <c r="AH38" s="2">
        <v>-3.4080619570886483E-6</v>
      </c>
      <c r="AI38" s="2">
        <f t="shared" si="14"/>
        <v>2221.8100756872445</v>
      </c>
      <c r="AJ38" s="2">
        <v>-6.9681134391430533E-6</v>
      </c>
      <c r="AK38" s="2">
        <f t="shared" si="9"/>
        <v>2221.8100756872445</v>
      </c>
      <c r="AL38" s="2">
        <v>-6.9681134391430533E-6</v>
      </c>
      <c r="AM38" s="2">
        <f t="shared" si="10"/>
        <v>2.3747762324621586E-11</v>
      </c>
      <c r="AN38" s="2">
        <f t="shared" si="11"/>
        <v>4.8554604900766029E-11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27</v>
      </c>
      <c r="L39" s="6" t="s">
        <v>58</v>
      </c>
      <c r="AF39" s="2">
        <v>35</v>
      </c>
      <c r="AG39" s="2">
        <f t="shared" si="13"/>
        <v>2221.8100756872445</v>
      </c>
      <c r="AH39" s="2">
        <v>-3.4080619570886483E-6</v>
      </c>
      <c r="AI39" s="2">
        <f t="shared" si="14"/>
        <v>2221.8100756872445</v>
      </c>
      <c r="AJ39" s="2">
        <v>-6.9681134391430533E-6</v>
      </c>
      <c r="AK39" s="2">
        <f t="shared" si="9"/>
        <v>2221.8100756872445</v>
      </c>
      <c r="AL39" s="2">
        <v>-6.9681134391430533E-6</v>
      </c>
      <c r="AM39" s="2">
        <f t="shared" si="10"/>
        <v>2.3747762324621586E-11</v>
      </c>
      <c r="AN39" s="2">
        <f t="shared" si="11"/>
        <v>4.8554604900766029E-11</v>
      </c>
      <c r="AO39" s="2">
        <f t="shared" si="12"/>
        <v>0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23.14</v>
      </c>
      <c r="L40" s="6" t="s">
        <v>58</v>
      </c>
      <c r="AF40" s="2">
        <v>36</v>
      </c>
      <c r="AG40" s="2">
        <f t="shared" si="13"/>
        <v>2221.8100756872445</v>
      </c>
      <c r="AH40" s="2">
        <v>-3.4080619570886483E-6</v>
      </c>
      <c r="AI40" s="2">
        <f t="shared" si="14"/>
        <v>2221.8100756872445</v>
      </c>
      <c r="AJ40" s="2">
        <v>-6.9681134391430533E-6</v>
      </c>
      <c r="AK40" s="2">
        <f t="shared" si="9"/>
        <v>2221.8100756872445</v>
      </c>
      <c r="AL40" s="2">
        <v>-6.9681134391430533E-6</v>
      </c>
      <c r="AM40" s="2">
        <f t="shared" si="10"/>
        <v>2.3747762324621586E-11</v>
      </c>
      <c r="AN40" s="2">
        <f t="shared" si="11"/>
        <v>4.8554604900766029E-11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34.340000000000003</v>
      </c>
      <c r="L41" s="6" t="s">
        <v>58</v>
      </c>
      <c r="AF41" s="2">
        <v>37</v>
      </c>
      <c r="AG41" s="2">
        <f t="shared" si="13"/>
        <v>2221.8100756872445</v>
      </c>
      <c r="AH41" s="2">
        <v>-3.4080619570886483E-6</v>
      </c>
      <c r="AI41" s="2">
        <f t="shared" si="14"/>
        <v>2221.8100756872445</v>
      </c>
      <c r="AJ41" s="2">
        <v>-6.9681134391430533E-6</v>
      </c>
      <c r="AK41" s="2">
        <f t="shared" si="9"/>
        <v>2221.8100756872445</v>
      </c>
      <c r="AL41" s="2">
        <v>-6.9681134391430533E-6</v>
      </c>
      <c r="AM41" s="2">
        <f t="shared" si="10"/>
        <v>2.3747762324621586E-11</v>
      </c>
      <c r="AN41" s="2">
        <f t="shared" si="11"/>
        <v>4.8554604900766029E-11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8.83</v>
      </c>
      <c r="L42" s="6" t="s">
        <v>58</v>
      </c>
      <c r="AF42" s="2">
        <v>38</v>
      </c>
      <c r="AG42" s="2">
        <f t="shared" si="13"/>
        <v>2221.8100756872445</v>
      </c>
      <c r="AH42" s="2">
        <v>-3.4080619570886483E-6</v>
      </c>
      <c r="AI42" s="2">
        <f t="shared" si="14"/>
        <v>2221.8100756872445</v>
      </c>
      <c r="AJ42" s="2">
        <v>-6.9681134391430533E-6</v>
      </c>
      <c r="AK42" s="2">
        <f t="shared" si="9"/>
        <v>2221.8100756872445</v>
      </c>
      <c r="AL42" s="2">
        <v>-6.9681134391430533E-6</v>
      </c>
      <c r="AM42" s="2">
        <f t="shared" si="10"/>
        <v>2.3747762324621586E-11</v>
      </c>
      <c r="AN42" s="2">
        <f t="shared" si="11"/>
        <v>4.8554604900766029E-11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6.68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2221.8100756872445</v>
      </c>
      <c r="AH43" s="2">
        <v>-3.4080619570886483E-6</v>
      </c>
      <c r="AI43" s="2">
        <f t="shared" si="14"/>
        <v>2221.8100756872445</v>
      </c>
      <c r="AJ43" s="2">
        <v>-6.9681134391430533E-6</v>
      </c>
      <c r="AK43" s="2">
        <f t="shared" si="9"/>
        <v>2221.8100756872445</v>
      </c>
      <c r="AL43" s="2">
        <v>-6.9681134391430533E-6</v>
      </c>
      <c r="AM43" s="2">
        <f t="shared" si="10"/>
        <v>2.3747762324621586E-11</v>
      </c>
      <c r="AN43" s="2">
        <f t="shared" si="11"/>
        <v>4.8554604900766029E-11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99.990000000000009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2221.8100756872445</v>
      </c>
      <c r="AH44" s="2">
        <v>-3.4080619570886483E-6</v>
      </c>
      <c r="AI44" s="2">
        <f t="shared" si="14"/>
        <v>2221.8100756872445</v>
      </c>
      <c r="AJ44" s="2">
        <v>-6.9681134391430533E-6</v>
      </c>
      <c r="AK44" s="5">
        <f>(AG44+AI44)/2</f>
        <v>2221.8100756872445</v>
      </c>
      <c r="AL44" s="2">
        <v>-6.9681134391430533E-6</v>
      </c>
      <c r="AM44" s="2">
        <f t="shared" si="10"/>
        <v>2.3747762324621586E-11</v>
      </c>
      <c r="AN44" s="2">
        <f t="shared" si="11"/>
        <v>4.8554604900766029E-11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1860.7129599962186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27</v>
      </c>
      <c r="L47" s="6" t="s">
        <v>58</v>
      </c>
      <c r="N47" s="6" t="s">
        <v>154</v>
      </c>
      <c r="O47" s="6">
        <f>0.377*O46^0.6945</f>
        <v>70.328876781166073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23.14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49.85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2912-0727-5D49-BD7C-4F809A12D10B}">
  <dimension ref="B1:AO56"/>
  <sheetViews>
    <sheetView topLeftCell="B2" workbookViewId="0">
      <selection activeCell="I15" sqref="I1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349.72276494608718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6.5034221814396276E-2</v>
      </c>
      <c r="X4" s="3">
        <v>1</v>
      </c>
      <c r="Y4" s="2">
        <f t="shared" ref="Y4:Y34" si="1" xml:space="preserve"> $O$20 * TAN($O$17/180*PI()) + $O$21 / (2 * SQRT($O$20^2 + X4^2)) - X4</f>
        <v>-0.93776338731198872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-0.43636496681643172</v>
      </c>
      <c r="AB4" s="2">
        <f>W4*AA4</f>
        <v>-2.8378656043971492E-2</v>
      </c>
      <c r="AC4" s="2">
        <f>Y4*AA4</f>
        <v>0.40920708938606054</v>
      </c>
      <c r="AD4" s="2">
        <f>X4-V4</f>
        <v>1</v>
      </c>
      <c r="AF4" s="2">
        <v>0</v>
      </c>
      <c r="AG4" s="2"/>
      <c r="AH4" s="2">
        <f>K27</f>
        <v>9.7274260444919491E-3</v>
      </c>
      <c r="AI4" s="2"/>
      <c r="AJ4" s="2">
        <f>K27</f>
        <v>9.7274260444919491E-3</v>
      </c>
      <c r="AK4" s="2"/>
      <c r="AL4" s="2">
        <f>K27</f>
        <v>9.7274260444919491E-3</v>
      </c>
      <c r="AM4" s="2"/>
      <c r="AN4" s="2"/>
      <c r="AO4" s="2"/>
    </row>
    <row r="5" spans="2:41" x14ac:dyDescent="0.2">
      <c r="B5" s="10" t="s">
        <v>37</v>
      </c>
      <c r="C5" s="10">
        <v>2102.7668404973201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87.430691236521795</v>
      </c>
      <c r="L5" s="6" t="s">
        <v>101</v>
      </c>
      <c r="N5" s="6" t="s">
        <v>114</v>
      </c>
      <c r="O5" s="6">
        <f xml:space="preserve"> $C$18 * 0.85 * ($C$5/$C$18 *2.20462/1000)^(2/3) * 0.3048^2</f>
        <v>0.34851281877393958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6.5034221814396276E-2</v>
      </c>
      <c r="X5" s="2">
        <f>IF(AC4&gt;0, Z4, X4)</f>
        <v>0.5</v>
      </c>
      <c r="Y5" s="2">
        <f t="shared" si="1"/>
        <v>-0.43636496681643172</v>
      </c>
      <c r="Z5" s="2">
        <f t="shared" ref="Z5:Z34" si="3" xml:space="preserve"> (V5 + X5)/2</f>
        <v>0.25</v>
      </c>
      <c r="AA5" s="2">
        <f t="shared" si="2"/>
        <v>-0.18544664810300446</v>
      </c>
      <c r="AB5" s="2">
        <f t="shared" ref="AB5:AB34" si="4">W5*AA5</f>
        <v>-1.2060378447467083E-2</v>
      </c>
      <c r="AC5" s="2">
        <f t="shared" ref="AC5:AC34" si="5">Y5*AA5</f>
        <v>8.0922420445686025E-2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-1492.4439831350278</v>
      </c>
      <c r="AI5" s="3">
        <v>10000</v>
      </c>
      <c r="AJ5" s="2">
        <f t="dataTable" ref="AJ5:AJ44" dt2D="0" dtr="0" r1="C5"/>
        <v>6854.9975856820092</v>
      </c>
      <c r="AK5" s="2">
        <f>(AG5+AI5)/2</f>
        <v>5250</v>
      </c>
      <c r="AL5" s="2">
        <f t="dataTable" ref="AL5:AL44" dt2D="0" dtr="0" r1="C5" ca="1"/>
        <v>2845.2346706425078</v>
      </c>
      <c r="AM5" s="2">
        <f>AH5*AL5</f>
        <v>-4246353.3648075834</v>
      </c>
      <c r="AN5" s="2">
        <f>AJ5*AL5</f>
        <v>19504076.797953136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6.5034221814396276E-2</v>
      </c>
      <c r="X6" s="2">
        <f t="shared" ref="X6:X34" si="8">IF(AC5&gt;0, Z5, X5)</f>
        <v>0.25</v>
      </c>
      <c r="Y6" s="2">
        <f t="shared" si="1"/>
        <v>-0.18544664810300446</v>
      </c>
      <c r="Z6" s="2">
        <f t="shared" si="3"/>
        <v>0.125</v>
      </c>
      <c r="AA6" s="2">
        <f t="shared" si="2"/>
        <v>-6.0099028686697614E-2</v>
      </c>
      <c r="AB6" s="2">
        <f t="shared" si="4"/>
        <v>-3.9084935624404578E-3</v>
      </c>
      <c r="AC6" s="2">
        <f t="shared" si="5"/>
        <v>1.1145163424194382E-2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-1492.4439831350278</v>
      </c>
      <c r="AI6" s="2">
        <f>IF(AN5&gt;0, AK5, AI5)</f>
        <v>5250</v>
      </c>
      <c r="AJ6" s="2">
        <v>2845.2346706425078</v>
      </c>
      <c r="AK6" s="2">
        <f t="shared" ref="AK6:AK43" si="9">(AG6+AI6)/2</f>
        <v>2875</v>
      </c>
      <c r="AL6" s="2">
        <v>711.64736741053252</v>
      </c>
      <c r="AM6" s="2">
        <f t="shared" ref="AM6:AM44" si="10">AH6*AL6</f>
        <v>-1062093.8316057317</v>
      </c>
      <c r="AN6" s="2">
        <f t="shared" ref="AN6:AN44" si="11">AJ6*AL6</f>
        <v>2024803.7630279143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265.47670474857102</v>
      </c>
      <c r="D7" s="6" t="s">
        <v>125</v>
      </c>
      <c r="F7" t="s">
        <v>121</v>
      </c>
      <c r="G7" s="8">
        <f>$C$6*2*PI()/60*$C$9</f>
        <v>181.48430700343272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0.97878944210903562</v>
      </c>
      <c r="P7" s="6" t="s">
        <v>115</v>
      </c>
      <c r="U7" s="2">
        <v>3</v>
      </c>
      <c r="V7" s="2">
        <f t="shared" si="7"/>
        <v>0</v>
      </c>
      <c r="W7" s="2">
        <f t="shared" si="0"/>
        <v>6.5034221814396276E-2</v>
      </c>
      <c r="X7" s="2">
        <f t="shared" si="8"/>
        <v>0.125</v>
      </c>
      <c r="Y7" s="2">
        <f t="shared" si="1"/>
        <v>-6.0099028686697614E-2</v>
      </c>
      <c r="Z7" s="2">
        <f t="shared" si="3"/>
        <v>6.25E-2</v>
      </c>
      <c r="AA7" s="2">
        <f t="shared" si="2"/>
        <v>2.499967488045346E-3</v>
      </c>
      <c r="AB7" s="2">
        <f t="shared" si="4"/>
        <v>1.6258344014632011E-4</v>
      </c>
      <c r="AC7" s="2">
        <f t="shared" si="5"/>
        <v>-1.5024561777984862E-4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-1492.4439831350278</v>
      </c>
      <c r="AI7" s="2">
        <f t="shared" ref="AI7:AI44" si="14">IF(AN6&gt;0, AK6, AI6)</f>
        <v>2875</v>
      </c>
      <c r="AJ7" s="2">
        <v>711.64736741053252</v>
      </c>
      <c r="AK7" s="2">
        <f t="shared" si="9"/>
        <v>1687.5</v>
      </c>
      <c r="AL7" s="2">
        <v>-385.563083271594</v>
      </c>
      <c r="AM7" s="2">
        <f t="shared" si="10"/>
        <v>575431.30374768015</v>
      </c>
      <c r="AN7" s="2">
        <f t="shared" si="11"/>
        <v>-274384.95318091777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0.54350134052527943</v>
      </c>
      <c r="H8" s="6" t="s">
        <v>122</v>
      </c>
      <c r="J8" s="6" t="s">
        <v>96</v>
      </c>
      <c r="K8" s="6">
        <f xml:space="preserve"> $C$15 * (G12*G6 + G22*G15 + G31*G27 +G35*G34)/3600</f>
        <v>188.08522856941653</v>
      </c>
      <c r="L8" s="6" t="s">
        <v>102</v>
      </c>
      <c r="N8" s="6" t="s">
        <v>38</v>
      </c>
      <c r="O8" s="6">
        <f xml:space="preserve"> O4 *O7</f>
        <v>2219.3696137040838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2.499967488045346E-3</v>
      </c>
      <c r="X8" s="2">
        <f t="shared" si="8"/>
        <v>0.125</v>
      </c>
      <c r="Y8" s="2">
        <f t="shared" si="1"/>
        <v>-6.0099028686697614E-2</v>
      </c>
      <c r="Z8" s="2">
        <f t="shared" si="3"/>
        <v>9.375E-2</v>
      </c>
      <c r="AA8" s="2">
        <f t="shared" si="2"/>
        <v>-2.8791951602681914E-2</v>
      </c>
      <c r="AB8" s="2">
        <f t="shared" si="4"/>
        <v>-7.1978942924079875E-5</v>
      </c>
      <c r="AC8" s="2">
        <f t="shared" si="5"/>
        <v>1.7303683253155897E-3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-385.563083271594</v>
      </c>
      <c r="AI8" s="2">
        <f t="shared" si="14"/>
        <v>2875</v>
      </c>
      <c r="AJ8" s="2">
        <v>711.64736741053252</v>
      </c>
      <c r="AK8" s="2">
        <f t="shared" si="9"/>
        <v>2281.25</v>
      </c>
      <c r="AL8" s="2">
        <v>165.13254377633825</v>
      </c>
      <c r="AM8" s="2">
        <f t="shared" si="10"/>
        <v>-63669.012726886445</v>
      </c>
      <c r="AN8" s="2">
        <f t="shared" si="11"/>
        <v>117516.14005223563</v>
      </c>
      <c r="AO8" s="2">
        <f t="shared" si="12"/>
        <v>1187.5</v>
      </c>
    </row>
    <row r="9" spans="2:41" x14ac:dyDescent="0.2">
      <c r="B9" s="6" t="s">
        <v>95</v>
      </c>
      <c r="C9" s="17">
        <v>4.3326186829805096</v>
      </c>
      <c r="D9" s="6" t="s">
        <v>8</v>
      </c>
      <c r="F9" t="s">
        <v>19</v>
      </c>
      <c r="G9" s="6">
        <f xml:space="preserve"> $C$5 * $C$44 / $C$18</f>
        <v>5152.5626667018087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2219.3696137040838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2.499967488045346E-3</v>
      </c>
      <c r="X9" s="2">
        <f t="shared" si="8"/>
        <v>9.375E-2</v>
      </c>
      <c r="Y9" s="2">
        <f t="shared" si="1"/>
        <v>-2.8791951602681914E-2</v>
      </c>
      <c r="Z9" s="2">
        <f t="shared" si="3"/>
        <v>7.8125E-2</v>
      </c>
      <c r="AA9" s="2">
        <f t="shared" si="2"/>
        <v>-1.314401767697862E-2</v>
      </c>
      <c r="AB9" s="2">
        <f t="shared" si="4"/>
        <v>-3.2859616854739866E-5</v>
      </c>
      <c r="AC9" s="2">
        <f t="shared" si="5"/>
        <v>3.78441920820364E-4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-385.563083271594</v>
      </c>
      <c r="AI9" s="2">
        <f t="shared" si="14"/>
        <v>2281.25</v>
      </c>
      <c r="AJ9" s="2">
        <v>165.13254377633825</v>
      </c>
      <c r="AK9" s="2">
        <f t="shared" si="9"/>
        <v>1984.375</v>
      </c>
      <c r="AL9" s="2">
        <v>-109.72324471556362</v>
      </c>
      <c r="AM9" s="2">
        <f t="shared" si="10"/>
        <v>42305.232539096345</v>
      </c>
      <c r="AN9" s="2">
        <f t="shared" si="11"/>
        <v>-18118.878511274685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54.103214085062454</v>
      </c>
      <c r="H10" s="6" t="s">
        <v>101</v>
      </c>
      <c r="N10" s="6" t="s">
        <v>113</v>
      </c>
      <c r="O10" s="6">
        <f>O7/(0.3048^2)/($C$5*2.20462/1000)^(2/3)</f>
        <v>3.7894493700302228</v>
      </c>
      <c r="U10" s="2">
        <v>6</v>
      </c>
      <c r="V10" s="2">
        <f t="shared" si="7"/>
        <v>6.25E-2</v>
      </c>
      <c r="W10" s="2">
        <f t="shared" si="0"/>
        <v>2.499967488045346E-3</v>
      </c>
      <c r="X10" s="2">
        <f t="shared" si="8"/>
        <v>7.8125E-2</v>
      </c>
      <c r="Y10" s="2">
        <f t="shared" si="1"/>
        <v>-1.314401767697862E-2</v>
      </c>
      <c r="Z10" s="2">
        <f t="shared" si="3"/>
        <v>7.03125E-2</v>
      </c>
      <c r="AA10" s="2">
        <f t="shared" si="2"/>
        <v>-5.3215227744992238E-3</v>
      </c>
      <c r="AB10" s="2">
        <f t="shared" si="4"/>
        <v>-1.3303633923140925E-5</v>
      </c>
      <c r="AC10" s="2">
        <f t="shared" si="5"/>
        <v>6.9946189416462113E-5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-109.72324471556362</v>
      </c>
      <c r="AI10" s="2">
        <f t="shared" si="14"/>
        <v>2281.25</v>
      </c>
      <c r="AJ10" s="2">
        <v>165.13254377633825</v>
      </c>
      <c r="AK10" s="2">
        <f t="shared" si="9"/>
        <v>2132.8125</v>
      </c>
      <c r="AL10" s="2">
        <v>27.83238502485483</v>
      </c>
      <c r="AM10" s="2">
        <f t="shared" si="10"/>
        <v>-3053.859593099935</v>
      </c>
      <c r="AN10" s="2">
        <f t="shared" si="11"/>
        <v>4596.0325385167416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9.7164599001054555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6.25E-2</v>
      </c>
      <c r="W11" s="2">
        <f t="shared" si="0"/>
        <v>2.499967488045346E-3</v>
      </c>
      <c r="X11" s="2">
        <f t="shared" si="8"/>
        <v>7.03125E-2</v>
      </c>
      <c r="Y11" s="2">
        <f t="shared" si="1"/>
        <v>-5.3215227744992238E-3</v>
      </c>
      <c r="Z11" s="2">
        <f t="shared" si="3"/>
        <v>6.640625E-2</v>
      </c>
      <c r="AA11" s="2">
        <f t="shared" si="2"/>
        <v>-1.4106510563862695E-3</v>
      </c>
      <c r="AB11" s="2">
        <f t="shared" si="4"/>
        <v>-3.5265817779424958E-6</v>
      </c>
      <c r="AC11" s="2">
        <f t="shared" si="5"/>
        <v>7.5068117234309222E-6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-109.72324471556362</v>
      </c>
      <c r="AI11" s="2">
        <f t="shared" si="14"/>
        <v>2132.8125</v>
      </c>
      <c r="AJ11" s="2">
        <v>27.83238502485483</v>
      </c>
      <c r="AK11" s="2">
        <f t="shared" si="9"/>
        <v>2058.59375</v>
      </c>
      <c r="AL11" s="2">
        <v>-40.913987156070789</v>
      </c>
      <c r="AM11" s="2">
        <f t="shared" si="10"/>
        <v>4489.2154250149824</v>
      </c>
      <c r="AN11" s="2">
        <f t="shared" si="11"/>
        <v>-1138.7338434297274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216.41285634024982</v>
      </c>
      <c r="H12" s="25" t="s">
        <v>101</v>
      </c>
      <c r="J12" s="10" t="s">
        <v>79</v>
      </c>
      <c r="K12" s="6">
        <f>C5</f>
        <v>2102.7668404973201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6.25E-2</v>
      </c>
      <c r="W12" s="2">
        <f t="shared" si="0"/>
        <v>2.499967488045346E-3</v>
      </c>
      <c r="X12" s="2">
        <f t="shared" si="8"/>
        <v>6.640625E-2</v>
      </c>
      <c r="Y12" s="2">
        <f t="shared" si="1"/>
        <v>-1.4106510563862695E-3</v>
      </c>
      <c r="Z12" s="2">
        <f t="shared" si="3"/>
        <v>6.4453125E-2</v>
      </c>
      <c r="AA12" s="2">
        <f t="shared" si="2"/>
        <v>5.4468998296124116E-4</v>
      </c>
      <c r="AB12" s="2">
        <f t="shared" si="4"/>
        <v>1.3617072484670763E-6</v>
      </c>
      <c r="AC12" s="2">
        <f t="shared" si="5"/>
        <v>-7.6836749986729395E-7</v>
      </c>
      <c r="AD12" s="2">
        <f t="shared" si="6"/>
        <v>3.90625E-3</v>
      </c>
      <c r="AF12" s="2">
        <v>8</v>
      </c>
      <c r="AG12" s="2">
        <f t="shared" si="13"/>
        <v>2058.59375</v>
      </c>
      <c r="AH12" s="2">
        <v>-40.913987156070789</v>
      </c>
      <c r="AI12" s="2">
        <f t="shared" si="14"/>
        <v>2132.8125</v>
      </c>
      <c r="AJ12" s="2">
        <v>27.83238502485483</v>
      </c>
      <c r="AK12" s="2">
        <f t="shared" si="9"/>
        <v>2095.703125</v>
      </c>
      <c r="AL12" s="2">
        <v>-6.5328756959090697</v>
      </c>
      <c r="AM12" s="2">
        <f t="shared" si="10"/>
        <v>267.28599231463068</v>
      </c>
      <c r="AN12" s="2">
        <f t="shared" si="11"/>
        <v>-181.82551168805767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395.1370348096986</v>
      </c>
      <c r="L13" s="6" t="s">
        <v>7</v>
      </c>
      <c r="N13" s="6" t="s">
        <v>74</v>
      </c>
      <c r="O13" s="6">
        <f xml:space="preserve"> SQRT( ($C$5*$C$50)^2 + O9^2)</f>
        <v>20727.440163595962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5.4468998296124116E-4</v>
      </c>
      <c r="X13" s="2">
        <f t="shared" si="8"/>
        <v>6.640625E-2</v>
      </c>
      <c r="Y13" s="2">
        <f t="shared" si="1"/>
        <v>-1.4106510563862695E-3</v>
      </c>
      <c r="Z13" s="2">
        <f t="shared" si="3"/>
        <v>6.54296875E-2</v>
      </c>
      <c r="AA13" s="2">
        <f t="shared" si="2"/>
        <v>-4.3297260973598761E-4</v>
      </c>
      <c r="AB13" s="2">
        <f t="shared" si="4"/>
        <v>-2.3583584341977921E-7</v>
      </c>
      <c r="AC13" s="2">
        <f t="shared" si="5"/>
        <v>6.1077326931039094E-7</v>
      </c>
      <c r="AD13" s="2">
        <f t="shared" si="6"/>
        <v>1.953125E-3</v>
      </c>
      <c r="AF13" s="2">
        <v>9</v>
      </c>
      <c r="AG13" s="2">
        <f t="shared" si="13"/>
        <v>2095.703125</v>
      </c>
      <c r="AH13" s="2">
        <v>-6.5328756959090697</v>
      </c>
      <c r="AI13" s="2">
        <f t="shared" si="14"/>
        <v>2132.8125</v>
      </c>
      <c r="AJ13" s="2">
        <v>27.83238502485483</v>
      </c>
      <c r="AK13" s="2">
        <f t="shared" si="9"/>
        <v>2114.2578125</v>
      </c>
      <c r="AL13" s="2">
        <v>10.651746133514735</v>
      </c>
      <c r="AM13" s="2">
        <f t="shared" si="10"/>
        <v>-69.586533434631818</v>
      </c>
      <c r="AN13" s="2">
        <f t="shared" si="11"/>
        <v>296.46349957499081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>uniform_250!K14</f>
        <v>219.32823936115139</v>
      </c>
      <c r="L14" s="6" t="s">
        <v>7</v>
      </c>
      <c r="N14" s="6" t="s">
        <v>75</v>
      </c>
      <c r="O14" s="6">
        <f>$C$5*$C$50/O13</f>
        <v>0.99425105570574057</v>
      </c>
      <c r="U14" s="2">
        <v>10</v>
      </c>
      <c r="V14" s="2">
        <f t="shared" si="7"/>
        <v>6.4453125E-2</v>
      </c>
      <c r="W14" s="2">
        <f t="shared" si="0"/>
        <v>5.4468998296124116E-4</v>
      </c>
      <c r="X14" s="2">
        <f t="shared" si="8"/>
        <v>6.54296875E-2</v>
      </c>
      <c r="Y14" s="2">
        <f t="shared" si="1"/>
        <v>-4.3297260973598761E-4</v>
      </c>
      <c r="Z14" s="2">
        <f t="shared" si="3"/>
        <v>6.494140625E-2</v>
      </c>
      <c r="AA14" s="2">
        <f t="shared" si="2"/>
        <v>5.5860670223048525E-5</v>
      </c>
      <c r="AB14" s="2">
        <f t="shared" si="4"/>
        <v>3.0426747511995815E-8</v>
      </c>
      <c r="AC14" s="2">
        <f t="shared" si="5"/>
        <v>-2.4186140168074694E-8</v>
      </c>
      <c r="AD14" s="2">
        <f t="shared" si="6"/>
        <v>9.765625E-4</v>
      </c>
      <c r="AF14" s="2">
        <v>10</v>
      </c>
      <c r="AG14" s="2">
        <f t="shared" si="13"/>
        <v>2095.703125</v>
      </c>
      <c r="AH14" s="2">
        <v>-6.5328756959090697</v>
      </c>
      <c r="AI14" s="2">
        <f t="shared" si="14"/>
        <v>2114.2578125</v>
      </c>
      <c r="AJ14" s="2">
        <v>10.651746133514735</v>
      </c>
      <c r="AK14" s="2">
        <f t="shared" si="9"/>
        <v>2104.98046875</v>
      </c>
      <c r="AL14" s="2">
        <v>2.0599322371574544</v>
      </c>
      <c r="AM14" s="2">
        <f t="shared" si="10"/>
        <v>-13.457281247345533</v>
      </c>
      <c r="AN14" s="2">
        <f t="shared" si="11"/>
        <v>21.941875242444272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uniform_250!K15</f>
        <v>401.58932914605032</v>
      </c>
      <c r="L15" s="6" t="s">
        <v>7</v>
      </c>
      <c r="U15" s="2">
        <v>11</v>
      </c>
      <c r="V15" s="2">
        <f t="shared" si="7"/>
        <v>6.494140625E-2</v>
      </c>
      <c r="W15" s="2">
        <f t="shared" si="0"/>
        <v>5.5860670223048525E-5</v>
      </c>
      <c r="X15" s="2">
        <f t="shared" si="8"/>
        <v>6.54296875E-2</v>
      </c>
      <c r="Y15" s="2">
        <f t="shared" si="1"/>
        <v>-4.3297260973598761E-4</v>
      </c>
      <c r="Z15" s="2">
        <f t="shared" si="3"/>
        <v>6.5185546875E-2</v>
      </c>
      <c r="AA15" s="2">
        <f t="shared" si="2"/>
        <v>-1.8855547408619389E-4</v>
      </c>
      <c r="AB15" s="2">
        <f t="shared" si="4"/>
        <v>-1.0532835156679449E-8</v>
      </c>
      <c r="AC15" s="2">
        <f t="shared" si="5"/>
        <v>8.1639355695105754E-8</v>
      </c>
      <c r="AD15" s="2">
        <f t="shared" si="6"/>
        <v>4.8828125E-4</v>
      </c>
      <c r="AF15" s="2">
        <v>11</v>
      </c>
      <c r="AG15" s="2">
        <f t="shared" si="13"/>
        <v>2095.703125</v>
      </c>
      <c r="AH15" s="2">
        <v>-6.5328756959090697</v>
      </c>
      <c r="AI15" s="2">
        <f t="shared" si="14"/>
        <v>2104.98046875</v>
      </c>
      <c r="AJ15" s="2">
        <v>2.0599322371574544</v>
      </c>
      <c r="AK15" s="2">
        <f t="shared" si="9"/>
        <v>2100.341796875</v>
      </c>
      <c r="AL15" s="2">
        <v>-2.2363492100566873</v>
      </c>
      <c r="AM15" s="2">
        <f t="shared" si="10"/>
        <v>14.609791401944779</v>
      </c>
      <c r="AN15" s="2">
        <f t="shared" si="11"/>
        <v>-4.6067278313373778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120.44963946712333</v>
      </c>
      <c r="H16" s="6" t="s">
        <v>10</v>
      </c>
      <c r="J16" s="13" t="s">
        <v>53</v>
      </c>
      <c r="K16" s="6">
        <f>uniform_250!K16</f>
        <v>92.440966694809006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6.494140625E-2</v>
      </c>
      <c r="W16" s="2">
        <f t="shared" si="0"/>
        <v>5.5860670223048525E-5</v>
      </c>
      <c r="X16" s="2">
        <f t="shared" si="8"/>
        <v>6.5185546875E-2</v>
      </c>
      <c r="Y16" s="2">
        <f t="shared" si="1"/>
        <v>-1.8855547408619389E-4</v>
      </c>
      <c r="Z16" s="2">
        <f t="shared" si="3"/>
        <v>6.50634765625E-2</v>
      </c>
      <c r="AA16" s="2">
        <f t="shared" si="2"/>
        <v>-6.6347277984907249E-5</v>
      </c>
      <c r="AB16" s="2">
        <f t="shared" si="4"/>
        <v>-3.7062034157118314E-9</v>
      </c>
      <c r="AC16" s="2">
        <f t="shared" si="5"/>
        <v>1.2510142454772681E-8</v>
      </c>
      <c r="AD16" s="2">
        <f t="shared" si="6"/>
        <v>2.44140625E-4</v>
      </c>
      <c r="AF16" s="2">
        <v>12</v>
      </c>
      <c r="AG16" s="2">
        <f t="shared" si="13"/>
        <v>2100.341796875</v>
      </c>
      <c r="AH16" s="2">
        <v>-2.2363492100566873</v>
      </c>
      <c r="AI16" s="2">
        <f t="shared" si="14"/>
        <v>2104.98046875</v>
      </c>
      <c r="AJ16" s="2">
        <v>2.0599322371574544</v>
      </c>
      <c r="AK16" s="2">
        <f t="shared" si="9"/>
        <v>2102.6611328125</v>
      </c>
      <c r="AL16" s="2">
        <v>-8.81791816580062E-2</v>
      </c>
      <c r="AM16" s="2">
        <f t="shared" si="10"/>
        <v>0.19719944324432728</v>
      </c>
      <c r="AN16" s="2">
        <f t="shared" si="11"/>
        <v>-0.1816431389434903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0.36201311963971544</v>
      </c>
      <c r="H17" s="6" t="s">
        <v>122</v>
      </c>
      <c r="J17" s="13" t="s">
        <v>77</v>
      </c>
      <c r="K17" s="6">
        <f>uniform_250!K17</f>
        <v>49.6794531021214</v>
      </c>
      <c r="L17" s="6" t="s">
        <v>7</v>
      </c>
      <c r="N17" s="6" t="s">
        <v>25</v>
      </c>
      <c r="O17" s="6">
        <f xml:space="preserve"> ACOS(O14)/PI()*180</f>
        <v>6.1466709034135301</v>
      </c>
      <c r="P17" s="6" t="s">
        <v>40</v>
      </c>
      <c r="U17" s="2">
        <v>13</v>
      </c>
      <c r="V17" s="2">
        <f t="shared" si="7"/>
        <v>6.494140625E-2</v>
      </c>
      <c r="W17" s="2">
        <f t="shared" si="0"/>
        <v>5.5860670223048525E-5</v>
      </c>
      <c r="X17" s="2">
        <f t="shared" si="8"/>
        <v>6.50634765625E-2</v>
      </c>
      <c r="Y17" s="2">
        <f t="shared" si="1"/>
        <v>-6.6347277984907249E-5</v>
      </c>
      <c r="Z17" s="2">
        <f t="shared" si="3"/>
        <v>6.500244140625E-2</v>
      </c>
      <c r="AA17" s="2">
        <f t="shared" si="2"/>
        <v>-5.2432728906287585E-6</v>
      </c>
      <c r="AB17" s="2">
        <f t="shared" si="4"/>
        <v>-2.9289273783286348E-10</v>
      </c>
      <c r="AC17" s="2">
        <f t="shared" si="5"/>
        <v>3.4787688402527443E-10</v>
      </c>
      <c r="AD17" s="2">
        <f t="shared" si="6"/>
        <v>1.220703125E-4</v>
      </c>
      <c r="AF17" s="2">
        <v>13</v>
      </c>
      <c r="AG17" s="2">
        <f t="shared" si="13"/>
        <v>2102.6611328125</v>
      </c>
      <c r="AH17" s="2">
        <v>-8.81791816580062E-2</v>
      </c>
      <c r="AI17" s="2">
        <f t="shared" si="14"/>
        <v>2104.98046875</v>
      </c>
      <c r="AJ17" s="2">
        <v>2.0599322371574544</v>
      </c>
      <c r="AK17" s="2">
        <f t="shared" si="9"/>
        <v>2103.82080078125</v>
      </c>
      <c r="AL17" s="2">
        <v>0.98588549051123664</v>
      </c>
      <c r="AM17" s="2">
        <f t="shared" si="10"/>
        <v>-8.6934575761782887E-2</v>
      </c>
      <c r="AN17" s="2">
        <f t="shared" si="11"/>
        <v>2.0308573040498858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5181.8600408989905</v>
      </c>
      <c r="H18" s="6" t="s">
        <v>20</v>
      </c>
      <c r="J18" s="14" t="s">
        <v>60</v>
      </c>
      <c r="K18" s="6">
        <f>uniform_250!K18</f>
        <v>137.93600889298654</v>
      </c>
      <c r="L18" s="6" t="s">
        <v>7</v>
      </c>
      <c r="N18" s="6" t="s">
        <v>19</v>
      </c>
      <c r="O18" s="6">
        <f xml:space="preserve"> O13 / $C$18</f>
        <v>5181.8600408989905</v>
      </c>
      <c r="P18" s="6" t="s">
        <v>20</v>
      </c>
      <c r="U18" s="2">
        <v>14</v>
      </c>
      <c r="V18" s="2">
        <f t="shared" si="7"/>
        <v>6.494140625E-2</v>
      </c>
      <c r="W18" s="2">
        <f t="shared" si="0"/>
        <v>5.5860670223048525E-5</v>
      </c>
      <c r="X18" s="2">
        <f t="shared" si="8"/>
        <v>6.500244140625E-2</v>
      </c>
      <c r="Y18" s="2">
        <f t="shared" si="1"/>
        <v>-5.2432728906287585E-6</v>
      </c>
      <c r="Z18" s="2">
        <f t="shared" si="3"/>
        <v>6.4971923828125E-2</v>
      </c>
      <c r="AA18" s="2">
        <f t="shared" si="2"/>
        <v>2.5308706414234328E-5</v>
      </c>
      <c r="AB18" s="2">
        <f t="shared" si="4"/>
        <v>1.4137613027774968E-9</v>
      </c>
      <c r="AC18" s="2">
        <f t="shared" si="5"/>
        <v>-1.3270045423863701E-10</v>
      </c>
      <c r="AD18" s="2">
        <f t="shared" si="6"/>
        <v>6.103515625E-5</v>
      </c>
      <c r="AF18" s="2">
        <v>14</v>
      </c>
      <c r="AG18" s="2">
        <f t="shared" si="13"/>
        <v>2102.6611328125</v>
      </c>
      <c r="AH18" s="2">
        <v>-8.81791816580062E-2</v>
      </c>
      <c r="AI18" s="2">
        <f t="shared" si="14"/>
        <v>2103.82080078125</v>
      </c>
      <c r="AJ18" s="2">
        <v>0.98588549051123664</v>
      </c>
      <c r="AK18" s="2">
        <f t="shared" si="9"/>
        <v>2103.240966796875</v>
      </c>
      <c r="AL18" s="2">
        <v>0.44885538342714426</v>
      </c>
      <c r="AM18" s="2">
        <f t="shared" si="10"/>
        <v>-3.9579700393396179E-2</v>
      </c>
      <c r="AN18" s="2">
        <f t="shared" si="11"/>
        <v>0.44252000985867934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58.28712749101453</v>
      </c>
      <c r="H19" s="6" t="s">
        <v>101</v>
      </c>
      <c r="J19" s="14" t="s">
        <v>61</v>
      </c>
      <c r="K19" s="6">
        <f>uniform_250!K19</f>
        <v>33.792967117606707</v>
      </c>
      <c r="L19" s="6" t="s">
        <v>7</v>
      </c>
      <c r="N19" s="6" t="s">
        <v>26</v>
      </c>
      <c r="O19" s="6">
        <f>$C$7*2*PI()/60</f>
        <v>27.800655511244578</v>
      </c>
      <c r="P19" s="6" t="s">
        <v>27</v>
      </c>
      <c r="U19" s="2">
        <v>15</v>
      </c>
      <c r="V19" s="2">
        <f t="shared" si="7"/>
        <v>6.4971923828125E-2</v>
      </c>
      <c r="W19" s="2">
        <f t="shared" si="0"/>
        <v>2.5308706414234328E-5</v>
      </c>
      <c r="X19" s="2">
        <f t="shared" si="8"/>
        <v>6.500244140625E-2</v>
      </c>
      <c r="Y19" s="2">
        <f t="shared" si="1"/>
        <v>-5.2432728906287585E-6</v>
      </c>
      <c r="Z19" s="2">
        <f t="shared" si="3"/>
        <v>6.49871826171875E-2</v>
      </c>
      <c r="AA19" s="2">
        <f t="shared" si="2"/>
        <v>1.0032718698746446E-5</v>
      </c>
      <c r="AB19" s="2">
        <f t="shared" si="4"/>
        <v>2.5391513208317285E-10</v>
      </c>
      <c r="AC19" s="2">
        <f t="shared" si="5"/>
        <v>-5.2604281972441471E-11</v>
      </c>
      <c r="AD19" s="2">
        <f t="shared" si="6"/>
        <v>3.0517578125E-5</v>
      </c>
      <c r="AF19" s="2">
        <v>15</v>
      </c>
      <c r="AG19" s="2">
        <f t="shared" si="13"/>
        <v>2102.6611328125</v>
      </c>
      <c r="AH19" s="2">
        <v>-8.81791816580062E-2</v>
      </c>
      <c r="AI19" s="2">
        <f t="shared" si="14"/>
        <v>2103.240966796875</v>
      </c>
      <c r="AJ19" s="2">
        <v>0.44885538342714426</v>
      </c>
      <c r="AK19" s="2">
        <f t="shared" si="9"/>
        <v>2102.9510498046875</v>
      </c>
      <c r="AL19" s="2">
        <v>0.18034123158463444</v>
      </c>
      <c r="AM19" s="2">
        <f t="shared" si="10"/>
        <v>-1.5902342220330046E-2</v>
      </c>
      <c r="AN19" s="2">
        <f t="shared" si="11"/>
        <v>8.0947132650644515E-2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9.0711513845876368</v>
      </c>
      <c r="H20" s="6" t="s">
        <v>147</v>
      </c>
      <c r="J20" s="14" t="s">
        <v>62</v>
      </c>
      <c r="K20" s="6">
        <f>uniform_250!K20</f>
        <v>0</v>
      </c>
      <c r="L20" s="6" t="s">
        <v>7</v>
      </c>
      <c r="N20" s="6" t="s">
        <v>28</v>
      </c>
      <c r="O20" s="6">
        <f xml:space="preserve"> $C$8 * COS(O17/180*PI()) / (O19 * $C$9)</f>
        <v>0.55351347738655388</v>
      </c>
      <c r="U20" s="2">
        <v>16</v>
      </c>
      <c r="V20" s="2">
        <f t="shared" si="7"/>
        <v>6.49871826171875E-2</v>
      </c>
      <c r="W20" s="2">
        <f t="shared" si="0"/>
        <v>1.0032718698746446E-5</v>
      </c>
      <c r="X20" s="2">
        <f t="shared" si="8"/>
        <v>6.500244140625E-2</v>
      </c>
      <c r="Y20" s="2">
        <f t="shared" si="1"/>
        <v>-5.2432728906287585E-6</v>
      </c>
      <c r="Z20" s="2">
        <f t="shared" si="3"/>
        <v>6.499481201171875E-2</v>
      </c>
      <c r="AA20" s="2">
        <f t="shared" si="2"/>
        <v>2.3947233882964936E-6</v>
      </c>
      <c r="AB20" s="2">
        <f t="shared" si="4"/>
        <v>2.4025586116087676E-11</v>
      </c>
      <c r="AC20" s="2">
        <f t="shared" si="5"/>
        <v>-1.2556188222409651E-11</v>
      </c>
      <c r="AD20" s="2">
        <f t="shared" si="6"/>
        <v>1.52587890625E-5</v>
      </c>
      <c r="AF20" s="2">
        <v>16</v>
      </c>
      <c r="AG20" s="2">
        <f t="shared" si="13"/>
        <v>2102.6611328125</v>
      </c>
      <c r="AH20" s="2">
        <v>-8.81791816580062E-2</v>
      </c>
      <c r="AI20" s="2">
        <f t="shared" si="14"/>
        <v>2102.9510498046875</v>
      </c>
      <c r="AJ20" s="2">
        <v>0.18034123158463444</v>
      </c>
      <c r="AK20" s="2">
        <f t="shared" si="9"/>
        <v>2102.8060913085938</v>
      </c>
      <c r="AL20" s="2">
        <v>4.6082322270194709E-2</v>
      </c>
      <c r="AM20" s="2">
        <f t="shared" si="10"/>
        <v>-4.063501466686284E-3</v>
      </c>
      <c r="AN20" s="2">
        <f t="shared" si="11"/>
        <v>8.3105427524869414E-3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9.7801707665479423E-2</v>
      </c>
      <c r="J21" s="14" t="s">
        <v>63</v>
      </c>
      <c r="K21" s="6">
        <f>uniform_250!K21</f>
        <v>0</v>
      </c>
      <c r="L21" s="6" t="s">
        <v>7</v>
      </c>
      <c r="N21" s="6" t="s">
        <v>29</v>
      </c>
      <c r="O21" s="6">
        <f xml:space="preserve"> O18 / ($C$47 * PI() * $C$9^2 * O19^2 * $C$9^2)</f>
        <v>6.0052182090232116E-3</v>
      </c>
      <c r="U21" s="2">
        <v>17</v>
      </c>
      <c r="V21" s="2">
        <f t="shared" si="7"/>
        <v>6.499481201171875E-2</v>
      </c>
      <c r="W21" s="2">
        <f t="shared" si="0"/>
        <v>2.3947233882964936E-6</v>
      </c>
      <c r="X21" s="2">
        <f t="shared" si="8"/>
        <v>6.500244140625E-2</v>
      </c>
      <c r="Y21" s="2">
        <f t="shared" si="1"/>
        <v>-5.2432728906287585E-6</v>
      </c>
      <c r="Z21" s="2">
        <f t="shared" si="3"/>
        <v>6.4998626708984375E-2</v>
      </c>
      <c r="AA21" s="2">
        <f t="shared" si="2"/>
        <v>-1.4242746301101894E-6</v>
      </c>
      <c r="AB21" s="2">
        <f t="shared" si="4"/>
        <v>-3.410743768082208E-12</v>
      </c>
      <c r="AC21" s="2">
        <f t="shared" si="5"/>
        <v>7.4678605568670583E-12</v>
      </c>
      <c r="AD21" s="2">
        <f t="shared" si="6"/>
        <v>7.62939453125E-6</v>
      </c>
      <c r="AF21" s="2">
        <v>17</v>
      </c>
      <c r="AG21" s="2">
        <f t="shared" si="13"/>
        <v>2102.6611328125</v>
      </c>
      <c r="AH21" s="2">
        <v>-8.81791816580062E-2</v>
      </c>
      <c r="AI21" s="2">
        <f t="shared" si="14"/>
        <v>2102.8060913085938</v>
      </c>
      <c r="AJ21" s="2">
        <v>4.6082322270194709E-2</v>
      </c>
      <c r="AK21" s="2">
        <f t="shared" si="9"/>
        <v>2102.7336120605469</v>
      </c>
      <c r="AL21" s="2">
        <v>-2.1048620348665281E-2</v>
      </c>
      <c r="AM21" s="2">
        <f t="shared" si="10"/>
        <v>1.8560501173753617E-3</v>
      </c>
      <c r="AN21" s="2">
        <f t="shared" si="11"/>
        <v>-9.6996930625017159E-4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233.14850996405812</v>
      </c>
      <c r="H22" s="25" t="s">
        <v>101</v>
      </c>
      <c r="J22" s="14" t="s">
        <v>112</v>
      </c>
      <c r="K22" s="6">
        <f>uniform_250!K22</f>
        <v>24.546795098276387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6.499481201171875E-2</v>
      </c>
      <c r="W22" s="2">
        <f t="shared" si="0"/>
        <v>2.3947233882964936E-6</v>
      </c>
      <c r="X22" s="2">
        <f t="shared" si="8"/>
        <v>6.4998626708984375E-2</v>
      </c>
      <c r="Y22" s="2">
        <f t="shared" si="1"/>
        <v>-1.4242746301101894E-6</v>
      </c>
      <c r="Z22" s="2">
        <f t="shared" si="3"/>
        <v>6.4996719360351562E-2</v>
      </c>
      <c r="AA22" s="2">
        <f t="shared" si="2"/>
        <v>4.8522440936060729E-7</v>
      </c>
      <c r="AB22" s="2">
        <f t="shared" si="4"/>
        <v>1.1619782416681983E-12</v>
      </c>
      <c r="AC22" s="2">
        <f t="shared" si="5"/>
        <v>-6.9109281616251407E-13</v>
      </c>
      <c r="AD22" s="2">
        <f t="shared" si="6"/>
        <v>3.814697265625E-6</v>
      </c>
      <c r="AF22" s="2">
        <v>18</v>
      </c>
      <c r="AG22" s="2">
        <f t="shared" si="13"/>
        <v>2102.7336120605469</v>
      </c>
      <c r="AH22" s="2">
        <v>-2.1048620348665281E-2</v>
      </c>
      <c r="AI22" s="2">
        <f t="shared" si="14"/>
        <v>2102.8060913085938</v>
      </c>
      <c r="AJ22" s="2">
        <v>4.6082322270194709E-2</v>
      </c>
      <c r="AK22" s="2">
        <f t="shared" si="9"/>
        <v>2102.7698516845703</v>
      </c>
      <c r="AL22" s="2">
        <v>1.2516803297330625E-2</v>
      </c>
      <c r="AM22" s="2">
        <f t="shared" si="10"/>
        <v>-2.6346144058443411E-4</v>
      </c>
      <c r="AN22" s="2">
        <f t="shared" si="11"/>
        <v>5.7680336334022561E-4</v>
      </c>
      <c r="AO22" s="2">
        <f t="shared" si="12"/>
        <v>7.2479248046875E-2</v>
      </c>
    </row>
    <row r="23" spans="2:41" x14ac:dyDescent="0.2">
      <c r="J23" s="15" t="s">
        <v>64</v>
      </c>
      <c r="K23" s="6">
        <f>uniform_250!K23</f>
        <v>64.689394196561395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17214.503816451197</v>
      </c>
      <c r="P23" s="6" t="s">
        <v>18</v>
      </c>
      <c r="U23" s="2">
        <v>19</v>
      </c>
      <c r="V23" s="2">
        <f t="shared" si="7"/>
        <v>6.4996719360351562E-2</v>
      </c>
      <c r="W23" s="2">
        <f t="shared" si="0"/>
        <v>4.8522440936060729E-7</v>
      </c>
      <c r="X23" s="2">
        <f t="shared" si="8"/>
        <v>6.4998626708984375E-2</v>
      </c>
      <c r="Y23" s="2">
        <f t="shared" si="1"/>
        <v>-1.4242746301101894E-6</v>
      </c>
      <c r="Z23" s="2">
        <f t="shared" si="3"/>
        <v>6.4997673034667969E-2</v>
      </c>
      <c r="AA23" s="2">
        <f t="shared" si="2"/>
        <v>-4.695251028113967E-7</v>
      </c>
      <c r="AB23" s="2">
        <f t="shared" si="4"/>
        <v>-2.2782504069163839E-13</v>
      </c>
      <c r="AC23" s="2">
        <f t="shared" si="5"/>
        <v>6.687326921341507E-13</v>
      </c>
      <c r="AD23" s="2">
        <f t="shared" si="6"/>
        <v>1.9073486328125E-6</v>
      </c>
      <c r="AF23" s="2">
        <v>19</v>
      </c>
      <c r="AG23" s="2">
        <f t="shared" si="13"/>
        <v>2102.7336120605469</v>
      </c>
      <c r="AH23" s="2">
        <v>-2.1048620348665281E-2</v>
      </c>
      <c r="AI23" s="2">
        <f t="shared" si="14"/>
        <v>2102.7698516845703</v>
      </c>
      <c r="AJ23" s="2">
        <v>1.2516803297330625E-2</v>
      </c>
      <c r="AK23" s="2">
        <f t="shared" si="9"/>
        <v>2102.7517318725586</v>
      </c>
      <c r="AL23" s="2">
        <v>-4.2638607069420686E-3</v>
      </c>
      <c r="AM23" s="2">
        <f t="shared" si="10"/>
        <v>8.9748385240015163E-5</v>
      </c>
      <c r="AN23" s="2">
        <f t="shared" si="11"/>
        <v>-5.3369905756010976E-5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>uniform_250!K24</f>
        <v>8.9049202019502118</v>
      </c>
      <c r="L24" s="6" t="s">
        <v>7</v>
      </c>
      <c r="N24" s="6" t="s">
        <v>31</v>
      </c>
      <c r="O24" s="18">
        <f>Z34</f>
        <v>6.499720411375165E-2</v>
      </c>
      <c r="U24" s="2">
        <v>20</v>
      </c>
      <c r="V24" s="2">
        <f t="shared" si="7"/>
        <v>6.4996719360351562E-2</v>
      </c>
      <c r="W24" s="2">
        <f t="shared" si="0"/>
        <v>4.8522440936060729E-7</v>
      </c>
      <c r="X24" s="2">
        <f t="shared" si="8"/>
        <v>6.4997673034667969E-2</v>
      </c>
      <c r="Y24" s="2">
        <f t="shared" si="1"/>
        <v>-4.695251028113967E-7</v>
      </c>
      <c r="Z24" s="2">
        <f t="shared" si="3"/>
        <v>6.4997196197509766E-2</v>
      </c>
      <c r="AA24" s="2">
        <f t="shared" si="2"/>
        <v>7.8496551619844368E-9</v>
      </c>
      <c r="AB24" s="2">
        <f t="shared" si="4"/>
        <v>3.8088442896583402E-15</v>
      </c>
      <c r="AC24" s="2">
        <f t="shared" si="5"/>
        <v>-3.6856101469647539E-15</v>
      </c>
      <c r="AD24" s="2">
        <f t="shared" si="6"/>
        <v>9.5367431640625E-7</v>
      </c>
      <c r="AF24" s="2">
        <v>20</v>
      </c>
      <c r="AG24" s="2">
        <f t="shared" si="13"/>
        <v>2102.7517318725586</v>
      </c>
      <c r="AH24" s="2">
        <v>-4.2638607069420686E-3</v>
      </c>
      <c r="AI24" s="2">
        <f t="shared" si="14"/>
        <v>2102.7698516845703</v>
      </c>
      <c r="AJ24" s="2">
        <v>1.2516803297330625E-2</v>
      </c>
      <c r="AK24" s="2">
        <f t="shared" si="9"/>
        <v>2102.7607917785645</v>
      </c>
      <c r="AL24" s="2">
        <v>4.1264683202371089E-3</v>
      </c>
      <c r="AM24" s="2">
        <f t="shared" si="10"/>
        <v>-1.759468612910025E-5</v>
      </c>
      <c r="AN24" s="2">
        <f t="shared" si="11"/>
        <v>5.1650192277074208E-5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uniform_250!K25</f>
        <v>19.310266924346688</v>
      </c>
      <c r="L25" s="6" t="s">
        <v>7</v>
      </c>
      <c r="N25" s="6" t="s">
        <v>32</v>
      </c>
      <c r="O25" s="6">
        <f xml:space="preserve"> O19 * $C$9 * O24 - $C$8 * SIN(O17/180*PI())</f>
        <v>0.64893667490988438</v>
      </c>
      <c r="P25" s="6" t="s">
        <v>10</v>
      </c>
      <c r="U25" s="2">
        <v>21</v>
      </c>
      <c r="V25" s="2">
        <f t="shared" si="7"/>
        <v>6.4997196197509766E-2</v>
      </c>
      <c r="W25" s="2">
        <f t="shared" si="0"/>
        <v>7.8496551619844368E-9</v>
      </c>
      <c r="X25" s="2">
        <f t="shared" si="8"/>
        <v>6.4997673034667969E-2</v>
      </c>
      <c r="Y25" s="2">
        <f t="shared" si="1"/>
        <v>-4.695251028113967E-7</v>
      </c>
      <c r="Z25" s="2">
        <f t="shared" si="3"/>
        <v>6.4997434616088867E-2</v>
      </c>
      <c r="AA25" s="2">
        <f t="shared" si="2"/>
        <v>-2.3083772335286135E-7</v>
      </c>
      <c r="AB25" s="2">
        <f t="shared" si="4"/>
        <v>-1.8119965266975234E-15</v>
      </c>
      <c r="AC25" s="2">
        <f t="shared" si="5"/>
        <v>1.0838410579000097E-13</v>
      </c>
      <c r="AD25" s="2">
        <f t="shared" si="6"/>
        <v>4.76837158203125E-7</v>
      </c>
      <c r="AF25" s="2">
        <v>21</v>
      </c>
      <c r="AG25" s="2">
        <f t="shared" si="13"/>
        <v>2102.7517318725586</v>
      </c>
      <c r="AH25" s="2">
        <v>-4.2638607069420686E-3</v>
      </c>
      <c r="AI25" s="2">
        <f t="shared" si="14"/>
        <v>2102.7607917785645</v>
      </c>
      <c r="AJ25" s="2">
        <v>4.1264683202371089E-3</v>
      </c>
      <c r="AK25" s="2">
        <f t="shared" si="9"/>
        <v>2102.7562618255615</v>
      </c>
      <c r="AL25" s="2">
        <v>-7.0756676223027171E-5</v>
      </c>
      <c r="AM25" s="2">
        <f t="shared" si="10"/>
        <v>3.016966115011877E-7</v>
      </c>
      <c r="AN25" s="2">
        <f t="shared" si="11"/>
        <v>-2.919751828795959E-7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uniform_250!K26</f>
        <v>55.401737525717024</v>
      </c>
      <c r="L26" s="6" t="s">
        <v>7</v>
      </c>
      <c r="N26" s="6" t="s">
        <v>33</v>
      </c>
      <c r="O26" s="6">
        <f xml:space="preserve"> 1/$C$21 - O23 * SQRT( (2*$C$47*PI()*$C$9^2) / O18^3 )</f>
        <v>0.83000204556750556</v>
      </c>
      <c r="U26" s="2">
        <v>22</v>
      </c>
      <c r="V26" s="2">
        <f t="shared" si="7"/>
        <v>6.4997196197509766E-2</v>
      </c>
      <c r="W26" s="2">
        <f t="shared" si="0"/>
        <v>7.8496551619844368E-9</v>
      </c>
      <c r="X26" s="2">
        <f t="shared" si="8"/>
        <v>6.4997434616088867E-2</v>
      </c>
      <c r="Y26" s="2">
        <f t="shared" si="1"/>
        <v>-2.3083772335286135E-7</v>
      </c>
      <c r="Z26" s="2">
        <f t="shared" si="3"/>
        <v>6.4997315406799316E-2</v>
      </c>
      <c r="AA26" s="2">
        <f t="shared" si="2"/>
        <v>-1.1149403397747726E-7</v>
      </c>
      <c r="AB26" s="2">
        <f t="shared" si="4"/>
        <v>-8.7518971934177257E-16</v>
      </c>
      <c r="AC26" s="2">
        <f t="shared" si="5"/>
        <v>2.5737028970787418E-14</v>
      </c>
      <c r="AD26" s="2">
        <f t="shared" si="6"/>
        <v>2.384185791015625E-7</v>
      </c>
      <c r="AF26" s="2">
        <v>22</v>
      </c>
      <c r="AG26" s="2">
        <f t="shared" si="13"/>
        <v>2102.7562618255615</v>
      </c>
      <c r="AH26" s="2">
        <v>-7.0756676223027171E-5</v>
      </c>
      <c r="AI26" s="2">
        <f t="shared" si="14"/>
        <v>2102.7607917785645</v>
      </c>
      <c r="AJ26" s="2">
        <v>4.1264683202371089E-3</v>
      </c>
      <c r="AK26" s="2">
        <f t="shared" si="9"/>
        <v>2102.758526802063</v>
      </c>
      <c r="AL26" s="2">
        <v>2.0278556353332533E-3</v>
      </c>
      <c r="AM26" s="2">
        <f t="shared" si="10"/>
        <v>-1.4348432461631605E-7</v>
      </c>
      <c r="AN26" s="2">
        <f t="shared" si="11"/>
        <v>8.3678820372169649E-6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9.7274260444919491E-3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6.4997196197509766E-2</v>
      </c>
      <c r="W27" s="2">
        <f t="shared" si="0"/>
        <v>7.8496551619844368E-9</v>
      </c>
      <c r="X27" s="2">
        <f t="shared" si="8"/>
        <v>6.4997315406799316E-2</v>
      </c>
      <c r="Y27" s="2">
        <f t="shared" si="1"/>
        <v>-1.1149403397747726E-7</v>
      </c>
      <c r="Z27" s="2">
        <f t="shared" si="3"/>
        <v>6.4997255802154541E-2</v>
      </c>
      <c r="AA27" s="2">
        <f t="shared" si="2"/>
        <v>-5.1822189373051941E-8</v>
      </c>
      <c r="AB27" s="2">
        <f t="shared" si="4"/>
        <v>-4.0678631631751222E-16</v>
      </c>
      <c r="AC27" s="2">
        <f t="shared" si="5"/>
        <v>5.7778649427463138E-15</v>
      </c>
      <c r="AD27" s="2">
        <f t="shared" si="6"/>
        <v>1.1920928955078125E-7</v>
      </c>
      <c r="AF27" s="2">
        <v>23</v>
      </c>
      <c r="AG27" s="2">
        <f t="shared" si="13"/>
        <v>2102.7562618255615</v>
      </c>
      <c r="AH27" s="2">
        <v>-7.0756676223027171E-5</v>
      </c>
      <c r="AI27" s="2">
        <f t="shared" si="14"/>
        <v>2102.758526802063</v>
      </c>
      <c r="AJ27" s="2">
        <v>2.0278556353332533E-3</v>
      </c>
      <c r="AK27" s="2">
        <f t="shared" si="9"/>
        <v>2102.7573943138123</v>
      </c>
      <c r="AL27" s="2">
        <v>9.7854943328457011E-4</v>
      </c>
      <c r="AM27" s="2">
        <f t="shared" si="10"/>
        <v>-6.9238905419143059E-8</v>
      </c>
      <c r="AN27" s="2">
        <f t="shared" si="11"/>
        <v>1.9843569827382769E-6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5152.5626667018087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1.1500022576866387</v>
      </c>
      <c r="U28" s="2">
        <v>24</v>
      </c>
      <c r="V28" s="2">
        <f t="shared" si="7"/>
        <v>6.4997196197509766E-2</v>
      </c>
      <c r="W28" s="2">
        <f t="shared" si="0"/>
        <v>7.8496551619844368E-9</v>
      </c>
      <c r="X28" s="2">
        <f t="shared" si="8"/>
        <v>6.4997255802154541E-2</v>
      </c>
      <c r="Y28" s="2">
        <f t="shared" si="1"/>
        <v>-5.1822189373051941E-8</v>
      </c>
      <c r="Z28" s="2">
        <f t="shared" si="3"/>
        <v>6.4997225999832153E-2</v>
      </c>
      <c r="AA28" s="2">
        <f t="shared" si="2"/>
        <v>-2.1986267098594858E-8</v>
      </c>
      <c r="AB28" s="2">
        <f t="shared" si="4"/>
        <v>-1.7258461502325371E-16</v>
      </c>
      <c r="AC28" s="2">
        <f t="shared" si="5"/>
        <v>1.139376497189884E-15</v>
      </c>
      <c r="AD28" s="2">
        <f t="shared" si="6"/>
        <v>5.9604644775390625E-8</v>
      </c>
      <c r="AF28" s="2">
        <v>24</v>
      </c>
      <c r="AG28" s="2">
        <f t="shared" si="13"/>
        <v>2102.7562618255615</v>
      </c>
      <c r="AH28" s="2">
        <v>-7.0756676223027171E-5</v>
      </c>
      <c r="AI28" s="2">
        <f t="shared" si="14"/>
        <v>2102.7573943138123</v>
      </c>
      <c r="AJ28" s="2">
        <v>9.7854943328457011E-4</v>
      </c>
      <c r="AK28" s="2">
        <f t="shared" si="9"/>
        <v>2102.7568280696869</v>
      </c>
      <c r="AL28" s="2">
        <v>4.5595610686177679E-4</v>
      </c>
      <c r="AM28" s="2">
        <f t="shared" si="10"/>
        <v>-3.2261938625130718E-8</v>
      </c>
      <c r="AN28" s="2">
        <f t="shared" si="11"/>
        <v>4.4617558997223059E-7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44.531517229945116</v>
      </c>
      <c r="H29" t="s">
        <v>18</v>
      </c>
      <c r="U29" s="2">
        <v>25</v>
      </c>
      <c r="V29" s="2">
        <f t="shared" si="7"/>
        <v>6.4997196197509766E-2</v>
      </c>
      <c r="W29" s="2">
        <f t="shared" si="0"/>
        <v>7.8496551619844368E-9</v>
      </c>
      <c r="X29" s="2">
        <f t="shared" si="8"/>
        <v>6.4997225999832153E-2</v>
      </c>
      <c r="Y29" s="2">
        <f t="shared" si="1"/>
        <v>-2.1986267098594858E-8</v>
      </c>
      <c r="Z29" s="2">
        <f t="shared" si="3"/>
        <v>6.4997211098670959E-2</v>
      </c>
      <c r="AA29" s="2">
        <f t="shared" si="2"/>
        <v>-7.0683059683052107E-9</v>
      </c>
      <c r="AB29" s="2">
        <f t="shared" si="4"/>
        <v>-5.54837644305924E-17</v>
      </c>
      <c r="AC29" s="2">
        <f t="shared" si="5"/>
        <v>1.5540566295375054E-16</v>
      </c>
      <c r="AD29" s="2">
        <f t="shared" si="6"/>
        <v>2.9802322387695312E-8</v>
      </c>
      <c r="AF29" s="2">
        <v>25</v>
      </c>
      <c r="AG29" s="2">
        <f t="shared" si="13"/>
        <v>2102.7562618255615</v>
      </c>
      <c r="AH29" s="2">
        <v>-7.0756676223027171E-5</v>
      </c>
      <c r="AI29" s="2">
        <f t="shared" si="14"/>
        <v>2102.7568280696869</v>
      </c>
      <c r="AJ29" s="2">
        <v>4.5595610686177679E-4</v>
      </c>
      <c r="AK29" s="2">
        <f t="shared" si="9"/>
        <v>2102.7565449476242</v>
      </c>
      <c r="AL29" s="2">
        <v>1.9259971236351703E-4</v>
      </c>
      <c r="AM29" s="2">
        <f t="shared" si="10"/>
        <v>-1.3627715488353537E-8</v>
      </c>
      <c r="AN29" s="2">
        <f t="shared" si="11"/>
        <v>8.7817015031967248E-8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11.80493598297679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6.4997196197509766E-2</v>
      </c>
      <c r="W30" s="2">
        <f t="shared" si="0"/>
        <v>7.8496551619844368E-9</v>
      </c>
      <c r="X30" s="2">
        <f t="shared" si="8"/>
        <v>6.4997211098670959E-2</v>
      </c>
      <c r="Y30" s="2">
        <f t="shared" si="1"/>
        <v>-7.0683059683052107E-9</v>
      </c>
      <c r="Z30" s="2">
        <f t="shared" si="3"/>
        <v>6.4997203648090363E-2</v>
      </c>
      <c r="AA30" s="2">
        <f t="shared" si="2"/>
        <v>3.9067460377850693E-10</v>
      </c>
      <c r="AB30" s="2">
        <f t="shared" si="4"/>
        <v>3.0666609202061815E-18</v>
      </c>
      <c r="AC30" s="2">
        <f t="shared" si="5"/>
        <v>-2.761407633552894E-18</v>
      </c>
      <c r="AD30" s="2">
        <f t="shared" si="6"/>
        <v>1.4901161193847656E-8</v>
      </c>
      <c r="AF30" s="2">
        <v>26</v>
      </c>
      <c r="AG30" s="2">
        <f t="shared" si="13"/>
        <v>2102.7562618255615</v>
      </c>
      <c r="AH30" s="2">
        <v>-7.0756676223027171E-5</v>
      </c>
      <c r="AI30" s="2">
        <f t="shared" si="14"/>
        <v>2102.7565449476242</v>
      </c>
      <c r="AJ30" s="2">
        <v>1.9259971236351703E-4</v>
      </c>
      <c r="AK30" s="2">
        <f t="shared" si="9"/>
        <v>2102.7564033865929</v>
      </c>
      <c r="AL30" s="2">
        <v>6.0921516933376552E-5</v>
      </c>
      <c r="AM30" s="2">
        <f t="shared" si="10"/>
        <v>-4.3106040486705917E-9</v>
      </c>
      <c r="AN30" s="2">
        <f t="shared" si="11"/>
        <v>1.1733466638117455E-8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178.12606891978047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6.4997203648090363E-2</v>
      </c>
      <c r="W31" s="2">
        <f t="shared" si="0"/>
        <v>3.9067460377850693E-10</v>
      </c>
      <c r="X31" s="2">
        <f t="shared" si="8"/>
        <v>6.4997211098670959E-2</v>
      </c>
      <c r="Y31" s="2">
        <f t="shared" si="1"/>
        <v>-7.0683059683052107E-9</v>
      </c>
      <c r="Z31" s="2">
        <f t="shared" si="3"/>
        <v>6.4997207373380661E-2</v>
      </c>
      <c r="AA31" s="2">
        <f t="shared" si="2"/>
        <v>-3.3388156822633519E-9</v>
      </c>
      <c r="AB31" s="2">
        <f t="shared" si="4"/>
        <v>-1.3043904937577003E-18</v>
      </c>
      <c r="AC31" s="2">
        <f t="shared" si="5"/>
        <v>2.3599770814013084E-17</v>
      </c>
      <c r="AD31" s="2">
        <f t="shared" si="6"/>
        <v>7.4505805969238281E-9</v>
      </c>
      <c r="AF31" s="2">
        <v>27</v>
      </c>
      <c r="AG31" s="2">
        <f t="shared" si="13"/>
        <v>2102.7562618255615</v>
      </c>
      <c r="AH31" s="2">
        <v>-7.0756676223027171E-5</v>
      </c>
      <c r="AI31" s="2">
        <f t="shared" si="14"/>
        <v>2102.7564033865929</v>
      </c>
      <c r="AJ31" s="2">
        <v>6.0921516933376552E-5</v>
      </c>
      <c r="AK31" s="2">
        <f t="shared" si="9"/>
        <v>2102.7563326060772</v>
      </c>
      <c r="AL31" s="2">
        <v>-2.8578403998835711E-6</v>
      </c>
      <c r="AM31" s="2">
        <f t="shared" si="10"/>
        <v>2.0221128787164834E-10</v>
      </c>
      <c r="AN31" s="2">
        <f t="shared" si="11"/>
        <v>-1.7410397231439459E-10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395.14</v>
      </c>
      <c r="L32" s="6" t="s">
        <v>7</v>
      </c>
      <c r="U32" s="2">
        <v>28</v>
      </c>
      <c r="V32" s="2">
        <f t="shared" si="7"/>
        <v>6.4997203648090363E-2</v>
      </c>
      <c r="W32" s="2">
        <f t="shared" si="0"/>
        <v>3.9067460377850693E-10</v>
      </c>
      <c r="X32" s="2">
        <f t="shared" si="8"/>
        <v>6.4997207373380661E-2</v>
      </c>
      <c r="Y32" s="2">
        <f t="shared" si="1"/>
        <v>-3.3388156822633519E-9</v>
      </c>
      <c r="Z32" s="2">
        <f t="shared" si="3"/>
        <v>6.4997205510735512E-2</v>
      </c>
      <c r="AA32" s="2">
        <f t="shared" si="2"/>
        <v>-1.4740705461813164E-9</v>
      </c>
      <c r="AB32" s="2">
        <f t="shared" si="4"/>
        <v>-5.7588192657095309E-19</v>
      </c>
      <c r="AC32" s="2">
        <f t="shared" si="5"/>
        <v>4.9216498563526835E-18</v>
      </c>
      <c r="AD32" s="2">
        <f t="shared" si="6"/>
        <v>3.7252902984619141E-9</v>
      </c>
      <c r="AF32" s="2">
        <v>28</v>
      </c>
      <c r="AG32" s="2">
        <f t="shared" si="13"/>
        <v>2102.7563326060772</v>
      </c>
      <c r="AH32" s="2">
        <v>-2.8578403998835711E-6</v>
      </c>
      <c r="AI32" s="2">
        <f t="shared" si="14"/>
        <v>2102.7564033865929</v>
      </c>
      <c r="AJ32" s="2">
        <v>6.0921516933376552E-5</v>
      </c>
      <c r="AK32" s="2">
        <f t="shared" si="9"/>
        <v>2102.756367996335</v>
      </c>
      <c r="AL32" s="2">
        <v>2.6972098794431076E-5</v>
      </c>
      <c r="AM32" s="2">
        <f t="shared" si="10"/>
        <v>-7.7081953604376093E-11</v>
      </c>
      <c r="AN32" s="2">
        <f t="shared" si="11"/>
        <v>1.643181173433638E-9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763.04</v>
      </c>
      <c r="L33" s="6" t="s">
        <v>7</v>
      </c>
      <c r="U33" s="2">
        <v>29</v>
      </c>
      <c r="V33" s="2">
        <f t="shared" si="7"/>
        <v>6.4997203648090363E-2</v>
      </c>
      <c r="W33" s="2">
        <f t="shared" si="0"/>
        <v>3.9067460377850693E-10</v>
      </c>
      <c r="X33" s="2">
        <f t="shared" si="8"/>
        <v>6.4997205510735512E-2</v>
      </c>
      <c r="Y33" s="2">
        <f t="shared" si="1"/>
        <v>-1.4740705461813164E-9</v>
      </c>
      <c r="Z33" s="2">
        <f t="shared" si="3"/>
        <v>6.4997204579412937E-2</v>
      </c>
      <c r="AA33" s="2">
        <f t="shared" si="2"/>
        <v>-5.4169797814029863E-10</v>
      </c>
      <c r="AB33" s="2">
        <f t="shared" si="4"/>
        <v>-2.1162764297757948E-19</v>
      </c>
      <c r="AC33" s="2">
        <f t="shared" si="5"/>
        <v>7.9850103450258479E-19</v>
      </c>
      <c r="AD33" s="2">
        <f t="shared" si="6"/>
        <v>1.862645149230957E-9</v>
      </c>
      <c r="AF33" s="2">
        <v>29</v>
      </c>
      <c r="AG33" s="2">
        <f t="shared" si="13"/>
        <v>2102.7563326060772</v>
      </c>
      <c r="AH33" s="2">
        <v>-2.8578403998835711E-6</v>
      </c>
      <c r="AI33" s="2">
        <f t="shared" si="14"/>
        <v>2102.756367996335</v>
      </c>
      <c r="AJ33" s="2">
        <v>2.6972098794431076E-5</v>
      </c>
      <c r="AK33" s="2">
        <f t="shared" si="9"/>
        <v>2102.7563503012061</v>
      </c>
      <c r="AL33" s="2">
        <v>1.2057129197273753E-5</v>
      </c>
      <c r="AM33" s="2">
        <f t="shared" si="10"/>
        <v>-3.4457350926584702E-11</v>
      </c>
      <c r="AN33" s="2">
        <f t="shared" si="11"/>
        <v>3.2520607988608712E-10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196.28</v>
      </c>
      <c r="L34" s="6" t="s">
        <v>7</v>
      </c>
      <c r="U34" s="2">
        <v>30</v>
      </c>
      <c r="V34" s="2">
        <f t="shared" si="7"/>
        <v>6.4997203648090363E-2</v>
      </c>
      <c r="W34" s="2">
        <f t="shared" si="0"/>
        <v>3.9067460377850693E-10</v>
      </c>
      <c r="X34" s="2">
        <f t="shared" si="8"/>
        <v>6.4997204579412937E-2</v>
      </c>
      <c r="Y34" s="2">
        <f t="shared" si="1"/>
        <v>-5.4169797814029863E-10</v>
      </c>
      <c r="Z34" s="2">
        <f t="shared" si="3"/>
        <v>6.499720411375165E-2</v>
      </c>
      <c r="AA34" s="2">
        <f t="shared" si="2"/>
        <v>-7.5511680242001944E-11</v>
      </c>
      <c r="AB34" s="2">
        <f t="shared" si="4"/>
        <v>-2.950049575919342E-20</v>
      </c>
      <c r="AC34" s="2">
        <f t="shared" si="5"/>
        <v>4.0904524513069189E-20</v>
      </c>
      <c r="AD34" s="2">
        <f>X34-V34</f>
        <v>9.3132257461547852E-10</v>
      </c>
      <c r="AF34" s="2">
        <v>30</v>
      </c>
      <c r="AG34" s="2">
        <f t="shared" si="13"/>
        <v>2102.7563326060772</v>
      </c>
      <c r="AH34" s="2">
        <v>-2.8578403998835711E-6</v>
      </c>
      <c r="AI34" s="2">
        <f t="shared" si="14"/>
        <v>2102.7563503012061</v>
      </c>
      <c r="AJ34" s="2">
        <v>1.2057129197273753E-5</v>
      </c>
      <c r="AK34" s="2">
        <f t="shared" si="9"/>
        <v>2102.7563414536417</v>
      </c>
      <c r="AL34" s="2">
        <v>4.5996446260687662E-6</v>
      </c>
      <c r="AM34" s="2">
        <f t="shared" si="10"/>
        <v>-1.3145050237486682E-11</v>
      </c>
      <c r="AN34" s="2">
        <f t="shared" si="11"/>
        <v>5.5458509518057034E-11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233.14850996405812</v>
      </c>
      <c r="H35" s="25" t="s">
        <v>101</v>
      </c>
      <c r="J35" s="15" t="s">
        <v>70</v>
      </c>
      <c r="K35" s="6">
        <f>ROUND(SUM(K23:K26),2)</f>
        <v>148.31</v>
      </c>
      <c r="L35" s="6" t="s">
        <v>7</v>
      </c>
      <c r="AF35" s="2">
        <v>31</v>
      </c>
      <c r="AG35" s="2">
        <f t="shared" si="13"/>
        <v>2102.7563326060772</v>
      </c>
      <c r="AH35" s="2">
        <v>-2.8578403998835711E-6</v>
      </c>
      <c r="AI35" s="2">
        <f t="shared" si="14"/>
        <v>2102.7563414536417</v>
      </c>
      <c r="AJ35" s="2">
        <v>4.5996446260687662E-6</v>
      </c>
      <c r="AK35" s="2">
        <f t="shared" si="9"/>
        <v>2102.7563370298594</v>
      </c>
      <c r="AL35" s="2">
        <v>8.7090211309259757E-7</v>
      </c>
      <c r="AM35" s="2">
        <f t="shared" si="10"/>
        <v>-2.4888992431399961E-12</v>
      </c>
      <c r="AN35" s="2">
        <f t="shared" si="11"/>
        <v>4.0058402243182993E-12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2102.77</v>
      </c>
      <c r="L36" s="6" t="s">
        <v>7</v>
      </c>
      <c r="AF36" s="2">
        <v>32</v>
      </c>
      <c r="AG36" s="2">
        <f t="shared" si="13"/>
        <v>2102.7563326060772</v>
      </c>
      <c r="AH36" s="2">
        <v>-2.8578403998835711E-6</v>
      </c>
      <c r="AI36" s="2">
        <f t="shared" si="14"/>
        <v>2102.7563370298594</v>
      </c>
      <c r="AJ36" s="2">
        <v>8.7090211309259757E-7</v>
      </c>
      <c r="AK36" s="2">
        <f t="shared" si="9"/>
        <v>2102.7563348179683</v>
      </c>
      <c r="AL36" s="2">
        <v>-9.9346880233497359E-7</v>
      </c>
      <c r="AM36" s="2">
        <f t="shared" si="10"/>
        <v>2.8391752793368334E-12</v>
      </c>
      <c r="AN36" s="2">
        <f t="shared" si="11"/>
        <v>-8.6521407924510063E-13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2102.7563348179683</v>
      </c>
      <c r="AH37" s="2">
        <v>-9.9346880233497359E-7</v>
      </c>
      <c r="AI37" s="2">
        <f t="shared" si="14"/>
        <v>2102.7563370298594</v>
      </c>
      <c r="AJ37" s="2">
        <v>8.7090211309259757E-7</v>
      </c>
      <c r="AK37" s="2">
        <f t="shared" si="9"/>
        <v>2102.7563359239139</v>
      </c>
      <c r="AL37" s="2">
        <v>-6.1283117247512564E-8</v>
      </c>
      <c r="AM37" s="2">
        <f t="shared" si="10"/>
        <v>6.088286509524007E-14</v>
      </c>
      <c r="AN37" s="2">
        <f t="shared" si="11"/>
        <v>-5.3371596307760104E-14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2102.7563359239139</v>
      </c>
      <c r="AH38" s="2">
        <v>-6.1283117247512564E-8</v>
      </c>
      <c r="AI38" s="2">
        <f t="shared" si="14"/>
        <v>2102.7563370298594</v>
      </c>
      <c r="AJ38" s="2">
        <v>8.7090211309259757E-7</v>
      </c>
      <c r="AK38" s="2">
        <f t="shared" si="9"/>
        <v>2102.7563364768866</v>
      </c>
      <c r="AL38" s="2">
        <v>4.0480927054886706E-7</v>
      </c>
      <c r="AM38" s="2">
        <f t="shared" si="10"/>
        <v>-2.4807973989926255E-14</v>
      </c>
      <c r="AN38" s="2">
        <f t="shared" si="11"/>
        <v>3.5254924912048135E-13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28.53</v>
      </c>
      <c r="L39" s="6" t="s">
        <v>58</v>
      </c>
      <c r="AF39" s="2">
        <v>35</v>
      </c>
      <c r="AG39" s="2">
        <f t="shared" si="13"/>
        <v>2102.7563359239139</v>
      </c>
      <c r="AH39" s="2">
        <v>-6.1283117247512564E-8</v>
      </c>
      <c r="AI39" s="2">
        <f t="shared" si="14"/>
        <v>2102.7563364768866</v>
      </c>
      <c r="AJ39" s="2">
        <v>4.0480927054886706E-7</v>
      </c>
      <c r="AK39" s="2">
        <f t="shared" si="9"/>
        <v>2102.7563362004003</v>
      </c>
      <c r="AL39" s="2">
        <v>1.7176307665067725E-7</v>
      </c>
      <c r="AM39" s="2">
        <f t="shared" si="10"/>
        <v>-1.0526176765176941E-14</v>
      </c>
      <c r="AN39" s="2">
        <f t="shared" si="11"/>
        <v>6.9531285766189797E-14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18.79</v>
      </c>
      <c r="L40" s="6" t="s">
        <v>58</v>
      </c>
      <c r="AF40" s="2">
        <v>36</v>
      </c>
      <c r="AG40" s="2">
        <f t="shared" si="13"/>
        <v>2102.7563359239139</v>
      </c>
      <c r="AH40" s="2">
        <v>-6.1283117247512564E-8</v>
      </c>
      <c r="AI40" s="2">
        <f t="shared" si="14"/>
        <v>2102.7563362004003</v>
      </c>
      <c r="AJ40" s="2">
        <v>1.7176307665067725E-7</v>
      </c>
      <c r="AK40" s="2">
        <f t="shared" si="9"/>
        <v>2102.7563360621571</v>
      </c>
      <c r="AL40" s="2">
        <v>5.5240207075257786E-8</v>
      </c>
      <c r="AM40" s="2">
        <f t="shared" si="10"/>
        <v>-3.385292086969896E-15</v>
      </c>
      <c r="AN40" s="2">
        <f t="shared" si="11"/>
        <v>9.4882279220667867E-15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36.29</v>
      </c>
      <c r="L41" s="6" t="s">
        <v>58</v>
      </c>
      <c r="AF41" s="2">
        <v>37</v>
      </c>
      <c r="AG41" s="2">
        <f t="shared" si="13"/>
        <v>2102.7563359239139</v>
      </c>
      <c r="AH41" s="2">
        <v>-6.1283117247512564E-8</v>
      </c>
      <c r="AI41" s="2">
        <f t="shared" si="14"/>
        <v>2102.7563360621571</v>
      </c>
      <c r="AJ41" s="2">
        <v>5.5240207075257786E-8</v>
      </c>
      <c r="AK41" s="2">
        <f t="shared" si="9"/>
        <v>2102.7563359930355</v>
      </c>
      <c r="AL41" s="2">
        <v>-3.0220235203159973E-9</v>
      </c>
      <c r="AM41" s="2">
        <f t="shared" si="10"/>
        <v>1.8519902172026593E-16</v>
      </c>
      <c r="AN41" s="2">
        <f t="shared" si="11"/>
        <v>-1.6693720504855519E-16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9.33</v>
      </c>
      <c r="L42" s="6" t="s">
        <v>58</v>
      </c>
      <c r="AF42" s="2">
        <v>38</v>
      </c>
      <c r="AG42" s="2">
        <f t="shared" si="13"/>
        <v>2102.7563359930355</v>
      </c>
      <c r="AH42" s="2">
        <v>-3.0220235203159973E-9</v>
      </c>
      <c r="AI42" s="2">
        <f t="shared" si="14"/>
        <v>2102.7563360621571</v>
      </c>
      <c r="AJ42" s="2">
        <v>5.5240207075257786E-8</v>
      </c>
      <c r="AK42" s="2">
        <f t="shared" si="9"/>
        <v>2102.7563360275963</v>
      </c>
      <c r="AL42" s="2">
        <v>2.6109091777470894E-8</v>
      </c>
      <c r="AM42" s="2">
        <f t="shared" si="10"/>
        <v>-7.8902289445606051E-17</v>
      </c>
      <c r="AN42" s="2">
        <f t="shared" si="11"/>
        <v>1.4422716363344026E-15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7.05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2102.7563359930355</v>
      </c>
      <c r="AH43" s="2">
        <v>-3.0220235203159973E-9</v>
      </c>
      <c r="AI43" s="2">
        <f t="shared" si="14"/>
        <v>2102.7563360275963</v>
      </c>
      <c r="AJ43" s="2">
        <v>2.6109091777470894E-8</v>
      </c>
      <c r="AK43" s="2">
        <f t="shared" si="9"/>
        <v>2102.7563360103159</v>
      </c>
      <c r="AL43" s="2">
        <v>1.1543534128577448E-8</v>
      </c>
      <c r="AM43" s="2">
        <f t="shared" si="10"/>
        <v>-3.4884831644131479E-17</v>
      </c>
      <c r="AN43" s="2">
        <f t="shared" si="11"/>
        <v>3.013911919993961E-16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2102.7563359930355</v>
      </c>
      <c r="AH44" s="2">
        <v>-3.0220235203159973E-9</v>
      </c>
      <c r="AI44" s="2">
        <f t="shared" si="14"/>
        <v>2102.7563360103159</v>
      </c>
      <c r="AJ44" s="2">
        <v>1.1543534128577448E-8</v>
      </c>
      <c r="AK44" s="5">
        <f>(AG44+AI44)/2</f>
        <v>2102.7563360016757</v>
      </c>
      <c r="AL44" s="2">
        <v>4.2609826778061688E-9</v>
      </c>
      <c r="AM44" s="2">
        <f t="shared" si="10"/>
        <v>-1.2876789871989283E-17</v>
      </c>
      <c r="AN44" s="2">
        <f t="shared" si="11"/>
        <v>4.9186798962532835E-17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1722.1587917593492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28.53</v>
      </c>
      <c r="L47" s="6" t="s">
        <v>58</v>
      </c>
      <c r="N47" s="6" t="s">
        <v>154</v>
      </c>
      <c r="O47" s="6">
        <f>0.377*O46^0.6945</f>
        <v>66.649083664345568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18.79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52.67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545.84474270202679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5.2930064189354531E-2</v>
      </c>
      <c r="X4" s="3">
        <v>1</v>
      </c>
      <c r="Y4" s="2">
        <f t="shared" ref="Y4:Y34" si="1" xml:space="preserve"> $O$20 * TAN($O$17/180*PI()) + $O$21 / (2 * SQRT($O$20^2 + X4^2)) - X4</f>
        <v>-0.95117549120559863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-0.44914043735401638</v>
      </c>
      <c r="AB4" s="2">
        <f>W4*AA4</f>
        <v>-2.3773032179182856E-2</v>
      </c>
      <c r="AC4" s="2">
        <f>Y4*AA4</f>
        <v>0.42721137612050392</v>
      </c>
      <c r="AD4" s="2">
        <f>X4-V4</f>
        <v>1</v>
      </c>
      <c r="AF4" s="2">
        <v>0</v>
      </c>
      <c r="AG4" s="2"/>
      <c r="AH4" s="2">
        <f>K27</f>
        <v>-5.3370777504824218E-4</v>
      </c>
      <c r="AI4" s="2"/>
      <c r="AJ4" s="2">
        <f>K27</f>
        <v>-5.3370777504824218E-4</v>
      </c>
      <c r="AK4" s="2"/>
      <c r="AL4" s="2">
        <f>K27</f>
        <v>-5.3370777504824218E-4</v>
      </c>
      <c r="AM4" s="2"/>
      <c r="AN4" s="2"/>
      <c r="AO4" s="2"/>
    </row>
    <row r="5" spans="2:41" x14ac:dyDescent="0.2">
      <c r="B5" s="10" t="s">
        <v>37</v>
      </c>
      <c r="C5" s="10">
        <v>3004.3799440652401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136.4611856755067</v>
      </c>
      <c r="L5" s="6" t="s">
        <v>101</v>
      </c>
      <c r="N5" s="6" t="s">
        <v>114</v>
      </c>
      <c r="O5" s="6">
        <f xml:space="preserve"> $C$18 * 0.85 * ($C$5/$C$18 *2.20462/1000)^(2/3) * 0.3048^2</f>
        <v>0.44210753102021466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5.2930064189354531E-2</v>
      </c>
      <c r="X5" s="2">
        <f>IF(AC4&gt;0, Z4, X4)</f>
        <v>0.5</v>
      </c>
      <c r="Y5" s="2">
        <f t="shared" si="1"/>
        <v>-0.44914043735401638</v>
      </c>
      <c r="Z5" s="2">
        <f t="shared" ref="Z5:Z34" si="3" xml:space="preserve"> (V5 + X5)/2</f>
        <v>0.25</v>
      </c>
      <c r="AA5" s="2">
        <f t="shared" si="2"/>
        <v>-0.19778620670416491</v>
      </c>
      <c r="AB5" s="2">
        <f t="shared" ref="AB5:AB34" si="4">W5*AA5</f>
        <v>-1.0468836616620392E-2</v>
      </c>
      <c r="AC5" s="2">
        <f t="shared" ref="AC5:AC34" si="5">Y5*AA5</f>
        <v>8.8833783381700518E-2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-1290.2853633054433</v>
      </c>
      <c r="AI5" s="3">
        <v>10000</v>
      </c>
      <c r="AJ5" s="2">
        <f t="dataTable" ref="AJ5:AJ44" dt2D="0" dtr="0" r1="C5" ca="1"/>
        <v>2026.9161877576926</v>
      </c>
      <c r="AK5" s="2">
        <f>(AG5+AI5)/2</f>
        <v>5250</v>
      </c>
      <c r="AL5" s="2">
        <f t="dataTable" ref="AL5:AL44" dt2D="0" dtr="0" r1="C5" ca="1"/>
        <v>913.54222804434448</v>
      </c>
      <c r="AM5" s="2">
        <f>AH5*AL5</f>
        <v>-1178730.1656070612</v>
      </c>
      <c r="AN5" s="2">
        <f>AJ5*AL5</f>
        <v>1851673.5302233114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5.2930064189354531E-2</v>
      </c>
      <c r="X6" s="2">
        <f t="shared" ref="X6:X34" si="8">IF(AC5&gt;0, Z5, X5)</f>
        <v>0.25</v>
      </c>
      <c r="Y6" s="2">
        <f t="shared" si="1"/>
        <v>-0.19778620670416491</v>
      </c>
      <c r="Z6" s="2">
        <f t="shared" si="3"/>
        <v>0.125</v>
      </c>
      <c r="AA6" s="2">
        <f t="shared" si="2"/>
        <v>-7.2268956715023452E-2</v>
      </c>
      <c r="AB6" s="2">
        <f t="shared" si="4"/>
        <v>-3.8252005178238753E-3</v>
      </c>
      <c r="AC6" s="2">
        <f t="shared" si="5"/>
        <v>1.4293802811131975E-2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-1290.2853633054433</v>
      </c>
      <c r="AI6" s="2">
        <f>IF(AN5&gt;0, AK5, AI5)</f>
        <v>5250</v>
      </c>
      <c r="AJ6" s="2">
        <v>913.54222804434448</v>
      </c>
      <c r="AK6" s="2">
        <f t="shared" ref="AK6:AK43" si="9">(AG6+AI6)/2</f>
        <v>2875</v>
      </c>
      <c r="AL6" s="2">
        <v>-60.166938492086047</v>
      </c>
      <c r="AM6" s="2">
        <f t="shared" ref="AM6:AM44" si="10">AH6*AL6</f>
        <v>77632.5200912375</v>
      </c>
      <c r="AN6" s="2">
        <f t="shared" ref="AN6:AN44" si="11">AJ6*AL6</f>
        <v>-54965.039044667319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275.17958978683703</v>
      </c>
      <c r="D7" s="6" t="s">
        <v>125</v>
      </c>
      <c r="F7" t="s">
        <v>121</v>
      </c>
      <c r="G7" s="8">
        <f>$C$6*2*PI()/60*$C$9</f>
        <v>178.06688397294508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1.0723841543553108</v>
      </c>
      <c r="P7" s="6" t="s">
        <v>115</v>
      </c>
      <c r="U7" s="2">
        <v>3</v>
      </c>
      <c r="V7" s="2">
        <f t="shared" si="7"/>
        <v>0</v>
      </c>
      <c r="W7" s="2">
        <f t="shared" si="0"/>
        <v>5.2930064189354531E-2</v>
      </c>
      <c r="X7" s="2">
        <f t="shared" si="8"/>
        <v>0.125</v>
      </c>
      <c r="Y7" s="2">
        <f t="shared" si="1"/>
        <v>-7.2268956715023452E-2</v>
      </c>
      <c r="Z7" s="2">
        <f t="shared" si="3"/>
        <v>6.25E-2</v>
      </c>
      <c r="AA7" s="2">
        <f t="shared" si="2"/>
        <v>-9.6211383708819098E-3</v>
      </c>
      <c r="AB7" s="2">
        <f t="shared" si="4"/>
        <v>-5.0924747154544136E-4</v>
      </c>
      <c r="AC7" s="2">
        <f t="shared" si="5"/>
        <v>6.9530963247451598E-4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-60.166938492086047</v>
      </c>
      <c r="AI7" s="2">
        <f t="shared" ref="AI7:AI44" si="14">IF(AN6&gt;0, AK6, AI6)</f>
        <v>5250</v>
      </c>
      <c r="AJ7" s="2">
        <v>913.54222804434448</v>
      </c>
      <c r="AK7" s="2">
        <f t="shared" si="9"/>
        <v>4062.5</v>
      </c>
      <c r="AL7" s="2">
        <v>462.7797599358787</v>
      </c>
      <c r="AM7" s="2">
        <f t="shared" si="10"/>
        <v>-27844.041351444361</v>
      </c>
      <c r="AN7" s="2">
        <f t="shared" si="11"/>
        <v>422768.85298564949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0.53326699007988876</v>
      </c>
      <c r="H8" s="6" t="s">
        <v>122</v>
      </c>
      <c r="J8" s="6" t="s">
        <v>96</v>
      </c>
      <c r="K8" s="6">
        <f xml:space="preserve"> $C$15 * (G12*G6 + G22*G15 + G31*G27 +G35*G34)/3600</f>
        <v>223.16928519336918</v>
      </c>
      <c r="L8" s="6" t="s">
        <v>102</v>
      </c>
      <c r="N8" s="6" t="s">
        <v>38</v>
      </c>
      <c r="O8" s="6">
        <f xml:space="preserve"> O4 *O7</f>
        <v>2431.5922342456124</v>
      </c>
      <c r="P8" s="6" t="s">
        <v>20</v>
      </c>
      <c r="U8" s="2">
        <v>4</v>
      </c>
      <c r="V8" s="2">
        <f t="shared" si="7"/>
        <v>0</v>
      </c>
      <c r="W8" s="2">
        <f t="shared" si="0"/>
        <v>5.2930064189354531E-2</v>
      </c>
      <c r="X8" s="2">
        <f t="shared" si="8"/>
        <v>6.25E-2</v>
      </c>
      <c r="Y8" s="2">
        <f t="shared" si="1"/>
        <v>-9.6211383708819098E-3</v>
      </c>
      <c r="Z8" s="2">
        <f t="shared" si="3"/>
        <v>3.125E-2</v>
      </c>
      <c r="AA8" s="2">
        <f t="shared" si="2"/>
        <v>2.1667169401069539E-2</v>
      </c>
      <c r="AB8" s="2">
        <f t="shared" si="4"/>
        <v>1.146844667200229E-3</v>
      </c>
      <c r="AC8" s="2">
        <f t="shared" si="5"/>
        <v>-2.0846283491302855E-4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-60.166938492086047</v>
      </c>
      <c r="AI8" s="2">
        <f t="shared" si="14"/>
        <v>4062.5</v>
      </c>
      <c r="AJ8" s="2">
        <v>462.7797599358787</v>
      </c>
      <c r="AK8" s="2">
        <f t="shared" si="9"/>
        <v>3468.75</v>
      </c>
      <c r="AL8" s="2">
        <v>209.90769087960325</v>
      </c>
      <c r="AM8" s="2">
        <f t="shared" si="10"/>
        <v>-12629.5031261689</v>
      </c>
      <c r="AN8" s="2">
        <f t="shared" si="11"/>
        <v>97141.030793957427</v>
      </c>
      <c r="AO8" s="2">
        <f t="shared" si="12"/>
        <v>1187.5</v>
      </c>
    </row>
    <row r="9" spans="2:41" x14ac:dyDescent="0.2">
      <c r="B9" s="6" t="s">
        <v>95</v>
      </c>
      <c r="C9" s="17">
        <v>4.2510337177897801</v>
      </c>
      <c r="D9" s="6" t="s">
        <v>8</v>
      </c>
      <c r="F9" t="s">
        <v>19</v>
      </c>
      <c r="G9" s="6">
        <f xml:space="preserve"> $C$5 * $C$44 / $C$18</f>
        <v>7361.8508900953702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2431.5922342456124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2.1667169401069539E-2</v>
      </c>
      <c r="X9" s="2">
        <f t="shared" si="8"/>
        <v>6.25E-2</v>
      </c>
      <c r="Y9" s="2">
        <f t="shared" si="1"/>
        <v>-9.6211383708819098E-3</v>
      </c>
      <c r="Z9" s="2">
        <f t="shared" si="3"/>
        <v>4.6875E-2</v>
      </c>
      <c r="AA9" s="2">
        <f t="shared" si="2"/>
        <v>6.0261395990526337E-3</v>
      </c>
      <c r="AB9" s="2">
        <f t="shared" si="4"/>
        <v>1.3056938752716669E-4</v>
      </c>
      <c r="AC9" s="2">
        <f t="shared" si="5"/>
        <v>-5.797832292473622E-5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-60.166938492086047</v>
      </c>
      <c r="AI9" s="2">
        <f t="shared" si="14"/>
        <v>3468.75</v>
      </c>
      <c r="AJ9" s="2">
        <v>209.90769087960325</v>
      </c>
      <c r="AK9" s="2">
        <f t="shared" si="9"/>
        <v>3171.875</v>
      </c>
      <c r="AL9" s="2">
        <v>76.840404967403629</v>
      </c>
      <c r="AM9" s="2">
        <f t="shared" si="10"/>
        <v>-4623.2519193807575</v>
      </c>
      <c r="AN9" s="2">
        <f t="shared" si="11"/>
        <v>16129.391972961292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90.974123783671132</v>
      </c>
      <c r="H10" s="6" t="s">
        <v>101</v>
      </c>
      <c r="N10" s="6" t="s">
        <v>113</v>
      </c>
      <c r="O10" s="6">
        <f>O7/(0.3048^2)/($C$5*2.20462/1000)^(2/3)</f>
        <v>3.2728647964624726</v>
      </c>
      <c r="U10" s="2">
        <v>6</v>
      </c>
      <c r="V10" s="2">
        <f t="shared" si="7"/>
        <v>4.6875E-2</v>
      </c>
      <c r="W10" s="2">
        <f t="shared" si="0"/>
        <v>6.0261395990526337E-3</v>
      </c>
      <c r="X10" s="2">
        <f t="shared" si="8"/>
        <v>6.25E-2</v>
      </c>
      <c r="Y10" s="2">
        <f t="shared" si="1"/>
        <v>-9.6211383708819098E-3</v>
      </c>
      <c r="Z10" s="2">
        <f t="shared" si="3"/>
        <v>5.46875E-2</v>
      </c>
      <c r="AA10" s="2">
        <f t="shared" si="2"/>
        <v>-1.7967273702229891E-3</v>
      </c>
      <c r="AB10" s="2">
        <f t="shared" si="4"/>
        <v>-1.0827329954402457E-5</v>
      </c>
      <c r="AC10" s="2">
        <f t="shared" si="5"/>
        <v>1.7286562643666148E-5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-60.166938492086047</v>
      </c>
      <c r="AI10" s="2">
        <f t="shared" si="14"/>
        <v>3171.875</v>
      </c>
      <c r="AJ10" s="2">
        <v>76.840404967403629</v>
      </c>
      <c r="AK10" s="2">
        <f t="shared" si="9"/>
        <v>3023.4375</v>
      </c>
      <c r="AL10" s="2">
        <v>8.8032336640421818</v>
      </c>
      <c r="AM10" s="2">
        <f t="shared" si="10"/>
        <v>-529.66361839588728</v>
      </c>
      <c r="AN10" s="2">
        <f t="shared" si="11"/>
        <v>676.44403976768172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8.2561387214055628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4.6875E-2</v>
      </c>
      <c r="W11" s="2">
        <f t="shared" si="0"/>
        <v>6.0261395990526337E-3</v>
      </c>
      <c r="X11" s="2">
        <f t="shared" si="8"/>
        <v>5.46875E-2</v>
      </c>
      <c r="Y11" s="2">
        <f t="shared" si="1"/>
        <v>-1.7967273702229891E-3</v>
      </c>
      <c r="Z11" s="2">
        <f t="shared" si="3"/>
        <v>5.078125E-2</v>
      </c>
      <c r="AA11" s="2">
        <f t="shared" si="2"/>
        <v>2.1149003489612309E-3</v>
      </c>
      <c r="AB11" s="2">
        <f t="shared" si="4"/>
        <v>1.2744684740925507E-5</v>
      </c>
      <c r="AC11" s="2">
        <f t="shared" si="5"/>
        <v>-3.7998993422727943E-6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-60.166938492086047</v>
      </c>
      <c r="AI11" s="2">
        <f t="shared" si="14"/>
        <v>3023.4375</v>
      </c>
      <c r="AJ11" s="2">
        <v>8.8032336640421818</v>
      </c>
      <c r="AK11" s="2">
        <f t="shared" si="9"/>
        <v>2949.21875</v>
      </c>
      <c r="AL11" s="2">
        <v>-25.568307973476749</v>
      </c>
      <c r="AM11" s="2">
        <f t="shared" si="10"/>
        <v>1538.3668131868887</v>
      </c>
      <c r="AN11" s="2">
        <f t="shared" si="11"/>
        <v>-225.08378948470866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363.89649513468453</v>
      </c>
      <c r="H12" s="25" t="s">
        <v>101</v>
      </c>
      <c r="J12" s="10" t="s">
        <v>79</v>
      </c>
      <c r="K12" s="6">
        <f>C5</f>
        <v>3004.3799440652401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5.078125E-2</v>
      </c>
      <c r="W12" s="2">
        <f t="shared" si="0"/>
        <v>2.1149003489612309E-3</v>
      </c>
      <c r="X12" s="2">
        <f t="shared" si="8"/>
        <v>5.46875E-2</v>
      </c>
      <c r="Y12" s="2">
        <f t="shared" si="1"/>
        <v>-1.7967273702229891E-3</v>
      </c>
      <c r="Z12" s="2">
        <f t="shared" si="3"/>
        <v>5.2734375E-2</v>
      </c>
      <c r="AA12" s="2">
        <f t="shared" si="2"/>
        <v>1.5913490061570529E-4</v>
      </c>
      <c r="AB12" s="2">
        <f t="shared" si="4"/>
        <v>3.3655445684406589E-7</v>
      </c>
      <c r="AC12" s="2">
        <f t="shared" si="5"/>
        <v>-2.8592203149395289E-7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-25.568307973476749</v>
      </c>
      <c r="AI12" s="2">
        <f t="shared" si="14"/>
        <v>3023.4375</v>
      </c>
      <c r="AJ12" s="2">
        <v>8.8032336640421818</v>
      </c>
      <c r="AK12" s="2">
        <f t="shared" si="9"/>
        <v>2986.328125</v>
      </c>
      <c r="AL12" s="2">
        <v>-8.3537792208626342</v>
      </c>
      <c r="AM12" s="2">
        <f t="shared" si="10"/>
        <v>213.59199986144648</v>
      </c>
      <c r="AN12" s="2">
        <f t="shared" si="11"/>
        <v>-73.540270459074009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1312.7605011374658</v>
      </c>
      <c r="L13" s="6" t="s">
        <v>7</v>
      </c>
      <c r="N13" s="6" t="s">
        <v>74</v>
      </c>
      <c r="O13" s="6">
        <f xml:space="preserve"> SQRT( ($C$5*$C$50)^2 + O9^2)</f>
        <v>29544.819119474691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1.5913490061570529E-4</v>
      </c>
      <c r="X13" s="2">
        <f t="shared" si="8"/>
        <v>5.46875E-2</v>
      </c>
      <c r="Y13" s="2">
        <f t="shared" si="1"/>
        <v>-1.7967273702229891E-3</v>
      </c>
      <c r="Z13" s="2">
        <f t="shared" si="3"/>
        <v>5.37109375E-2</v>
      </c>
      <c r="AA13" s="2">
        <f t="shared" si="2"/>
        <v>-8.1878415098372154E-4</v>
      </c>
      <c r="AB13" s="2">
        <f t="shared" si="4"/>
        <v>-1.3029713449250916E-7</v>
      </c>
      <c r="AC13" s="2">
        <f t="shared" si="5"/>
        <v>1.4711318943772448E-6</v>
      </c>
      <c r="AD13" s="2">
        <f t="shared" si="6"/>
        <v>1.953125E-3</v>
      </c>
      <c r="AF13" s="2">
        <v>9</v>
      </c>
      <c r="AG13" s="2">
        <f t="shared" si="13"/>
        <v>2986.328125</v>
      </c>
      <c r="AH13" s="2">
        <v>-8.3537792208626342</v>
      </c>
      <c r="AI13" s="2">
        <f t="shared" si="14"/>
        <v>3023.4375</v>
      </c>
      <c r="AJ13" s="2">
        <v>8.8032336640421818</v>
      </c>
      <c r="AK13" s="2">
        <f t="shared" si="9"/>
        <v>3004.8828125</v>
      </c>
      <c r="AL13" s="2">
        <v>0.23196674382188576</v>
      </c>
      <c r="AM13" s="2">
        <f t="shared" si="10"/>
        <v>-1.937798964470435</v>
      </c>
      <c r="AN13" s="2">
        <f t="shared" si="11"/>
        <v>2.0420574481510734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218.37262530800768</v>
      </c>
      <c r="L14" s="6" t="s">
        <v>7</v>
      </c>
      <c r="N14" s="6" t="s">
        <v>75</v>
      </c>
      <c r="O14" s="6">
        <f>$C$5*$C$50/O13</f>
        <v>0.99660745093801362</v>
      </c>
      <c r="U14" s="2">
        <v>10</v>
      </c>
      <c r="V14" s="2">
        <f t="shared" si="7"/>
        <v>5.2734375E-2</v>
      </c>
      <c r="W14" s="2">
        <f t="shared" si="0"/>
        <v>1.5913490061570529E-4</v>
      </c>
      <c r="X14" s="2">
        <f t="shared" si="8"/>
        <v>5.37109375E-2</v>
      </c>
      <c r="Y14" s="2">
        <f t="shared" si="1"/>
        <v>-8.1878415098372154E-4</v>
      </c>
      <c r="Z14" s="2">
        <f t="shared" si="3"/>
        <v>5.322265625E-2</v>
      </c>
      <c r="AA14" s="2">
        <f t="shared" si="2"/>
        <v>-3.2982160182985082E-4</v>
      </c>
      <c r="AB14" s="2">
        <f t="shared" si="4"/>
        <v>-5.2486127828106031E-8</v>
      </c>
      <c r="AC14" s="2">
        <f t="shared" si="5"/>
        <v>2.7005270023034544E-7</v>
      </c>
      <c r="AD14" s="2">
        <f t="shared" si="6"/>
        <v>9.765625E-4</v>
      </c>
      <c r="AF14" s="2">
        <v>10</v>
      </c>
      <c r="AG14" s="2">
        <f t="shared" si="13"/>
        <v>2986.328125</v>
      </c>
      <c r="AH14" s="2">
        <v>-8.3537792208626342</v>
      </c>
      <c r="AI14" s="2">
        <f t="shared" si="14"/>
        <v>3004.8828125</v>
      </c>
      <c r="AJ14" s="2">
        <v>0.23196674382188576</v>
      </c>
      <c r="AK14" s="2">
        <f t="shared" si="9"/>
        <v>2995.60546875</v>
      </c>
      <c r="AL14" s="2">
        <v>-4.0590941407990613</v>
      </c>
      <c r="AM14" s="2">
        <f t="shared" si="10"/>
        <v>33.908776288932465</v>
      </c>
      <c r="AN14" s="2">
        <f t="shared" si="11"/>
        <v>-0.94157485070765334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385.79363297392069</v>
      </c>
      <c r="L15" s="6" t="s">
        <v>7</v>
      </c>
      <c r="U15" s="2">
        <v>11</v>
      </c>
      <c r="V15" s="2">
        <f t="shared" si="7"/>
        <v>5.2734375E-2</v>
      </c>
      <c r="W15" s="2">
        <f t="shared" si="0"/>
        <v>1.5913490061570529E-4</v>
      </c>
      <c r="X15" s="2">
        <f t="shared" si="8"/>
        <v>5.322265625E-2</v>
      </c>
      <c r="Y15" s="2">
        <f t="shared" si="1"/>
        <v>-3.2982160182985082E-4</v>
      </c>
      <c r="Z15" s="2">
        <f t="shared" si="3"/>
        <v>5.2978515625E-2</v>
      </c>
      <c r="AA15" s="2">
        <f t="shared" si="2"/>
        <v>-8.5342594470835809E-5</v>
      </c>
      <c r="AB15" s="2">
        <f t="shared" si="4"/>
        <v>-1.3580985289402896E-8</v>
      </c>
      <c r="AC15" s="2">
        <f t="shared" si="5"/>
        <v>2.8147831212686437E-8</v>
      </c>
      <c r="AD15" s="2">
        <f t="shared" si="6"/>
        <v>4.8828125E-4</v>
      </c>
      <c r="AF15" s="2">
        <v>11</v>
      </c>
      <c r="AG15" s="2">
        <f t="shared" si="13"/>
        <v>2995.60546875</v>
      </c>
      <c r="AH15" s="2">
        <v>-4.0590941407990613</v>
      </c>
      <c r="AI15" s="2">
        <f t="shared" si="14"/>
        <v>3004.8828125</v>
      </c>
      <c r="AJ15" s="2">
        <v>0.23196674382188576</v>
      </c>
      <c r="AK15" s="2">
        <f t="shared" si="9"/>
        <v>3000.244140625</v>
      </c>
      <c r="AL15" s="2">
        <v>-1.9131208293351847</v>
      </c>
      <c r="AM15" s="2">
        <f t="shared" si="10"/>
        <v>7.7655375489950886</v>
      </c>
      <c r="AN15" s="2">
        <f t="shared" si="11"/>
        <v>-0.44378040931870838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122.50093021573831</v>
      </c>
      <c r="H16" s="6" t="s">
        <v>10</v>
      </c>
      <c r="J16" s="13" t="s">
        <v>53</v>
      </c>
      <c r="K16" s="6">
        <f xml:space="preserve"> $C$54 * 0.2138 * K4</f>
        <v>93.361284791754656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5.2734375E-2</v>
      </c>
      <c r="W16" s="2">
        <f t="shared" si="0"/>
        <v>1.5913490061570529E-4</v>
      </c>
      <c r="X16" s="2">
        <f t="shared" si="8"/>
        <v>5.2978515625E-2</v>
      </c>
      <c r="Y16" s="2">
        <f t="shared" si="1"/>
        <v>-8.5342594470835809E-5</v>
      </c>
      <c r="Z16" s="2">
        <f t="shared" si="3"/>
        <v>5.28564453125E-2</v>
      </c>
      <c r="AA16" s="2">
        <f t="shared" si="2"/>
        <v>3.689634214356502E-5</v>
      </c>
      <c r="AB16" s="2">
        <f t="shared" si="4"/>
        <v>5.8714957400992777E-9</v>
      </c>
      <c r="AC16" s="2">
        <f t="shared" si="5"/>
        <v>-3.1488295650154784E-9</v>
      </c>
      <c r="AD16" s="2">
        <f t="shared" si="6"/>
        <v>2.44140625E-4</v>
      </c>
      <c r="AF16" s="2">
        <v>12</v>
      </c>
      <c r="AG16" s="2">
        <f t="shared" si="13"/>
        <v>3000.244140625</v>
      </c>
      <c r="AH16" s="2">
        <v>-1.9131208293351847</v>
      </c>
      <c r="AI16" s="2">
        <f t="shared" si="14"/>
        <v>3004.8828125</v>
      </c>
      <c r="AJ16" s="2">
        <v>0.23196674382188576</v>
      </c>
      <c r="AK16" s="2">
        <f t="shared" si="9"/>
        <v>3002.5634765625</v>
      </c>
      <c r="AL16" s="2">
        <v>-0.8404696972597776</v>
      </c>
      <c r="AM16" s="2">
        <f t="shared" si="10"/>
        <v>1.6079200842527173</v>
      </c>
      <c r="AN16" s="2">
        <f t="shared" si="11"/>
        <v>-0.19496101895431672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0.36817830341676511</v>
      </c>
      <c r="H17" s="6" t="s">
        <v>122</v>
      </c>
      <c r="J17" s="13" t="s">
        <v>77</v>
      </c>
      <c r="K17" s="6">
        <f xml:space="preserve"> $C$54 * 0.1149 * K4</f>
        <v>50.174048749170304</v>
      </c>
      <c r="L17" s="6" t="s">
        <v>7</v>
      </c>
      <c r="N17" s="6" t="s">
        <v>25</v>
      </c>
      <c r="O17" s="6">
        <f xml:space="preserve"> ACOS(O14)/PI()*180</f>
        <v>4.7208864610776624</v>
      </c>
      <c r="P17" s="6" t="s">
        <v>40</v>
      </c>
      <c r="U17" s="2">
        <v>13</v>
      </c>
      <c r="V17" s="2">
        <f t="shared" si="7"/>
        <v>5.28564453125E-2</v>
      </c>
      <c r="W17" s="2">
        <f t="shared" si="0"/>
        <v>3.689634214356502E-5</v>
      </c>
      <c r="X17" s="2">
        <f t="shared" si="8"/>
        <v>5.2978515625E-2</v>
      </c>
      <c r="Y17" s="2">
        <f t="shared" si="1"/>
        <v>-8.5342594470835809E-5</v>
      </c>
      <c r="Z17" s="2">
        <f t="shared" si="3"/>
        <v>5.291748046875E-2</v>
      </c>
      <c r="AA17" s="2">
        <f t="shared" si="2"/>
        <v>-2.4223078900480199E-5</v>
      </c>
      <c r="AB17" s="2">
        <f t="shared" si="4"/>
        <v>-8.937430068826882E-10</v>
      </c>
      <c r="AC17" s="2">
        <f t="shared" si="5"/>
        <v>2.0672603994387409E-9</v>
      </c>
      <c r="AD17" s="2">
        <f t="shared" si="6"/>
        <v>1.220703125E-4</v>
      </c>
      <c r="AF17" s="2">
        <v>13</v>
      </c>
      <c r="AG17" s="2">
        <f t="shared" si="13"/>
        <v>3002.5634765625</v>
      </c>
      <c r="AH17" s="2">
        <v>-0.8404696972597776</v>
      </c>
      <c r="AI17" s="2">
        <f t="shared" si="14"/>
        <v>3004.8828125</v>
      </c>
      <c r="AJ17" s="2">
        <v>0.23196674382188576</v>
      </c>
      <c r="AK17" s="2">
        <f t="shared" si="9"/>
        <v>3003.72314453125</v>
      </c>
      <c r="AL17" s="2">
        <v>-0.30421198695466956</v>
      </c>
      <c r="AM17" s="2">
        <f t="shared" si="10"/>
        <v>0.25568095657858653</v>
      </c>
      <c r="AN17" s="2">
        <f t="shared" si="11"/>
        <v>-7.056706404546069E-2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7386.2047798686726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137.85126605348006</v>
      </c>
      <c r="L18" s="6" t="s">
        <v>7</v>
      </c>
      <c r="N18" s="6" t="s">
        <v>19</v>
      </c>
      <c r="O18" s="6">
        <f xml:space="preserve"> O13 / $C$18</f>
        <v>7386.2047798686726</v>
      </c>
      <c r="P18" s="6" t="s">
        <v>20</v>
      </c>
      <c r="U18" s="2">
        <v>14</v>
      </c>
      <c r="V18" s="2">
        <f t="shared" si="7"/>
        <v>5.28564453125E-2</v>
      </c>
      <c r="W18" s="2">
        <f t="shared" si="0"/>
        <v>3.689634214356502E-5</v>
      </c>
      <c r="X18" s="2">
        <f t="shared" si="8"/>
        <v>5.291748046875E-2</v>
      </c>
      <c r="Y18" s="2">
        <f t="shared" si="1"/>
        <v>-2.4223078900480199E-5</v>
      </c>
      <c r="Z18" s="2">
        <f t="shared" si="3"/>
        <v>5.2886962890625E-2</v>
      </c>
      <c r="AA18" s="2">
        <f t="shared" si="2"/>
        <v>6.3366434379097392E-6</v>
      </c>
      <c r="AB18" s="2">
        <f t="shared" si="4"/>
        <v>2.3379896432689382E-10</v>
      </c>
      <c r="AC18" s="2">
        <f t="shared" si="5"/>
        <v>-1.5349301396069773E-10</v>
      </c>
      <c r="AD18" s="2">
        <f t="shared" si="6"/>
        <v>6.103515625E-5</v>
      </c>
      <c r="AF18" s="2">
        <v>14</v>
      </c>
      <c r="AG18" s="2">
        <f t="shared" si="13"/>
        <v>3003.72314453125</v>
      </c>
      <c r="AH18" s="2">
        <v>-0.30421198695466956</v>
      </c>
      <c r="AI18" s="2">
        <f t="shared" si="14"/>
        <v>3004.8828125</v>
      </c>
      <c r="AJ18" s="2">
        <v>0.23196674382188576</v>
      </c>
      <c r="AK18" s="2">
        <f t="shared" si="9"/>
        <v>3004.302978515625</v>
      </c>
      <c r="AL18" s="2">
        <v>-3.6119012598192057E-2</v>
      </c>
      <c r="AM18" s="2">
        <f t="shared" si="10"/>
        <v>1.0987836589336747E-2</v>
      </c>
      <c r="AN18" s="2">
        <f t="shared" si="11"/>
        <v>-8.3784097424642809E-3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66.073128540361765</v>
      </c>
      <c r="H19" s="6" t="s">
        <v>101</v>
      </c>
      <c r="J19" s="14" t="s">
        <v>61</v>
      </c>
      <c r="K19" s="6">
        <f xml:space="preserve"> $C$55 * C31 * $C$5</f>
        <v>33.649055373530693</v>
      </c>
      <c r="L19" s="6" t="s">
        <v>7</v>
      </c>
      <c r="N19" s="6" t="s">
        <v>26</v>
      </c>
      <c r="O19" s="6">
        <f>$C$7*2*PI()/60</f>
        <v>28.816739256406002</v>
      </c>
      <c r="P19" s="6" t="s">
        <v>27</v>
      </c>
      <c r="U19" s="2">
        <v>15</v>
      </c>
      <c r="V19" s="2">
        <f t="shared" si="7"/>
        <v>5.2886962890625E-2</v>
      </c>
      <c r="W19" s="2">
        <f t="shared" si="0"/>
        <v>6.3366434379097392E-6</v>
      </c>
      <c r="X19" s="2">
        <f t="shared" si="8"/>
        <v>5.291748046875E-2</v>
      </c>
      <c r="Y19" s="2">
        <f t="shared" si="1"/>
        <v>-2.4223078900480199E-5</v>
      </c>
      <c r="Z19" s="2">
        <f t="shared" si="3"/>
        <v>5.29022216796875E-2</v>
      </c>
      <c r="AA19" s="2">
        <f t="shared" si="2"/>
        <v>-8.9432147772627868E-6</v>
      </c>
      <c r="AB19" s="2">
        <f t="shared" si="4"/>
        <v>-5.6669963232159646E-11</v>
      </c>
      <c r="AC19" s="2">
        <f t="shared" si="5"/>
        <v>2.1663219717357692E-10</v>
      </c>
      <c r="AD19" s="2">
        <f t="shared" si="6"/>
        <v>3.0517578125E-5</v>
      </c>
      <c r="AF19" s="2">
        <v>15</v>
      </c>
      <c r="AG19" s="2">
        <f t="shared" si="13"/>
        <v>3004.302978515625</v>
      </c>
      <c r="AH19" s="2">
        <v>-3.6119012598192057E-2</v>
      </c>
      <c r="AI19" s="2">
        <f t="shared" si="14"/>
        <v>3004.8828125</v>
      </c>
      <c r="AJ19" s="2">
        <v>0.23196674382188576</v>
      </c>
      <c r="AK19" s="2">
        <f t="shared" si="9"/>
        <v>3004.5928955078125</v>
      </c>
      <c r="AL19" s="2">
        <v>9.7928954820417857E-2</v>
      </c>
      <c r="AM19" s="2">
        <f t="shared" si="10"/>
        <v>-3.5370971528864534E-3</v>
      </c>
      <c r="AN19" s="2">
        <f t="shared" si="11"/>
        <v>2.2716260775572893E-2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11.406328159834146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0.54553470828675921</v>
      </c>
      <c r="U20" s="2">
        <v>16</v>
      </c>
      <c r="V20" s="2">
        <f t="shared" si="7"/>
        <v>5.2886962890625E-2</v>
      </c>
      <c r="W20" s="2">
        <f t="shared" si="0"/>
        <v>6.3366434379097392E-6</v>
      </c>
      <c r="X20" s="2">
        <f t="shared" si="8"/>
        <v>5.29022216796875E-2</v>
      </c>
      <c r="Y20" s="2">
        <f t="shared" si="1"/>
        <v>-8.9432147772627868E-6</v>
      </c>
      <c r="Z20" s="2">
        <f t="shared" si="3"/>
        <v>5.289459228515625E-2</v>
      </c>
      <c r="AA20" s="2">
        <f t="shared" si="2"/>
        <v>-1.3032849311631067E-6</v>
      </c>
      <c r="AB20" s="2">
        <f t="shared" si="4"/>
        <v>-8.2584519067813467E-12</v>
      </c>
      <c r="AC20" s="2">
        <f t="shared" si="5"/>
        <v>1.165555705536181E-11</v>
      </c>
      <c r="AD20" s="2">
        <f t="shared" si="6"/>
        <v>1.52587890625E-5</v>
      </c>
      <c r="AF20" s="2">
        <v>16</v>
      </c>
      <c r="AG20" s="2">
        <f t="shared" si="13"/>
        <v>3004.302978515625</v>
      </c>
      <c r="AH20" s="2">
        <v>-3.6119012598192057E-2</v>
      </c>
      <c r="AI20" s="2">
        <f t="shared" si="14"/>
        <v>3004.5928955078125</v>
      </c>
      <c r="AJ20" s="2">
        <v>9.7928954820417857E-2</v>
      </c>
      <c r="AK20" s="2">
        <f t="shared" si="9"/>
        <v>3004.4479370117188</v>
      </c>
      <c r="AL20" s="2">
        <v>3.0904150380138162E-2</v>
      </c>
      <c r="AM20" s="2">
        <f t="shared" si="10"/>
        <v>-1.1162273969166322E-3</v>
      </c>
      <c r="AN20" s="2">
        <f t="shared" si="11"/>
        <v>3.0264111463399494E-3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0.13999940047022844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8.5962399739661771E-3</v>
      </c>
      <c r="U21" s="2">
        <v>17</v>
      </c>
      <c r="V21" s="2">
        <f t="shared" si="7"/>
        <v>5.2886962890625E-2</v>
      </c>
      <c r="W21" s="2">
        <f t="shared" si="0"/>
        <v>6.3366434379097392E-6</v>
      </c>
      <c r="X21" s="2">
        <f t="shared" si="8"/>
        <v>5.289459228515625E-2</v>
      </c>
      <c r="Y21" s="2">
        <f t="shared" si="1"/>
        <v>-1.3032849311631067E-6</v>
      </c>
      <c r="Z21" s="2">
        <f t="shared" si="3"/>
        <v>5.2890777587890625E-2</v>
      </c>
      <c r="AA21" s="2">
        <f t="shared" si="2"/>
        <v>2.5166794379999358E-6</v>
      </c>
      <c r="AB21" s="2">
        <f t="shared" si="4"/>
        <v>1.5947300246124663E-11</v>
      </c>
      <c r="AC21" s="2">
        <f t="shared" si="5"/>
        <v>-3.2799503881133526E-12</v>
      </c>
      <c r="AD21" s="2">
        <f t="shared" si="6"/>
        <v>7.62939453125E-6</v>
      </c>
      <c r="AF21" s="2">
        <v>17</v>
      </c>
      <c r="AG21" s="2">
        <f t="shared" si="13"/>
        <v>3004.302978515625</v>
      </c>
      <c r="AH21" s="2">
        <v>-3.6119012598192057E-2</v>
      </c>
      <c r="AI21" s="2">
        <f t="shared" si="14"/>
        <v>3004.4479370117188</v>
      </c>
      <c r="AJ21" s="2">
        <v>3.0904150380138162E-2</v>
      </c>
      <c r="AK21" s="2">
        <f t="shared" si="9"/>
        <v>3004.3754577636719</v>
      </c>
      <c r="AL21" s="2">
        <v>-2.6160069378420303E-3</v>
      </c>
      <c r="AM21" s="2">
        <f t="shared" si="10"/>
        <v>9.4487587544874114E-5</v>
      </c>
      <c r="AN21" s="2">
        <f t="shared" si="11"/>
        <v>-8.0845471802554845E-5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264.29251416144706</v>
      </c>
      <c r="H22" s="25" t="s">
        <v>101</v>
      </c>
      <c r="J22" s="14" t="s">
        <v>112</v>
      </c>
      <c r="K22" s="6">
        <f>$C$55*(0.14*$G$12*1000/745.7)*0.453592</f>
        <v>24.791176572839969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5.2890777587890625E-2</v>
      </c>
      <c r="W22" s="2">
        <f t="shared" si="0"/>
        <v>2.5166794379999358E-6</v>
      </c>
      <c r="X22" s="2">
        <f t="shared" si="8"/>
        <v>5.289459228515625E-2</v>
      </c>
      <c r="Y22" s="2">
        <f t="shared" si="1"/>
        <v>-1.3032849311631067E-6</v>
      </c>
      <c r="Z22" s="2">
        <f t="shared" si="3"/>
        <v>5.2892684936523438E-2</v>
      </c>
      <c r="AA22" s="2">
        <f t="shared" si="2"/>
        <v>6.0669729957940621E-7</v>
      </c>
      <c r="AB22" s="2">
        <f t="shared" si="4"/>
        <v>1.5268626189415787E-12</v>
      </c>
      <c r="AC22" s="2">
        <f t="shared" si="5"/>
        <v>-7.9069944831918913E-13</v>
      </c>
      <c r="AD22" s="2">
        <f t="shared" si="6"/>
        <v>3.814697265625E-6</v>
      </c>
      <c r="AF22" s="2">
        <v>18</v>
      </c>
      <c r="AG22" s="2">
        <f t="shared" si="13"/>
        <v>3004.3754577636719</v>
      </c>
      <c r="AH22" s="2">
        <v>-2.6160069378420303E-3</v>
      </c>
      <c r="AI22" s="2">
        <f t="shared" si="14"/>
        <v>3004.4479370117188</v>
      </c>
      <c r="AJ22" s="2">
        <v>3.0904150380138162E-2</v>
      </c>
      <c r="AK22" s="2">
        <f t="shared" si="9"/>
        <v>3004.4116973876953</v>
      </c>
      <c r="AL22" s="2">
        <v>1.4152391122934205E-2</v>
      </c>
      <c r="AM22" s="2">
        <f t="shared" si="10"/>
        <v>-3.7022753364649844E-5</v>
      </c>
      <c r="AN22" s="2">
        <f t="shared" si="11"/>
        <v>4.3736762350169106E-4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64.413906000758757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17140.305343709158</v>
      </c>
      <c r="P23" s="6" t="s">
        <v>18</v>
      </c>
      <c r="U23" s="2">
        <v>19</v>
      </c>
      <c r="V23" s="2">
        <f t="shared" si="7"/>
        <v>5.2892684936523438E-2</v>
      </c>
      <c r="W23" s="2">
        <f t="shared" si="0"/>
        <v>6.0669729957940621E-7</v>
      </c>
      <c r="X23" s="2">
        <f t="shared" si="8"/>
        <v>5.289459228515625E-2</v>
      </c>
      <c r="Y23" s="2">
        <f t="shared" si="1"/>
        <v>-1.3032849311631067E-6</v>
      </c>
      <c r="Z23" s="2">
        <f t="shared" si="3"/>
        <v>5.2893638610839844E-2</v>
      </c>
      <c r="AA23" s="2">
        <f t="shared" si="2"/>
        <v>-3.4829380425593914E-7</v>
      </c>
      <c r="AB23" s="2">
        <f t="shared" si="4"/>
        <v>-2.1130891050231658E-13</v>
      </c>
      <c r="AC23" s="2">
        <f t="shared" si="5"/>
        <v>4.5392606670423822E-13</v>
      </c>
      <c r="AD23" s="2">
        <f t="shared" si="6"/>
        <v>1.9073486328125E-6</v>
      </c>
      <c r="AF23" s="2">
        <v>19</v>
      </c>
      <c r="AG23" s="2">
        <f t="shared" si="13"/>
        <v>3004.3754577636719</v>
      </c>
      <c r="AH23" s="2">
        <v>-2.6160069378420303E-3</v>
      </c>
      <c r="AI23" s="2">
        <f t="shared" si="14"/>
        <v>3004.4116973876953</v>
      </c>
      <c r="AJ23" s="2">
        <v>3.0904150380138162E-2</v>
      </c>
      <c r="AK23" s="2">
        <f t="shared" si="9"/>
        <v>3004.3935775756836</v>
      </c>
      <c r="AL23" s="2">
        <v>2.2519887141243089E-2</v>
      </c>
      <c r="AM23" s="2">
        <f t="shared" si="10"/>
        <v>-5.8912181000911444E-5</v>
      </c>
      <c r="AN23" s="2">
        <f t="shared" si="11"/>
        <v>6.9595797875671617E-4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8.8897316737476917</v>
      </c>
      <c r="L24" s="6" t="s">
        <v>7</v>
      </c>
      <c r="N24" s="6" t="s">
        <v>31</v>
      </c>
      <c r="O24" s="18">
        <f>Z34</f>
        <v>5.2893290761858225E-2</v>
      </c>
      <c r="U24" s="2">
        <v>20</v>
      </c>
      <c r="V24" s="2">
        <f t="shared" si="7"/>
        <v>5.2892684936523438E-2</v>
      </c>
      <c r="W24" s="2">
        <f t="shared" si="0"/>
        <v>6.0669729957940621E-7</v>
      </c>
      <c r="X24" s="2">
        <f t="shared" si="8"/>
        <v>5.2893638610839844E-2</v>
      </c>
      <c r="Y24" s="2">
        <f t="shared" si="1"/>
        <v>-3.4829380425593914E-7</v>
      </c>
      <c r="Z24" s="2">
        <f t="shared" si="3"/>
        <v>5.2893161773681641E-2</v>
      </c>
      <c r="AA24" s="2">
        <f t="shared" si="2"/>
        <v>1.292017505483134E-7</v>
      </c>
      <c r="AB24" s="2">
        <f t="shared" si="4"/>
        <v>7.8386353158593809E-14</v>
      </c>
      <c r="AC24" s="2">
        <f t="shared" si="5"/>
        <v>-4.5000169214998946E-14</v>
      </c>
      <c r="AD24" s="2">
        <f t="shared" si="6"/>
        <v>9.5367431640625E-7</v>
      </c>
      <c r="AF24" s="2">
        <v>20</v>
      </c>
      <c r="AG24" s="2">
        <f t="shared" si="13"/>
        <v>3004.3754577636719</v>
      </c>
      <c r="AH24" s="2">
        <v>-2.6160069378420303E-3</v>
      </c>
      <c r="AI24" s="2">
        <f t="shared" si="14"/>
        <v>3004.3935775756836</v>
      </c>
      <c r="AJ24" s="2">
        <v>3.0904150380138162E-2</v>
      </c>
      <c r="AK24" s="2">
        <f t="shared" si="9"/>
        <v>3004.3845176696777</v>
      </c>
      <c r="AL24" s="2">
        <v>2.6712015544944734E-2</v>
      </c>
      <c r="AM24" s="2">
        <f t="shared" si="10"/>
        <v>-6.9878817989319587E-5</v>
      </c>
      <c r="AN24" s="2">
        <f t="shared" si="11"/>
        <v>8.2551214535756033E-4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19.228031642017541</v>
      </c>
      <c r="L25" s="6" t="s">
        <v>7</v>
      </c>
      <c r="N25" s="6" t="s">
        <v>32</v>
      </c>
      <c r="O25" s="6">
        <f xml:space="preserve"> O19 * $C$9 * O24 - $C$8 * SIN(O17/180*PI())</f>
        <v>0.9606468209717498</v>
      </c>
      <c r="P25" s="6" t="s">
        <v>10</v>
      </c>
      <c r="U25" s="2">
        <v>21</v>
      </c>
      <c r="V25" s="2">
        <f t="shared" si="7"/>
        <v>5.2893161773681641E-2</v>
      </c>
      <c r="W25" s="2">
        <f t="shared" si="0"/>
        <v>1.292017505483134E-7</v>
      </c>
      <c r="X25" s="2">
        <f t="shared" si="8"/>
        <v>5.2893638610839844E-2</v>
      </c>
      <c r="Y25" s="2">
        <f t="shared" si="1"/>
        <v>-3.4829380425593914E-7</v>
      </c>
      <c r="Z25" s="2">
        <f t="shared" si="3"/>
        <v>5.2893400192260742E-2</v>
      </c>
      <c r="AA25" s="2">
        <f t="shared" si="2"/>
        <v>-1.0954602613216791E-7</v>
      </c>
      <c r="AB25" s="2">
        <f t="shared" si="4"/>
        <v>-1.4153538341887378E-14</v>
      </c>
      <c r="AC25" s="2">
        <f t="shared" si="5"/>
        <v>3.8154202182693283E-14</v>
      </c>
      <c r="AD25" s="2">
        <f t="shared" si="6"/>
        <v>4.76837158203125E-7</v>
      </c>
      <c r="AF25" s="2">
        <v>21</v>
      </c>
      <c r="AG25" s="2">
        <f t="shared" si="13"/>
        <v>3004.3754577636719</v>
      </c>
      <c r="AH25" s="2">
        <v>-2.6160069378420303E-3</v>
      </c>
      <c r="AI25" s="2">
        <f t="shared" si="14"/>
        <v>3004.3845176696777</v>
      </c>
      <c r="AJ25" s="2">
        <v>3.0904150380138162E-2</v>
      </c>
      <c r="AK25" s="2">
        <f t="shared" si="9"/>
        <v>3004.3799877166748</v>
      </c>
      <c r="AL25" s="2">
        <v>2.8808082160594495E-2</v>
      </c>
      <c r="AM25" s="2">
        <f t="shared" si="10"/>
        <v>-7.5362142798038423E-5</v>
      </c>
      <c r="AN25" s="2">
        <f t="shared" si="11"/>
        <v>8.902893032543878E-4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55.095217496321837</v>
      </c>
      <c r="L26" s="6" t="s">
        <v>7</v>
      </c>
      <c r="N26" s="6" t="s">
        <v>33</v>
      </c>
      <c r="O26" s="6">
        <f xml:space="preserve"> 1/$C$21 - O23 * SQRT( (2*$C$47*PI()*$C$9^2) / O18^3 )</f>
        <v>1.0443860896099328</v>
      </c>
      <c r="U26" s="2">
        <v>22</v>
      </c>
      <c r="V26" s="2">
        <f t="shared" si="7"/>
        <v>5.2893161773681641E-2</v>
      </c>
      <c r="W26" s="2">
        <f t="shared" si="0"/>
        <v>1.292017505483134E-7</v>
      </c>
      <c r="X26" s="2">
        <f t="shared" si="8"/>
        <v>5.2893400192260742E-2</v>
      </c>
      <c r="Y26" s="2">
        <f t="shared" si="1"/>
        <v>-1.0954602613216791E-7</v>
      </c>
      <c r="Z26" s="2">
        <f t="shared" si="3"/>
        <v>5.2893280982971191E-2</v>
      </c>
      <c r="AA26" s="2">
        <f t="shared" si="2"/>
        <v>9.8278623850145408E-9</v>
      </c>
      <c r="AB26" s="2">
        <f t="shared" si="4"/>
        <v>1.2697770242918011E-15</v>
      </c>
      <c r="AC26" s="2">
        <f t="shared" si="5"/>
        <v>-1.076603269652153E-15</v>
      </c>
      <c r="AD26" s="2">
        <f t="shared" si="6"/>
        <v>2.384185791015625E-7</v>
      </c>
      <c r="AF26" s="2">
        <v>22</v>
      </c>
      <c r="AG26" s="2">
        <f t="shared" si="13"/>
        <v>3004.3754577636719</v>
      </c>
      <c r="AH26" s="2">
        <v>-2.6160069378420303E-3</v>
      </c>
      <c r="AI26" s="2">
        <f t="shared" si="14"/>
        <v>3004.3799877166748</v>
      </c>
      <c r="AJ26" s="2">
        <v>3.0904150380138162E-2</v>
      </c>
      <c r="AK26" s="2">
        <f t="shared" si="9"/>
        <v>3004.3777227401733</v>
      </c>
      <c r="AL26" s="2">
        <v>2.9856116070277494E-2</v>
      </c>
      <c r="AM26" s="2">
        <f t="shared" si="10"/>
        <v>-7.8103806776862853E-5</v>
      </c>
      <c r="AN26" s="2">
        <f t="shared" si="11"/>
        <v>9.226779008027153E-4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-5.3370777504824218E-4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5.2893280982971191E-2</v>
      </c>
      <c r="W27" s="2">
        <f t="shared" si="0"/>
        <v>9.8278623850145408E-9</v>
      </c>
      <c r="X27" s="2">
        <f t="shared" si="8"/>
        <v>5.2893400192260742E-2</v>
      </c>
      <c r="Y27" s="2">
        <f t="shared" si="1"/>
        <v>-1.0954602613216791E-7</v>
      </c>
      <c r="Z27" s="2">
        <f t="shared" si="3"/>
        <v>5.2893340587615967E-2</v>
      </c>
      <c r="AA27" s="2">
        <f t="shared" si="2"/>
        <v>-4.9859081828473872E-8</v>
      </c>
      <c r="AB27" s="2">
        <f t="shared" si="4"/>
        <v>-4.9000819485342035E-16</v>
      </c>
      <c r="AC27" s="2">
        <f t="shared" si="5"/>
        <v>5.4618642809078968E-15</v>
      </c>
      <c r="AD27" s="2">
        <f t="shared" si="6"/>
        <v>1.1920928955078125E-7</v>
      </c>
      <c r="AF27" s="2">
        <v>23</v>
      </c>
      <c r="AG27" s="2">
        <f t="shared" si="13"/>
        <v>3004.3754577636719</v>
      </c>
      <c r="AH27" s="2">
        <v>-2.6160069378420303E-3</v>
      </c>
      <c r="AI27" s="2">
        <f t="shared" si="14"/>
        <v>3004.3777227401733</v>
      </c>
      <c r="AJ27" s="2">
        <v>3.0904150380138162E-2</v>
      </c>
      <c r="AK27" s="2">
        <f t="shared" si="9"/>
        <v>3004.3765902519226</v>
      </c>
      <c r="AL27" s="2">
        <v>3.0380133174276125E-2</v>
      </c>
      <c r="AM27" s="2">
        <f t="shared" si="10"/>
        <v>-7.9474639156471163E-5</v>
      </c>
      <c r="AN27" s="2">
        <f t="shared" si="11"/>
        <v>9.3887220418645354E-4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7361.8508900953702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1.1513736414501854</v>
      </c>
      <c r="U28" s="2">
        <v>24</v>
      </c>
      <c r="V28" s="2">
        <f t="shared" si="7"/>
        <v>5.2893280982971191E-2</v>
      </c>
      <c r="W28" s="2">
        <f t="shared" si="0"/>
        <v>9.8278623850145408E-9</v>
      </c>
      <c r="X28" s="2">
        <f t="shared" si="8"/>
        <v>5.2893340587615967E-2</v>
      </c>
      <c r="Y28" s="2">
        <f t="shared" si="1"/>
        <v>-4.9859081828473872E-8</v>
      </c>
      <c r="Z28" s="2">
        <f t="shared" si="3"/>
        <v>5.2893310785293579E-2</v>
      </c>
      <c r="AA28" s="2">
        <f t="shared" si="2"/>
        <v>-2.0015609711321325E-8</v>
      </c>
      <c r="AB28" s="2">
        <f t="shared" si="4"/>
        <v>-1.9671065779502661E-16</v>
      </c>
      <c r="AC28" s="2">
        <f t="shared" si="5"/>
        <v>9.9795992244356624E-16</v>
      </c>
      <c r="AD28" s="2">
        <f t="shared" si="6"/>
        <v>5.9604644775390625E-8</v>
      </c>
      <c r="AF28" s="2">
        <v>24</v>
      </c>
      <c r="AG28" s="2">
        <f t="shared" si="13"/>
        <v>3004.3754577636719</v>
      </c>
      <c r="AH28" s="2">
        <v>-2.6160069378420303E-3</v>
      </c>
      <c r="AI28" s="2">
        <f t="shared" si="14"/>
        <v>3004.3765902519226</v>
      </c>
      <c r="AJ28" s="2">
        <v>3.0904150380138162E-2</v>
      </c>
      <c r="AK28" s="2">
        <f t="shared" si="9"/>
        <v>3004.3760240077972</v>
      </c>
      <c r="AL28" s="2">
        <v>3.0642141764928965E-2</v>
      </c>
      <c r="AM28" s="2">
        <f t="shared" si="10"/>
        <v>-8.016005544739321E-5</v>
      </c>
      <c r="AN28" s="2">
        <f t="shared" si="11"/>
        <v>9.4696935707287689E-4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77.51201236718326</v>
      </c>
      <c r="H29" t="s">
        <v>18</v>
      </c>
      <c r="U29" s="2">
        <v>25</v>
      </c>
      <c r="V29" s="2">
        <f t="shared" si="7"/>
        <v>5.2893280982971191E-2</v>
      </c>
      <c r="W29" s="2">
        <f t="shared" si="0"/>
        <v>9.8278623850145408E-9</v>
      </c>
      <c r="X29" s="2">
        <f t="shared" si="8"/>
        <v>5.2893310785293579E-2</v>
      </c>
      <c r="Y29" s="2">
        <f t="shared" si="1"/>
        <v>-2.0015609711321325E-8</v>
      </c>
      <c r="Z29" s="2">
        <f t="shared" si="3"/>
        <v>5.2893295884132385E-2</v>
      </c>
      <c r="AA29" s="2">
        <f t="shared" si="2"/>
        <v>-5.0938736562144982E-9</v>
      </c>
      <c r="AB29" s="2">
        <f t="shared" si="4"/>
        <v>-5.0061889299926954E-17</v>
      </c>
      <c r="AC29" s="2">
        <f t="shared" si="5"/>
        <v>1.0195698702157077E-16</v>
      </c>
      <c r="AD29" s="2">
        <f t="shared" si="6"/>
        <v>2.9802322387695312E-8</v>
      </c>
      <c r="AF29" s="2">
        <v>25</v>
      </c>
      <c r="AG29" s="2">
        <f t="shared" si="13"/>
        <v>3004.3754577636719</v>
      </c>
      <c r="AH29" s="2">
        <v>-2.6160069378420303E-3</v>
      </c>
      <c r="AI29" s="2">
        <f t="shared" si="14"/>
        <v>3004.3760240077972</v>
      </c>
      <c r="AJ29" s="2">
        <v>3.0904150380138162E-2</v>
      </c>
      <c r="AK29" s="2">
        <f t="shared" si="9"/>
        <v>3004.3757408857346</v>
      </c>
      <c r="AL29" s="2">
        <v>3.076477522154164E-2</v>
      </c>
      <c r="AM29" s="2">
        <f t="shared" si="10"/>
        <v>-8.0480865420703513E-5</v>
      </c>
      <c r="AN29" s="2">
        <f t="shared" si="11"/>
        <v>9.5075923985767118E-4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9.6900462660972764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5.2893280982971191E-2</v>
      </c>
      <c r="W30" s="2">
        <f t="shared" si="0"/>
        <v>9.8278623850145408E-9</v>
      </c>
      <c r="X30" s="2">
        <f t="shared" si="8"/>
        <v>5.2893295884132385E-2</v>
      </c>
      <c r="Y30" s="2">
        <f t="shared" si="1"/>
        <v>-5.0938736562144982E-9</v>
      </c>
      <c r="Z30" s="2">
        <f t="shared" si="3"/>
        <v>5.2893288433551788E-2</v>
      </c>
      <c r="AA30" s="2">
        <f t="shared" si="2"/>
        <v>2.3669943644000213E-9</v>
      </c>
      <c r="AB30" s="2">
        <f t="shared" si="4"/>
        <v>2.3262494879428372E-17</v>
      </c>
      <c r="AC30" s="2">
        <f t="shared" si="5"/>
        <v>-1.2057170237225449E-17</v>
      </c>
      <c r="AD30" s="2">
        <f t="shared" si="6"/>
        <v>1.4901161193847656E-8</v>
      </c>
      <c r="AF30" s="2">
        <v>26</v>
      </c>
      <c r="AG30" s="2">
        <f t="shared" si="13"/>
        <v>3004.3754577636719</v>
      </c>
      <c r="AH30" s="2">
        <v>-2.6160069378420303E-3</v>
      </c>
      <c r="AI30" s="2">
        <f t="shared" si="14"/>
        <v>3004.3757408857346</v>
      </c>
      <c r="AJ30" s="2">
        <v>3.0904150380138162E-2</v>
      </c>
      <c r="AK30" s="2">
        <f t="shared" si="9"/>
        <v>3004.3755993247032</v>
      </c>
      <c r="AL30" s="2">
        <v>3.0842833650240209E-2</v>
      </c>
      <c r="AM30" s="2">
        <f t="shared" si="10"/>
        <v>-8.0685066811736025E-5</v>
      </c>
      <c r="AN30" s="2">
        <f t="shared" si="11"/>
        <v>9.5317156927660909E-4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310.04804946873304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5.2893288433551788E-2</v>
      </c>
      <c r="W31" s="2">
        <f t="shared" si="0"/>
        <v>2.3669943644000213E-9</v>
      </c>
      <c r="X31" s="2">
        <f t="shared" si="8"/>
        <v>5.2893295884132385E-2</v>
      </c>
      <c r="Y31" s="2">
        <f t="shared" si="1"/>
        <v>-5.0938736562144982E-9</v>
      </c>
      <c r="Z31" s="2">
        <f t="shared" si="3"/>
        <v>5.2893292158842087E-2</v>
      </c>
      <c r="AA31" s="2">
        <f t="shared" si="2"/>
        <v>-1.3634396459072384E-9</v>
      </c>
      <c r="AB31" s="2">
        <f t="shared" si="4"/>
        <v>-3.227253958061994E-18</v>
      </c>
      <c r="AC31" s="2">
        <f t="shared" si="5"/>
        <v>6.9451892941253061E-18</v>
      </c>
      <c r="AD31" s="2">
        <f t="shared" si="6"/>
        <v>7.4505805969238281E-9</v>
      </c>
      <c r="AF31" s="2">
        <v>27</v>
      </c>
      <c r="AG31" s="2">
        <f t="shared" si="13"/>
        <v>3004.3754577636719</v>
      </c>
      <c r="AH31" s="2">
        <v>-2.6160069378420303E-3</v>
      </c>
      <c r="AI31" s="2">
        <f t="shared" si="14"/>
        <v>3004.3755993247032</v>
      </c>
      <c r="AJ31" s="2">
        <v>3.0904150380138162E-2</v>
      </c>
      <c r="AK31" s="2">
        <f t="shared" si="9"/>
        <v>3004.3755285441875</v>
      </c>
      <c r="AL31" s="2">
        <v>3.0865121165334131E-2</v>
      </c>
      <c r="AM31" s="2">
        <f t="shared" si="10"/>
        <v>-8.0743371105848982E-5</v>
      </c>
      <c r="AN31" s="2">
        <f t="shared" si="11"/>
        <v>9.5386034599467123E-4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1312.76</v>
      </c>
      <c r="L32" s="6" t="s">
        <v>7</v>
      </c>
      <c r="U32" s="2">
        <v>28</v>
      </c>
      <c r="V32" s="2">
        <f t="shared" si="7"/>
        <v>5.2893288433551788E-2</v>
      </c>
      <c r="W32" s="2">
        <f t="shared" si="0"/>
        <v>2.3669943644000213E-9</v>
      </c>
      <c r="X32" s="2">
        <f t="shared" si="8"/>
        <v>5.2893292158842087E-2</v>
      </c>
      <c r="Y32" s="2">
        <f t="shared" si="1"/>
        <v>-1.3634396459072384E-9</v>
      </c>
      <c r="Z32" s="2">
        <f t="shared" si="3"/>
        <v>5.2893290296196938E-2</v>
      </c>
      <c r="AA32" s="2">
        <f t="shared" si="2"/>
        <v>5.0177735577694449E-10</v>
      </c>
      <c r="AB32" s="2">
        <f t="shared" si="4"/>
        <v>1.1877041733075721E-18</v>
      </c>
      <c r="AC32" s="2">
        <f t="shared" si="5"/>
        <v>-6.8414314028478759E-19</v>
      </c>
      <c r="AD32" s="2">
        <f t="shared" si="6"/>
        <v>3.7252902984619141E-9</v>
      </c>
      <c r="AF32" s="2">
        <v>28</v>
      </c>
      <c r="AG32" s="2">
        <f t="shared" si="13"/>
        <v>3004.3754577636719</v>
      </c>
      <c r="AH32" s="2">
        <v>-2.6160069378420303E-3</v>
      </c>
      <c r="AI32" s="2">
        <f t="shared" si="14"/>
        <v>3004.3755285441875</v>
      </c>
      <c r="AJ32" s="2">
        <v>3.0904150380138162E-2</v>
      </c>
      <c r="AK32" s="2">
        <f t="shared" si="9"/>
        <v>3004.3754931539297</v>
      </c>
      <c r="AL32" s="2">
        <v>3.0893006623955444E-2</v>
      </c>
      <c r="AM32" s="2">
        <f t="shared" si="10"/>
        <v>-8.0816319659067235E-5</v>
      </c>
      <c r="AN32" s="2">
        <f t="shared" si="11"/>
        <v>9.5472212240132342E-4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747.7</v>
      </c>
      <c r="L33" s="6" t="s">
        <v>7</v>
      </c>
      <c r="U33" s="2">
        <v>29</v>
      </c>
      <c r="V33" s="2">
        <f t="shared" si="7"/>
        <v>5.2893290296196938E-2</v>
      </c>
      <c r="W33" s="2">
        <f t="shared" si="0"/>
        <v>5.0177735577694449E-10</v>
      </c>
      <c r="X33" s="2">
        <f t="shared" si="8"/>
        <v>5.2893292158842087E-2</v>
      </c>
      <c r="Y33" s="2">
        <f t="shared" si="1"/>
        <v>-1.3634396459072384E-9</v>
      </c>
      <c r="Z33" s="2">
        <f t="shared" si="3"/>
        <v>5.2893291227519512E-2</v>
      </c>
      <c r="AA33" s="2">
        <f t="shared" si="2"/>
        <v>-4.3083114159570002E-10</v>
      </c>
      <c r="AB33" s="2">
        <f t="shared" si="4"/>
        <v>-2.1618131101625272E-19</v>
      </c>
      <c r="AC33" s="2">
        <f t="shared" si="5"/>
        <v>5.8741225914305258E-19</v>
      </c>
      <c r="AD33" s="2">
        <f t="shared" si="6"/>
        <v>1.862645149230957E-9</v>
      </c>
      <c r="AF33" s="2">
        <v>29</v>
      </c>
      <c r="AG33" s="2">
        <f t="shared" si="13"/>
        <v>3004.3754577636719</v>
      </c>
      <c r="AH33" s="2">
        <v>-2.6160069378420303E-3</v>
      </c>
      <c r="AI33" s="2">
        <f t="shared" si="14"/>
        <v>3004.3754931539297</v>
      </c>
      <c r="AJ33" s="2">
        <v>3.0904150380138162E-2</v>
      </c>
      <c r="AK33" s="2">
        <f t="shared" si="9"/>
        <v>3004.3754754588008</v>
      </c>
      <c r="AL33" s="2">
        <v>3.0898578501819429E-2</v>
      </c>
      <c r="AM33" s="2">
        <f t="shared" si="10"/>
        <v>-8.0830895730216233E-5</v>
      </c>
      <c r="AN33" s="2">
        <f t="shared" si="11"/>
        <v>9.548943165527318E-4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196.29</v>
      </c>
      <c r="L34" s="6" t="s">
        <v>7</v>
      </c>
      <c r="U34" s="2">
        <v>30</v>
      </c>
      <c r="V34" s="2">
        <f t="shared" si="7"/>
        <v>5.2893290296196938E-2</v>
      </c>
      <c r="W34" s="2">
        <f t="shared" si="0"/>
        <v>5.0177735577694449E-10</v>
      </c>
      <c r="X34" s="2">
        <f t="shared" si="8"/>
        <v>5.2893291227519512E-2</v>
      </c>
      <c r="Y34" s="2">
        <f t="shared" si="1"/>
        <v>-4.3083114159570002E-10</v>
      </c>
      <c r="Z34" s="2">
        <f t="shared" si="3"/>
        <v>5.2893290761858225E-2</v>
      </c>
      <c r="AA34" s="2">
        <f t="shared" si="2"/>
        <v>3.5473110560069188E-11</v>
      </c>
      <c r="AB34" s="2">
        <f t="shared" si="4"/>
        <v>1.7799603618014723E-20</v>
      </c>
      <c r="AC34" s="2">
        <f t="shared" si="5"/>
        <v>-1.528292071854509E-20</v>
      </c>
      <c r="AD34" s="2">
        <f>X34-V34</f>
        <v>9.3132257461547852E-10</v>
      </c>
      <c r="AF34" s="2">
        <v>30</v>
      </c>
      <c r="AG34" s="2">
        <f t="shared" si="13"/>
        <v>3004.3754577636719</v>
      </c>
      <c r="AH34" s="2">
        <v>-2.6160069378420303E-3</v>
      </c>
      <c r="AI34" s="2">
        <f t="shared" si="14"/>
        <v>3004.3754754588008</v>
      </c>
      <c r="AJ34" s="2">
        <v>3.0904150380138162E-2</v>
      </c>
      <c r="AK34" s="2">
        <f t="shared" si="9"/>
        <v>3004.3754666112363</v>
      </c>
      <c r="AL34" s="2">
        <v>3.0901364440978796E-2</v>
      </c>
      <c r="AM34" s="2">
        <f t="shared" si="10"/>
        <v>-8.0838183766385546E-5</v>
      </c>
      <c r="AN34" s="2">
        <f t="shared" si="11"/>
        <v>9.5498041363546271E-4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264.29251416144706</v>
      </c>
      <c r="H35" s="25" t="s">
        <v>101</v>
      </c>
      <c r="J35" s="15" t="s">
        <v>70</v>
      </c>
      <c r="K35" s="6">
        <f>ROUND(SUM(K23:K26),2)</f>
        <v>147.63</v>
      </c>
      <c r="L35" s="6" t="s">
        <v>7</v>
      </c>
      <c r="AF35" s="2">
        <v>31</v>
      </c>
      <c r="AG35" s="2">
        <f t="shared" si="13"/>
        <v>3004.3754577636719</v>
      </c>
      <c r="AH35" s="2">
        <v>-2.6160069378420303E-3</v>
      </c>
      <c r="AI35" s="2">
        <f t="shared" si="14"/>
        <v>3004.3754666112363</v>
      </c>
      <c r="AJ35" s="2">
        <v>3.0904150380138162E-2</v>
      </c>
      <c r="AK35" s="2">
        <f t="shared" si="9"/>
        <v>3004.3754621874541</v>
      </c>
      <c r="AL35" s="2">
        <v>3.09027574112406E-2</v>
      </c>
      <c r="AM35" s="2">
        <f t="shared" si="10"/>
        <v>-8.084182778625463E-5</v>
      </c>
      <c r="AN35" s="2">
        <f t="shared" si="11"/>
        <v>9.5502346219790858E-4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3004.38</v>
      </c>
      <c r="L36" s="6" t="s">
        <v>7</v>
      </c>
      <c r="AF36" s="2">
        <v>32</v>
      </c>
      <c r="AG36" s="2">
        <f t="shared" si="13"/>
        <v>3004.3754577636719</v>
      </c>
      <c r="AH36" s="2">
        <v>-2.6160069378420303E-3</v>
      </c>
      <c r="AI36" s="2">
        <f t="shared" si="14"/>
        <v>3004.3754621874541</v>
      </c>
      <c r="AJ36" s="2">
        <v>3.0904150380138162E-2</v>
      </c>
      <c r="AK36" s="2">
        <f t="shared" si="9"/>
        <v>3004.375459975563</v>
      </c>
      <c r="AL36" s="2">
        <v>3.0903453895916755E-2</v>
      </c>
      <c r="AM36" s="2">
        <f t="shared" si="10"/>
        <v>-8.0843649794999558E-5</v>
      </c>
      <c r="AN36" s="2">
        <f t="shared" si="11"/>
        <v>9.5504498646507797E-4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3004.3754577636719</v>
      </c>
      <c r="AH37" s="2">
        <v>-2.6160069378420303E-3</v>
      </c>
      <c r="AI37" s="2">
        <f t="shared" si="14"/>
        <v>3004.375459975563</v>
      </c>
      <c r="AJ37" s="2">
        <v>3.0904150380138162E-2</v>
      </c>
      <c r="AK37" s="2">
        <f t="shared" si="9"/>
        <v>3004.3754588696174</v>
      </c>
      <c r="AL37" s="2">
        <v>3.0903802140073822E-2</v>
      </c>
      <c r="AM37" s="2">
        <f t="shared" si="10"/>
        <v>-8.0844560804130497E-5</v>
      </c>
      <c r="AN37" s="2">
        <f t="shared" si="11"/>
        <v>9.5505574865487693E-4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3004.3754577636719</v>
      </c>
      <c r="AH38" s="2">
        <v>-2.6160069378420303E-3</v>
      </c>
      <c r="AI38" s="2">
        <f t="shared" si="14"/>
        <v>3004.3754588696174</v>
      </c>
      <c r="AJ38" s="2">
        <v>3.0904150380138162E-2</v>
      </c>
      <c r="AK38" s="2">
        <f t="shared" si="9"/>
        <v>3004.3754583166447</v>
      </c>
      <c r="AL38" s="2">
        <v>3.0903976259651245E-2</v>
      </c>
      <c r="AM38" s="2">
        <f t="shared" si="10"/>
        <v>-8.0845016302153057E-5</v>
      </c>
      <c r="AN38" s="2">
        <f t="shared" si="11"/>
        <v>9.5506112967248173E-4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19.97</v>
      </c>
      <c r="L39" s="6" t="s">
        <v>58</v>
      </c>
      <c r="AF39" s="2">
        <v>35</v>
      </c>
      <c r="AG39" s="2">
        <f t="shared" si="13"/>
        <v>3004.3754577636719</v>
      </c>
      <c r="AH39" s="2">
        <v>-2.6160069378420303E-3</v>
      </c>
      <c r="AI39" s="2">
        <f t="shared" si="14"/>
        <v>3004.3754583166447</v>
      </c>
      <c r="AJ39" s="2">
        <v>3.0904150380138162E-2</v>
      </c>
      <c r="AK39" s="2">
        <f t="shared" si="9"/>
        <v>3004.3754580401583</v>
      </c>
      <c r="AL39" s="2">
        <v>3.0904063321941067E-2</v>
      </c>
      <c r="AM39" s="2">
        <f t="shared" si="10"/>
        <v>-8.0845244057707247E-5</v>
      </c>
      <c r="AN39" s="2">
        <f t="shared" si="11"/>
        <v>9.5506382025857886E-4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43.69</v>
      </c>
      <c r="L40" s="6" t="s">
        <v>58</v>
      </c>
      <c r="AF40" s="2">
        <v>36</v>
      </c>
      <c r="AG40" s="2">
        <f t="shared" si="13"/>
        <v>3004.3754577636719</v>
      </c>
      <c r="AH40" s="2">
        <v>-2.6160069378420303E-3</v>
      </c>
      <c r="AI40" s="2">
        <f t="shared" si="14"/>
        <v>3004.3754580401583</v>
      </c>
      <c r="AJ40" s="2">
        <v>3.0904150380138162E-2</v>
      </c>
      <c r="AK40" s="2">
        <f t="shared" si="9"/>
        <v>3004.3754579019151</v>
      </c>
      <c r="AL40" s="2">
        <v>3.0904106851266988E-2</v>
      </c>
      <c r="AM40" s="2">
        <f t="shared" si="10"/>
        <v>-8.084535793072586E-5</v>
      </c>
      <c r="AN40" s="2">
        <f t="shared" si="11"/>
        <v>9.5506516549541311E-4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24.89</v>
      </c>
      <c r="L41" s="6" t="s">
        <v>58</v>
      </c>
      <c r="AF41" s="2">
        <v>37</v>
      </c>
      <c r="AG41" s="2">
        <f t="shared" si="13"/>
        <v>3004.3754577636719</v>
      </c>
      <c r="AH41" s="2">
        <v>-2.6160069378420303E-3</v>
      </c>
      <c r="AI41" s="2">
        <f t="shared" si="14"/>
        <v>3004.3754579019151</v>
      </c>
      <c r="AJ41" s="2">
        <v>3.0904150380138162E-2</v>
      </c>
      <c r="AK41" s="2">
        <f t="shared" si="9"/>
        <v>3004.3754578327935</v>
      </c>
      <c r="AL41" s="2">
        <v>3.0904128615020454E-2</v>
      </c>
      <c r="AM41" s="2">
        <f t="shared" si="10"/>
        <v>-8.0845414864855918E-5</v>
      </c>
      <c r="AN41" s="2">
        <f t="shared" si="11"/>
        <v>9.5506583808572306E-4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6.53</v>
      </c>
      <c r="L42" s="6" t="s">
        <v>58</v>
      </c>
      <c r="AF42" s="2">
        <v>38</v>
      </c>
      <c r="AG42" s="2">
        <f t="shared" si="13"/>
        <v>3004.3754577636719</v>
      </c>
      <c r="AH42" s="2">
        <v>-2.6160069378420303E-3</v>
      </c>
      <c r="AI42" s="2">
        <f t="shared" si="14"/>
        <v>3004.3754578327935</v>
      </c>
      <c r="AJ42" s="2">
        <v>3.0904150380138162E-2</v>
      </c>
      <c r="AK42" s="2">
        <f t="shared" si="9"/>
        <v>3004.3754577982327</v>
      </c>
      <c r="AL42" s="2">
        <v>3.0904139499398298E-2</v>
      </c>
      <c r="AM42" s="2">
        <f t="shared" si="10"/>
        <v>-8.084544333846387E-5</v>
      </c>
      <c r="AN42" s="2">
        <f t="shared" si="11"/>
        <v>9.550661744581727E-4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3004.3754577636719</v>
      </c>
      <c r="AH43" s="2">
        <v>-2.6160069378420303E-3</v>
      </c>
      <c r="AI43" s="2">
        <f t="shared" si="14"/>
        <v>3004.3754577982327</v>
      </c>
      <c r="AJ43" s="2">
        <v>3.0904150380138162E-2</v>
      </c>
      <c r="AK43" s="2">
        <f t="shared" si="9"/>
        <v>3004.3754577809523</v>
      </c>
      <c r="AL43" s="2">
        <v>3.090414494226934E-2</v>
      </c>
      <c r="AM43" s="2">
        <f t="shared" si="10"/>
        <v>-8.0845457577052287E-5</v>
      </c>
      <c r="AN43" s="2">
        <f t="shared" si="11"/>
        <v>9.5506634266547788E-4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3004.3754577636719</v>
      </c>
      <c r="AH44" s="2">
        <v>-2.6160069378420303E-3</v>
      </c>
      <c r="AI44" s="2">
        <f t="shared" si="14"/>
        <v>3004.3754577809523</v>
      </c>
      <c r="AJ44" s="2">
        <v>3.0904150380138162E-2</v>
      </c>
      <c r="AK44" s="5">
        <f>(AG44+AI44)/2</f>
        <v>3004.3754577723121</v>
      </c>
      <c r="AL44" s="2">
        <v>3.0904147659839509E-2</v>
      </c>
      <c r="AM44" s="2">
        <f t="shared" si="10"/>
        <v>-8.0845464686234698E-5</v>
      </c>
      <c r="AN44" s="2">
        <f t="shared" si="11"/>
        <v>9.5506642664967508E-4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2895.7962987250444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19.97</v>
      </c>
      <c r="L47" s="6" t="s">
        <v>58</v>
      </c>
      <c r="N47" s="6" t="s">
        <v>154</v>
      </c>
      <c r="O47" s="6">
        <f>0.377*O46^0.6945</f>
        <v>95.617906808974126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43.69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36.33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C8" sqref="C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403.80590863749308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5.9014438719149111E-2</v>
      </c>
      <c r="X4" s="3">
        <v>1</v>
      </c>
      <c r="Y4" s="2">
        <f t="shared" ref="Y4:Y34" si="1" xml:space="preserve"> $O$20 * TAN($O$17/180*PI()) + $O$21 / (2 * SQRT($O$20^2 + X4^2)) - X4</f>
        <v>-0.94431536245733239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-0.44266603406837673</v>
      </c>
      <c r="AB4" s="2">
        <f>W4*AA4</f>
        <v>-2.6123687540576992E-2</v>
      </c>
      <c r="AC4" s="2">
        <f>Y4*AA4</f>
        <v>0.41801633640882901</v>
      </c>
      <c r="AD4" s="2">
        <f>X4-V4</f>
        <v>1</v>
      </c>
      <c r="AF4" s="2">
        <v>0</v>
      </c>
      <c r="AG4" s="2"/>
      <c r="AH4" s="2">
        <f>K27</f>
        <v>1.2758900970766263E-4</v>
      </c>
      <c r="AI4" s="2"/>
      <c r="AJ4" s="2">
        <f>K27</f>
        <v>1.2758900970766263E-4</v>
      </c>
      <c r="AK4" s="2"/>
      <c r="AL4" s="2">
        <f>K27</f>
        <v>1.2758900970766263E-4</v>
      </c>
      <c r="AM4" s="2"/>
      <c r="AN4" s="2"/>
      <c r="AO4" s="2"/>
    </row>
    <row r="5" spans="2:41" x14ac:dyDescent="0.2">
      <c r="B5" s="10" t="s">
        <v>37</v>
      </c>
      <c r="C5" s="10">
        <v>2428.49262229547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100.95147715937327</v>
      </c>
      <c r="L5" s="6" t="s">
        <v>101</v>
      </c>
      <c r="N5" s="6" t="s">
        <v>114</v>
      </c>
      <c r="O5" s="6">
        <f xml:space="preserve"> $C$18 * 0.85 * ($C$5/$C$18 *2.20462/1000)^(2/3) * 0.3048^2</f>
        <v>0.38363292146373967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5.9014438719149111E-2</v>
      </c>
      <c r="X5" s="2">
        <f>IF(AC4&gt;0, Z4, X4)</f>
        <v>0.5</v>
      </c>
      <c r="Y5" s="2">
        <f t="shared" si="1"/>
        <v>-0.44266603406837673</v>
      </c>
      <c r="Z5" s="2">
        <f t="shared" ref="Z5:Z34" si="3" xml:space="preserve"> (V5 + X5)/2</f>
        <v>0.25</v>
      </c>
      <c r="AA5" s="2">
        <f t="shared" si="2"/>
        <v>-0.19156723488677549</v>
      </c>
      <c r="AB5" s="2">
        <f t="shared" ref="AB5:AB34" si="4">W5*AA5</f>
        <v>-1.1305232843822456E-2</v>
      </c>
      <c r="AC5" s="2">
        <f t="shared" ref="AC5:AC34" si="5">Y5*AA5</f>
        <v>8.4800308124774085E-2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-1689.2123598522746</v>
      </c>
      <c r="AI5" s="3">
        <v>10000</v>
      </c>
      <c r="AJ5" s="2">
        <f t="dataTable" ref="AJ5:AJ44" dt2D="0" dtr="0" r1="C5"/>
        <v>5741.4774331130257</v>
      </c>
      <c r="AK5" s="2">
        <f>(AG5+AI5)/2</f>
        <v>5250</v>
      </c>
      <c r="AL5" s="2">
        <f t="dataTable" ref="AL5:AL44" dt2D="0" dtr="0" r1="C5" ca="1"/>
        <v>2324.1673929972426</v>
      </c>
      <c r="AM5" s="2">
        <f>AH5*AL5</f>
        <v>-3926012.286616581</v>
      </c>
      <c r="AN5" s="2">
        <f>AJ5*AL5</f>
        <v>13344154.637670802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5.9014438719149111E-2</v>
      </c>
      <c r="X6" s="2">
        <f t="shared" ref="X6:X34" si="8">IF(AC5&gt;0, Z5, X5)</f>
        <v>0.25</v>
      </c>
      <c r="Y6" s="2">
        <f t="shared" si="1"/>
        <v>-0.19156723488677549</v>
      </c>
      <c r="Z6" s="2">
        <f t="shared" si="3"/>
        <v>0.125</v>
      </c>
      <c r="AA6" s="2">
        <f t="shared" si="2"/>
        <v>-6.6147221530159062E-2</v>
      </c>
      <c r="AB6" s="2">
        <f t="shared" si="4"/>
        <v>-3.9036411514335526E-3</v>
      </c>
      <c r="AC6" s="2">
        <f t="shared" si="5"/>
        <v>1.2671640323975554E-2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-1689.2123598522746</v>
      </c>
      <c r="AI6" s="2">
        <f>IF(AN5&gt;0, AK5, AI5)</f>
        <v>5250</v>
      </c>
      <c r="AJ6" s="2">
        <v>2324.1673929972426</v>
      </c>
      <c r="AK6" s="2">
        <f t="shared" ref="AK6:AK43" si="9">(AG6+AI6)/2</f>
        <v>2875</v>
      </c>
      <c r="AL6" s="2">
        <v>382.37089007736063</v>
      </c>
      <c r="AM6" s="2">
        <f t="shared" ref="AM6:AM44" si="10">AH6*AL6</f>
        <v>-645905.63356639305</v>
      </c>
      <c r="AN6" s="2">
        <f t="shared" ref="AN6:AN44" si="11">AJ6*AL6</f>
        <v>888693.95474913449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275.17958978683703</v>
      </c>
      <c r="D7" s="6" t="s">
        <v>125</v>
      </c>
      <c r="F7" t="s">
        <v>121</v>
      </c>
      <c r="G7" s="8">
        <f>$C$6*2*PI()/60*$C$9</f>
        <v>178.06688397294508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1.0139095447988358</v>
      </c>
      <c r="P7" s="6" t="s">
        <v>115</v>
      </c>
      <c r="U7" s="2">
        <v>3</v>
      </c>
      <c r="V7" s="2">
        <f t="shared" si="7"/>
        <v>0</v>
      </c>
      <c r="W7" s="2">
        <f t="shared" si="0"/>
        <v>5.9014438719149111E-2</v>
      </c>
      <c r="X7" s="2">
        <f t="shared" si="8"/>
        <v>0.125</v>
      </c>
      <c r="Y7" s="2">
        <f t="shared" si="1"/>
        <v>-6.6147221530159062E-2</v>
      </c>
      <c r="Z7" s="2">
        <f t="shared" si="3"/>
        <v>6.25E-2</v>
      </c>
      <c r="AA7" s="2">
        <f t="shared" si="2"/>
        <v>-3.5271548682635351E-3</v>
      </c>
      <c r="AB7" s="2">
        <f t="shared" si="4"/>
        <v>-2.0815306482608684E-4</v>
      </c>
      <c r="AC7" s="2">
        <f t="shared" si="5"/>
        <v>2.3331149444220706E-4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-1689.2123598522746</v>
      </c>
      <c r="AI7" s="2">
        <f t="shared" ref="AI7:AI44" si="14">IF(AN6&gt;0, AK6, AI6)</f>
        <v>2875</v>
      </c>
      <c r="AJ7" s="2">
        <v>382.37089007736063</v>
      </c>
      <c r="AK7" s="2">
        <f t="shared" si="9"/>
        <v>1687.5</v>
      </c>
      <c r="AL7" s="2">
        <v>-644.18970359963146</v>
      </c>
      <c r="AM7" s="2">
        <f t="shared" si="10"/>
        <v>1088173.2094100707</v>
      </c>
      <c r="AN7" s="2">
        <f t="shared" si="11"/>
        <v>-246319.39034406221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0.53326699007988876</v>
      </c>
      <c r="H8" s="6" t="s">
        <v>122</v>
      </c>
      <c r="J8" s="6" t="s">
        <v>96</v>
      </c>
      <c r="K8" s="6">
        <f xml:space="preserve"> $C$15 * (G12*G6 + G22*G15 + G31*G27 +G35*G34)/3600</f>
        <v>200.42932491528768</v>
      </c>
      <c r="L8" s="6" t="s">
        <v>102</v>
      </c>
      <c r="N8" s="6" t="s">
        <v>38</v>
      </c>
      <c r="O8" s="6">
        <f xml:space="preserve"> O4 *O7</f>
        <v>2299.003174699551</v>
      </c>
      <c r="P8" s="6" t="s">
        <v>20</v>
      </c>
      <c r="U8" s="2">
        <v>4</v>
      </c>
      <c r="V8" s="2">
        <f t="shared" si="7"/>
        <v>0</v>
      </c>
      <c r="W8" s="2">
        <f t="shared" si="0"/>
        <v>5.9014438719149111E-2</v>
      </c>
      <c r="X8" s="2">
        <f t="shared" si="8"/>
        <v>6.25E-2</v>
      </c>
      <c r="Y8" s="2">
        <f t="shared" si="1"/>
        <v>-3.5271548682635351E-3</v>
      </c>
      <c r="Z8" s="2">
        <f t="shared" si="3"/>
        <v>3.125E-2</v>
      </c>
      <c r="AA8" s="2">
        <f t="shared" si="2"/>
        <v>2.7753963652488174E-2</v>
      </c>
      <c r="AB8" s="2">
        <f t="shared" si="4"/>
        <v>1.6378845871832552E-3</v>
      </c>
      <c r="AC8" s="2">
        <f t="shared" si="5"/>
        <v>-9.7892528010482861E-5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-644.18970359963146</v>
      </c>
      <c r="AI8" s="2">
        <f t="shared" si="14"/>
        <v>2875</v>
      </c>
      <c r="AJ8" s="2">
        <v>382.37089007736063</v>
      </c>
      <c r="AK8" s="2">
        <f t="shared" si="9"/>
        <v>2281.25</v>
      </c>
      <c r="AL8" s="2">
        <v>-127.08218900356246</v>
      </c>
      <c r="AM8" s="2">
        <f t="shared" si="10"/>
        <v>81865.037666997247</v>
      </c>
      <c r="AN8" s="2">
        <f t="shared" si="11"/>
        <v>-48592.529722271553</v>
      </c>
      <c r="AO8" s="2">
        <f t="shared" si="12"/>
        <v>1187.5</v>
      </c>
    </row>
    <row r="9" spans="2:41" x14ac:dyDescent="0.2">
      <c r="B9" s="6" t="s">
        <v>95</v>
      </c>
      <c r="C9" s="17">
        <v>4.2510337177897801</v>
      </c>
      <c r="D9" s="6" t="s">
        <v>8</v>
      </c>
      <c r="F9" t="s">
        <v>19</v>
      </c>
      <c r="G9" s="6">
        <f xml:space="preserve"> $C$5 * $C$44 / $C$18</f>
        <v>5950.7122620599284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2299.003174699551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2.7753963652488174E-2</v>
      </c>
      <c r="X9" s="2">
        <f t="shared" si="8"/>
        <v>6.25E-2</v>
      </c>
      <c r="Y9" s="2">
        <f t="shared" si="1"/>
        <v>-3.5271548682635351E-3</v>
      </c>
      <c r="Z9" s="2">
        <f t="shared" si="3"/>
        <v>4.6875E-2</v>
      </c>
      <c r="AA9" s="2">
        <f t="shared" si="2"/>
        <v>1.2115942039473408E-2</v>
      </c>
      <c r="AB9" s="2">
        <f t="shared" si="4"/>
        <v>3.3626541497919839E-4</v>
      </c>
      <c r="AC9" s="2">
        <f t="shared" si="5"/>
        <v>-4.2734803948127459E-5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-127.08218900356246</v>
      </c>
      <c r="AI9" s="2">
        <f t="shared" si="14"/>
        <v>2875</v>
      </c>
      <c r="AJ9" s="2">
        <v>382.37089007736063</v>
      </c>
      <c r="AK9" s="2">
        <f t="shared" si="9"/>
        <v>2578.125</v>
      </c>
      <c r="AL9" s="2">
        <v>128.65016972069429</v>
      </c>
      <c r="AM9" s="2">
        <f t="shared" si="10"/>
        <v>-16349.14518378566</v>
      </c>
      <c r="AN9" s="2">
        <f t="shared" si="11"/>
        <v>49192.079904705388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67.300984772915513</v>
      </c>
      <c r="H10" s="6" t="s">
        <v>101</v>
      </c>
      <c r="N10" s="6" t="s">
        <v>113</v>
      </c>
      <c r="O10" s="6">
        <f>O7/(0.3048^2)/($C$5*2.20462/1000)^(2/3)</f>
        <v>3.5660623470278381</v>
      </c>
      <c r="U10" s="2">
        <v>6</v>
      </c>
      <c r="V10" s="2">
        <f t="shared" si="7"/>
        <v>4.6875E-2</v>
      </c>
      <c r="W10" s="2">
        <f t="shared" si="0"/>
        <v>1.2115942039473408E-2</v>
      </c>
      <c r="X10" s="2">
        <f t="shared" si="8"/>
        <v>6.25E-2</v>
      </c>
      <c r="Y10" s="2">
        <f t="shared" si="1"/>
        <v>-3.5271548682635351E-3</v>
      </c>
      <c r="Z10" s="2">
        <f t="shared" si="3"/>
        <v>5.46875E-2</v>
      </c>
      <c r="AA10" s="2">
        <f t="shared" si="2"/>
        <v>4.2950206643400657E-3</v>
      </c>
      <c r="AB10" s="2">
        <f t="shared" si="4"/>
        <v>5.2038221427484806E-5</v>
      </c>
      <c r="AC10" s="2">
        <f t="shared" si="5"/>
        <v>-1.5149203045519546E-5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-127.08218900356246</v>
      </c>
      <c r="AI10" s="2">
        <f t="shared" si="14"/>
        <v>2578.125</v>
      </c>
      <c r="AJ10" s="2">
        <v>128.65016972069429</v>
      </c>
      <c r="AK10" s="2">
        <f t="shared" si="9"/>
        <v>2429.6875</v>
      </c>
      <c r="AL10" s="2">
        <v>1.0294450297158164</v>
      </c>
      <c r="AM10" s="2">
        <f t="shared" si="10"/>
        <v>-130.82412783512336</v>
      </c>
      <c r="AN10" s="2">
        <f t="shared" si="11"/>
        <v>132.43827779106496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9.0210144416519302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5.46875E-2</v>
      </c>
      <c r="W11" s="2">
        <f t="shared" si="0"/>
        <v>4.2950206643400657E-3</v>
      </c>
      <c r="X11" s="2">
        <f t="shared" si="8"/>
        <v>6.25E-2</v>
      </c>
      <c r="Y11" s="2">
        <f t="shared" si="1"/>
        <v>-3.5271548682635351E-3</v>
      </c>
      <c r="Z11" s="2">
        <f t="shared" si="3"/>
        <v>5.859375E-2</v>
      </c>
      <c r="AA11" s="2">
        <f t="shared" si="2"/>
        <v>3.8408863227177431E-4</v>
      </c>
      <c r="AB11" s="2">
        <f t="shared" si="4"/>
        <v>1.6496686125453833E-6</v>
      </c>
      <c r="AC11" s="2">
        <f t="shared" si="5"/>
        <v>-1.3547400891620715E-6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-127.08218900356246</v>
      </c>
      <c r="AI11" s="2">
        <f t="shared" si="14"/>
        <v>2429.6875</v>
      </c>
      <c r="AJ11" s="2">
        <v>1.0294450297158164</v>
      </c>
      <c r="AK11" s="2">
        <f t="shared" si="9"/>
        <v>2355.46875</v>
      </c>
      <c r="AL11" s="2">
        <v>-62.965685431573775</v>
      </c>
      <c r="AM11" s="2">
        <f t="shared" si="10"/>
        <v>8001.8171367541181</v>
      </c>
      <c r="AN11" s="2">
        <f t="shared" si="11"/>
        <v>-64.819711910183216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269.20393909166205</v>
      </c>
      <c r="H12" s="25" t="s">
        <v>101</v>
      </c>
      <c r="J12" s="10" t="s">
        <v>79</v>
      </c>
      <c r="K12" s="6">
        <f>C5</f>
        <v>2428.49262229547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5.859375E-2</v>
      </c>
      <c r="W12" s="2">
        <f t="shared" si="0"/>
        <v>3.8408863227177431E-4</v>
      </c>
      <c r="X12" s="2">
        <f t="shared" si="8"/>
        <v>6.25E-2</v>
      </c>
      <c r="Y12" s="2">
        <f t="shared" si="1"/>
        <v>-3.5271548682635351E-3</v>
      </c>
      <c r="Z12" s="2">
        <f t="shared" si="3"/>
        <v>6.0546875E-2</v>
      </c>
      <c r="AA12" s="2">
        <f t="shared" si="2"/>
        <v>-1.5714943210957399E-3</v>
      </c>
      <c r="AB12" s="2">
        <f t="shared" si="4"/>
        <v>-6.0359310441252326E-7</v>
      </c>
      <c r="AC12" s="2">
        <f t="shared" si="5"/>
        <v>5.5429038451013384E-6</v>
      </c>
      <c r="AD12" s="2">
        <f t="shared" si="6"/>
        <v>3.90625E-3</v>
      </c>
      <c r="AF12" s="2">
        <v>8</v>
      </c>
      <c r="AG12" s="2">
        <f t="shared" si="13"/>
        <v>2355.46875</v>
      </c>
      <c r="AH12" s="2">
        <v>-62.965685431573775</v>
      </c>
      <c r="AI12" s="2">
        <f t="shared" si="14"/>
        <v>2429.6875</v>
      </c>
      <c r="AJ12" s="2">
        <v>1.0294450297158164</v>
      </c>
      <c r="AK12" s="2">
        <f t="shared" si="9"/>
        <v>2392.578125</v>
      </c>
      <c r="AL12" s="2">
        <v>-30.952862355709158</v>
      </c>
      <c r="AM12" s="2">
        <f t="shared" si="10"/>
        <v>1948.9681942963844</v>
      </c>
      <c r="AN12" s="2">
        <f t="shared" si="11"/>
        <v>-31.864270307562588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736.87251807091059</v>
      </c>
      <c r="L13" s="6" t="s">
        <v>7</v>
      </c>
      <c r="N13" s="6" t="s">
        <v>74</v>
      </c>
      <c r="O13" s="6">
        <f xml:space="preserve"> SQRT( ($C$5*$C$50)^2 + O9^2)</f>
        <v>23911.349939733223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3.8408863227177431E-4</v>
      </c>
      <c r="X13" s="2">
        <f t="shared" si="8"/>
        <v>6.0546875E-2</v>
      </c>
      <c r="Y13" s="2">
        <f t="shared" si="1"/>
        <v>-1.5714943210957399E-3</v>
      </c>
      <c r="Z13" s="2">
        <f t="shared" si="3"/>
        <v>5.95703125E-2</v>
      </c>
      <c r="AA13" s="2">
        <f t="shared" si="2"/>
        <v>-5.9369312778617678E-4</v>
      </c>
      <c r="AB13" s="2">
        <f t="shared" si="4"/>
        <v>-2.2803078144054436E-7</v>
      </c>
      <c r="AC13" s="2">
        <f t="shared" si="5"/>
        <v>9.329853787895443E-7</v>
      </c>
      <c r="AD13" s="2">
        <f t="shared" si="6"/>
        <v>1.953125E-3</v>
      </c>
      <c r="AF13" s="2">
        <v>9</v>
      </c>
      <c r="AG13" s="2">
        <f t="shared" si="13"/>
        <v>2392.578125</v>
      </c>
      <c r="AH13" s="2">
        <v>-30.952862355709158</v>
      </c>
      <c r="AI13" s="2">
        <f t="shared" si="14"/>
        <v>2429.6875</v>
      </c>
      <c r="AJ13" s="2">
        <v>1.0294450297158164</v>
      </c>
      <c r="AK13" s="2">
        <f t="shared" si="9"/>
        <v>2411.1328125</v>
      </c>
      <c r="AL13" s="2">
        <v>-14.957881785869859</v>
      </c>
      <c r="AM13" s="2">
        <f t="shared" si="10"/>
        <v>462.98925605099879</v>
      </c>
      <c r="AN13" s="2">
        <f t="shared" si="11"/>
        <v>-15.398317059540465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>linear_250!K14</f>
        <v>218.37262530800768</v>
      </c>
      <c r="L14" s="6" t="s">
        <v>7</v>
      </c>
      <c r="N14" s="6" t="s">
        <v>75</v>
      </c>
      <c r="O14" s="6">
        <f>$C$5*$C$50/O13</f>
        <v>0.99536715113212182</v>
      </c>
      <c r="U14" s="2">
        <v>10</v>
      </c>
      <c r="V14" s="2">
        <f t="shared" si="7"/>
        <v>5.859375E-2</v>
      </c>
      <c r="W14" s="2">
        <f t="shared" si="0"/>
        <v>3.8408863227177431E-4</v>
      </c>
      <c r="X14" s="2">
        <f t="shared" si="8"/>
        <v>5.95703125E-2</v>
      </c>
      <c r="Y14" s="2">
        <f t="shared" si="1"/>
        <v>-5.9369312778617678E-4</v>
      </c>
      <c r="Z14" s="2">
        <f t="shared" si="3"/>
        <v>5.908203125E-2</v>
      </c>
      <c r="AA14" s="2">
        <f t="shared" si="2"/>
        <v>-1.0479981645338671E-4</v>
      </c>
      <c r="AB14" s="2">
        <f t="shared" si="4"/>
        <v>-4.0252418163914292E-8</v>
      </c>
      <c r="AC14" s="2">
        <f t="shared" si="5"/>
        <v>6.2218930821628385E-8</v>
      </c>
      <c r="AD14" s="2">
        <f t="shared" si="6"/>
        <v>9.765625E-4</v>
      </c>
      <c r="AF14" s="2">
        <v>10</v>
      </c>
      <c r="AG14" s="2">
        <f t="shared" si="13"/>
        <v>2411.1328125</v>
      </c>
      <c r="AH14" s="2">
        <v>-14.957881785869859</v>
      </c>
      <c r="AI14" s="2">
        <f t="shared" si="14"/>
        <v>2429.6875</v>
      </c>
      <c r="AJ14" s="2">
        <v>1.0294450297158164</v>
      </c>
      <c r="AK14" s="2">
        <f t="shared" si="9"/>
        <v>2420.41015625</v>
      </c>
      <c r="AL14" s="2">
        <v>-6.9632608880085627</v>
      </c>
      <c r="AM14" s="2">
        <f t="shared" si="10"/>
        <v>104.15563320700326</v>
      </c>
      <c r="AN14" s="2">
        <f t="shared" si="11"/>
        <v>-7.1682943117749574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linear_250!K15</f>
        <v>385.79363297392069</v>
      </c>
      <c r="L15" s="6" t="s">
        <v>7</v>
      </c>
      <c r="U15" s="2">
        <v>11</v>
      </c>
      <c r="V15" s="2">
        <f t="shared" si="7"/>
        <v>5.859375E-2</v>
      </c>
      <c r="W15" s="2">
        <f t="shared" si="0"/>
        <v>3.8408863227177431E-4</v>
      </c>
      <c r="X15" s="2">
        <f t="shared" si="8"/>
        <v>5.908203125E-2</v>
      </c>
      <c r="Y15" s="2">
        <f t="shared" si="1"/>
        <v>-1.0479981645338671E-4</v>
      </c>
      <c r="Z15" s="2">
        <f t="shared" si="3"/>
        <v>5.8837890625E-2</v>
      </c>
      <c r="AA15" s="2">
        <f t="shared" si="2"/>
        <v>1.3964501600182561E-4</v>
      </c>
      <c r="AB15" s="2">
        <f t="shared" si="4"/>
        <v>5.3636063199711233E-8</v>
      </c>
      <c r="AC15" s="2">
        <f t="shared" si="5"/>
        <v>-1.4634772045621574E-8</v>
      </c>
      <c r="AD15" s="2">
        <f t="shared" si="6"/>
        <v>4.8828125E-4</v>
      </c>
      <c r="AF15" s="2">
        <v>11</v>
      </c>
      <c r="AG15" s="2">
        <f t="shared" si="13"/>
        <v>2420.41015625</v>
      </c>
      <c r="AH15" s="2">
        <v>-6.9632608880085627</v>
      </c>
      <c r="AI15" s="2">
        <f t="shared" si="14"/>
        <v>2429.6875</v>
      </c>
      <c r="AJ15" s="2">
        <v>1.0294450297158164</v>
      </c>
      <c r="AK15" s="2">
        <f t="shared" si="9"/>
        <v>2425.048828125</v>
      </c>
      <c r="AL15" s="2">
        <v>-2.9666659095253181</v>
      </c>
      <c r="AM15" s="2">
        <f t="shared" si="10"/>
        <v>20.657668695585997</v>
      </c>
      <c r="AN15" s="2">
        <f t="shared" si="11"/>
        <v>-3.0540194753881904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122.50093021573831</v>
      </c>
      <c r="H16" s="6" t="s">
        <v>10</v>
      </c>
      <c r="J16" s="13" t="s">
        <v>53</v>
      </c>
      <c r="K16" s="6">
        <f>linear_250!K16</f>
        <v>93.361284791754656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5.8837890625E-2</v>
      </c>
      <c r="W16" s="2">
        <f t="shared" si="0"/>
        <v>1.3964501600182561E-4</v>
      </c>
      <c r="X16" s="2">
        <f t="shared" si="8"/>
        <v>5.908203125E-2</v>
      </c>
      <c r="Y16" s="2">
        <f t="shared" si="1"/>
        <v>-1.0479981645338671E-4</v>
      </c>
      <c r="Z16" s="2">
        <f t="shared" si="3"/>
        <v>5.89599609375E-2</v>
      </c>
      <c r="AA16" s="2">
        <f t="shared" si="2"/>
        <v>1.7422751764119282E-5</v>
      </c>
      <c r="AB16" s="2">
        <f t="shared" si="4"/>
        <v>2.4330004488962726E-9</v>
      </c>
      <c r="AC16" s="2">
        <f t="shared" si="5"/>
        <v>-1.8259011869926203E-9</v>
      </c>
      <c r="AD16" s="2">
        <f t="shared" si="6"/>
        <v>2.44140625E-4</v>
      </c>
      <c r="AF16" s="2">
        <v>12</v>
      </c>
      <c r="AG16" s="2">
        <f t="shared" si="13"/>
        <v>2425.048828125</v>
      </c>
      <c r="AH16" s="2">
        <v>-2.9666659095253181</v>
      </c>
      <c r="AI16" s="2">
        <f t="shared" si="14"/>
        <v>2429.6875</v>
      </c>
      <c r="AJ16" s="2">
        <v>1.0294450297158164</v>
      </c>
      <c r="AK16" s="2">
        <f t="shared" si="9"/>
        <v>2427.3681640625</v>
      </c>
      <c r="AL16" s="2">
        <v>-0.96855647686129487</v>
      </c>
      <c r="AM16" s="2">
        <f t="shared" si="10"/>
        <v>2.8733834813543511</v>
      </c>
      <c r="AN16" s="2">
        <f t="shared" si="11"/>
        <v>-0.99707565110392216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0.36817830341676511</v>
      </c>
      <c r="H17" s="6" t="s">
        <v>122</v>
      </c>
      <c r="J17" s="13" t="s">
        <v>77</v>
      </c>
      <c r="K17" s="6">
        <f>linear_250!K17</f>
        <v>50.174048749170304</v>
      </c>
      <c r="L17" s="6" t="s">
        <v>7</v>
      </c>
      <c r="N17" s="6" t="s">
        <v>25</v>
      </c>
      <c r="O17" s="6">
        <f xml:space="preserve"> ACOS(O14)/PI()*180</f>
        <v>5.5173369509412593</v>
      </c>
      <c r="P17" s="6" t="s">
        <v>40</v>
      </c>
      <c r="U17" s="2">
        <v>13</v>
      </c>
      <c r="V17" s="2">
        <f t="shared" si="7"/>
        <v>5.89599609375E-2</v>
      </c>
      <c r="W17" s="2">
        <f t="shared" si="0"/>
        <v>1.7422751764119282E-5</v>
      </c>
      <c r="X17" s="2">
        <f t="shared" si="8"/>
        <v>5.908203125E-2</v>
      </c>
      <c r="Y17" s="2">
        <f t="shared" si="1"/>
        <v>-1.0479981645338671E-4</v>
      </c>
      <c r="Z17" s="2">
        <f t="shared" si="3"/>
        <v>5.902099609375E-2</v>
      </c>
      <c r="AA17" s="2">
        <f t="shared" si="2"/>
        <v>-4.3688494351323826E-5</v>
      </c>
      <c r="AB17" s="2">
        <f t="shared" si="4"/>
        <v>-7.6117379203124249E-10</v>
      </c>
      <c r="AC17" s="2">
        <f t="shared" si="5"/>
        <v>4.578546189143559E-9</v>
      </c>
      <c r="AD17" s="2">
        <f t="shared" si="6"/>
        <v>1.220703125E-4</v>
      </c>
      <c r="AF17" s="2">
        <v>13</v>
      </c>
      <c r="AG17" s="2">
        <f t="shared" si="13"/>
        <v>2427.3681640625</v>
      </c>
      <c r="AH17" s="2">
        <v>-0.96855647686129487</v>
      </c>
      <c r="AI17" s="2">
        <f t="shared" si="14"/>
        <v>2429.6875</v>
      </c>
      <c r="AJ17" s="2">
        <v>1.0294450297158164</v>
      </c>
      <c r="AK17" s="2">
        <f t="shared" si="9"/>
        <v>2428.52783203125</v>
      </c>
      <c r="AL17" s="2">
        <v>3.0459986221785584E-2</v>
      </c>
      <c r="AM17" s="2">
        <f t="shared" si="10"/>
        <v>-2.9502216940216229E-2</v>
      </c>
      <c r="AN17" s="2">
        <f t="shared" si="11"/>
        <v>3.1356881421229423E-2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5977.8374849333059</v>
      </c>
      <c r="H18" s="6" t="s">
        <v>20</v>
      </c>
      <c r="J18" s="14" t="s">
        <v>60</v>
      </c>
      <c r="K18" s="6">
        <f>linear_250!K18</f>
        <v>137.85126605348006</v>
      </c>
      <c r="L18" s="6" t="s">
        <v>7</v>
      </c>
      <c r="N18" s="6" t="s">
        <v>19</v>
      </c>
      <c r="O18" s="6">
        <f xml:space="preserve"> O13 / $C$18</f>
        <v>5977.8374849333059</v>
      </c>
      <c r="P18" s="6" t="s">
        <v>20</v>
      </c>
      <c r="U18" s="2">
        <v>14</v>
      </c>
      <c r="V18" s="2">
        <f t="shared" si="7"/>
        <v>5.89599609375E-2</v>
      </c>
      <c r="W18" s="2">
        <f t="shared" si="0"/>
        <v>1.7422751764119282E-5</v>
      </c>
      <c r="X18" s="2">
        <f t="shared" si="8"/>
        <v>5.902099609375E-2</v>
      </c>
      <c r="Y18" s="2">
        <f t="shared" si="1"/>
        <v>-4.3688494351323826E-5</v>
      </c>
      <c r="Z18" s="2">
        <f t="shared" si="3"/>
        <v>5.8990478515625E-2</v>
      </c>
      <c r="AA18" s="2">
        <f t="shared" si="2"/>
        <v>-1.3132861794752648E-5</v>
      </c>
      <c r="AB18" s="2">
        <f t="shared" si="4"/>
        <v>-2.2881059100246143E-10</v>
      </c>
      <c r="AC18" s="2">
        <f t="shared" si="5"/>
        <v>5.7375495833676755E-10</v>
      </c>
      <c r="AD18" s="2">
        <f t="shared" si="6"/>
        <v>6.103515625E-5</v>
      </c>
      <c r="AF18" s="2">
        <v>14</v>
      </c>
      <c r="AG18" s="2">
        <f t="shared" si="13"/>
        <v>2427.3681640625</v>
      </c>
      <c r="AH18" s="2">
        <v>-0.96855647686129487</v>
      </c>
      <c r="AI18" s="2">
        <f t="shared" si="14"/>
        <v>2428.52783203125</v>
      </c>
      <c r="AJ18" s="2">
        <v>3.0459986221785584E-2</v>
      </c>
      <c r="AK18" s="2">
        <f t="shared" si="9"/>
        <v>2427.947998046875</v>
      </c>
      <c r="AL18" s="2">
        <v>-0.4690379888068037</v>
      </c>
      <c r="AM18" s="2">
        <f t="shared" si="10"/>
        <v>0.45428978195282527</v>
      </c>
      <c r="AN18" s="2">
        <f t="shared" si="11"/>
        <v>-1.4286890676549261E-2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61.001597786722726</v>
      </c>
      <c r="H19" s="6" t="s">
        <v>101</v>
      </c>
      <c r="J19" s="14" t="s">
        <v>61</v>
      </c>
      <c r="K19" s="6">
        <f>linear_250!K19</f>
        <v>33.649055373530693</v>
      </c>
      <c r="L19" s="6" t="s">
        <v>7</v>
      </c>
      <c r="N19" s="6" t="s">
        <v>26</v>
      </c>
      <c r="O19" s="6">
        <f>$C$7*2*PI()/60</f>
        <v>28.816739256406002</v>
      </c>
      <c r="P19" s="6" t="s">
        <v>27</v>
      </c>
      <c r="U19" s="2">
        <v>15</v>
      </c>
      <c r="V19" s="2">
        <f t="shared" si="7"/>
        <v>5.89599609375E-2</v>
      </c>
      <c r="W19" s="2">
        <f t="shared" si="0"/>
        <v>1.7422751764119282E-5</v>
      </c>
      <c r="X19" s="2">
        <f t="shared" si="8"/>
        <v>5.8990478515625E-2</v>
      </c>
      <c r="Y19" s="2">
        <f t="shared" si="1"/>
        <v>-1.3132861794752648E-5</v>
      </c>
      <c r="Z19" s="2">
        <f t="shared" si="3"/>
        <v>5.89752197265625E-2</v>
      </c>
      <c r="AA19" s="2">
        <f t="shared" si="2"/>
        <v>2.1449473594642443E-6</v>
      </c>
      <c r="AB19" s="2">
        <f t="shared" si="4"/>
        <v>3.7370885391048655E-11</v>
      </c>
      <c r="AC19" s="2">
        <f t="shared" si="5"/>
        <v>-2.8169297228863549E-11</v>
      </c>
      <c r="AD19" s="2">
        <f t="shared" si="6"/>
        <v>3.0517578125E-5</v>
      </c>
      <c r="AF19" s="2">
        <v>15</v>
      </c>
      <c r="AG19" s="2">
        <f t="shared" si="13"/>
        <v>2427.947998046875</v>
      </c>
      <c r="AH19" s="2">
        <v>-0.96855647686129487</v>
      </c>
      <c r="AI19" s="2">
        <f t="shared" si="14"/>
        <v>2428.52783203125</v>
      </c>
      <c r="AJ19" s="2">
        <v>3.0459986221785584E-2</v>
      </c>
      <c r="AK19" s="2">
        <f t="shared" si="9"/>
        <v>2428.2379150390625</v>
      </c>
      <c r="AL19" s="2">
        <v>-0.71879255703629497</v>
      </c>
      <c r="AM19" s="2">
        <f t="shared" si="10"/>
        <v>0.69619118663719515</v>
      </c>
      <c r="AN19" s="2">
        <f t="shared" si="11"/>
        <v>-2.1894411383647575E-2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9.9989013245338629</v>
      </c>
      <c r="H20" s="6" t="s">
        <v>147</v>
      </c>
      <c r="J20" s="14" t="s">
        <v>62</v>
      </c>
      <c r="K20" s="6">
        <f>linear_250!K20</f>
        <v>0</v>
      </c>
      <c r="L20" s="6" t="s">
        <v>7</v>
      </c>
      <c r="N20" s="6" t="s">
        <v>28</v>
      </c>
      <c r="O20" s="6">
        <f xml:space="preserve"> $C$8 * COS(O17/180*PI()) / (O19 * $C$9)</f>
        <v>0.54485577839098276</v>
      </c>
      <c r="U20" s="2">
        <v>16</v>
      </c>
      <c r="V20" s="2">
        <f t="shared" si="7"/>
        <v>5.89752197265625E-2</v>
      </c>
      <c r="W20" s="2">
        <f t="shared" si="0"/>
        <v>2.1449473594642443E-6</v>
      </c>
      <c r="X20" s="2">
        <f t="shared" si="8"/>
        <v>5.8990478515625E-2</v>
      </c>
      <c r="Y20" s="2">
        <f t="shared" si="1"/>
        <v>-1.3132861794752648E-5</v>
      </c>
      <c r="Z20" s="2">
        <f t="shared" si="3"/>
        <v>5.898284912109375E-2</v>
      </c>
      <c r="AA20" s="2">
        <f t="shared" si="2"/>
        <v>-5.4939566239628479E-6</v>
      </c>
      <c r="AB20" s="2">
        <f t="shared" si="4"/>
        <v>-1.1784247753580204E-11</v>
      </c>
      <c r="AC20" s="2">
        <f t="shared" si="5"/>
        <v>7.2151373048869923E-11</v>
      </c>
      <c r="AD20" s="2">
        <f t="shared" si="6"/>
        <v>1.52587890625E-5</v>
      </c>
      <c r="AF20" s="2">
        <v>16</v>
      </c>
      <c r="AG20" s="2">
        <f t="shared" si="13"/>
        <v>2428.2379150390625</v>
      </c>
      <c r="AH20" s="2">
        <v>-0.96855647686129487</v>
      </c>
      <c r="AI20" s="2">
        <f t="shared" si="14"/>
        <v>2428.52783203125</v>
      </c>
      <c r="AJ20" s="2">
        <v>3.0459986221785584E-2</v>
      </c>
      <c r="AK20" s="2">
        <f t="shared" si="9"/>
        <v>2428.3828735351562</v>
      </c>
      <c r="AL20" s="2">
        <v>-0.84367123458764581</v>
      </c>
      <c r="AM20" s="2">
        <f t="shared" si="10"/>
        <v>0.81714323860142923</v>
      </c>
      <c r="AN20" s="2">
        <f t="shared" si="11"/>
        <v>-2.5698214181256524E-2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0.11330496363709008</v>
      </c>
      <c r="J21" s="14" t="s">
        <v>63</v>
      </c>
      <c r="K21" s="6">
        <f>linear_250!K21</f>
        <v>0</v>
      </c>
      <c r="L21" s="6" t="s">
        <v>7</v>
      </c>
      <c r="N21" s="6" t="s">
        <v>29</v>
      </c>
      <c r="O21" s="6">
        <f xml:space="preserve"> O18 / ($C$47 * PI() * $C$9^2 * O19^2 * $C$9^2)</f>
        <v>6.9571487763125332E-3</v>
      </c>
      <c r="U21" s="2">
        <v>17</v>
      </c>
      <c r="V21" s="2">
        <f t="shared" si="7"/>
        <v>5.89752197265625E-2</v>
      </c>
      <c r="W21" s="2">
        <f t="shared" si="0"/>
        <v>2.1449473594642443E-6</v>
      </c>
      <c r="X21" s="2">
        <f t="shared" si="8"/>
        <v>5.898284912109375E-2</v>
      </c>
      <c r="Y21" s="2">
        <f t="shared" si="1"/>
        <v>-5.4939566239628479E-6</v>
      </c>
      <c r="Z21" s="2">
        <f t="shared" si="3"/>
        <v>5.8979034423828125E-2</v>
      </c>
      <c r="AA21" s="2">
        <f t="shared" si="2"/>
        <v>-1.6745044838298306E-6</v>
      </c>
      <c r="AB21" s="2">
        <f t="shared" si="4"/>
        <v>-3.5917239710018324E-12</v>
      </c>
      <c r="AC21" s="2">
        <f t="shared" si="5"/>
        <v>9.1996550007923881E-12</v>
      </c>
      <c r="AD21" s="2">
        <f t="shared" si="6"/>
        <v>7.62939453125E-6</v>
      </c>
      <c r="AF21" s="2">
        <v>17</v>
      </c>
      <c r="AG21" s="2">
        <f t="shared" si="13"/>
        <v>2428.3828735351562</v>
      </c>
      <c r="AH21" s="2">
        <v>-0.96855647686129487</v>
      </c>
      <c r="AI21" s="2">
        <f t="shared" si="14"/>
        <v>2428.52783203125</v>
      </c>
      <c r="AJ21" s="2">
        <v>3.0459986221785584E-2</v>
      </c>
      <c r="AK21" s="2">
        <f t="shared" si="9"/>
        <v>2428.4553527832031</v>
      </c>
      <c r="AL21" s="2">
        <v>-0.90611409208872828</v>
      </c>
      <c r="AM21" s="2">
        <f t="shared" si="10"/>
        <v>0.87762267266782956</v>
      </c>
      <c r="AN21" s="2">
        <f t="shared" si="11"/>
        <v>-2.7600222760388416E-2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244.00639114689091</v>
      </c>
      <c r="H22" s="25" t="s">
        <v>101</v>
      </c>
      <c r="J22" s="14" t="s">
        <v>112</v>
      </c>
      <c r="K22" s="6">
        <f>linear_250!K22</f>
        <v>24.791176572839969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5.89752197265625E-2</v>
      </c>
      <c r="W22" s="2">
        <f t="shared" si="0"/>
        <v>2.1449473594642443E-6</v>
      </c>
      <c r="X22" s="2">
        <f t="shared" si="8"/>
        <v>5.8979034423828125E-2</v>
      </c>
      <c r="Y22" s="2">
        <f t="shared" si="1"/>
        <v>-1.6745044838298306E-6</v>
      </c>
      <c r="Z22" s="2">
        <f t="shared" si="3"/>
        <v>5.8977127075195312E-2</v>
      </c>
      <c r="AA22" s="2">
        <f t="shared" si="2"/>
        <v>2.3522147492294199E-7</v>
      </c>
      <c r="AB22" s="2">
        <f t="shared" si="4"/>
        <v>5.0453768152524936E-13</v>
      </c>
      <c r="AC22" s="2">
        <f t="shared" si="5"/>
        <v>-3.9387941445153242E-13</v>
      </c>
      <c r="AD22" s="2">
        <f t="shared" si="6"/>
        <v>3.814697265625E-6</v>
      </c>
      <c r="AF22" s="2">
        <v>18</v>
      </c>
      <c r="AG22" s="2">
        <f t="shared" si="13"/>
        <v>2428.4553527832031</v>
      </c>
      <c r="AH22" s="2">
        <v>-0.96855647686129487</v>
      </c>
      <c r="AI22" s="2">
        <f t="shared" si="14"/>
        <v>2428.52783203125</v>
      </c>
      <c r="AJ22" s="2">
        <v>3.0459986221785584E-2</v>
      </c>
      <c r="AK22" s="2">
        <f t="shared" si="9"/>
        <v>2428.4915924072266</v>
      </c>
      <c r="AL22" s="2">
        <v>-0.93733111618189469</v>
      </c>
      <c r="AM22" s="2">
        <f t="shared" si="10"/>
        <v>0.907858123541601</v>
      </c>
      <c r="AN22" s="2">
        <f t="shared" si="11"/>
        <v>-2.8551092884151415E-2</v>
      </c>
      <c r="AO22" s="2">
        <f t="shared" si="12"/>
        <v>7.2479248046875E-2</v>
      </c>
    </row>
    <row r="23" spans="2:41" x14ac:dyDescent="0.2">
      <c r="J23" s="15" t="s">
        <v>64</v>
      </c>
      <c r="K23" s="6">
        <f>linear_250!K23</f>
        <v>64.413906000758757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17115.554243197745</v>
      </c>
      <c r="P23" s="6" t="s">
        <v>18</v>
      </c>
      <c r="U23" s="2">
        <v>19</v>
      </c>
      <c r="V23" s="2">
        <f t="shared" si="7"/>
        <v>5.8977127075195312E-2</v>
      </c>
      <c r="W23" s="2">
        <f t="shared" si="0"/>
        <v>2.3522147492294199E-7</v>
      </c>
      <c r="X23" s="2">
        <f t="shared" si="8"/>
        <v>5.8979034423828125E-2</v>
      </c>
      <c r="Y23" s="2">
        <f t="shared" si="1"/>
        <v>-1.6745044838298306E-6</v>
      </c>
      <c r="Z23" s="2">
        <f t="shared" si="3"/>
        <v>5.8978080749511719E-2</v>
      </c>
      <c r="AA23" s="2">
        <f t="shared" si="2"/>
        <v>-7.1964149517267373E-7</v>
      </c>
      <c r="AB23" s="2">
        <f t="shared" si="4"/>
        <v>-1.6927513391026756E-13</v>
      </c>
      <c r="AC23" s="2">
        <f t="shared" si="5"/>
        <v>1.2050429104166456E-12</v>
      </c>
      <c r="AD23" s="2">
        <f t="shared" si="6"/>
        <v>1.9073486328125E-6</v>
      </c>
      <c r="AF23" s="2">
        <v>19</v>
      </c>
      <c r="AG23" s="2">
        <f t="shared" si="13"/>
        <v>2428.4915924072266</v>
      </c>
      <c r="AH23" s="2">
        <v>-0.96855647686129487</v>
      </c>
      <c r="AI23" s="2">
        <f t="shared" si="14"/>
        <v>2428.52783203125</v>
      </c>
      <c r="AJ23" s="2">
        <v>3.0459986221785584E-2</v>
      </c>
      <c r="AK23" s="2">
        <f t="shared" si="9"/>
        <v>2428.5097122192383</v>
      </c>
      <c r="AL23" s="2">
        <v>-0.95293958395791378</v>
      </c>
      <c r="AM23" s="2">
        <f t="shared" si="10"/>
        <v>0.92297580609994512</v>
      </c>
      <c r="AN23" s="2">
        <f t="shared" si="11"/>
        <v>-2.902652659755214E-2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>linear_250!K24</f>
        <v>8.8897316737476917</v>
      </c>
      <c r="L24" s="6" t="s">
        <v>7</v>
      </c>
      <c r="N24" s="6" t="s">
        <v>31</v>
      </c>
      <c r="O24" s="18">
        <f>Z34</f>
        <v>5.8977362234145403E-2</v>
      </c>
      <c r="U24" s="2">
        <v>20</v>
      </c>
      <c r="V24" s="2">
        <f t="shared" si="7"/>
        <v>5.8977127075195312E-2</v>
      </c>
      <c r="W24" s="2">
        <f t="shared" si="0"/>
        <v>2.3522147492294199E-7</v>
      </c>
      <c r="X24" s="2">
        <f t="shared" si="8"/>
        <v>5.8978080749511719E-2</v>
      </c>
      <c r="Y24" s="2">
        <f t="shared" si="1"/>
        <v>-7.1964149517267373E-7</v>
      </c>
      <c r="Z24" s="2">
        <f t="shared" si="3"/>
        <v>5.8977603912353516E-2</v>
      </c>
      <c r="AA24" s="2">
        <f t="shared" si="2"/>
        <v>-2.4221000780727531E-7</v>
      </c>
      <c r="AB24" s="2">
        <f t="shared" si="4"/>
        <v>-5.6972995277524592E-14</v>
      </c>
      <c r="AC24" s="2">
        <f t="shared" si="5"/>
        <v>1.7430437216421259E-13</v>
      </c>
      <c r="AD24" s="2">
        <f t="shared" si="6"/>
        <v>9.5367431640625E-7</v>
      </c>
      <c r="AF24" s="2">
        <v>20</v>
      </c>
      <c r="AG24" s="2">
        <f t="shared" si="13"/>
        <v>2428.5097122192383</v>
      </c>
      <c r="AH24" s="2">
        <v>-0.96855647686129487</v>
      </c>
      <c r="AI24" s="2">
        <f t="shared" si="14"/>
        <v>2428.52783203125</v>
      </c>
      <c r="AJ24" s="2">
        <v>3.0459986221785584E-2</v>
      </c>
      <c r="AK24" s="2">
        <f t="shared" si="9"/>
        <v>2428.5187721252441</v>
      </c>
      <c r="AL24" s="2">
        <v>-0.96074380677714544</v>
      </c>
      <c r="AM24" s="2">
        <f t="shared" si="10"/>
        <v>0.93053463665838065</v>
      </c>
      <c r="AN24" s="2">
        <f t="shared" si="11"/>
        <v>-2.9264243117097681E-2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linear_250!K25</f>
        <v>19.228031642017541</v>
      </c>
      <c r="L25" s="6" t="s">
        <v>7</v>
      </c>
      <c r="N25" s="6" t="s">
        <v>32</v>
      </c>
      <c r="O25" s="6">
        <f xml:space="preserve"> O19 * $C$9 * O24 - $C$8 * SIN(O17/180*PI())</f>
        <v>0.77755239567970325</v>
      </c>
      <c r="P25" s="6" t="s">
        <v>10</v>
      </c>
      <c r="U25" s="2">
        <v>21</v>
      </c>
      <c r="V25" s="2">
        <f t="shared" si="7"/>
        <v>5.8977127075195312E-2</v>
      </c>
      <c r="W25" s="2">
        <f t="shared" si="0"/>
        <v>2.3522147492294199E-7</v>
      </c>
      <c r="X25" s="2">
        <f t="shared" si="8"/>
        <v>5.8977603912353516E-2</v>
      </c>
      <c r="Y25" s="2">
        <f t="shared" si="1"/>
        <v>-2.4221000780727531E-7</v>
      </c>
      <c r="Z25" s="2">
        <f t="shared" si="3"/>
        <v>5.8977365493774414E-2</v>
      </c>
      <c r="AA25" s="2">
        <f t="shared" si="2"/>
        <v>-3.4942658627690193E-9</v>
      </c>
      <c r="AB25" s="2">
        <f t="shared" si="4"/>
        <v>-8.2192637001341516E-16</v>
      </c>
      <c r="AC25" s="2">
        <f t="shared" si="5"/>
        <v>8.4634616190197977E-16</v>
      </c>
      <c r="AD25" s="2">
        <f t="shared" si="6"/>
        <v>4.76837158203125E-7</v>
      </c>
      <c r="AF25" s="2">
        <v>21</v>
      </c>
      <c r="AG25" s="2">
        <f t="shared" si="13"/>
        <v>2428.5187721252441</v>
      </c>
      <c r="AH25" s="2">
        <v>-0.96855647686129487</v>
      </c>
      <c r="AI25" s="2">
        <f t="shared" si="14"/>
        <v>2428.52783203125</v>
      </c>
      <c r="AJ25" s="2">
        <v>3.0459986221785584E-2</v>
      </c>
      <c r="AK25" s="2">
        <f t="shared" si="9"/>
        <v>2428.5233020782471</v>
      </c>
      <c r="AL25" s="2">
        <v>-0.96465014274986061</v>
      </c>
      <c r="AM25" s="2">
        <f t="shared" si="10"/>
        <v>0.9343181436655501</v>
      </c>
      <c r="AN25" s="2">
        <f t="shared" si="11"/>
        <v>-2.9383230057004252E-2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linear_250!K26</f>
        <v>55.095217496321837</v>
      </c>
      <c r="L26" s="6" t="s">
        <v>7</v>
      </c>
      <c r="N26" s="6" t="s">
        <v>33</v>
      </c>
      <c r="O26" s="6">
        <f xml:space="preserve"> 1/$C$21 - O23 * SQRT( (2*$C$47*PI()*$C$9^2) / O18^3 )</f>
        <v>0.93704906769601659</v>
      </c>
      <c r="U26" s="2">
        <v>22</v>
      </c>
      <c r="V26" s="2">
        <f t="shared" si="7"/>
        <v>5.8977127075195312E-2</v>
      </c>
      <c r="W26" s="2">
        <f t="shared" si="0"/>
        <v>2.3522147492294199E-7</v>
      </c>
      <c r="X26" s="2">
        <f t="shared" si="8"/>
        <v>5.8977365493774414E-2</v>
      </c>
      <c r="Y26" s="2">
        <f t="shared" si="1"/>
        <v>-3.4942658627690193E-9</v>
      </c>
      <c r="Z26" s="2">
        <f t="shared" si="3"/>
        <v>5.8977246284484863E-2</v>
      </c>
      <c r="AA26" s="2">
        <f t="shared" si="2"/>
        <v>1.1586360467580326E-7</v>
      </c>
      <c r="AB26" s="2">
        <f t="shared" si="4"/>
        <v>2.7253607981731118E-14</v>
      </c>
      <c r="AC26" s="2">
        <f t="shared" si="5"/>
        <v>-4.0485823855602424E-16</v>
      </c>
      <c r="AD26" s="2">
        <f t="shared" si="6"/>
        <v>2.384185791015625E-7</v>
      </c>
      <c r="AF26" s="2">
        <v>22</v>
      </c>
      <c r="AG26" s="2">
        <f t="shared" si="13"/>
        <v>2428.5233020782471</v>
      </c>
      <c r="AH26" s="2">
        <v>-0.96855647686129487</v>
      </c>
      <c r="AI26" s="2">
        <f t="shared" si="14"/>
        <v>2428.52783203125</v>
      </c>
      <c r="AJ26" s="2">
        <v>3.0459986221785584E-2</v>
      </c>
      <c r="AK26" s="2">
        <f t="shared" si="9"/>
        <v>2428.5255670547485</v>
      </c>
      <c r="AL26" s="2">
        <v>-0.96660331003818101</v>
      </c>
      <c r="AM26" s="2">
        <f t="shared" si="10"/>
        <v>0.93620989649304653</v>
      </c>
      <c r="AN26" s="2">
        <f t="shared" si="11"/>
        <v>-2.9442723505695333E-2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1.2758900970766263E-4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5.8977246284484863E-2</v>
      </c>
      <c r="W27" s="2">
        <f t="shared" si="0"/>
        <v>1.1586360467580326E-7</v>
      </c>
      <c r="X27" s="2">
        <f t="shared" si="8"/>
        <v>5.8977365493774414E-2</v>
      </c>
      <c r="Y27" s="2">
        <f t="shared" si="1"/>
        <v>-3.4942658627690193E-9</v>
      </c>
      <c r="Z27" s="2">
        <f t="shared" si="3"/>
        <v>5.8977305889129639E-2</v>
      </c>
      <c r="AA27" s="2">
        <f t="shared" si="2"/>
        <v>5.6184669444681035E-8</v>
      </c>
      <c r="AB27" s="2">
        <f t="shared" si="4"/>
        <v>6.5097583293792057E-15</v>
      </c>
      <c r="AC27" s="2">
        <f t="shared" si="5"/>
        <v>-1.9632417245151054E-16</v>
      </c>
      <c r="AD27" s="2">
        <f t="shared" si="6"/>
        <v>1.1920928955078125E-7</v>
      </c>
      <c r="AF27" s="2">
        <v>23</v>
      </c>
      <c r="AG27" s="2">
        <f t="shared" si="13"/>
        <v>2428.5255670547485</v>
      </c>
      <c r="AH27" s="2">
        <v>-0.96855647686129487</v>
      </c>
      <c r="AI27" s="2">
        <f t="shared" si="14"/>
        <v>2428.52783203125</v>
      </c>
      <c r="AJ27" s="2">
        <v>3.0459986221785584E-2</v>
      </c>
      <c r="AK27" s="2">
        <f t="shared" si="9"/>
        <v>2428.5266995429993</v>
      </c>
      <c r="AL27" s="2">
        <v>-0.96757566618430246</v>
      </c>
      <c r="AM27" s="2">
        <f t="shared" si="10"/>
        <v>0.93715167833618829</v>
      </c>
      <c r="AN27" s="2">
        <f t="shared" si="11"/>
        <v>-2.9472341460508859E-2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5950.7122620599284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1.1500559772540679</v>
      </c>
      <c r="U28" s="2">
        <v>24</v>
      </c>
      <c r="V28" s="2">
        <f t="shared" si="7"/>
        <v>5.8977305889129639E-2</v>
      </c>
      <c r="W28" s="2">
        <f t="shared" si="0"/>
        <v>5.6184669444681035E-8</v>
      </c>
      <c r="X28" s="2">
        <f t="shared" si="8"/>
        <v>5.8977365493774414E-2</v>
      </c>
      <c r="Y28" s="2">
        <f t="shared" si="1"/>
        <v>-3.4942658627690193E-9</v>
      </c>
      <c r="Z28" s="2">
        <f t="shared" si="3"/>
        <v>5.8977335691452026E-2</v>
      </c>
      <c r="AA28" s="2">
        <f t="shared" si="2"/>
        <v>2.6345201797894902E-8</v>
      </c>
      <c r="AB28" s="2">
        <f t="shared" si="4"/>
        <v>1.4801964544681416E-15</v>
      </c>
      <c r="AC28" s="2">
        <f t="shared" si="5"/>
        <v>-9.205713929014515E-17</v>
      </c>
      <c r="AD28" s="2">
        <f t="shared" si="6"/>
        <v>5.9604644775390625E-8</v>
      </c>
      <c r="AF28" s="2">
        <v>24</v>
      </c>
      <c r="AG28" s="2">
        <f t="shared" si="13"/>
        <v>2428.5266995429993</v>
      </c>
      <c r="AH28" s="2">
        <v>-0.96855647686129487</v>
      </c>
      <c r="AI28" s="2">
        <f t="shared" si="14"/>
        <v>2428.52783203125</v>
      </c>
      <c r="AJ28" s="2">
        <v>3.0459986221785584E-2</v>
      </c>
      <c r="AK28" s="2">
        <f t="shared" si="9"/>
        <v>2428.5272657871246</v>
      </c>
      <c r="AL28" s="2">
        <v>-0.96806184421461694</v>
      </c>
      <c r="AM28" s="2">
        <f t="shared" si="10"/>
        <v>0.93762256921635712</v>
      </c>
      <c r="AN28" s="2">
        <f t="shared" si="11"/>
        <v>-2.9487150436613575E-2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56.330280470305212</v>
      </c>
      <c r="H29" t="s">
        <v>18</v>
      </c>
      <c r="U29" s="2">
        <v>25</v>
      </c>
      <c r="V29" s="2">
        <f t="shared" si="7"/>
        <v>5.8977335691452026E-2</v>
      </c>
      <c r="W29" s="2">
        <f t="shared" si="0"/>
        <v>2.6345201797894902E-8</v>
      </c>
      <c r="X29" s="2">
        <f t="shared" si="8"/>
        <v>5.8977365493774414E-2</v>
      </c>
      <c r="Y29" s="2">
        <f t="shared" si="1"/>
        <v>-3.4942658627690193E-9</v>
      </c>
      <c r="Z29" s="2">
        <f t="shared" si="3"/>
        <v>5.897735059261322E-2</v>
      </c>
      <c r="AA29" s="2">
        <f t="shared" si="2"/>
        <v>1.1425467967562941E-8</v>
      </c>
      <c r="AB29" s="2">
        <f t="shared" si="4"/>
        <v>3.0100625924082981E-16</v>
      </c>
      <c r="AC29" s="2">
        <f t="shared" si="5"/>
        <v>-3.9923622685216114E-17</v>
      </c>
      <c r="AD29" s="2">
        <f t="shared" si="6"/>
        <v>2.9802322387695312E-8</v>
      </c>
      <c r="AF29" s="2">
        <v>25</v>
      </c>
      <c r="AG29" s="2">
        <f t="shared" si="13"/>
        <v>2428.5272657871246</v>
      </c>
      <c r="AH29" s="2">
        <v>-0.96855647686129487</v>
      </c>
      <c r="AI29" s="2">
        <f t="shared" si="14"/>
        <v>2428.52783203125</v>
      </c>
      <c r="AJ29" s="2">
        <v>3.0459986221785584E-2</v>
      </c>
      <c r="AK29" s="2">
        <f t="shared" si="9"/>
        <v>2428.5275489091873</v>
      </c>
      <c r="AL29" s="2">
        <v>-0.96830493321999711</v>
      </c>
      <c r="AM29" s="2">
        <f t="shared" si="10"/>
        <v>0.93785801464697183</v>
      </c>
      <c r="AN29" s="2">
        <f t="shared" si="11"/>
        <v>-2.9494554924368123E-2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10.777918208554199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5.897735059261322E-2</v>
      </c>
      <c r="W30" s="2">
        <f t="shared" si="0"/>
        <v>1.1425467967562941E-8</v>
      </c>
      <c r="X30" s="2">
        <f t="shared" si="8"/>
        <v>5.8977365493774414E-2</v>
      </c>
      <c r="Y30" s="2">
        <f t="shared" si="1"/>
        <v>-3.4942658627690193E-9</v>
      </c>
      <c r="Z30" s="2">
        <f t="shared" si="3"/>
        <v>5.8977358043193817E-2</v>
      </c>
      <c r="AA30" s="2">
        <f t="shared" si="2"/>
        <v>3.9656010558664079E-9</v>
      </c>
      <c r="AB30" s="2">
        <f t="shared" si="4"/>
        <v>4.5308847835935419E-17</v>
      </c>
      <c r="AC30" s="2">
        <f t="shared" si="5"/>
        <v>-1.3856864394874767E-17</v>
      </c>
      <c r="AD30" s="2">
        <f t="shared" si="6"/>
        <v>1.4901161193847656E-8</v>
      </c>
      <c r="AF30" s="2">
        <v>26</v>
      </c>
      <c r="AG30" s="2">
        <f t="shared" si="13"/>
        <v>2428.5275489091873</v>
      </c>
      <c r="AH30" s="2">
        <v>-0.96855647686129487</v>
      </c>
      <c r="AI30" s="2">
        <f t="shared" si="14"/>
        <v>2428.52783203125</v>
      </c>
      <c r="AJ30" s="2">
        <v>3.0459986221785584E-2</v>
      </c>
      <c r="AK30" s="2">
        <f t="shared" si="9"/>
        <v>2428.5276904702187</v>
      </c>
      <c r="AL30" s="2">
        <v>-0.96842647772132295</v>
      </c>
      <c r="AM30" s="2">
        <f t="shared" si="10"/>
        <v>0.93797573736095785</v>
      </c>
      <c r="AN30" s="2">
        <f t="shared" si="11"/>
        <v>-2.949825716820384E-2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225.32112188122085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5.8977358043193817E-2</v>
      </c>
      <c r="W31" s="2">
        <f t="shared" si="0"/>
        <v>3.9656010558664079E-9</v>
      </c>
      <c r="X31" s="2">
        <f t="shared" si="8"/>
        <v>5.8977365493774414E-2</v>
      </c>
      <c r="Y31" s="2">
        <f t="shared" si="1"/>
        <v>-3.4942658627690193E-9</v>
      </c>
      <c r="Z31" s="2">
        <f t="shared" si="3"/>
        <v>5.8977361768484116E-2</v>
      </c>
      <c r="AA31" s="2">
        <f t="shared" si="2"/>
        <v>2.3566759654869429E-10</v>
      </c>
      <c r="AB31" s="2">
        <f t="shared" si="4"/>
        <v>9.345636697070007E-19</v>
      </c>
      <c r="AC31" s="2">
        <f t="shared" si="5"/>
        <v>-8.2348523758092441E-19</v>
      </c>
      <c r="AD31" s="2">
        <f t="shared" si="6"/>
        <v>7.4505805969238281E-9</v>
      </c>
      <c r="AF31" s="2">
        <v>27</v>
      </c>
      <c r="AG31" s="2">
        <f t="shared" si="13"/>
        <v>2428.5276904702187</v>
      </c>
      <c r="AH31" s="2">
        <v>-0.96855647686129487</v>
      </c>
      <c r="AI31" s="2">
        <f t="shared" si="14"/>
        <v>2428.52783203125</v>
      </c>
      <c r="AJ31" s="2">
        <v>3.0459986221785584E-2</v>
      </c>
      <c r="AK31" s="2">
        <f t="shared" si="9"/>
        <v>2428.5277612507343</v>
      </c>
      <c r="AL31" s="2">
        <v>-0.96848724997039426</v>
      </c>
      <c r="AM31" s="2">
        <f t="shared" si="10"/>
        <v>0.93803459871640926</v>
      </c>
      <c r="AN31" s="2">
        <f t="shared" si="11"/>
        <v>-2.9500108290073219E-2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736.87</v>
      </c>
      <c r="L32" s="6" t="s">
        <v>7</v>
      </c>
      <c r="U32" s="2">
        <v>28</v>
      </c>
      <c r="V32" s="2">
        <f t="shared" si="7"/>
        <v>5.8977361768484116E-2</v>
      </c>
      <c r="W32" s="2">
        <f t="shared" si="0"/>
        <v>2.3566759654869429E-10</v>
      </c>
      <c r="X32" s="2">
        <f t="shared" si="8"/>
        <v>5.8977365493774414E-2</v>
      </c>
      <c r="Y32" s="2">
        <f t="shared" si="1"/>
        <v>-3.4942658627690193E-9</v>
      </c>
      <c r="Z32" s="2">
        <f t="shared" si="3"/>
        <v>5.8977363631129265E-2</v>
      </c>
      <c r="AA32" s="2">
        <f t="shared" si="2"/>
        <v>-1.6292991331101625E-9</v>
      </c>
      <c r="AB32" s="2">
        <f t="shared" si="4"/>
        <v>-3.8397301075894313E-19</v>
      </c>
      <c r="AC32" s="2">
        <f t="shared" si="5"/>
        <v>5.6932043410659971E-18</v>
      </c>
      <c r="AD32" s="2">
        <f t="shared" si="6"/>
        <v>3.7252902984619141E-9</v>
      </c>
      <c r="AF32" s="2">
        <v>28</v>
      </c>
      <c r="AG32" s="2">
        <f t="shared" si="13"/>
        <v>2428.5277612507343</v>
      </c>
      <c r="AH32" s="2">
        <v>-0.96855647686129487</v>
      </c>
      <c r="AI32" s="2">
        <f t="shared" si="14"/>
        <v>2428.52783203125</v>
      </c>
      <c r="AJ32" s="2">
        <v>3.0459986221785584E-2</v>
      </c>
      <c r="AK32" s="2">
        <f t="shared" si="9"/>
        <v>2428.5277966409922</v>
      </c>
      <c r="AL32" s="2">
        <v>-0.96852186341516244</v>
      </c>
      <c r="AM32" s="2">
        <f t="shared" si="10"/>
        <v>0.93806812379252602</v>
      </c>
      <c r="AN32" s="2">
        <f t="shared" si="11"/>
        <v>-2.9501162615123949E-2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747.7</v>
      </c>
      <c r="L33" s="6" t="s">
        <v>7</v>
      </c>
      <c r="U33" s="2">
        <v>29</v>
      </c>
      <c r="V33" s="2">
        <f t="shared" si="7"/>
        <v>5.8977361768484116E-2</v>
      </c>
      <c r="W33" s="2">
        <f t="shared" si="0"/>
        <v>2.3566759654869429E-10</v>
      </c>
      <c r="X33" s="2">
        <f t="shared" si="8"/>
        <v>5.8977363631129265E-2</v>
      </c>
      <c r="Y33" s="2">
        <f t="shared" si="1"/>
        <v>-1.6292991331101625E-9</v>
      </c>
      <c r="Z33" s="2">
        <f t="shared" si="3"/>
        <v>5.897736269980669E-2</v>
      </c>
      <c r="AA33" s="2">
        <f t="shared" si="2"/>
        <v>-6.9681577175018106E-10</v>
      </c>
      <c r="AB33" s="2">
        <f t="shared" si="4"/>
        <v>-1.6421689816558872E-19</v>
      </c>
      <c r="AC33" s="2">
        <f t="shared" si="5"/>
        <v>1.1353213328500589E-18</v>
      </c>
      <c r="AD33" s="2">
        <f t="shared" si="6"/>
        <v>1.862645149230957E-9</v>
      </c>
      <c r="AF33" s="2">
        <v>29</v>
      </c>
      <c r="AG33" s="2">
        <f t="shared" si="13"/>
        <v>2428.5277966409922</v>
      </c>
      <c r="AH33" s="2">
        <v>-0.96855647686129487</v>
      </c>
      <c r="AI33" s="2">
        <f t="shared" si="14"/>
        <v>2428.52783203125</v>
      </c>
      <c r="AJ33" s="2">
        <v>3.0459986221785584E-2</v>
      </c>
      <c r="AK33" s="2">
        <f t="shared" si="9"/>
        <v>2428.5278143361211</v>
      </c>
      <c r="AL33" s="2">
        <v>-0.96853494281754138</v>
      </c>
      <c r="AM33" s="2">
        <f t="shared" si="10"/>
        <v>0.93808079193241356</v>
      </c>
      <c r="AN33" s="2">
        <f t="shared" si="11"/>
        <v>-2.9501561013540199E-2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196.29</v>
      </c>
      <c r="L34" s="6" t="s">
        <v>7</v>
      </c>
      <c r="U34" s="2">
        <v>30</v>
      </c>
      <c r="V34" s="2">
        <f t="shared" si="7"/>
        <v>5.8977361768484116E-2</v>
      </c>
      <c r="W34" s="2">
        <f t="shared" si="0"/>
        <v>2.3566759654869429E-10</v>
      </c>
      <c r="X34" s="2">
        <f t="shared" si="8"/>
        <v>5.897736269980669E-2</v>
      </c>
      <c r="Y34" s="2">
        <f t="shared" si="1"/>
        <v>-6.9681577175018106E-10</v>
      </c>
      <c r="Z34" s="2">
        <f t="shared" si="3"/>
        <v>5.8977362234145403E-2</v>
      </c>
      <c r="AA34" s="2">
        <f t="shared" si="2"/>
        <v>-2.3057408760074338E-10</v>
      </c>
      <c r="AB34" s="2">
        <f t="shared" si="4"/>
        <v>-5.4338841051275286E-20</v>
      </c>
      <c r="AC34" s="2">
        <f t="shared" si="5"/>
        <v>1.6066766079710585E-19</v>
      </c>
      <c r="AD34" s="2">
        <f>X34-V34</f>
        <v>9.3132257461547852E-10</v>
      </c>
      <c r="AF34" s="2">
        <v>30</v>
      </c>
      <c r="AG34" s="2">
        <f t="shared" si="13"/>
        <v>2428.5278143361211</v>
      </c>
      <c r="AH34" s="2">
        <v>-0.96855647686129487</v>
      </c>
      <c r="AI34" s="2">
        <f t="shared" si="14"/>
        <v>2428.52783203125</v>
      </c>
      <c r="AJ34" s="2">
        <v>3.0459986221785584E-2</v>
      </c>
      <c r="AK34" s="2">
        <f t="shared" si="9"/>
        <v>2428.5278231836855</v>
      </c>
      <c r="AL34" s="2">
        <v>-0.9685414825173666</v>
      </c>
      <c r="AM34" s="2">
        <f t="shared" si="10"/>
        <v>0.93808712600103605</v>
      </c>
      <c r="AN34" s="2">
        <f t="shared" si="11"/>
        <v>-2.9501760212706771E-2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244.00639114689091</v>
      </c>
      <c r="H35" s="25" t="s">
        <v>101</v>
      </c>
      <c r="J35" s="15" t="s">
        <v>70</v>
      </c>
      <c r="K35" s="6">
        <f>ROUND(SUM(K23:K26),2)</f>
        <v>147.63</v>
      </c>
      <c r="L35" s="6" t="s">
        <v>7</v>
      </c>
      <c r="AF35" s="2">
        <v>31</v>
      </c>
      <c r="AG35" s="2">
        <f t="shared" si="13"/>
        <v>2428.5278231836855</v>
      </c>
      <c r="AH35" s="2">
        <v>-0.96855647686129487</v>
      </c>
      <c r="AI35" s="2">
        <f t="shared" si="14"/>
        <v>2428.52783203125</v>
      </c>
      <c r="AJ35" s="2">
        <v>3.0459986221785584E-2</v>
      </c>
      <c r="AK35" s="2">
        <f t="shared" si="9"/>
        <v>2428.5278276074678</v>
      </c>
      <c r="AL35" s="2">
        <v>-0.96854475236909821</v>
      </c>
      <c r="AM35" s="2">
        <f t="shared" si="10"/>
        <v>0.938090293037109</v>
      </c>
      <c r="AN35" s="2">
        <f t="shared" si="11"/>
        <v>-2.9501859812345464E-2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2428.4899999999998</v>
      </c>
      <c r="L36" s="6" t="s">
        <v>7</v>
      </c>
      <c r="AF36" s="2">
        <v>32</v>
      </c>
      <c r="AG36" s="2">
        <f t="shared" si="13"/>
        <v>2428.5278276074678</v>
      </c>
      <c r="AH36" s="2">
        <v>-0.96855647686129487</v>
      </c>
      <c r="AI36" s="2">
        <f t="shared" si="14"/>
        <v>2428.52783203125</v>
      </c>
      <c r="AJ36" s="2">
        <v>3.0459986221785584E-2</v>
      </c>
      <c r="AK36" s="2">
        <f t="shared" si="9"/>
        <v>2428.5278298193589</v>
      </c>
      <c r="AL36" s="2">
        <v>-0.96854638729405451</v>
      </c>
      <c r="AM36" s="2">
        <f t="shared" si="10"/>
        <v>0.93809187655426463</v>
      </c>
      <c r="AN36" s="2">
        <f t="shared" si="11"/>
        <v>-2.9501909612137105E-2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2428.5278298193589</v>
      </c>
      <c r="AH37" s="2">
        <v>-0.96855647686129487</v>
      </c>
      <c r="AI37" s="2">
        <f t="shared" si="14"/>
        <v>2428.52783203125</v>
      </c>
      <c r="AJ37" s="2">
        <v>3.0459986221785584E-2</v>
      </c>
      <c r="AK37" s="2">
        <f t="shared" si="9"/>
        <v>2428.5278309253044</v>
      </c>
      <c r="AL37" s="2">
        <v>-0.96855565939790722</v>
      </c>
      <c r="AM37" s="2">
        <f t="shared" si="10"/>
        <v>0.93810085711050528</v>
      </c>
      <c r="AN37" s="2">
        <f t="shared" si="11"/>
        <v>-2.9502192040292707E-2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2428.5278309253044</v>
      </c>
      <c r="AH38" s="2">
        <v>-0.96855647686129487</v>
      </c>
      <c r="AI38" s="2">
        <f t="shared" si="14"/>
        <v>2428.52783203125</v>
      </c>
      <c r="AJ38" s="2">
        <v>3.0459986221785584E-2</v>
      </c>
      <c r="AK38" s="2">
        <f t="shared" si="9"/>
        <v>2428.5278314782772</v>
      </c>
      <c r="AL38" s="2">
        <v>-0.96855606812891892</v>
      </c>
      <c r="AM38" s="2">
        <f t="shared" si="10"/>
        <v>0.93810125298957403</v>
      </c>
      <c r="AN38" s="2">
        <f t="shared" si="11"/>
        <v>-2.9502204490233691E-2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24.71</v>
      </c>
      <c r="L39" s="6" t="s">
        <v>58</v>
      </c>
      <c r="AF39" s="2">
        <v>35</v>
      </c>
      <c r="AG39" s="2">
        <f t="shared" si="13"/>
        <v>2428.5278314782772</v>
      </c>
      <c r="AH39" s="2">
        <v>-0.96855647686129487</v>
      </c>
      <c r="AI39" s="2">
        <f t="shared" si="14"/>
        <v>2428.52783203125</v>
      </c>
      <c r="AJ39" s="2">
        <v>3.0459986221785584E-2</v>
      </c>
      <c r="AK39" s="2">
        <f t="shared" si="9"/>
        <v>2428.5278317547636</v>
      </c>
      <c r="AL39" s="2">
        <v>-0.96855627249465215</v>
      </c>
      <c r="AM39" s="2">
        <f t="shared" si="10"/>
        <v>0.93810145092932851</v>
      </c>
      <c r="AN39" s="2">
        <f t="shared" si="11"/>
        <v>-2.950221071521111E-2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30.34</v>
      </c>
      <c r="L40" s="6" t="s">
        <v>58</v>
      </c>
      <c r="AF40" s="2">
        <v>36</v>
      </c>
      <c r="AG40" s="2">
        <f t="shared" si="13"/>
        <v>2428.5278317547636</v>
      </c>
      <c r="AH40" s="2">
        <v>-0.96855647686129487</v>
      </c>
      <c r="AI40" s="2">
        <f t="shared" si="14"/>
        <v>2428.52783203125</v>
      </c>
      <c r="AJ40" s="2">
        <v>3.0459986221785584E-2</v>
      </c>
      <c r="AK40" s="2">
        <f t="shared" si="9"/>
        <v>2428.5278318930068</v>
      </c>
      <c r="AL40" s="2">
        <v>-0.96855637467774613</v>
      </c>
      <c r="AM40" s="2">
        <f t="shared" si="10"/>
        <v>0.93810154989942607</v>
      </c>
      <c r="AN40" s="2">
        <f t="shared" si="11"/>
        <v>-2.9502213827706743E-2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30.79</v>
      </c>
      <c r="L41" s="6" t="s">
        <v>58</v>
      </c>
      <c r="AF41" s="2">
        <v>37</v>
      </c>
      <c r="AG41" s="2">
        <f t="shared" si="13"/>
        <v>2428.5278318930068</v>
      </c>
      <c r="AH41" s="2">
        <v>-0.96855647686129487</v>
      </c>
      <c r="AI41" s="2">
        <f t="shared" si="14"/>
        <v>2428.52783203125</v>
      </c>
      <c r="AJ41" s="2">
        <v>3.0459986221785584E-2</v>
      </c>
      <c r="AK41" s="2">
        <f t="shared" si="9"/>
        <v>2428.5278319621284</v>
      </c>
      <c r="AL41" s="2">
        <v>-0.96855642576861101</v>
      </c>
      <c r="AM41" s="2">
        <f t="shared" si="10"/>
        <v>0.9381015993838141</v>
      </c>
      <c r="AN41" s="2">
        <f t="shared" si="11"/>
        <v>-2.9502215383933782E-2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8.08</v>
      </c>
      <c r="L42" s="6" t="s">
        <v>58</v>
      </c>
      <c r="AF42" s="2">
        <v>38</v>
      </c>
      <c r="AG42" s="2">
        <f t="shared" si="13"/>
        <v>2428.5278319621284</v>
      </c>
      <c r="AH42" s="2">
        <v>-0.96855647686129487</v>
      </c>
      <c r="AI42" s="2">
        <f t="shared" si="14"/>
        <v>2428.52783203125</v>
      </c>
      <c r="AJ42" s="2">
        <v>3.0459986221785584E-2</v>
      </c>
      <c r="AK42" s="2">
        <f t="shared" si="9"/>
        <v>2428.5278319966892</v>
      </c>
      <c r="AL42" s="2">
        <v>-0.96855645131540768</v>
      </c>
      <c r="AM42" s="2">
        <f t="shared" si="10"/>
        <v>0.93810162412732956</v>
      </c>
      <c r="AN42" s="2">
        <f t="shared" si="11"/>
        <v>-2.9502216162088857E-2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6.08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2428.5278319966892</v>
      </c>
      <c r="AH43" s="2">
        <v>-0.96855647686129487</v>
      </c>
      <c r="AI43" s="2">
        <f t="shared" si="14"/>
        <v>2428.52783203125</v>
      </c>
      <c r="AJ43" s="2">
        <v>3.0459986221785584E-2</v>
      </c>
      <c r="AK43" s="2">
        <f t="shared" si="9"/>
        <v>2428.5278320139696</v>
      </c>
      <c r="AL43" s="2">
        <v>-0.96855646408744178</v>
      </c>
      <c r="AM43" s="2">
        <f t="shared" si="10"/>
        <v>0.9381016364977659</v>
      </c>
      <c r="AN43" s="2">
        <f t="shared" si="11"/>
        <v>-2.9502216551124841E-2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2428.5278320139696</v>
      </c>
      <c r="AH44" s="2">
        <v>-0.96855647686129487</v>
      </c>
      <c r="AI44" s="2">
        <f t="shared" si="14"/>
        <v>2428.52783203125</v>
      </c>
      <c r="AJ44" s="2">
        <v>3.0459986221785584E-2</v>
      </c>
      <c r="AK44" s="5">
        <f>(AG44+AI44)/2</f>
        <v>2428.5278320226098</v>
      </c>
      <c r="AL44" s="2">
        <v>-0.96855647047436833</v>
      </c>
      <c r="AM44" s="2">
        <f t="shared" si="10"/>
        <v>0.93810164268386498</v>
      </c>
      <c r="AN44" s="2">
        <f t="shared" si="11"/>
        <v>-2.9502216745670537E-2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2142.2568803123768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24.71</v>
      </c>
      <c r="L47" s="6" t="s">
        <v>58</v>
      </c>
      <c r="N47" s="6" t="s">
        <v>154</v>
      </c>
      <c r="O47" s="6">
        <f>0.377*O46^0.6945</f>
        <v>77.558899675487012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30.34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44.95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B1:D1"/>
    <mergeCell ref="B3:D3"/>
    <mergeCell ref="F3:H3"/>
    <mergeCell ref="J3:L3"/>
    <mergeCell ref="N3:P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354.89850885112656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6.2354073024886665E-2</v>
      </c>
      <c r="X4" s="3">
        <v>1</v>
      </c>
      <c r="Y4" s="2">
        <f t="shared" ref="Y4:Y34" si="1" xml:space="preserve"> $O$20 * TAN($O$17/180*PI()) + $O$21 / (2 * SQRT($O$20^2 + X4^2)) - X4</f>
        <v>-0.94067582442911402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-0.43917567629874787</v>
      </c>
      <c r="AB4" s="2">
        <f>W4*AA4</f>
        <v>-2.7384392190686113E-2</v>
      </c>
      <c r="AC4" s="2">
        <f>Y4*AA4</f>
        <v>0.41312194137153835</v>
      </c>
      <c r="AD4" s="2">
        <f>X4-V4</f>
        <v>1</v>
      </c>
      <c r="AF4" s="2">
        <v>0</v>
      </c>
      <c r="AG4" s="2"/>
      <c r="AH4" s="2">
        <f>K27</f>
        <v>5.9030241484379076E-3</v>
      </c>
      <c r="AI4" s="2"/>
      <c r="AJ4" s="2">
        <f>K27</f>
        <v>5.9030241484379076E-3</v>
      </c>
      <c r="AK4" s="2"/>
      <c r="AL4" s="2">
        <f>K27</f>
        <v>5.9030241484379076E-3</v>
      </c>
      <c r="AM4" s="2"/>
      <c r="AN4" s="2"/>
      <c r="AO4" s="2"/>
    </row>
    <row r="5" spans="2:41" x14ac:dyDescent="0.2">
      <c r="B5" s="10" t="s">
        <v>37</v>
      </c>
      <c r="C5" s="10">
        <v>2205.45839212079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88.724627212781641</v>
      </c>
      <c r="L5" s="6" t="s">
        <v>101</v>
      </c>
      <c r="N5" s="6" t="s">
        <v>114</v>
      </c>
      <c r="O5" s="6">
        <f xml:space="preserve"> $C$18 * 0.85 * ($C$5/$C$18 *2.20462/1000)^(2/3) * 0.3048^2</f>
        <v>0.35976915214856897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6.2354073024886665E-2</v>
      </c>
      <c r="X5" s="2">
        <f>IF(AC4&gt;0, Z4, X4)</f>
        <v>0.5</v>
      </c>
      <c r="Y5" s="2">
        <f t="shared" si="1"/>
        <v>-0.43917567629874787</v>
      </c>
      <c r="Z5" s="2">
        <f t="shared" ref="Z5:Z34" si="3" xml:space="preserve"> (V5 + X5)/2</f>
        <v>0.25</v>
      </c>
      <c r="AA5" s="2">
        <f t="shared" si="2"/>
        <v>-0.18817560352524199</v>
      </c>
      <c r="AB5" s="2">
        <f t="shared" ref="AB5:AB34" si="4">W5*AA5</f>
        <v>-1.173351532371506E-2</v>
      </c>
      <c r="AC5" s="2">
        <f t="shared" ref="AC5:AC34" si="5">Y5*AA5</f>
        <v>8.2642147941123192E-2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-1553.5053462477133</v>
      </c>
      <c r="AI5" s="3">
        <v>10000</v>
      </c>
      <c r="AJ5" s="2">
        <f t="dataTable" ref="AJ5:AJ44" dt2D="0" dtr="0" r1="C5" ca="1"/>
        <v>6441.5417759088687</v>
      </c>
      <c r="AK5" s="2">
        <f>(AG5+AI5)/2</f>
        <v>5250</v>
      </c>
      <c r="AL5" s="2">
        <f t="dataTable" ref="AL5:AL44" dt2D="0" dtr="0" r1="C5" ca="1"/>
        <v>2660.7708376428445</v>
      </c>
      <c r="AM5" s="2">
        <f>AH5*AL5</f>
        <v>-4133521.7214181651</v>
      </c>
      <c r="AN5" s="2">
        <f>AJ5*AL5</f>
        <v>17139466.506796416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6.2354073024886665E-2</v>
      </c>
      <c r="X6" s="2">
        <f t="shared" ref="X6:X34" si="8">IF(AC5&gt;0, Z5, X5)</f>
        <v>0.25</v>
      </c>
      <c r="Y6" s="2">
        <f t="shared" si="1"/>
        <v>-0.18817560352524199</v>
      </c>
      <c r="Z6" s="2">
        <f t="shared" si="3"/>
        <v>0.125</v>
      </c>
      <c r="AA6" s="2">
        <f t="shared" si="2"/>
        <v>-6.2793156211526424E-2</v>
      </c>
      <c r="AB6" s="2">
        <f t="shared" si="4"/>
        <v>-3.915409047876634E-3</v>
      </c>
      <c r="AC6" s="2">
        <f t="shared" si="5"/>
        <v>1.1816140067358783E-2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-1553.5053462477133</v>
      </c>
      <c r="AI6" s="2">
        <f>IF(AN5&gt;0, AK5, AI5)</f>
        <v>5250</v>
      </c>
      <c r="AJ6" s="2">
        <v>2660.7708376428445</v>
      </c>
      <c r="AK6" s="2">
        <f t="shared" ref="AK6:AK43" si="9">(AG6+AI6)/2</f>
        <v>2875</v>
      </c>
      <c r="AL6" s="2">
        <v>600.8279264283849</v>
      </c>
      <c r="AM6" s="2">
        <f t="shared" ref="AM6:AM44" si="10">AH6*AL6</f>
        <v>-933389.39588142373</v>
      </c>
      <c r="AN6" s="2">
        <f t="shared" ref="AN6:AN44" si="11">AJ6*AL6</f>
        <v>1598665.425082067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275.17958978683703</v>
      </c>
      <c r="D7" s="6" t="s">
        <v>125</v>
      </c>
      <c r="F7" t="s">
        <v>121</v>
      </c>
      <c r="G7" s="8">
        <f>$C$6*2*PI()/60*$C$9</f>
        <v>178.06688397294508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0.99004577548366501</v>
      </c>
      <c r="P7" s="6" t="s">
        <v>115</v>
      </c>
      <c r="U7" s="2">
        <v>3</v>
      </c>
      <c r="V7" s="2">
        <f t="shared" si="7"/>
        <v>0</v>
      </c>
      <c r="W7" s="2">
        <f t="shared" si="0"/>
        <v>6.2354073024886665E-2</v>
      </c>
      <c r="X7" s="2">
        <f t="shared" si="8"/>
        <v>0.125</v>
      </c>
      <c r="Y7" s="2">
        <f t="shared" si="1"/>
        <v>-6.2793156211526424E-2</v>
      </c>
      <c r="Z7" s="2">
        <f t="shared" si="3"/>
        <v>6.25E-2</v>
      </c>
      <c r="AA7" s="2">
        <f t="shared" si="2"/>
        <v>-1.838091306783779E-4</v>
      </c>
      <c r="AB7" s="2">
        <f t="shared" si="4"/>
        <v>-1.146124795696051E-5</v>
      </c>
      <c r="AC7" s="2">
        <f t="shared" si="5"/>
        <v>1.1541955455792257E-5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-1553.5053462477133</v>
      </c>
      <c r="AI7" s="2">
        <f t="shared" ref="AI7:AI44" si="14">IF(AN6&gt;0, AK6, AI6)</f>
        <v>2875</v>
      </c>
      <c r="AJ7" s="2">
        <v>600.8279264283849</v>
      </c>
      <c r="AK7" s="2">
        <f t="shared" si="9"/>
        <v>1687.5</v>
      </c>
      <c r="AL7" s="2">
        <v>-469.62523260942748</v>
      </c>
      <c r="AM7" s="2">
        <f t="shared" si="10"/>
        <v>729565.30959157157</v>
      </c>
      <c r="AN7" s="2">
        <f t="shared" si="11"/>
        <v>-282163.95470717025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0.53326699007988876</v>
      </c>
      <c r="H8" s="6" t="s">
        <v>122</v>
      </c>
      <c r="J8" s="6" t="s">
        <v>96</v>
      </c>
      <c r="K8" s="6">
        <f xml:space="preserve"> $C$15 * (G12*G6 + G22*G15 + G31*G27 +G35*G34)/3600</f>
        <v>192.17335966044831</v>
      </c>
      <c r="L8" s="6" t="s">
        <v>102</v>
      </c>
      <c r="N8" s="6" t="s">
        <v>38</v>
      </c>
      <c r="O8" s="6">
        <f xml:space="preserve"> O4 *O7</f>
        <v>2244.8929419896299</v>
      </c>
      <c r="P8" s="6" t="s">
        <v>20</v>
      </c>
      <c r="U8" s="2">
        <v>4</v>
      </c>
      <c r="V8" s="2">
        <f t="shared" si="7"/>
        <v>0</v>
      </c>
      <c r="W8" s="2">
        <f t="shared" si="0"/>
        <v>6.2354073024886665E-2</v>
      </c>
      <c r="X8" s="2">
        <f t="shared" si="8"/>
        <v>6.25E-2</v>
      </c>
      <c r="Y8" s="2">
        <f t="shared" si="1"/>
        <v>-1.838091306783779E-4</v>
      </c>
      <c r="Z8" s="2">
        <f t="shared" si="3"/>
        <v>3.125E-2</v>
      </c>
      <c r="AA8" s="2">
        <f t="shared" si="2"/>
        <v>3.1094532557134298E-2</v>
      </c>
      <c r="AB8" s="2">
        <f t="shared" si="4"/>
        <v>1.9388707537422679E-3</v>
      </c>
      <c r="AC8" s="2">
        <f t="shared" si="5"/>
        <v>-5.7154589981773741E-6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-469.62523260942748</v>
      </c>
      <c r="AI8" s="2">
        <f t="shared" si="14"/>
        <v>2875</v>
      </c>
      <c r="AJ8" s="2">
        <v>600.8279264283849</v>
      </c>
      <c r="AK8" s="2">
        <f t="shared" si="9"/>
        <v>2281.25</v>
      </c>
      <c r="AL8" s="2">
        <v>68.384778005895214</v>
      </c>
      <c r="AM8" s="2">
        <f t="shared" si="10"/>
        <v>-32115.217277962602</v>
      </c>
      <c r="AN8" s="2">
        <f t="shared" si="11"/>
        <v>41087.484368547441</v>
      </c>
      <c r="AO8" s="2">
        <f t="shared" si="12"/>
        <v>1187.5</v>
      </c>
    </row>
    <row r="9" spans="2:41" x14ac:dyDescent="0.2">
      <c r="B9" s="6" t="s">
        <v>95</v>
      </c>
      <c r="C9" s="17">
        <v>4.2510337177897801</v>
      </c>
      <c r="D9" s="6" t="s">
        <v>8</v>
      </c>
      <c r="F9" t="s">
        <v>19</v>
      </c>
      <c r="G9" s="6">
        <f xml:space="preserve"> $C$5 * $C$44 / $C$18</f>
        <v>5404.1952513946653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2244.8929419896299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3.1094532557134298E-2</v>
      </c>
      <c r="X9" s="2">
        <f t="shared" si="8"/>
        <v>6.25E-2</v>
      </c>
      <c r="Y9" s="2">
        <f t="shared" si="1"/>
        <v>-1.838091306783779E-4</v>
      </c>
      <c r="Z9" s="2">
        <f t="shared" si="3"/>
        <v>4.6875E-2</v>
      </c>
      <c r="AA9" s="2">
        <f t="shared" si="2"/>
        <v>1.5457672843463596E-2</v>
      </c>
      <c r="AB9" s="2">
        <f t="shared" si="4"/>
        <v>4.8064911148860951E-4</v>
      </c>
      <c r="AC9" s="2">
        <f t="shared" si="5"/>
        <v>-2.8412614076678136E-6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-469.62523260942748</v>
      </c>
      <c r="AI9" s="2">
        <f t="shared" si="14"/>
        <v>2281.25</v>
      </c>
      <c r="AJ9" s="2">
        <v>68.384778005895214</v>
      </c>
      <c r="AK9" s="2">
        <f t="shared" si="9"/>
        <v>1984.375</v>
      </c>
      <c r="AL9" s="2">
        <v>-199.96359455006473</v>
      </c>
      <c r="AM9" s="2">
        <f t="shared" si="10"/>
        <v>93907.949603991394</v>
      </c>
      <c r="AN9" s="2">
        <f t="shared" si="11"/>
        <v>-13674.466022567014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58.753716635384386</v>
      </c>
      <c r="H10" s="6" t="s">
        <v>101</v>
      </c>
      <c r="N10" s="6" t="s">
        <v>113</v>
      </c>
      <c r="O10" s="6">
        <f>O7/(0.3048^2)/($C$5*2.20462/1000)^(2/3)</f>
        <v>3.7131025317114279</v>
      </c>
      <c r="U10" s="2">
        <v>6</v>
      </c>
      <c r="V10" s="2">
        <f t="shared" si="7"/>
        <v>4.6875E-2</v>
      </c>
      <c r="W10" s="2">
        <f t="shared" si="0"/>
        <v>1.5457672843463596E-2</v>
      </c>
      <c r="X10" s="2">
        <f t="shared" si="8"/>
        <v>6.25E-2</v>
      </c>
      <c r="Y10" s="2">
        <f t="shared" si="1"/>
        <v>-1.838091306783779E-4</v>
      </c>
      <c r="Z10" s="2">
        <f t="shared" si="3"/>
        <v>5.46875E-2</v>
      </c>
      <c r="AA10" s="2">
        <f t="shared" si="2"/>
        <v>7.6375029507863082E-3</v>
      </c>
      <c r="AB10" s="2">
        <f t="shared" si="4"/>
        <v>1.180580219542426E-4</v>
      </c>
      <c r="AC10" s="2">
        <f t="shared" si="5"/>
        <v>-1.4038427779375772E-6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-199.96359455006473</v>
      </c>
      <c r="AI10" s="2">
        <f t="shared" si="14"/>
        <v>2281.25</v>
      </c>
      <c r="AJ10" s="2">
        <v>68.384778005895214</v>
      </c>
      <c r="AK10" s="2">
        <f t="shared" si="9"/>
        <v>2132.8125</v>
      </c>
      <c r="AL10" s="2">
        <v>-65.619315032013901</v>
      </c>
      <c r="AM10" s="2">
        <f t="shared" si="10"/>
        <v>13121.474105714595</v>
      </c>
      <c r="AN10" s="2">
        <f t="shared" si="11"/>
        <v>-4487.3622913631734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9.3843356574678136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5.46875E-2</v>
      </c>
      <c r="W11" s="2">
        <f t="shared" si="0"/>
        <v>7.6375029507863082E-3</v>
      </c>
      <c r="X11" s="2">
        <f t="shared" si="8"/>
        <v>6.25E-2</v>
      </c>
      <c r="Y11" s="2">
        <f t="shared" si="1"/>
        <v>-1.838091306783779E-4</v>
      </c>
      <c r="Z11" s="2">
        <f t="shared" si="3"/>
        <v>5.859375E-2</v>
      </c>
      <c r="AA11" s="2">
        <f t="shared" si="2"/>
        <v>3.7269887392814421E-3</v>
      </c>
      <c r="AB11" s="2">
        <f t="shared" si="4"/>
        <v>2.8464887493809356E-5</v>
      </c>
      <c r="AC11" s="2">
        <f t="shared" si="5"/>
        <v>-6.850545602154255E-7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-65.619315032013901</v>
      </c>
      <c r="AI11" s="2">
        <f t="shared" si="14"/>
        <v>2281.25</v>
      </c>
      <c r="AJ11" s="2">
        <v>68.384778005895214</v>
      </c>
      <c r="AK11" s="2">
        <f t="shared" si="9"/>
        <v>2207.03125</v>
      </c>
      <c r="AL11" s="2">
        <v>1.4258426159956343</v>
      </c>
      <c r="AM11" s="2">
        <f t="shared" si="10"/>
        <v>-93.562815805088348</v>
      </c>
      <c r="AN11" s="2">
        <f t="shared" si="11"/>
        <v>97.505930766206347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235.01486654153754</v>
      </c>
      <c r="H12" s="25" t="s">
        <v>101</v>
      </c>
      <c r="J12" s="10" t="s">
        <v>79</v>
      </c>
      <c r="K12" s="6">
        <f>C5</f>
        <v>2205.45839212079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5.859375E-2</v>
      </c>
      <c r="W12" s="2">
        <f t="shared" si="0"/>
        <v>3.7269887392814421E-3</v>
      </c>
      <c r="X12" s="2">
        <f t="shared" si="8"/>
        <v>6.25E-2</v>
      </c>
      <c r="Y12" s="2">
        <f t="shared" si="1"/>
        <v>-1.838091306783779E-4</v>
      </c>
      <c r="Z12" s="2">
        <f t="shared" si="3"/>
        <v>6.0546875E-2</v>
      </c>
      <c r="AA12" s="2">
        <f t="shared" si="2"/>
        <v>1.7716251369717037E-3</v>
      </c>
      <c r="AB12" s="2">
        <f t="shared" si="4"/>
        <v>6.602826935721482E-6</v>
      </c>
      <c r="AC12" s="2">
        <f t="shared" si="5"/>
        <v>-3.2564087631473102E-7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-65.619315032013901</v>
      </c>
      <c r="AI12" s="2">
        <f t="shared" si="14"/>
        <v>2207.03125</v>
      </c>
      <c r="AJ12" s="2">
        <v>1.4258426159956343</v>
      </c>
      <c r="AK12" s="2">
        <f t="shared" si="9"/>
        <v>2169.921875</v>
      </c>
      <c r="AL12" s="2">
        <v>-32.086027962941216</v>
      </c>
      <c r="AM12" s="2">
        <f t="shared" si="10"/>
        <v>2105.4631770262467</v>
      </c>
      <c r="AN12" s="2">
        <f t="shared" si="11"/>
        <v>-45.749626047589175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513.83251246109171</v>
      </c>
      <c r="L13" s="6" t="s">
        <v>7</v>
      </c>
      <c r="N13" s="6" t="s">
        <v>74</v>
      </c>
      <c r="O13" s="6">
        <f xml:space="preserve"> SQRT( ($C$5*$C$50)^2 + O9^2)</f>
        <v>21730.977349024943</v>
      </c>
      <c r="P13" s="6" t="s">
        <v>20</v>
      </c>
      <c r="U13" s="2">
        <v>9</v>
      </c>
      <c r="V13" s="2">
        <f t="shared" si="7"/>
        <v>6.0546875E-2</v>
      </c>
      <c r="W13" s="2">
        <f t="shared" si="0"/>
        <v>1.7716251369717037E-3</v>
      </c>
      <c r="X13" s="2">
        <f t="shared" si="8"/>
        <v>6.25E-2</v>
      </c>
      <c r="Y13" s="2">
        <f t="shared" si="1"/>
        <v>-1.838091306783779E-4</v>
      </c>
      <c r="Z13" s="2">
        <f t="shared" si="3"/>
        <v>6.15234375E-2</v>
      </c>
      <c r="AA13" s="2">
        <f t="shared" si="2"/>
        <v>7.9391682032885907E-4</v>
      </c>
      <c r="AB13" s="2">
        <f t="shared" si="4"/>
        <v>1.4065229955592544E-6</v>
      </c>
      <c r="AC13" s="2">
        <f t="shared" si="5"/>
        <v>-1.4592916057558952E-7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-32.086027962941216</v>
      </c>
      <c r="AI13" s="2">
        <f t="shared" si="14"/>
        <v>2207.03125</v>
      </c>
      <c r="AJ13" s="2">
        <v>1.4258426159956343</v>
      </c>
      <c r="AK13" s="2">
        <f t="shared" si="9"/>
        <v>2188.4765625</v>
      </c>
      <c r="AL13" s="2">
        <v>-15.327403445829759</v>
      </c>
      <c r="AM13" s="2">
        <f t="shared" si="10"/>
        <v>491.79549556217523</v>
      </c>
      <c r="AN13" s="2">
        <f t="shared" si="11"/>
        <v>-21.854465025622403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>linear_250!K14</f>
        <v>218.37262530800768</v>
      </c>
      <c r="L14" s="6" t="s">
        <v>7</v>
      </c>
      <c r="N14" s="6" t="s">
        <v>75</v>
      </c>
      <c r="O14" s="6">
        <f>$C$5*$C$50/O13</f>
        <v>0.9946498484709928</v>
      </c>
      <c r="U14" s="2">
        <v>10</v>
      </c>
      <c r="V14" s="2">
        <f t="shared" si="7"/>
        <v>6.15234375E-2</v>
      </c>
      <c r="W14" s="2">
        <f t="shared" si="0"/>
        <v>7.9391682032885907E-4</v>
      </c>
      <c r="X14" s="2">
        <f t="shared" si="8"/>
        <v>6.25E-2</v>
      </c>
      <c r="Y14" s="2">
        <f t="shared" si="1"/>
        <v>-1.838091306783779E-4</v>
      </c>
      <c r="Z14" s="2">
        <f t="shared" si="3"/>
        <v>6.201171875E-2</v>
      </c>
      <c r="AA14" s="2">
        <f t="shared" si="2"/>
        <v>3.0505604709745587E-4</v>
      </c>
      <c r="AB14" s="2">
        <f t="shared" si="4"/>
        <v>2.4218912693370282E-7</v>
      </c>
      <c r="AC14" s="2">
        <f t="shared" si="5"/>
        <v>-5.6072086825165668E-8</v>
      </c>
      <c r="AD14" s="2">
        <f t="shared" si="6"/>
        <v>9.765625E-4</v>
      </c>
      <c r="AF14" s="2">
        <v>10</v>
      </c>
      <c r="AG14" s="2">
        <f t="shared" si="13"/>
        <v>2188.4765625</v>
      </c>
      <c r="AH14" s="2">
        <v>-15.327403445829759</v>
      </c>
      <c r="AI14" s="2">
        <f t="shared" si="14"/>
        <v>2207.03125</v>
      </c>
      <c r="AJ14" s="2">
        <v>1.4258426159956343</v>
      </c>
      <c r="AK14" s="2">
        <f t="shared" si="9"/>
        <v>2197.75390625</v>
      </c>
      <c r="AL14" s="2">
        <v>-6.9501084808246105</v>
      </c>
      <c r="AM14" s="2">
        <f t="shared" si="10"/>
        <v>106.52711667788176</v>
      </c>
      <c r="AN14" s="2">
        <f t="shared" si="11"/>
        <v>-9.9097608577524063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linear_250!K15</f>
        <v>385.79363297392069</v>
      </c>
      <c r="L15" s="6" t="s">
        <v>7</v>
      </c>
      <c r="U15" s="2">
        <v>11</v>
      </c>
      <c r="V15" s="2">
        <f t="shared" si="7"/>
        <v>6.201171875E-2</v>
      </c>
      <c r="W15" s="2">
        <f t="shared" si="0"/>
        <v>3.0505604709745587E-4</v>
      </c>
      <c r="X15" s="2">
        <f t="shared" si="8"/>
        <v>6.25E-2</v>
      </c>
      <c r="Y15" s="2">
        <f t="shared" si="1"/>
        <v>-1.838091306783779E-4</v>
      </c>
      <c r="Z15" s="2">
        <f t="shared" si="3"/>
        <v>6.2255859375E-2</v>
      </c>
      <c r="AA15" s="2">
        <f t="shared" si="2"/>
        <v>6.0624008523108008E-5</v>
      </c>
      <c r="AB15" s="2">
        <f t="shared" si="4"/>
        <v>1.8493720399261804E-8</v>
      </c>
      <c r="AC15" s="2">
        <f t="shared" si="5"/>
        <v>-1.1143246304871055E-8</v>
      </c>
      <c r="AD15" s="2">
        <f t="shared" si="6"/>
        <v>4.8828125E-4</v>
      </c>
      <c r="AF15" s="2">
        <v>11</v>
      </c>
      <c r="AG15" s="2">
        <f t="shared" si="13"/>
        <v>2197.75390625</v>
      </c>
      <c r="AH15" s="2">
        <v>-6.9501084808246105</v>
      </c>
      <c r="AI15" s="2">
        <f t="shared" si="14"/>
        <v>2207.03125</v>
      </c>
      <c r="AJ15" s="2">
        <v>1.4258426159956343</v>
      </c>
      <c r="AK15" s="2">
        <f t="shared" si="9"/>
        <v>2202.392578125</v>
      </c>
      <c r="AL15" s="2">
        <v>-2.7619646565410676</v>
      </c>
      <c r="AM15" s="2">
        <f t="shared" si="10"/>
        <v>19.195953983163907</v>
      </c>
      <c r="AN15" s="2">
        <f t="shared" si="11"/>
        <v>-3.9381269111699995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122.50093021573831</v>
      </c>
      <c r="H16" s="6" t="s">
        <v>10</v>
      </c>
      <c r="J16" s="13" t="s">
        <v>53</v>
      </c>
      <c r="K16" s="6">
        <f>linear_250!K16</f>
        <v>93.361284791754656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6.2255859375E-2</v>
      </c>
      <c r="W16" s="2">
        <f t="shared" si="0"/>
        <v>6.0624008523108008E-5</v>
      </c>
      <c r="X16" s="2">
        <f t="shared" si="8"/>
        <v>6.25E-2</v>
      </c>
      <c r="Y16" s="2">
        <f t="shared" si="1"/>
        <v>-1.838091306783779E-4</v>
      </c>
      <c r="Z16" s="2">
        <f t="shared" si="3"/>
        <v>6.23779296875E-2</v>
      </c>
      <c r="AA16" s="2">
        <f t="shared" si="2"/>
        <v>-6.1592423531146856E-5</v>
      </c>
      <c r="AB16" s="2">
        <f t="shared" si="4"/>
        <v>-3.7339796091111254E-9</v>
      </c>
      <c r="AC16" s="2">
        <f t="shared" si="5"/>
        <v>1.132124982563457E-8</v>
      </c>
      <c r="AD16" s="2">
        <f t="shared" si="6"/>
        <v>2.44140625E-4</v>
      </c>
      <c r="AF16" s="2">
        <v>12</v>
      </c>
      <c r="AG16" s="2">
        <f t="shared" si="13"/>
        <v>2202.392578125</v>
      </c>
      <c r="AH16" s="2">
        <v>-2.7619646565410676</v>
      </c>
      <c r="AI16" s="2">
        <f t="shared" si="14"/>
        <v>2207.03125</v>
      </c>
      <c r="AJ16" s="2">
        <v>1.4258426159956343</v>
      </c>
      <c r="AK16" s="2">
        <f t="shared" si="9"/>
        <v>2204.7119140625</v>
      </c>
      <c r="AL16" s="2">
        <v>-0.66801953169056105</v>
      </c>
      <c r="AM16" s="2">
        <f t="shared" si="10"/>
        <v>1.8450463364084453</v>
      </c>
      <c r="AN16" s="2">
        <f t="shared" si="11"/>
        <v>-0.95249071660184814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0.36817830341676511</v>
      </c>
      <c r="H17" s="6" t="s">
        <v>122</v>
      </c>
      <c r="J17" s="13" t="s">
        <v>77</v>
      </c>
      <c r="K17" s="6">
        <f>linear_250!K17</f>
        <v>50.174048749170304</v>
      </c>
      <c r="L17" s="6" t="s">
        <v>7</v>
      </c>
      <c r="N17" s="6" t="s">
        <v>25</v>
      </c>
      <c r="O17" s="6">
        <f xml:space="preserve"> ACOS(O14)/PI()*180</f>
        <v>5.9294510769027644</v>
      </c>
      <c r="P17" s="6" t="s">
        <v>40</v>
      </c>
      <c r="U17" s="2">
        <v>13</v>
      </c>
      <c r="V17" s="2">
        <f t="shared" si="7"/>
        <v>6.2255859375E-2</v>
      </c>
      <c r="W17" s="2">
        <f t="shared" si="0"/>
        <v>6.0624008523108008E-5</v>
      </c>
      <c r="X17" s="2">
        <f t="shared" si="8"/>
        <v>6.23779296875E-2</v>
      </c>
      <c r="Y17" s="2">
        <f t="shared" si="1"/>
        <v>-6.1592423531146856E-5</v>
      </c>
      <c r="Z17" s="2">
        <f t="shared" si="3"/>
        <v>6.231689453125E-2</v>
      </c>
      <c r="AA17" s="2">
        <f t="shared" si="2"/>
        <v>-4.8417311340059888E-7</v>
      </c>
      <c r="AB17" s="2">
        <f t="shared" si="4"/>
        <v>-2.9352514953457647E-11</v>
      </c>
      <c r="AC17" s="2">
        <f t="shared" si="5"/>
        <v>2.9821395462963681E-11</v>
      </c>
      <c r="AD17" s="2">
        <f t="shared" si="6"/>
        <v>1.220703125E-4</v>
      </c>
      <c r="AF17" s="2">
        <v>13</v>
      </c>
      <c r="AG17" s="2">
        <f t="shared" si="13"/>
        <v>2204.7119140625</v>
      </c>
      <c r="AH17" s="2">
        <v>-0.66801953169056105</v>
      </c>
      <c r="AI17" s="2">
        <f t="shared" si="14"/>
        <v>2207.03125</v>
      </c>
      <c r="AJ17" s="2">
        <v>1.4258426159956343</v>
      </c>
      <c r="AK17" s="2">
        <f t="shared" si="9"/>
        <v>2205.87158203125</v>
      </c>
      <c r="AL17" s="2">
        <v>0.37892341373367344</v>
      </c>
      <c r="AM17" s="2">
        <f t="shared" si="10"/>
        <v>-0.25312824138895723</v>
      </c>
      <c r="AN17" s="2">
        <f t="shared" si="11"/>
        <v>0.54028515150001699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5432.7443372562357</v>
      </c>
      <c r="H18" s="6" t="s">
        <v>20</v>
      </c>
      <c r="J18" s="14" t="s">
        <v>60</v>
      </c>
      <c r="K18" s="6">
        <f>linear_250!K18</f>
        <v>137.85126605348006</v>
      </c>
      <c r="L18" s="6" t="s">
        <v>7</v>
      </c>
      <c r="N18" s="6" t="s">
        <v>19</v>
      </c>
      <c r="O18" s="6">
        <f xml:space="preserve"> O13 / $C$18</f>
        <v>5432.7443372562357</v>
      </c>
      <c r="P18" s="6" t="s">
        <v>20</v>
      </c>
      <c r="U18" s="2">
        <v>14</v>
      </c>
      <c r="V18" s="2">
        <f t="shared" si="7"/>
        <v>6.2255859375E-2</v>
      </c>
      <c r="W18" s="2">
        <f t="shared" si="0"/>
        <v>6.0624008523108008E-5</v>
      </c>
      <c r="X18" s="2">
        <f t="shared" si="8"/>
        <v>6.231689453125E-2</v>
      </c>
      <c r="Y18" s="2">
        <f t="shared" si="1"/>
        <v>-4.8417311340059888E-7</v>
      </c>
      <c r="Z18" s="2">
        <f t="shared" si="3"/>
        <v>6.2286376953125E-2</v>
      </c>
      <c r="AA18" s="2">
        <f t="shared" si="2"/>
        <v>3.0069926303007144E-5</v>
      </c>
      <c r="AB18" s="2">
        <f t="shared" si="4"/>
        <v>1.8229594684827349E-9</v>
      </c>
      <c r="AC18" s="2">
        <f t="shared" si="5"/>
        <v>-1.455904983785353E-11</v>
      </c>
      <c r="AD18" s="2">
        <f t="shared" si="6"/>
        <v>6.103515625E-5</v>
      </c>
      <c r="AF18" s="2">
        <v>14</v>
      </c>
      <c r="AG18" s="2">
        <f t="shared" si="13"/>
        <v>2204.7119140625</v>
      </c>
      <c r="AH18" s="2">
        <v>-0.66801953169056105</v>
      </c>
      <c r="AI18" s="2">
        <f t="shared" si="14"/>
        <v>2205.87158203125</v>
      </c>
      <c r="AJ18" s="2">
        <v>0.37892341373367344</v>
      </c>
      <c r="AK18" s="2">
        <f t="shared" si="9"/>
        <v>2205.291748046875</v>
      </c>
      <c r="AL18" s="2">
        <v>-0.14454510405062138</v>
      </c>
      <c r="AM18" s="2">
        <f t="shared" si="10"/>
        <v>9.6558952716059507E-2</v>
      </c>
      <c r="AN18" s="2">
        <f t="shared" si="11"/>
        <v>-5.477152426535048E-2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59.149751475187763</v>
      </c>
      <c r="H19" s="6" t="s">
        <v>101</v>
      </c>
      <c r="J19" s="14" t="s">
        <v>61</v>
      </c>
      <c r="K19" s="6">
        <f>linear_250!K19</f>
        <v>33.649055373530693</v>
      </c>
      <c r="L19" s="6" t="s">
        <v>7</v>
      </c>
      <c r="N19" s="6" t="s">
        <v>26</v>
      </c>
      <c r="O19" s="6">
        <f>$C$7*2*PI()/60</f>
        <v>28.816739256406002</v>
      </c>
      <c r="P19" s="6" t="s">
        <v>27</v>
      </c>
      <c r="U19" s="2">
        <v>15</v>
      </c>
      <c r="V19" s="2">
        <f t="shared" si="7"/>
        <v>6.2286376953125E-2</v>
      </c>
      <c r="W19" s="2">
        <f t="shared" si="0"/>
        <v>3.0069926303007144E-5</v>
      </c>
      <c r="X19" s="2">
        <f t="shared" si="8"/>
        <v>6.231689453125E-2</v>
      </c>
      <c r="Y19" s="2">
        <f t="shared" si="1"/>
        <v>-4.8417311340059888E-7</v>
      </c>
      <c r="Z19" s="2">
        <f t="shared" si="3"/>
        <v>6.23016357421875E-2</v>
      </c>
      <c r="AA19" s="2">
        <f t="shared" si="2"/>
        <v>1.4792878744278315E-5</v>
      </c>
      <c r="AB19" s="2">
        <f t="shared" si="4"/>
        <v>4.4482077364976978E-10</v>
      </c>
      <c r="AC19" s="2">
        <f t="shared" si="5"/>
        <v>-7.1623141577747731E-12</v>
      </c>
      <c r="AD19" s="2">
        <f t="shared" si="6"/>
        <v>3.0517578125E-5</v>
      </c>
      <c r="AF19" s="2">
        <v>15</v>
      </c>
      <c r="AG19" s="2">
        <f t="shared" si="13"/>
        <v>2205.291748046875</v>
      </c>
      <c r="AH19" s="2">
        <v>-0.14454510405062138</v>
      </c>
      <c r="AI19" s="2">
        <f t="shared" si="14"/>
        <v>2205.87158203125</v>
      </c>
      <c r="AJ19" s="2">
        <v>0.37892341373367344</v>
      </c>
      <c r="AK19" s="2">
        <f t="shared" si="9"/>
        <v>2205.5816650390625</v>
      </c>
      <c r="AL19" s="2">
        <v>0.11718849749445326</v>
      </c>
      <c r="AM19" s="2">
        <f t="shared" si="10"/>
        <v>-1.6939023563871728E-2</v>
      </c>
      <c r="AN19" s="2">
        <f t="shared" si="11"/>
        <v>4.4405465520918265E-2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9.3716429160167838</v>
      </c>
      <c r="H20" s="6" t="s">
        <v>147</v>
      </c>
      <c r="J20" s="14" t="s">
        <v>62</v>
      </c>
      <c r="K20" s="6">
        <f>linear_250!K20</f>
        <v>0</v>
      </c>
      <c r="L20" s="6" t="s">
        <v>7</v>
      </c>
      <c r="N20" s="6" t="s">
        <v>28</v>
      </c>
      <c r="O20" s="6">
        <f xml:space="preserve"> $C$8 * COS(O17/180*PI()) / (O19 * $C$9)</f>
        <v>0.54446313282363934</v>
      </c>
      <c r="U20" s="2">
        <v>16</v>
      </c>
      <c r="V20" s="2">
        <f t="shared" si="7"/>
        <v>6.23016357421875E-2</v>
      </c>
      <c r="W20" s="2">
        <f t="shared" si="0"/>
        <v>1.4792878744278315E-5</v>
      </c>
      <c r="X20" s="2">
        <f t="shared" si="8"/>
        <v>6.231689453125E-2</v>
      </c>
      <c r="Y20" s="2">
        <f t="shared" si="1"/>
        <v>-4.8417311340059888E-7</v>
      </c>
      <c r="Z20" s="2">
        <f t="shared" si="3"/>
        <v>6.230926513671875E-2</v>
      </c>
      <c r="AA20" s="2">
        <f t="shared" si="2"/>
        <v>7.1543533528006797E-6</v>
      </c>
      <c r="AB20" s="2">
        <f t="shared" si="4"/>
        <v>1.0583348164170147E-10</v>
      </c>
      <c r="AC20" s="2">
        <f t="shared" si="5"/>
        <v>-3.4639455371935181E-12</v>
      </c>
      <c r="AD20" s="2">
        <f t="shared" si="6"/>
        <v>1.52587890625E-5</v>
      </c>
      <c r="AF20" s="2">
        <v>16</v>
      </c>
      <c r="AG20" s="2">
        <f t="shared" si="13"/>
        <v>2205.291748046875</v>
      </c>
      <c r="AH20" s="2">
        <v>-0.14454510405062138</v>
      </c>
      <c r="AI20" s="2">
        <f t="shared" si="14"/>
        <v>2205.5816650390625</v>
      </c>
      <c r="AJ20" s="2">
        <v>0.37892341373367344</v>
      </c>
      <c r="AK20" s="2">
        <f t="shared" si="9"/>
        <v>2205.4367065429688</v>
      </c>
      <c r="AL20" s="2">
        <v>0.24805788809840124</v>
      </c>
      <c r="AM20" s="2">
        <f t="shared" si="10"/>
        <v>-3.5855553245760799E-2</v>
      </c>
      <c r="AN20" s="2">
        <f t="shared" si="11"/>
        <v>9.3994941761811765E-2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0.1029731740171743</v>
      </c>
      <c r="J21" s="14" t="s">
        <v>63</v>
      </c>
      <c r="K21" s="6">
        <f>linear_250!K21</f>
        <v>0</v>
      </c>
      <c r="L21" s="6" t="s">
        <v>7</v>
      </c>
      <c r="N21" s="6" t="s">
        <v>29</v>
      </c>
      <c r="O21" s="6">
        <f xml:space="preserve"> O18 / ($C$47 * PI() * $C$9^2 * O19^2 * $C$9^2)</f>
        <v>6.3227564672382114E-3</v>
      </c>
      <c r="U21" s="2">
        <v>17</v>
      </c>
      <c r="V21" s="2">
        <f t="shared" si="7"/>
        <v>6.230926513671875E-2</v>
      </c>
      <c r="W21" s="2">
        <f t="shared" si="0"/>
        <v>7.1543533528006797E-6</v>
      </c>
      <c r="X21" s="2">
        <f t="shared" si="8"/>
        <v>6.231689453125E-2</v>
      </c>
      <c r="Y21" s="2">
        <f t="shared" si="1"/>
        <v>-4.8417311340059888E-7</v>
      </c>
      <c r="Z21" s="2">
        <f t="shared" si="3"/>
        <v>6.2313079833984375E-2</v>
      </c>
      <c r="AA21" s="2">
        <f t="shared" si="2"/>
        <v>3.335090254033557E-6</v>
      </c>
      <c r="AB21" s="2">
        <f t="shared" si="4"/>
        <v>2.3860414140837848E-11</v>
      </c>
      <c r="AC21" s="2">
        <f t="shared" si="5"/>
        <v>-1.6147610317674215E-12</v>
      </c>
      <c r="AD21" s="2">
        <f t="shared" si="6"/>
        <v>7.62939453125E-6</v>
      </c>
      <c r="AF21" s="2">
        <v>17</v>
      </c>
      <c r="AG21" s="2">
        <f t="shared" si="13"/>
        <v>2205.291748046875</v>
      </c>
      <c r="AH21" s="2">
        <v>-0.14454510405062138</v>
      </c>
      <c r="AI21" s="2">
        <f t="shared" si="14"/>
        <v>2205.4367065429688</v>
      </c>
      <c r="AJ21" s="2">
        <v>0.37892341373367344</v>
      </c>
      <c r="AK21" s="2">
        <f t="shared" si="9"/>
        <v>2205.3642272949219</v>
      </c>
      <c r="AL21" s="2">
        <v>0.31349323086010372</v>
      </c>
      <c r="AM21" s="2">
        <f t="shared" si="10"/>
        <v>-4.5313911673839163E-2</v>
      </c>
      <c r="AN21" s="2">
        <f t="shared" si="11"/>
        <v>0.11878992521990908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236.59900590075105</v>
      </c>
      <c r="H22" s="25" t="s">
        <v>101</v>
      </c>
      <c r="J22" s="14" t="s">
        <v>112</v>
      </c>
      <c r="K22" s="6">
        <f>linear_250!K22</f>
        <v>24.791176572839969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6.2313079833984375E-2</v>
      </c>
      <c r="W22" s="2">
        <f t="shared" si="0"/>
        <v>3.335090254033557E-6</v>
      </c>
      <c r="X22" s="2">
        <f t="shared" si="8"/>
        <v>6.231689453125E-2</v>
      </c>
      <c r="Y22" s="2">
        <f t="shared" si="1"/>
        <v>-4.8417311340059888E-7</v>
      </c>
      <c r="Z22" s="2">
        <f t="shared" si="3"/>
        <v>6.2314987182617188E-2</v>
      </c>
      <c r="AA22" s="2">
        <f t="shared" si="2"/>
        <v>1.425458603904195E-6</v>
      </c>
      <c r="AB22" s="2">
        <f t="shared" si="4"/>
        <v>4.7540330974091611E-12</v>
      </c>
      <c r="AC22" s="2">
        <f t="shared" si="5"/>
        <v>-6.9016873027596519E-13</v>
      </c>
      <c r="AD22" s="2">
        <f t="shared" si="6"/>
        <v>3.814697265625E-6</v>
      </c>
      <c r="AF22" s="2">
        <v>18</v>
      </c>
      <c r="AG22" s="2">
        <f t="shared" si="13"/>
        <v>2205.291748046875</v>
      </c>
      <c r="AH22" s="2">
        <v>-0.14454510405062138</v>
      </c>
      <c r="AI22" s="2">
        <f t="shared" si="14"/>
        <v>2205.3642272949219</v>
      </c>
      <c r="AJ22" s="2">
        <v>0.37892341373367344</v>
      </c>
      <c r="AK22" s="2">
        <f t="shared" si="9"/>
        <v>2205.3279876708984</v>
      </c>
      <c r="AL22" s="2">
        <v>0.34620547266854373</v>
      </c>
      <c r="AM22" s="2">
        <f t="shared" si="10"/>
        <v>-5.0042306069769206E-2</v>
      </c>
      <c r="AN22" s="2">
        <f t="shared" si="11"/>
        <v>0.13118535955684457</v>
      </c>
      <c r="AO22" s="2">
        <f t="shared" si="12"/>
        <v>7.2479248046875E-2</v>
      </c>
    </row>
    <row r="23" spans="2:41" x14ac:dyDescent="0.2">
      <c r="J23" s="15" t="s">
        <v>64</v>
      </c>
      <c r="K23" s="6">
        <f>linear_250!K23</f>
        <v>64.413906000758757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17101.254005062219</v>
      </c>
      <c r="P23" s="6" t="s">
        <v>18</v>
      </c>
      <c r="U23" s="2">
        <v>19</v>
      </c>
      <c r="V23" s="2">
        <f t="shared" si="7"/>
        <v>6.2314987182617188E-2</v>
      </c>
      <c r="W23" s="2">
        <f t="shared" si="0"/>
        <v>1.425458603904195E-6</v>
      </c>
      <c r="X23" s="2">
        <f t="shared" si="8"/>
        <v>6.231689453125E-2</v>
      </c>
      <c r="Y23" s="2">
        <f t="shared" si="1"/>
        <v>-4.8417311340059888E-7</v>
      </c>
      <c r="Z23" s="2">
        <f t="shared" si="3"/>
        <v>6.2315940856933594E-2</v>
      </c>
      <c r="AA23" s="2">
        <f t="shared" si="2"/>
        <v>4.7064275364439023E-7</v>
      </c>
      <c r="AB23" s="2">
        <f t="shared" si="4"/>
        <v>6.7088176254755852E-13</v>
      </c>
      <c r="AC23" s="2">
        <f t="shared" si="5"/>
        <v>-2.2787256733143547E-13</v>
      </c>
      <c r="AD23" s="2">
        <f t="shared" si="6"/>
        <v>1.9073486328125E-6</v>
      </c>
      <c r="AF23" s="2">
        <v>19</v>
      </c>
      <c r="AG23" s="2">
        <f t="shared" si="13"/>
        <v>2205.291748046875</v>
      </c>
      <c r="AH23" s="2">
        <v>-0.14454510405062138</v>
      </c>
      <c r="AI23" s="2">
        <f t="shared" si="14"/>
        <v>2205.3279876708984</v>
      </c>
      <c r="AJ23" s="2">
        <v>0.37892341373367344</v>
      </c>
      <c r="AK23" s="2">
        <f t="shared" si="9"/>
        <v>2205.3098678588867</v>
      </c>
      <c r="AL23" s="2">
        <v>0.36256722545408593</v>
      </c>
      <c r="AM23" s="2">
        <f t="shared" si="10"/>
        <v>-5.240731732860595E-2</v>
      </c>
      <c r="AN23" s="2">
        <f t="shared" si="11"/>
        <v>0.13738521077700866</v>
      </c>
      <c r="AO23" s="2">
        <f t="shared" si="12"/>
        <v>3.62396240234375E-2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>linear_250!K24</f>
        <v>8.8897316737476917</v>
      </c>
      <c r="L24" s="6" t="s">
        <v>7</v>
      </c>
      <c r="N24" s="6" t="s">
        <v>31</v>
      </c>
      <c r="O24" s="18">
        <f>Z34</f>
        <v>6.2316410709172487E-2</v>
      </c>
      <c r="U24" s="2">
        <v>20</v>
      </c>
      <c r="V24" s="2">
        <f t="shared" si="7"/>
        <v>6.2315940856933594E-2</v>
      </c>
      <c r="W24" s="2">
        <f t="shared" si="0"/>
        <v>4.7064275364439023E-7</v>
      </c>
      <c r="X24" s="2">
        <f t="shared" si="8"/>
        <v>6.231689453125E-2</v>
      </c>
      <c r="Y24" s="2">
        <f t="shared" si="1"/>
        <v>-4.8417311340059888E-7</v>
      </c>
      <c r="Z24" s="2">
        <f t="shared" si="3"/>
        <v>6.2316417694091797E-2</v>
      </c>
      <c r="AA24" s="2">
        <f t="shared" si="2"/>
        <v>-6.7651777790889156E-9</v>
      </c>
      <c r="AB24" s="2">
        <f t="shared" si="4"/>
        <v>-3.1839818988442476E-15</v>
      </c>
      <c r="AC24" s="2">
        <f t="shared" si="5"/>
        <v>3.2755171880100291E-15</v>
      </c>
      <c r="AD24" s="2">
        <f t="shared" si="6"/>
        <v>9.5367431640625E-7</v>
      </c>
      <c r="AF24" s="2">
        <v>20</v>
      </c>
      <c r="AG24" s="2">
        <f t="shared" si="13"/>
        <v>2205.291748046875</v>
      </c>
      <c r="AH24" s="2">
        <v>-0.14454510405062138</v>
      </c>
      <c r="AI24" s="2">
        <f t="shared" si="14"/>
        <v>2205.3098678588867</v>
      </c>
      <c r="AJ24" s="2">
        <v>0.37892341373367344</v>
      </c>
      <c r="AK24" s="2">
        <f t="shared" si="9"/>
        <v>2205.3008079528809</v>
      </c>
      <c r="AL24" s="2">
        <v>0.37074811198067437</v>
      </c>
      <c r="AM24" s="2">
        <f t="shared" si="10"/>
        <v>-5.3589824422818004E-2</v>
      </c>
      <c r="AN24" s="2">
        <f t="shared" si="11"/>
        <v>0.14048514022703137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linear_250!K25</f>
        <v>19.228031642017541</v>
      </c>
      <c r="L25" s="6" t="s">
        <v>7</v>
      </c>
      <c r="N25" s="6" t="s">
        <v>32</v>
      </c>
      <c r="O25" s="6">
        <f xml:space="preserve"> O19 * $C$9 * O24 - $C$8 * SIN(O17/180*PI())</f>
        <v>0.70667741976867759</v>
      </c>
      <c r="P25" s="6" t="s">
        <v>10</v>
      </c>
      <c r="U25" s="2">
        <v>21</v>
      </c>
      <c r="V25" s="2">
        <f t="shared" si="7"/>
        <v>6.2315940856933594E-2</v>
      </c>
      <c r="W25" s="2">
        <f t="shared" si="0"/>
        <v>4.7064275364439023E-7</v>
      </c>
      <c r="X25" s="2">
        <f t="shared" si="8"/>
        <v>6.2316417694091797E-2</v>
      </c>
      <c r="Y25" s="2">
        <f t="shared" si="1"/>
        <v>-6.7651777790889156E-9</v>
      </c>
      <c r="Z25" s="2">
        <f t="shared" si="3"/>
        <v>6.2316179275512695E-2</v>
      </c>
      <c r="AA25" s="2">
        <f t="shared" si="2"/>
        <v>2.319387884600066E-7</v>
      </c>
      <c r="AB25" s="2">
        <f t="shared" si="4"/>
        <v>1.0916031007776122E-13</v>
      </c>
      <c r="AC25" s="2">
        <f t="shared" si="5"/>
        <v>-1.5691071377984412E-15</v>
      </c>
      <c r="AD25" s="2">
        <f t="shared" si="6"/>
        <v>4.76837158203125E-7</v>
      </c>
      <c r="AF25" s="2">
        <v>21</v>
      </c>
      <c r="AG25" s="2">
        <f t="shared" si="13"/>
        <v>2205.291748046875</v>
      </c>
      <c r="AH25" s="2">
        <v>-0.14454510405062138</v>
      </c>
      <c r="AI25" s="2">
        <f t="shared" si="14"/>
        <v>2205.3008079528809</v>
      </c>
      <c r="AJ25" s="2">
        <v>0.37892341373367344</v>
      </c>
      <c r="AK25" s="2">
        <f t="shared" si="9"/>
        <v>2205.2962779998779</v>
      </c>
      <c r="AL25" s="2">
        <v>0.37483296625964613</v>
      </c>
      <c r="AM25" s="2">
        <f t="shared" si="10"/>
        <v>-5.41802701096036E-2</v>
      </c>
      <c r="AN25" s="2">
        <f t="shared" si="11"/>
        <v>0.14203298715502394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linear_250!K26</f>
        <v>55.095217496321837</v>
      </c>
      <c r="L26" s="6" t="s">
        <v>7</v>
      </c>
      <c r="N26" s="6" t="s">
        <v>33</v>
      </c>
      <c r="O26" s="6">
        <f xml:space="preserve"> 1/$C$21 - O23 * SQRT( (2*$C$47*PI()*$C$9^2) / O18^3 )</f>
        <v>0.87631768163991297</v>
      </c>
      <c r="U26" s="2">
        <v>22</v>
      </c>
      <c r="V26" s="2">
        <f t="shared" si="7"/>
        <v>6.2316179275512695E-2</v>
      </c>
      <c r="W26" s="2">
        <f t="shared" si="0"/>
        <v>2.319387884600066E-7</v>
      </c>
      <c r="X26" s="2">
        <f t="shared" si="8"/>
        <v>6.2316417694091797E-2</v>
      </c>
      <c r="Y26" s="2">
        <f t="shared" si="1"/>
        <v>-6.7651777790889156E-9</v>
      </c>
      <c r="Z26" s="2">
        <f t="shared" si="3"/>
        <v>6.2316298484802246E-2</v>
      </c>
      <c r="AA26" s="2">
        <f t="shared" si="2"/>
        <v>1.1258680546882838E-7</v>
      </c>
      <c r="AB26" s="2">
        <f t="shared" si="4"/>
        <v>2.6113247257022499E-14</v>
      </c>
      <c r="AC26" s="2">
        <f t="shared" si="5"/>
        <v>-7.6166975457632416E-16</v>
      </c>
      <c r="AD26" s="2">
        <f t="shared" si="6"/>
        <v>2.384185791015625E-7</v>
      </c>
      <c r="AF26" s="2">
        <v>22</v>
      </c>
      <c r="AG26" s="2">
        <f t="shared" si="13"/>
        <v>2205.291748046875</v>
      </c>
      <c r="AH26" s="2">
        <v>-0.14454510405062138</v>
      </c>
      <c r="AI26" s="2">
        <f t="shared" si="14"/>
        <v>2205.2962779998779</v>
      </c>
      <c r="AJ26" s="2">
        <v>0.37892341373367344</v>
      </c>
      <c r="AK26" s="2">
        <f t="shared" si="9"/>
        <v>2205.2940130233765</v>
      </c>
      <c r="AL26" s="2">
        <v>0.37688098554758653</v>
      </c>
      <c r="AM26" s="2">
        <f t="shared" si="10"/>
        <v>-5.4476301270676625E-2</v>
      </c>
      <c r="AN26" s="2">
        <f t="shared" si="11"/>
        <v>0.14280902961500272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5.9030241484379076E-3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6.2316298484802246E-2</v>
      </c>
      <c r="W27" s="2">
        <f t="shared" si="0"/>
        <v>1.1258680546882838E-7</v>
      </c>
      <c r="X27" s="2">
        <f t="shared" si="8"/>
        <v>6.2316417694091797E-2</v>
      </c>
      <c r="Y27" s="2">
        <f t="shared" si="1"/>
        <v>-6.7651777790889156E-9</v>
      </c>
      <c r="Z27" s="2">
        <f t="shared" si="3"/>
        <v>6.2316358089447021E-2</v>
      </c>
      <c r="AA27" s="2">
        <f t="shared" si="2"/>
        <v>5.2910813876094753E-8</v>
      </c>
      <c r="AB27" s="2">
        <f t="shared" si="4"/>
        <v>5.9570595090652652E-15</v>
      </c>
      <c r="AC27" s="2">
        <f t="shared" si="5"/>
        <v>-3.5795106230806569E-16</v>
      </c>
      <c r="AD27" s="2">
        <f t="shared" si="6"/>
        <v>1.1920928955078125E-7</v>
      </c>
      <c r="AF27" s="2">
        <v>23</v>
      </c>
      <c r="AG27" s="2">
        <f t="shared" si="13"/>
        <v>2205.291748046875</v>
      </c>
      <c r="AH27" s="2">
        <v>-0.14454510405062138</v>
      </c>
      <c r="AI27" s="2">
        <f t="shared" si="14"/>
        <v>2205.2940130233765</v>
      </c>
      <c r="AJ27" s="2">
        <v>0.37892341373367344</v>
      </c>
      <c r="AK27" s="2">
        <f t="shared" si="9"/>
        <v>2205.2928805351257</v>
      </c>
      <c r="AL27" s="2">
        <v>0.37790219958901616</v>
      </c>
      <c r="AM27" s="2">
        <f t="shared" si="10"/>
        <v>-5.4623912760553027E-2</v>
      </c>
      <c r="AN27" s="2">
        <f t="shared" si="11"/>
        <v>0.14319599152573401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5404.1952513946653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1.150009058538054</v>
      </c>
      <c r="U28" s="2">
        <v>24</v>
      </c>
      <c r="V28" s="2">
        <f t="shared" si="7"/>
        <v>6.2316358089447021E-2</v>
      </c>
      <c r="W28" s="2">
        <f t="shared" si="0"/>
        <v>5.2910813876094753E-8</v>
      </c>
      <c r="X28" s="2">
        <f t="shared" si="8"/>
        <v>6.2316417694091797E-2</v>
      </c>
      <c r="Y28" s="2">
        <f t="shared" si="1"/>
        <v>-6.7651777790889156E-9</v>
      </c>
      <c r="Z28" s="2">
        <f t="shared" si="3"/>
        <v>6.2316387891769409E-2</v>
      </c>
      <c r="AA28" s="2">
        <f t="shared" si="2"/>
        <v>2.307281805891126E-8</v>
      </c>
      <c r="AB28" s="2">
        <f t="shared" si="4"/>
        <v>1.2208015819120515E-15</v>
      </c>
      <c r="AC28" s="2">
        <f t="shared" si="5"/>
        <v>-1.560917160331079E-16</v>
      </c>
      <c r="AD28" s="2">
        <f t="shared" si="6"/>
        <v>5.9604644775390625E-8</v>
      </c>
      <c r="AF28" s="2">
        <v>24</v>
      </c>
      <c r="AG28" s="2">
        <f t="shared" si="13"/>
        <v>2205.291748046875</v>
      </c>
      <c r="AH28" s="2">
        <v>-0.14454510405062138</v>
      </c>
      <c r="AI28" s="2">
        <f t="shared" si="14"/>
        <v>2205.2928805351257</v>
      </c>
      <c r="AJ28" s="2">
        <v>0.37892341373367344</v>
      </c>
      <c r="AK28" s="2">
        <f t="shared" si="9"/>
        <v>2205.2923142910004</v>
      </c>
      <c r="AL28" s="2">
        <v>0.37841280664792976</v>
      </c>
      <c r="AM28" s="2">
        <f t="shared" si="10"/>
        <v>-5.4697718511012676E-2</v>
      </c>
      <c r="AN28" s="2">
        <f t="shared" si="11"/>
        <v>0.14338947249557407</v>
      </c>
      <c r="AO28" s="2">
        <f t="shared" si="12"/>
        <v>1.1324882507324219E-3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48.751169018308254</v>
      </c>
      <c r="H29" t="s">
        <v>18</v>
      </c>
      <c r="U29" s="2">
        <v>25</v>
      </c>
      <c r="V29" s="2">
        <f t="shared" si="7"/>
        <v>6.2316387891769409E-2</v>
      </c>
      <c r="W29" s="2">
        <f t="shared" si="0"/>
        <v>2.307281805891126E-8</v>
      </c>
      <c r="X29" s="2">
        <f t="shared" si="8"/>
        <v>6.2316417694091797E-2</v>
      </c>
      <c r="Y29" s="2">
        <f t="shared" si="1"/>
        <v>-6.7651777790889156E-9</v>
      </c>
      <c r="Z29" s="2">
        <f t="shared" si="3"/>
        <v>6.2316402792930603E-2</v>
      </c>
      <c r="AA29" s="2">
        <f t="shared" si="2"/>
        <v>8.153820139911172E-9</v>
      </c>
      <c r="AB29" s="2">
        <f t="shared" si="4"/>
        <v>1.8813160857325682E-16</v>
      </c>
      <c r="AC29" s="2">
        <f t="shared" si="5"/>
        <v>-5.5162042825214732E-17</v>
      </c>
      <c r="AD29" s="2">
        <f t="shared" si="6"/>
        <v>2.9802322387695312E-8</v>
      </c>
      <c r="AF29" s="2">
        <v>25</v>
      </c>
      <c r="AG29" s="2">
        <f t="shared" si="13"/>
        <v>2205.291748046875</v>
      </c>
      <c r="AH29" s="2">
        <v>-0.14454510405062138</v>
      </c>
      <c r="AI29" s="2">
        <f t="shared" si="14"/>
        <v>2205.2923142910004</v>
      </c>
      <c r="AJ29" s="2">
        <v>0.37892341373367344</v>
      </c>
      <c r="AK29" s="2">
        <f t="shared" si="9"/>
        <v>2205.2920311689377</v>
      </c>
      <c r="AL29" s="2">
        <v>0.37866811018716362</v>
      </c>
      <c r="AM29" s="2">
        <f t="shared" si="10"/>
        <v>-5.4734621387655724E-2</v>
      </c>
      <c r="AN29" s="2">
        <f t="shared" si="11"/>
        <v>0.14348621298419884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11.30977182974085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6.2316402792930603E-2</v>
      </c>
      <c r="W30" s="2">
        <f t="shared" si="0"/>
        <v>8.153820139911172E-9</v>
      </c>
      <c r="X30" s="2">
        <f t="shared" si="8"/>
        <v>6.2316417694091797E-2</v>
      </c>
      <c r="Y30" s="2">
        <f t="shared" si="1"/>
        <v>-6.7651777790889156E-9</v>
      </c>
      <c r="Z30" s="2">
        <f t="shared" si="3"/>
        <v>6.23164102435112E-2</v>
      </c>
      <c r="AA30" s="2">
        <f t="shared" si="2"/>
        <v>6.9432118388057518E-10</v>
      </c>
      <c r="AB30" s="2">
        <f t="shared" si="4"/>
        <v>5.6613700526924023E-18</v>
      </c>
      <c r="AC30" s="2">
        <f t="shared" si="5"/>
        <v>-4.6972062447395762E-18</v>
      </c>
      <c r="AD30" s="2">
        <f t="shared" si="6"/>
        <v>1.4901161193847656E-8</v>
      </c>
      <c r="AF30" s="2">
        <v>26</v>
      </c>
      <c r="AG30" s="2">
        <f t="shared" si="13"/>
        <v>2205.291748046875</v>
      </c>
      <c r="AH30" s="2">
        <v>-0.14454510405062138</v>
      </c>
      <c r="AI30" s="2">
        <f t="shared" si="14"/>
        <v>2205.2920311689377</v>
      </c>
      <c r="AJ30" s="2">
        <v>0.37892341373367344</v>
      </c>
      <c r="AK30" s="2">
        <f t="shared" si="9"/>
        <v>2205.2918896079063</v>
      </c>
      <c r="AL30" s="2">
        <v>0.37879855772393967</v>
      </c>
      <c r="AM30" s="2">
        <f t="shared" si="10"/>
        <v>-5.4753476940432165E-2</v>
      </c>
      <c r="AN30" s="2">
        <f t="shared" si="11"/>
        <v>0.14353564261014717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195.00467607323301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6.23164102435112E-2</v>
      </c>
      <c r="W31" s="2">
        <f t="shared" si="0"/>
        <v>6.9432118388057518E-10</v>
      </c>
      <c r="X31" s="2">
        <f t="shared" si="8"/>
        <v>6.2316417694091797E-2</v>
      </c>
      <c r="Y31" s="2">
        <f t="shared" si="1"/>
        <v>-6.7651777790889156E-9</v>
      </c>
      <c r="Z31" s="2">
        <f t="shared" si="3"/>
        <v>6.2316413968801498E-2</v>
      </c>
      <c r="AA31" s="2">
        <f t="shared" si="2"/>
        <v>-3.0354282976041702E-9</v>
      </c>
      <c r="AB31" s="2">
        <f t="shared" si="4"/>
        <v>-2.1075621691771263E-18</v>
      </c>
      <c r="AC31" s="2">
        <f t="shared" si="5"/>
        <v>2.053521206896943E-17</v>
      </c>
      <c r="AD31" s="2">
        <f t="shared" si="6"/>
        <v>7.4505805969238281E-9</v>
      </c>
      <c r="AF31" s="2">
        <v>27</v>
      </c>
      <c r="AG31" s="2">
        <f t="shared" si="13"/>
        <v>2205.291748046875</v>
      </c>
      <c r="AH31" s="2">
        <v>-0.14454510405062138</v>
      </c>
      <c r="AI31" s="2">
        <f t="shared" si="14"/>
        <v>2205.2918896079063</v>
      </c>
      <c r="AJ31" s="2">
        <v>0.37892341373367344</v>
      </c>
      <c r="AK31" s="2">
        <f t="shared" si="9"/>
        <v>2205.2918188273907</v>
      </c>
      <c r="AL31" s="2">
        <v>0.37886098572903393</v>
      </c>
      <c r="AM31" s="2">
        <f t="shared" si="10"/>
        <v>-5.4762500602924188E-2</v>
      </c>
      <c r="AN31" s="2">
        <f t="shared" si="11"/>
        <v>0.14355929804295006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513.83000000000004</v>
      </c>
      <c r="L32" s="6" t="s">
        <v>7</v>
      </c>
      <c r="U32" s="2">
        <v>28</v>
      </c>
      <c r="V32" s="2">
        <f t="shared" si="7"/>
        <v>6.23164102435112E-2</v>
      </c>
      <c r="W32" s="2">
        <f t="shared" si="0"/>
        <v>6.9432118388057518E-10</v>
      </c>
      <c r="X32" s="2">
        <f t="shared" si="8"/>
        <v>6.2316413968801498E-2</v>
      </c>
      <c r="Y32" s="2">
        <f t="shared" si="1"/>
        <v>-3.0354282976041702E-9</v>
      </c>
      <c r="Z32" s="2">
        <f t="shared" si="3"/>
        <v>6.2316412106156349E-2</v>
      </c>
      <c r="AA32" s="2">
        <f t="shared" si="2"/>
        <v>-1.1705535568617975E-9</v>
      </c>
      <c r="AB32" s="2">
        <f t="shared" si="4"/>
        <v>-8.1274013139590142E-19</v>
      </c>
      <c r="AC32" s="2">
        <f t="shared" si="5"/>
        <v>3.5531313903595123E-18</v>
      </c>
      <c r="AD32" s="2">
        <f t="shared" si="6"/>
        <v>3.7252902984619141E-9</v>
      </c>
      <c r="AF32" s="2">
        <v>28</v>
      </c>
      <c r="AG32" s="2">
        <f t="shared" si="13"/>
        <v>2205.291748046875</v>
      </c>
      <c r="AH32" s="2">
        <v>-0.14454510405062138</v>
      </c>
      <c r="AI32" s="2">
        <f t="shared" si="14"/>
        <v>2205.2918188273907</v>
      </c>
      <c r="AJ32" s="2">
        <v>0.37892341373367344</v>
      </c>
      <c r="AK32" s="2">
        <f t="shared" si="9"/>
        <v>2205.2917834371328</v>
      </c>
      <c r="AL32" s="2">
        <v>0.37889499549623906</v>
      </c>
      <c r="AM32" s="2">
        <f t="shared" si="10"/>
        <v>-5.4767416548263594E-2</v>
      </c>
      <c r="AN32" s="2">
        <f t="shared" si="11"/>
        <v>0.14357218514003972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747.7</v>
      </c>
      <c r="L33" s="6" t="s">
        <v>7</v>
      </c>
      <c r="U33" s="2">
        <v>29</v>
      </c>
      <c r="V33" s="2">
        <f t="shared" si="7"/>
        <v>6.23164102435112E-2</v>
      </c>
      <c r="W33" s="2">
        <f t="shared" si="0"/>
        <v>6.9432118388057518E-10</v>
      </c>
      <c r="X33" s="2">
        <f t="shared" si="8"/>
        <v>6.2316412106156349E-2</v>
      </c>
      <c r="Y33" s="2">
        <f t="shared" si="1"/>
        <v>-1.1705535568617975E-9</v>
      </c>
      <c r="Z33" s="2">
        <f t="shared" si="3"/>
        <v>6.2316411174833775E-2</v>
      </c>
      <c r="AA33" s="2">
        <f t="shared" si="2"/>
        <v>-2.3811619342950507E-10</v>
      </c>
      <c r="AB33" s="2">
        <f t="shared" si="4"/>
        <v>-1.6532911732311E-19</v>
      </c>
      <c r="AC33" s="2">
        <f t="shared" si="5"/>
        <v>2.7872775716529894E-19</v>
      </c>
      <c r="AD33" s="2">
        <f t="shared" si="6"/>
        <v>1.862645149230957E-9</v>
      </c>
      <c r="AF33" s="2">
        <v>29</v>
      </c>
      <c r="AG33" s="2">
        <f t="shared" si="13"/>
        <v>2205.291748046875</v>
      </c>
      <c r="AH33" s="2">
        <v>-0.14454510405062138</v>
      </c>
      <c r="AI33" s="2">
        <f t="shared" si="14"/>
        <v>2205.2917834371328</v>
      </c>
      <c r="AJ33" s="2">
        <v>0.37892341373367344</v>
      </c>
      <c r="AK33" s="2">
        <f t="shared" si="9"/>
        <v>2205.2917657420039</v>
      </c>
      <c r="AL33" s="2">
        <v>0.37890920461472888</v>
      </c>
      <c r="AM33" s="2">
        <f t="shared" si="10"/>
        <v>-5.4769470406774171E-2</v>
      </c>
      <c r="AN33" s="2">
        <f t="shared" si="11"/>
        <v>0.14357756930772403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196.29</v>
      </c>
      <c r="L34" s="6" t="s">
        <v>7</v>
      </c>
      <c r="U34" s="2">
        <v>30</v>
      </c>
      <c r="V34" s="2">
        <f t="shared" si="7"/>
        <v>6.23164102435112E-2</v>
      </c>
      <c r="W34" s="2">
        <f t="shared" si="0"/>
        <v>6.9432118388057518E-10</v>
      </c>
      <c r="X34" s="2">
        <f t="shared" si="8"/>
        <v>6.2316411174833775E-2</v>
      </c>
      <c r="Y34" s="2">
        <f t="shared" si="1"/>
        <v>-2.3811619342950507E-10</v>
      </c>
      <c r="Z34" s="2">
        <f t="shared" si="3"/>
        <v>6.2316410709172487E-2</v>
      </c>
      <c r="AA34" s="2">
        <f t="shared" si="2"/>
        <v>2.2810249522553505E-10</v>
      </c>
      <c r="AB34" s="2">
        <f t="shared" si="4"/>
        <v>1.5837639453110674E-19</v>
      </c>
      <c r="AC34" s="2">
        <f t="shared" si="5"/>
        <v>-5.4314897874876262E-20</v>
      </c>
      <c r="AD34" s="2">
        <f>X34-V34</f>
        <v>9.3132257461547852E-10</v>
      </c>
      <c r="AF34" s="2">
        <v>30</v>
      </c>
      <c r="AG34" s="2">
        <f t="shared" si="13"/>
        <v>2205.291748046875</v>
      </c>
      <c r="AH34" s="2">
        <v>-0.14454510405062138</v>
      </c>
      <c r="AI34" s="2">
        <f t="shared" si="14"/>
        <v>2205.2917657420039</v>
      </c>
      <c r="AJ34" s="2">
        <v>0.37892341373367344</v>
      </c>
      <c r="AK34" s="2">
        <f t="shared" si="9"/>
        <v>2205.2917568944395</v>
      </c>
      <c r="AL34" s="2">
        <v>0.37891630917397379</v>
      </c>
      <c r="AM34" s="2">
        <f t="shared" si="10"/>
        <v>-5.4770497336029463E-2</v>
      </c>
      <c r="AN34" s="2">
        <f t="shared" si="11"/>
        <v>0.14358026139156618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236.59900590075105</v>
      </c>
      <c r="H35" s="25" t="s">
        <v>101</v>
      </c>
      <c r="J35" s="15" t="s">
        <v>70</v>
      </c>
      <c r="K35" s="6">
        <f>ROUND(SUM(K23:K26),2)</f>
        <v>147.63</v>
      </c>
      <c r="L35" s="6" t="s">
        <v>7</v>
      </c>
      <c r="AF35" s="2">
        <v>31</v>
      </c>
      <c r="AG35" s="2">
        <f t="shared" si="13"/>
        <v>2205.291748046875</v>
      </c>
      <c r="AH35" s="2">
        <v>-0.14454510405062138</v>
      </c>
      <c r="AI35" s="2">
        <f t="shared" si="14"/>
        <v>2205.2917568944395</v>
      </c>
      <c r="AJ35" s="2">
        <v>0.37892341373367344</v>
      </c>
      <c r="AK35" s="2">
        <f t="shared" si="9"/>
        <v>2205.2917524706572</v>
      </c>
      <c r="AL35" s="2">
        <v>0.37891986145427836</v>
      </c>
      <c r="AM35" s="2">
        <f t="shared" si="10"/>
        <v>-5.47710108007557E-2</v>
      </c>
      <c r="AN35" s="2">
        <f t="shared" si="11"/>
        <v>0.14358160743374573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2205.4500000000003</v>
      </c>
      <c r="L36" s="6" t="s">
        <v>7</v>
      </c>
      <c r="AF36" s="2">
        <v>32</v>
      </c>
      <c r="AG36" s="2">
        <f t="shared" si="13"/>
        <v>2205.291748046875</v>
      </c>
      <c r="AH36" s="2">
        <v>-0.14454510405062138</v>
      </c>
      <c r="AI36" s="2">
        <f t="shared" si="14"/>
        <v>2205.2917524706572</v>
      </c>
      <c r="AJ36" s="2">
        <v>0.37892341373367344</v>
      </c>
      <c r="AK36" s="2">
        <f t="shared" si="9"/>
        <v>2205.2917502587661</v>
      </c>
      <c r="AL36" s="2">
        <v>0.37892163759374853</v>
      </c>
      <c r="AM36" s="2">
        <f t="shared" si="10"/>
        <v>-5.4771267533020224E-2</v>
      </c>
      <c r="AN36" s="2">
        <f t="shared" si="11"/>
        <v>0.14358228045457705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2205.291748046875</v>
      </c>
      <c r="AH37" s="2">
        <v>-0.14454510405062138</v>
      </c>
      <c r="AI37" s="2">
        <f t="shared" si="14"/>
        <v>2205.2917502587661</v>
      </c>
      <c r="AJ37" s="2">
        <v>0.37892341373367344</v>
      </c>
      <c r="AK37" s="2">
        <f t="shared" si="9"/>
        <v>2205.2917491528206</v>
      </c>
      <c r="AL37" s="2">
        <v>0.37892252566393836</v>
      </c>
      <c r="AM37" s="2">
        <f t="shared" si="10"/>
        <v>-5.4771395899218221E-2</v>
      </c>
      <c r="AN37" s="2">
        <f t="shared" si="11"/>
        <v>0.143582616965165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2205.291748046875</v>
      </c>
      <c r="AH38" s="2">
        <v>-0.14454510405062138</v>
      </c>
      <c r="AI38" s="2">
        <f t="shared" si="14"/>
        <v>2205.2917491528206</v>
      </c>
      <c r="AJ38" s="2">
        <v>0.37892341373367344</v>
      </c>
      <c r="AK38" s="2">
        <f t="shared" si="9"/>
        <v>2205.2917485998478</v>
      </c>
      <c r="AL38" s="2">
        <v>0.3789229696988059</v>
      </c>
      <c r="AM38" s="2">
        <f t="shared" si="10"/>
        <v>-5.4771460082284347E-2</v>
      </c>
      <c r="AN38" s="2">
        <f t="shared" si="11"/>
        <v>0.14358278522037282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27.21</v>
      </c>
      <c r="L39" s="6" t="s">
        <v>58</v>
      </c>
      <c r="AF39" s="2">
        <v>35</v>
      </c>
      <c r="AG39" s="2">
        <f t="shared" si="13"/>
        <v>2205.291748046875</v>
      </c>
      <c r="AH39" s="2">
        <v>-0.14454510405062138</v>
      </c>
      <c r="AI39" s="2">
        <f t="shared" si="14"/>
        <v>2205.2917485998478</v>
      </c>
      <c r="AJ39" s="2">
        <v>0.37892341373367344</v>
      </c>
      <c r="AK39" s="2">
        <f t="shared" si="9"/>
        <v>2205.2917483233614</v>
      </c>
      <c r="AL39" s="2">
        <v>0.37892319171646704</v>
      </c>
      <c r="AM39" s="2">
        <f t="shared" si="10"/>
        <v>-5.4771492173850279E-2</v>
      </c>
      <c r="AN39" s="2">
        <f t="shared" si="11"/>
        <v>0.14358286934806291</v>
      </c>
      <c r="AO39" s="2">
        <f t="shared" si="12"/>
        <v>5.5297277867794037E-7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23.3</v>
      </c>
      <c r="L40" s="6" t="s">
        <v>58</v>
      </c>
      <c r="AF40" s="2">
        <v>36</v>
      </c>
      <c r="AG40" s="2">
        <f t="shared" si="13"/>
        <v>2205.291748046875</v>
      </c>
      <c r="AH40" s="2">
        <v>-0.14454510405062138</v>
      </c>
      <c r="AI40" s="2">
        <f t="shared" si="14"/>
        <v>2205.2917483233614</v>
      </c>
      <c r="AJ40" s="2">
        <v>0.37892341373367344</v>
      </c>
      <c r="AK40" s="2">
        <f t="shared" si="9"/>
        <v>2205.2917481851182</v>
      </c>
      <c r="AL40" s="2">
        <v>0.37892330272484287</v>
      </c>
      <c r="AM40" s="2">
        <f t="shared" si="10"/>
        <v>-5.4771508219567513E-2</v>
      </c>
      <c r="AN40" s="2">
        <f t="shared" si="11"/>
        <v>0.14358291141173563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33.9</v>
      </c>
      <c r="L41" s="6" t="s">
        <v>58</v>
      </c>
      <c r="AF41" s="2">
        <v>37</v>
      </c>
      <c r="AG41" s="2">
        <f t="shared" si="13"/>
        <v>2205.291748046875</v>
      </c>
      <c r="AH41" s="2">
        <v>-0.14454510405062138</v>
      </c>
      <c r="AI41" s="2">
        <f t="shared" si="14"/>
        <v>2205.2917481851182</v>
      </c>
      <c r="AJ41" s="2">
        <v>0.37892341373367344</v>
      </c>
      <c r="AK41" s="2">
        <f t="shared" si="9"/>
        <v>2205.2917481159966</v>
      </c>
      <c r="AL41" s="2">
        <v>0.37892335822948553</v>
      </c>
      <c r="AM41" s="2">
        <f t="shared" si="10"/>
        <v>-5.4771516242491866E-2</v>
      </c>
      <c r="AN41" s="2">
        <f t="shared" si="11"/>
        <v>0.14358293244374429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8.9</v>
      </c>
      <c r="L42" s="6" t="s">
        <v>58</v>
      </c>
      <c r="AF42" s="2">
        <v>38</v>
      </c>
      <c r="AG42" s="2">
        <f t="shared" si="13"/>
        <v>2205.291748046875</v>
      </c>
      <c r="AH42" s="2">
        <v>-0.14454510405062138</v>
      </c>
      <c r="AI42" s="2">
        <f t="shared" si="14"/>
        <v>2205.2917481159966</v>
      </c>
      <c r="AJ42" s="2">
        <v>0.37892341373367344</v>
      </c>
      <c r="AK42" s="2">
        <f t="shared" si="9"/>
        <v>2205.2917480814358</v>
      </c>
      <c r="AL42" s="2">
        <v>0.37892338598180686</v>
      </c>
      <c r="AM42" s="2">
        <f t="shared" si="10"/>
        <v>-5.4771520253954036E-2</v>
      </c>
      <c r="AN42" s="2">
        <f t="shared" si="11"/>
        <v>0.14358294295974863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6.69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2205.291748046875</v>
      </c>
      <c r="AH43" s="2">
        <v>-0.14454510405062138</v>
      </c>
      <c r="AI43" s="2">
        <f t="shared" si="14"/>
        <v>2205.2917480814358</v>
      </c>
      <c r="AJ43" s="2">
        <v>0.37892341373367344</v>
      </c>
      <c r="AK43" s="2">
        <f t="shared" si="9"/>
        <v>2205.2917480641554</v>
      </c>
      <c r="AL43" s="2">
        <v>0.37892339985796752</v>
      </c>
      <c r="AM43" s="2">
        <f t="shared" si="10"/>
        <v>-5.4771522259685124E-2</v>
      </c>
      <c r="AN43" s="2">
        <f t="shared" si="11"/>
        <v>0.14358294821775081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2205.291748046875</v>
      </c>
      <c r="AH44" s="2">
        <v>-0.14454510405062138</v>
      </c>
      <c r="AI44" s="2">
        <f t="shared" si="14"/>
        <v>2205.2917480641554</v>
      </c>
      <c r="AJ44" s="2">
        <v>0.37892341373367344</v>
      </c>
      <c r="AK44" s="5">
        <f>(AG44+AI44)/2</f>
        <v>2205.2917480555152</v>
      </c>
      <c r="AL44" s="2">
        <v>0.37892340679604786</v>
      </c>
      <c r="AM44" s="2">
        <f t="shared" si="10"/>
        <v>-5.4771523262550671E-2</v>
      </c>
      <c r="AN44" s="2">
        <f t="shared" si="11"/>
        <v>0.14358295084675188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1870.1888855083894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27.21</v>
      </c>
      <c r="L47" s="6" t="s">
        <v>58</v>
      </c>
      <c r="N47" s="6" t="s">
        <v>154</v>
      </c>
      <c r="O47" s="6">
        <f>0.377*O46^0.6945</f>
        <v>70.577425177449499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23.3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49.5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100.01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B1:D1"/>
    <mergeCell ref="B3:D3"/>
    <mergeCell ref="F3:H3"/>
    <mergeCell ref="J3:L3"/>
    <mergeCell ref="N3:P3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3C-7DF3-FF47-B161-8DD1A1B4D967}">
  <dimension ref="B1:AO56"/>
  <sheetViews>
    <sheetView topLeftCell="B1" workbookViewId="0">
      <selection activeCell="I8" sqref="I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349.09956248736574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6.4456990655456653E-2</v>
      </c>
      <c r="X4" s="3">
        <v>1</v>
      </c>
      <c r="Y4" s="2">
        <f t="shared" ref="Y4:Y34" si="1" xml:space="preserve"> $O$20 * TAN($O$17/180*PI()) + $O$21 / (2 * SQRT($O$20^2 + X4^2)) - X4</f>
        <v>-0.93841291725010179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-0.43699237208424047</v>
      </c>
      <c r="AB4" s="2">
        <f>W4*AA4</f>
        <v>-2.8167213243939726E-2</v>
      </c>
      <c r="AC4" s="2">
        <f>Y4*AA4</f>
        <v>0.41007928670361404</v>
      </c>
      <c r="AD4" s="2">
        <f>X4-V4</f>
        <v>1</v>
      </c>
      <c r="AF4" s="2">
        <v>0</v>
      </c>
      <c r="AG4" s="2"/>
      <c r="AH4" s="2">
        <f>K27</f>
        <v>1.178349589440586E-2</v>
      </c>
      <c r="AI4" s="2"/>
      <c r="AJ4" s="2">
        <f>K27</f>
        <v>1.178349589440586E-2</v>
      </c>
      <c r="AK4" s="2"/>
      <c r="AL4" s="2">
        <f>K27</f>
        <v>1.178349589440586E-2</v>
      </c>
      <c r="AM4" s="2"/>
      <c r="AN4" s="2"/>
      <c r="AO4" s="2"/>
    </row>
    <row r="5" spans="2:41" x14ac:dyDescent="0.2">
      <c r="B5" s="10" t="s">
        <v>37</v>
      </c>
      <c r="C5" s="10">
        <v>2086.3463745005101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87.274890621841436</v>
      </c>
      <c r="L5" s="6" t="s">
        <v>101</v>
      </c>
      <c r="N5" s="6" t="s">
        <v>114</v>
      </c>
      <c r="O5" s="6">
        <f xml:space="preserve"> $C$18 * 0.85 * ($C$5/$C$18 *2.20462/1000)^(2/3) * 0.3048^2</f>
        <v>0.34669609587987177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6.4456990655456653E-2</v>
      </c>
      <c r="X5" s="2">
        <f>IF(AC4&gt;0, Z4, X4)</f>
        <v>0.5</v>
      </c>
      <c r="Y5" s="2">
        <f t="shared" si="1"/>
        <v>-0.43699237208424047</v>
      </c>
      <c r="Z5" s="2">
        <f t="shared" ref="Z5:Z34" si="3" xml:space="preserve"> (V5 + X5)/2</f>
        <v>0.25</v>
      </c>
      <c r="AA5" s="2">
        <f t="shared" si="2"/>
        <v>-0.186044959494826</v>
      </c>
      <c r="AB5" s="2">
        <f t="shared" ref="AB5:AB34" si="4">W5*AA5</f>
        <v>-1.1991898215652811E-2</v>
      </c>
      <c r="AC5" s="2">
        <f t="shared" ref="AC5:AC34" si="5">Y5*AA5</f>
        <v>8.1300228163960445E-2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-1475.9584813308213</v>
      </c>
      <c r="AI5" s="3">
        <v>10000</v>
      </c>
      <c r="AJ5" s="2">
        <f t="dataTable" ref="AJ5:AJ44" dt2D="0" dtr="0" r1="C5" ca="1"/>
        <v>6841.5785432207795</v>
      </c>
      <c r="AK5" s="2">
        <f>(AG5+AI5)/2</f>
        <v>5250</v>
      </c>
      <c r="AL5" s="2">
        <f t="dataTable" ref="AL5:AL44" dt2D="0" dtr="0" r1="C5" ca="1"/>
        <v>2853.1156631546173</v>
      </c>
      <c r="AM5" s="2">
        <f>AH5*AL5</f>
        <v>-4211080.2612508684</v>
      </c>
      <c r="AN5" s="2">
        <f>AJ5*AL5</f>
        <v>19519814.902365755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6.4456990655456653E-2</v>
      </c>
      <c r="X6" s="2">
        <f t="shared" ref="X6:X34" si="8">IF(AC5&gt;0, Z5, X5)</f>
        <v>0.25</v>
      </c>
      <c r="Y6" s="2">
        <f t="shared" si="1"/>
        <v>-0.186044959494826</v>
      </c>
      <c r="Z6" s="2">
        <f t="shared" si="3"/>
        <v>0.125</v>
      </c>
      <c r="AA6" s="2">
        <f t="shared" si="2"/>
        <v>-6.0682544192422472E-2</v>
      </c>
      <c r="AB6" s="2">
        <f t="shared" si="4"/>
        <v>-3.9114141839603107E-3</v>
      </c>
      <c r="AC6" s="2">
        <f t="shared" si="5"/>
        <v>1.1289681476322228E-2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-1475.9584813308213</v>
      </c>
      <c r="AI6" s="2">
        <f>IF(AN5&gt;0, AK5, AI5)</f>
        <v>5250</v>
      </c>
      <c r="AJ6" s="2">
        <v>2853.1156631546173</v>
      </c>
      <c r="AK6" s="2">
        <f t="shared" ref="AK6:AK43" si="9">(AG6+AI6)/2</f>
        <v>2875</v>
      </c>
      <c r="AL6" s="2">
        <v>725.66051862897052</v>
      </c>
      <c r="AM6" s="2">
        <f t="shared" ref="AM6:AM44" si="10">AH6*AL6</f>
        <v>-1071044.7970373514</v>
      </c>
      <c r="AN6" s="2">
        <f t="shared" ref="AN6:AN44" si="11">AJ6*AL6</f>
        <v>2070393.3918332187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275.17958978683703</v>
      </c>
      <c r="D7" s="6" t="s">
        <v>125</v>
      </c>
      <c r="F7" t="s">
        <v>121</v>
      </c>
      <c r="G7" s="8">
        <f>$C$6*2*PI()/60*$C$9</f>
        <v>178.06688397294508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0.97697271921496776</v>
      </c>
      <c r="P7" s="6" t="s">
        <v>115</v>
      </c>
      <c r="U7" s="2">
        <v>3</v>
      </c>
      <c r="V7" s="2">
        <f t="shared" si="7"/>
        <v>0</v>
      </c>
      <c r="W7" s="2">
        <f t="shared" si="0"/>
        <v>6.4456990655456653E-2</v>
      </c>
      <c r="X7" s="2">
        <f t="shared" si="8"/>
        <v>0.125</v>
      </c>
      <c r="Y7" s="2">
        <f t="shared" si="1"/>
        <v>-6.0682544192422472E-2</v>
      </c>
      <c r="Z7" s="2">
        <f t="shared" si="3"/>
        <v>6.25E-2</v>
      </c>
      <c r="AA7" s="2">
        <f t="shared" si="2"/>
        <v>1.9210873262407446E-3</v>
      </c>
      <c r="AB7" s="2">
        <f t="shared" si="4"/>
        <v>1.2382750783581587E-4</v>
      </c>
      <c r="AC7" s="2">
        <f t="shared" si="5"/>
        <v>-1.1657646657210672E-4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-1475.9584813308213</v>
      </c>
      <c r="AI7" s="2">
        <f t="shared" ref="AI7:AI44" si="14">IF(AN6&gt;0, AK6, AI6)</f>
        <v>2875</v>
      </c>
      <c r="AJ7" s="2">
        <v>725.66051862897052</v>
      </c>
      <c r="AK7" s="2">
        <f t="shared" si="9"/>
        <v>1687.5</v>
      </c>
      <c r="AL7" s="2">
        <v>-369.87410632931073</v>
      </c>
      <c r="AM7" s="2">
        <f t="shared" si="10"/>
        <v>545918.82426140422</v>
      </c>
      <c r="AN7" s="2">
        <f t="shared" si="11"/>
        <v>-268403.03582635464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0.53326699007988876</v>
      </c>
      <c r="H8" s="6" t="s">
        <v>122</v>
      </c>
      <c r="J8" s="6" t="s">
        <v>96</v>
      </c>
      <c r="K8" s="6">
        <f xml:space="preserve"> $C$15 * (G12*G6 + G22*G15 + G31*G27 +G35*G34)/3600</f>
        <v>187.88415643967534</v>
      </c>
      <c r="L8" s="6" t="s">
        <v>102</v>
      </c>
      <c r="N8" s="6" t="s">
        <v>38</v>
      </c>
      <c r="O8" s="6">
        <f xml:space="preserve"> O4 *O7</f>
        <v>2215.2502603333251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1.9210873262407446E-3</v>
      </c>
      <c r="X8" s="2">
        <f t="shared" si="8"/>
        <v>0.125</v>
      </c>
      <c r="Y8" s="2">
        <f t="shared" si="1"/>
        <v>-6.0682544192422472E-2</v>
      </c>
      <c r="Z8" s="2">
        <f t="shared" si="3"/>
        <v>9.375E-2</v>
      </c>
      <c r="AA8" s="2">
        <f t="shared" si="2"/>
        <v>-2.9372818070176637E-2</v>
      </c>
      <c r="AB8" s="2">
        <f t="shared" si="4"/>
        <v>-5.6427748530591467E-5</v>
      </c>
      <c r="AC8" s="2">
        <f t="shared" si="5"/>
        <v>1.7824173305994791E-3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-369.87410632931073</v>
      </c>
      <c r="AI8" s="2">
        <f t="shared" si="14"/>
        <v>2875</v>
      </c>
      <c r="AJ8" s="2">
        <v>725.66051862897052</v>
      </c>
      <c r="AK8" s="2">
        <f t="shared" si="9"/>
        <v>2281.25</v>
      </c>
      <c r="AL8" s="2">
        <v>180.08018772558557</v>
      </c>
      <c r="AM8" s="2">
        <f t="shared" si="10"/>
        <v>-66606.998502615475</v>
      </c>
      <c r="AN8" s="2">
        <f t="shared" si="11"/>
        <v>130677.0824197508</v>
      </c>
      <c r="AO8" s="2">
        <f t="shared" si="12"/>
        <v>1187.5</v>
      </c>
    </row>
    <row r="9" spans="2:41" x14ac:dyDescent="0.2">
      <c r="B9" s="6" t="s">
        <v>95</v>
      </c>
      <c r="C9" s="17">
        <v>4.2510337177897801</v>
      </c>
      <c r="D9" s="6" t="s">
        <v>8</v>
      </c>
      <c r="F9" t="s">
        <v>19</v>
      </c>
      <c r="G9" s="6">
        <f xml:space="preserve"> $C$5 * $C$44 / $C$18</f>
        <v>5112.3264034910962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2215.2502603333251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1.9210873262407446E-3</v>
      </c>
      <c r="X9" s="2">
        <f t="shared" si="8"/>
        <v>9.375E-2</v>
      </c>
      <c r="Y9" s="2">
        <f t="shared" si="1"/>
        <v>-2.9372818070176637E-2</v>
      </c>
      <c r="Z9" s="2">
        <f t="shared" si="3"/>
        <v>7.8125E-2</v>
      </c>
      <c r="AA9" s="2">
        <f t="shared" si="2"/>
        <v>-1.372380174003944E-2</v>
      </c>
      <c r="AB9" s="2">
        <f t="shared" si="4"/>
        <v>-2.6364621590630445E-5</v>
      </c>
      <c r="AC9" s="2">
        <f t="shared" si="5"/>
        <v>4.0310673174135205E-4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-369.87410632931073</v>
      </c>
      <c r="AI9" s="2">
        <f t="shared" si="14"/>
        <v>2281.25</v>
      </c>
      <c r="AJ9" s="2">
        <v>180.08018772558557</v>
      </c>
      <c r="AK9" s="2">
        <f t="shared" si="9"/>
        <v>1984.375</v>
      </c>
      <c r="AL9" s="2">
        <v>-94.381033568383145</v>
      </c>
      <c r="AM9" s="2">
        <f t="shared" si="10"/>
        <v>34909.10044554239</v>
      </c>
      <c r="AN9" s="2">
        <f t="shared" si="11"/>
        <v>-16996.15424272923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54.340166287726952</v>
      </c>
      <c r="H10" s="6" t="s">
        <v>101</v>
      </c>
      <c r="N10" s="6" t="s">
        <v>113</v>
      </c>
      <c r="O10" s="6">
        <f>O7/(0.3048^2)/($C$5*2.20462/1000)^(2/3)</f>
        <v>3.8022360492600344</v>
      </c>
      <c r="U10" s="2">
        <v>6</v>
      </c>
      <c r="V10" s="2">
        <f t="shared" si="7"/>
        <v>6.25E-2</v>
      </c>
      <c r="W10" s="2">
        <f t="shared" si="0"/>
        <v>1.9210873262407446E-3</v>
      </c>
      <c r="X10" s="2">
        <f t="shared" si="8"/>
        <v>7.8125E-2</v>
      </c>
      <c r="Y10" s="2">
        <f t="shared" si="1"/>
        <v>-1.372380174003944E-2</v>
      </c>
      <c r="Z10" s="2">
        <f t="shared" si="3"/>
        <v>7.03125E-2</v>
      </c>
      <c r="AA10" s="2">
        <f t="shared" si="2"/>
        <v>-5.9008318611680349E-3</v>
      </c>
      <c r="AB10" s="2">
        <f t="shared" si="4"/>
        <v>-1.1336013302767497E-5</v>
      </c>
      <c r="AC10" s="2">
        <f t="shared" si="5"/>
        <v>8.0981846563978047E-5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-94.381033568383145</v>
      </c>
      <c r="AI10" s="2">
        <f t="shared" si="14"/>
        <v>2281.25</v>
      </c>
      <c r="AJ10" s="2">
        <v>180.08018772558557</v>
      </c>
      <c r="AK10" s="2">
        <f t="shared" si="9"/>
        <v>2132.8125</v>
      </c>
      <c r="AL10" s="2">
        <v>42.983221767228542</v>
      </c>
      <c r="AM10" s="2">
        <f t="shared" si="10"/>
        <v>-4056.8008964900541</v>
      </c>
      <c r="AN10" s="2">
        <f t="shared" si="11"/>
        <v>7740.426644892992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9.5985461447314524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6.25E-2</v>
      </c>
      <c r="W11" s="2">
        <f t="shared" si="0"/>
        <v>1.9210873262407446E-3</v>
      </c>
      <c r="X11" s="2">
        <f t="shared" si="8"/>
        <v>7.03125E-2</v>
      </c>
      <c r="Y11" s="2">
        <f t="shared" si="1"/>
        <v>-5.9008318611680349E-3</v>
      </c>
      <c r="Z11" s="2">
        <f t="shared" si="3"/>
        <v>6.640625E-2</v>
      </c>
      <c r="AA11" s="2">
        <f t="shared" si="2"/>
        <v>-1.9897398413958184E-3</v>
      </c>
      <c r="AB11" s="2">
        <f t="shared" si="4"/>
        <v>-3.8224639918217759E-6</v>
      </c>
      <c r="AC11" s="2">
        <f t="shared" si="5"/>
        <v>1.1741120251543877E-5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-94.381033568383145</v>
      </c>
      <c r="AI11" s="2">
        <f t="shared" si="14"/>
        <v>2132.8125</v>
      </c>
      <c r="AJ11" s="2">
        <v>42.983221767228542</v>
      </c>
      <c r="AK11" s="2">
        <f t="shared" si="9"/>
        <v>2058.59375</v>
      </c>
      <c r="AL11" s="2">
        <v>-25.665982264260265</v>
      </c>
      <c r="AM11" s="2">
        <f t="shared" si="10"/>
        <v>2422.3819336486745</v>
      </c>
      <c r="AN11" s="2">
        <f t="shared" si="11"/>
        <v>-1103.2066075384535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217.36066515090781</v>
      </c>
      <c r="H12" s="25" t="s">
        <v>101</v>
      </c>
      <c r="J12" s="10" t="s">
        <v>79</v>
      </c>
      <c r="K12" s="6">
        <f>C5</f>
        <v>2086.3463745005101</v>
      </c>
      <c r="L12" s="6" t="s">
        <v>7</v>
      </c>
      <c r="N12" s="31" t="s">
        <v>73</v>
      </c>
      <c r="O12" s="33"/>
      <c r="P12" s="33"/>
      <c r="U12" s="2">
        <v>8</v>
      </c>
      <c r="V12" s="2">
        <f t="shared" si="7"/>
        <v>6.25E-2</v>
      </c>
      <c r="W12" s="2">
        <f t="shared" si="0"/>
        <v>1.9210873262407446E-3</v>
      </c>
      <c r="X12" s="2">
        <f t="shared" si="8"/>
        <v>6.640625E-2</v>
      </c>
      <c r="Y12" s="2">
        <f t="shared" si="1"/>
        <v>-1.9897398413958184E-3</v>
      </c>
      <c r="Z12" s="2">
        <f t="shared" si="3"/>
        <v>6.4453125E-2</v>
      </c>
      <c r="AA12" s="2">
        <f t="shared" si="2"/>
        <v>-3.4293020709161293E-5</v>
      </c>
      <c r="AB12" s="2">
        <f t="shared" si="4"/>
        <v>-6.5879887462881157E-8</v>
      </c>
      <c r="AC12" s="2">
        <f t="shared" si="5"/>
        <v>6.8234189586830102E-8</v>
      </c>
      <c r="AD12" s="2">
        <f t="shared" si="6"/>
        <v>3.90625E-3</v>
      </c>
      <c r="AF12" s="2">
        <v>8</v>
      </c>
      <c r="AG12" s="2">
        <f t="shared" si="13"/>
        <v>2058.59375</v>
      </c>
      <c r="AH12" s="2">
        <v>-25.665982264260265</v>
      </c>
      <c r="AI12" s="2">
        <f t="shared" si="14"/>
        <v>2132.8125</v>
      </c>
      <c r="AJ12" s="2">
        <v>42.983221767228542</v>
      </c>
      <c r="AK12" s="2">
        <f t="shared" si="9"/>
        <v>2095.703125</v>
      </c>
      <c r="AL12" s="2">
        <v>8.6669148919452255</v>
      </c>
      <c r="AM12" s="2">
        <f t="shared" si="10"/>
        <v>-222.44488390251934</v>
      </c>
      <c r="AN12" s="2">
        <f t="shared" si="11"/>
        <v>372.53192483817725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394.71461436906583</v>
      </c>
      <c r="L13" s="6" t="s">
        <v>7</v>
      </c>
      <c r="N13" s="6" t="s">
        <v>74</v>
      </c>
      <c r="O13" s="6">
        <f xml:space="preserve"> SQRT( ($C$5*$C$50)^2 + O9^2)</f>
        <v>20566.998800204481</v>
      </c>
      <c r="P13" s="6" t="s">
        <v>20</v>
      </c>
      <c r="U13" s="2">
        <v>9</v>
      </c>
      <c r="V13" s="2">
        <f t="shared" si="7"/>
        <v>6.25E-2</v>
      </c>
      <c r="W13" s="2">
        <f t="shared" si="0"/>
        <v>1.9210873262407446E-3</v>
      </c>
      <c r="X13" s="2">
        <f t="shared" si="8"/>
        <v>6.4453125E-2</v>
      </c>
      <c r="Y13" s="2">
        <f t="shared" si="1"/>
        <v>-3.4293020709161293E-5</v>
      </c>
      <c r="Z13" s="2">
        <f t="shared" si="3"/>
        <v>6.34765625E-2</v>
      </c>
      <c r="AA13" s="2">
        <f t="shared" si="2"/>
        <v>9.43405477904391E-4</v>
      </c>
      <c r="AB13" s="2">
        <f t="shared" si="4"/>
        <v>1.8123643071082184E-6</v>
      </c>
      <c r="AC13" s="2">
        <f t="shared" si="5"/>
        <v>-3.2352223590911485E-8</v>
      </c>
      <c r="AD13" s="2">
        <f t="shared" si="6"/>
        <v>1.953125E-3</v>
      </c>
      <c r="AF13" s="2">
        <v>9</v>
      </c>
      <c r="AG13" s="2">
        <f t="shared" si="13"/>
        <v>2058.59375</v>
      </c>
      <c r="AH13" s="2">
        <v>-25.665982264260265</v>
      </c>
      <c r="AI13" s="2">
        <f t="shared" si="14"/>
        <v>2095.703125</v>
      </c>
      <c r="AJ13" s="2">
        <v>8.6669148919452255</v>
      </c>
      <c r="AK13" s="2">
        <f t="shared" si="9"/>
        <v>2077.1484375</v>
      </c>
      <c r="AL13" s="2">
        <v>-8.4974696222082002</v>
      </c>
      <c r="AM13" s="2">
        <f t="shared" si="10"/>
        <v>218.09590461468605</v>
      </c>
      <c r="AN13" s="2">
        <f t="shared" si="11"/>
        <v>-73.646846012568417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>linear_250!K14</f>
        <v>218.37262530800768</v>
      </c>
      <c r="L14" s="6" t="s">
        <v>7</v>
      </c>
      <c r="N14" s="6" t="s">
        <v>75</v>
      </c>
      <c r="O14" s="6">
        <f>$C$5*$C$50/O13</f>
        <v>0.99418246702711732</v>
      </c>
      <c r="U14" s="2">
        <v>10</v>
      </c>
      <c r="V14" s="2">
        <f t="shared" si="7"/>
        <v>6.34765625E-2</v>
      </c>
      <c r="W14" s="2">
        <f t="shared" si="0"/>
        <v>9.43405477904391E-4</v>
      </c>
      <c r="X14" s="2">
        <f t="shared" si="8"/>
        <v>6.4453125E-2</v>
      </c>
      <c r="Y14" s="2">
        <f t="shared" si="1"/>
        <v>-3.4293020709161293E-5</v>
      </c>
      <c r="Z14" s="2">
        <f t="shared" si="3"/>
        <v>6.396484375E-2</v>
      </c>
      <c r="AA14" s="2">
        <f t="shared" si="2"/>
        <v>4.5455830790883112E-4</v>
      </c>
      <c r="AB14" s="2">
        <f t="shared" si="4"/>
        <v>4.2883279770814214E-7</v>
      </c>
      <c r="AC14" s="2">
        <f t="shared" si="5"/>
        <v>-1.5588177466638862E-8</v>
      </c>
      <c r="AD14" s="2">
        <f t="shared" si="6"/>
        <v>9.765625E-4</v>
      </c>
      <c r="AF14" s="2">
        <v>10</v>
      </c>
      <c r="AG14" s="2">
        <f t="shared" si="13"/>
        <v>2077.1484375</v>
      </c>
      <c r="AH14" s="2">
        <v>-8.4974696222082002</v>
      </c>
      <c r="AI14" s="2">
        <f t="shared" si="14"/>
        <v>2095.703125</v>
      </c>
      <c r="AJ14" s="2">
        <v>8.6669148919452255</v>
      </c>
      <c r="AK14" s="2">
        <f t="shared" si="9"/>
        <v>2086.42578125</v>
      </c>
      <c r="AL14" s="2">
        <v>8.5240490661135482E-2</v>
      </c>
      <c r="AM14" s="2">
        <f t="shared" si="10"/>
        <v>-0.72432847997512051</v>
      </c>
      <c r="AN14" s="2">
        <f t="shared" si="11"/>
        <v>0.73877207790771304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>linear_250!K15</f>
        <v>385.79363297392069</v>
      </c>
      <c r="L15" s="6" t="s">
        <v>7</v>
      </c>
      <c r="U15" s="2">
        <v>11</v>
      </c>
      <c r="V15" s="2">
        <f t="shared" si="7"/>
        <v>6.396484375E-2</v>
      </c>
      <c r="W15" s="2">
        <f t="shared" si="0"/>
        <v>4.5455830790883112E-4</v>
      </c>
      <c r="X15" s="2">
        <f t="shared" si="8"/>
        <v>6.4453125E-2</v>
      </c>
      <c r="Y15" s="2">
        <f t="shared" si="1"/>
        <v>-3.4293020709161293E-5</v>
      </c>
      <c r="Z15" s="2">
        <f t="shared" si="3"/>
        <v>6.4208984375E-2</v>
      </c>
      <c r="AA15" s="2">
        <f t="shared" si="2"/>
        <v>2.1013316317948505E-4</v>
      </c>
      <c r="AB15" s="2">
        <f t="shared" si="4"/>
        <v>9.5517775090397024E-8</v>
      </c>
      <c r="AC15" s="2">
        <f t="shared" si="5"/>
        <v>-7.2061009165956502E-9</v>
      </c>
      <c r="AD15" s="2">
        <f t="shared" si="6"/>
        <v>4.8828125E-4</v>
      </c>
      <c r="AF15" s="2">
        <v>11</v>
      </c>
      <c r="AG15" s="2">
        <f t="shared" si="13"/>
        <v>2077.1484375</v>
      </c>
      <c r="AH15" s="2">
        <v>-8.4974696222082002</v>
      </c>
      <c r="AI15" s="2">
        <f t="shared" si="14"/>
        <v>2086.42578125</v>
      </c>
      <c r="AJ15" s="2">
        <v>8.5240490661135482E-2</v>
      </c>
      <c r="AK15" s="2">
        <f t="shared" si="9"/>
        <v>2081.787109375</v>
      </c>
      <c r="AL15" s="2">
        <v>-4.205982286322751</v>
      </c>
      <c r="AM15" s="2">
        <f t="shared" si="10"/>
        <v>35.740206709573371</v>
      </c>
      <c r="AN15" s="2">
        <f t="shared" si="11"/>
        <v>-0.35851999379819571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122.50093021573831</v>
      </c>
      <c r="H16" s="6" t="s">
        <v>10</v>
      </c>
      <c r="J16" s="13" t="s">
        <v>53</v>
      </c>
      <c r="K16" s="6">
        <f>linear_250!K16</f>
        <v>93.361284791754656</v>
      </c>
      <c r="L16" s="6" t="s">
        <v>7</v>
      </c>
      <c r="N16" s="31" t="s">
        <v>24</v>
      </c>
      <c r="O16" s="33"/>
      <c r="P16" s="33"/>
      <c r="U16" s="2">
        <v>12</v>
      </c>
      <c r="V16" s="2">
        <f t="shared" si="7"/>
        <v>6.4208984375E-2</v>
      </c>
      <c r="W16" s="2">
        <f t="shared" si="0"/>
        <v>2.1013316317948505E-4</v>
      </c>
      <c r="X16" s="2">
        <f t="shared" si="8"/>
        <v>6.4453125E-2</v>
      </c>
      <c r="Y16" s="2">
        <f t="shared" si="1"/>
        <v>-3.4293020709161293E-5</v>
      </c>
      <c r="Z16" s="2">
        <f t="shared" si="3"/>
        <v>6.43310546875E-2</v>
      </c>
      <c r="AA16" s="2">
        <f t="shared" si="2"/>
        <v>8.7920201098962147E-5</v>
      </c>
      <c r="AB16" s="2">
        <f t="shared" si="4"/>
        <v>1.8474949964301355E-8</v>
      </c>
      <c r="AC16" s="2">
        <f t="shared" si="5"/>
        <v>-3.0150492770403345E-9</v>
      </c>
      <c r="AD16" s="2">
        <f t="shared" si="6"/>
        <v>2.44140625E-4</v>
      </c>
      <c r="AF16" s="2">
        <v>12</v>
      </c>
      <c r="AG16" s="2">
        <f t="shared" si="13"/>
        <v>2081.787109375</v>
      </c>
      <c r="AH16" s="2">
        <v>-8.4974696222082002</v>
      </c>
      <c r="AI16" s="2">
        <f t="shared" si="14"/>
        <v>2086.42578125</v>
      </c>
      <c r="AJ16" s="2">
        <v>-4.205982286322751</v>
      </c>
      <c r="AK16" s="2">
        <f t="shared" si="9"/>
        <v>2084.1064453125</v>
      </c>
      <c r="AL16" s="2">
        <v>-4.205982286322751</v>
      </c>
      <c r="AM16" s="2">
        <f t="shared" si="10"/>
        <v>35.740206709573371</v>
      </c>
      <c r="AN16" s="2">
        <f t="shared" si="11"/>
        <v>17.690286992860756</v>
      </c>
      <c r="AO16" s="2">
        <f t="shared" si="12"/>
        <v>4.638671875</v>
      </c>
    </row>
    <row r="17" spans="2:41" x14ac:dyDescent="0.2">
      <c r="B17" s="34" t="s">
        <v>110</v>
      </c>
      <c r="C17" s="34"/>
      <c r="D17" s="34"/>
      <c r="F17" s="6" t="s">
        <v>124</v>
      </c>
      <c r="G17" s="6">
        <f>G16/$C$49</f>
        <v>0.36817830341676511</v>
      </c>
      <c r="H17" s="6" t="s">
        <v>122</v>
      </c>
      <c r="J17" s="13" t="s">
        <v>77</v>
      </c>
      <c r="K17" s="6">
        <f>linear_250!K17</f>
        <v>50.174048749170304</v>
      </c>
      <c r="L17" s="6" t="s">
        <v>7</v>
      </c>
      <c r="N17" s="6" t="s">
        <v>25</v>
      </c>
      <c r="O17" s="6">
        <f xml:space="preserve"> ACOS(O14)/PI()*180</f>
        <v>6.183264511819595</v>
      </c>
      <c r="P17" s="6" t="s">
        <v>40</v>
      </c>
      <c r="U17" s="2">
        <v>13</v>
      </c>
      <c r="V17" s="2">
        <f t="shared" si="7"/>
        <v>6.43310546875E-2</v>
      </c>
      <c r="W17" s="2">
        <f t="shared" si="0"/>
        <v>8.7920201098962147E-5</v>
      </c>
      <c r="X17" s="2">
        <f t="shared" si="8"/>
        <v>6.4453125E-2</v>
      </c>
      <c r="Y17" s="2">
        <f t="shared" si="1"/>
        <v>-3.4293020709161293E-5</v>
      </c>
      <c r="Z17" s="2">
        <f t="shared" si="3"/>
        <v>6.439208984375E-2</v>
      </c>
      <c r="AA17" s="2">
        <f t="shared" si="2"/>
        <v>2.6813622656954306E-5</v>
      </c>
      <c r="AB17" s="2">
        <f t="shared" si="4"/>
        <v>2.3574590961911104E-9</v>
      </c>
      <c r="AC17" s="2">
        <f t="shared" si="5"/>
        <v>-9.1952011706257045E-10</v>
      </c>
      <c r="AD17" s="2">
        <f t="shared" si="6"/>
        <v>1.220703125E-4</v>
      </c>
      <c r="AF17" s="2">
        <v>13</v>
      </c>
      <c r="AG17" s="2">
        <f t="shared" si="13"/>
        <v>2084.1064453125</v>
      </c>
      <c r="AH17" s="2">
        <v>-8.4974696222082002</v>
      </c>
      <c r="AI17" s="2">
        <f t="shared" si="14"/>
        <v>2084.1064453125</v>
      </c>
      <c r="AJ17" s="2">
        <v>-4.205982286322751</v>
      </c>
      <c r="AK17" s="2">
        <f t="shared" si="9"/>
        <v>2084.1064453125</v>
      </c>
      <c r="AL17" s="2">
        <v>-4.205982286322751</v>
      </c>
      <c r="AM17" s="2">
        <f t="shared" si="10"/>
        <v>35.740206709573371</v>
      </c>
      <c r="AN17" s="2">
        <f t="shared" si="11"/>
        <v>17.690286992860756</v>
      </c>
      <c r="AO17" s="2">
        <f t="shared" si="12"/>
        <v>0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5141.7497000511203</v>
      </c>
      <c r="H18" s="6" t="s">
        <v>20</v>
      </c>
      <c r="J18" s="14" t="s">
        <v>60</v>
      </c>
      <c r="K18" s="6">
        <f>linear_250!K18</f>
        <v>137.85126605348006</v>
      </c>
      <c r="L18" s="6" t="s">
        <v>7</v>
      </c>
      <c r="N18" s="6" t="s">
        <v>19</v>
      </c>
      <c r="O18" s="6">
        <f xml:space="preserve"> O13 / $C$18</f>
        <v>5141.7497000511203</v>
      </c>
      <c r="P18" s="6" t="s">
        <v>20</v>
      </c>
      <c r="U18" s="2">
        <v>14</v>
      </c>
      <c r="V18" s="2">
        <f t="shared" si="7"/>
        <v>6.439208984375E-2</v>
      </c>
      <c r="W18" s="2">
        <f t="shared" si="0"/>
        <v>2.6813622656954306E-5</v>
      </c>
      <c r="X18" s="2">
        <f t="shared" si="8"/>
        <v>6.4453125E-2</v>
      </c>
      <c r="Y18" s="2">
        <f t="shared" si="1"/>
        <v>-3.4293020709161293E-5</v>
      </c>
      <c r="Z18" s="2">
        <f t="shared" si="3"/>
        <v>6.4422607421875E-2</v>
      </c>
      <c r="AA18" s="2">
        <f t="shared" si="2"/>
        <v>-3.7396909110809506E-6</v>
      </c>
      <c r="AB18" s="2">
        <f t="shared" si="4"/>
        <v>-1.0027466094336627E-10</v>
      </c>
      <c r="AC18" s="2">
        <f t="shared" si="5"/>
        <v>1.2824529785956131E-10</v>
      </c>
      <c r="AD18" s="2">
        <f t="shared" si="6"/>
        <v>6.103515625E-5</v>
      </c>
      <c r="AF18" s="2">
        <v>14</v>
      </c>
      <c r="AG18" s="2">
        <f t="shared" si="13"/>
        <v>2084.1064453125</v>
      </c>
      <c r="AH18" s="2">
        <v>-8.4974696222082002</v>
      </c>
      <c r="AI18" s="2">
        <f t="shared" si="14"/>
        <v>2084.1064453125</v>
      </c>
      <c r="AJ18" s="2">
        <v>-4.205982286322751</v>
      </c>
      <c r="AK18" s="2">
        <f t="shared" si="9"/>
        <v>2084.1064453125</v>
      </c>
      <c r="AL18" s="2">
        <v>-4.205982286322751</v>
      </c>
      <c r="AM18" s="2">
        <f t="shared" si="10"/>
        <v>35.740206709573371</v>
      </c>
      <c r="AN18" s="2">
        <f t="shared" si="11"/>
        <v>17.690286992860756</v>
      </c>
      <c r="AO18" s="2">
        <f t="shared" si="12"/>
        <v>0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58.183260414560955</v>
      </c>
      <c r="H19" s="6" t="s">
        <v>101</v>
      </c>
      <c r="J19" s="14" t="s">
        <v>61</v>
      </c>
      <c r="K19" s="6">
        <f>linear_250!K19</f>
        <v>33.649055373530693</v>
      </c>
      <c r="L19" s="6" t="s">
        <v>7</v>
      </c>
      <c r="N19" s="6" t="s">
        <v>26</v>
      </c>
      <c r="O19" s="6">
        <f>$C$7*2*PI()/60</f>
        <v>28.816739256406002</v>
      </c>
      <c r="P19" s="6" t="s">
        <v>27</v>
      </c>
      <c r="U19" s="2">
        <v>15</v>
      </c>
      <c r="V19" s="2">
        <f t="shared" si="7"/>
        <v>6.439208984375E-2</v>
      </c>
      <c r="W19" s="2">
        <f t="shared" si="0"/>
        <v>2.6813622656954306E-5</v>
      </c>
      <c r="X19" s="2">
        <f t="shared" si="8"/>
        <v>6.4422607421875E-2</v>
      </c>
      <c r="Y19" s="2">
        <f t="shared" si="1"/>
        <v>-3.7396909110809506E-6</v>
      </c>
      <c r="Z19" s="2">
        <f t="shared" si="3"/>
        <v>6.44073486328125E-2</v>
      </c>
      <c r="AA19" s="2">
        <f t="shared" si="2"/>
        <v>1.1536967901765172E-5</v>
      </c>
      <c r="AB19" s="2">
        <f t="shared" si="4"/>
        <v>3.0934790392332517E-10</v>
      </c>
      <c r="AC19" s="2">
        <f t="shared" si="5"/>
        <v>-4.3144694003663881E-11</v>
      </c>
      <c r="AD19" s="2">
        <f t="shared" si="6"/>
        <v>3.0517578125E-5</v>
      </c>
      <c r="AF19" s="2">
        <v>15</v>
      </c>
      <c r="AG19" s="2">
        <f t="shared" si="13"/>
        <v>2084.1064453125</v>
      </c>
      <c r="AH19" s="2">
        <v>-8.4974696222082002</v>
      </c>
      <c r="AI19" s="2">
        <f t="shared" si="14"/>
        <v>2084.1064453125</v>
      </c>
      <c r="AJ19" s="2">
        <v>-4.205982286322751</v>
      </c>
      <c r="AK19" s="2">
        <f t="shared" si="9"/>
        <v>2084.1064453125</v>
      </c>
      <c r="AL19" s="2">
        <v>-4.205982286322751</v>
      </c>
      <c r="AM19" s="2">
        <f t="shared" si="10"/>
        <v>35.740206709573371</v>
      </c>
      <c r="AN19" s="2">
        <f t="shared" si="11"/>
        <v>17.690286992860756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9.0170040799193387</v>
      </c>
      <c r="H20" s="6" t="s">
        <v>147</v>
      </c>
      <c r="J20" s="14" t="s">
        <v>62</v>
      </c>
      <c r="K20" s="6">
        <f>linear_250!K20</f>
        <v>0</v>
      </c>
      <c r="L20" s="6" t="s">
        <v>7</v>
      </c>
      <c r="N20" s="6" t="s">
        <v>28</v>
      </c>
      <c r="O20" s="6">
        <f xml:space="preserve"> $C$8 * COS(O17/180*PI()) / (O19 * $C$9)</f>
        <v>0.54420729207169305</v>
      </c>
      <c r="U20" s="2">
        <v>16</v>
      </c>
      <c r="V20" s="2">
        <f t="shared" si="7"/>
        <v>6.44073486328125E-2</v>
      </c>
      <c r="W20" s="2">
        <f t="shared" si="0"/>
        <v>1.1536967901765172E-5</v>
      </c>
      <c r="X20" s="2">
        <f t="shared" si="8"/>
        <v>6.4422607421875E-2</v>
      </c>
      <c r="Y20" s="2">
        <f t="shared" si="1"/>
        <v>-3.7396909110809506E-6</v>
      </c>
      <c r="Z20" s="2">
        <f t="shared" si="3"/>
        <v>6.441497802734375E-2</v>
      </c>
      <c r="AA20" s="2">
        <f t="shared" si="2"/>
        <v>3.8986390025336215E-6</v>
      </c>
      <c r="AB20" s="2">
        <f t="shared" si="4"/>
        <v>4.497847303280018E-11</v>
      </c>
      <c r="AC20" s="2">
        <f t="shared" si="5"/>
        <v>-1.4579704843360689E-11</v>
      </c>
      <c r="AD20" s="2">
        <f t="shared" si="6"/>
        <v>1.52587890625E-5</v>
      </c>
      <c r="AF20" s="2">
        <v>16</v>
      </c>
      <c r="AG20" s="2">
        <f t="shared" si="13"/>
        <v>2084.1064453125</v>
      </c>
      <c r="AH20" s="2">
        <v>-8.4974696222082002</v>
      </c>
      <c r="AI20" s="2">
        <f t="shared" si="14"/>
        <v>2084.1064453125</v>
      </c>
      <c r="AJ20" s="2">
        <v>-4.205982286322751</v>
      </c>
      <c r="AK20" s="2">
        <f t="shared" si="9"/>
        <v>2084.1064453125</v>
      </c>
      <c r="AL20" s="2">
        <v>-4.205982286322751</v>
      </c>
      <c r="AM20" s="2">
        <f t="shared" si="10"/>
        <v>35.740206709573371</v>
      </c>
      <c r="AN20" s="2">
        <f t="shared" si="11"/>
        <v>17.690286992860756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9.7457611429496882E-2</v>
      </c>
      <c r="J21" s="14" t="s">
        <v>63</v>
      </c>
      <c r="K21" s="6">
        <f>linear_250!K21</f>
        <v>0</v>
      </c>
      <c r="L21" s="6" t="s">
        <v>7</v>
      </c>
      <c r="N21" s="6" t="s">
        <v>29</v>
      </c>
      <c r="O21" s="6">
        <f xml:space="preserve"> O18 / ($C$47 * PI() * $C$9^2 * O19^2 * $C$9^2)</f>
        <v>5.9840900198401912E-3</v>
      </c>
      <c r="U21" s="2">
        <v>17</v>
      </c>
      <c r="V21" s="2">
        <f t="shared" si="7"/>
        <v>6.441497802734375E-2</v>
      </c>
      <c r="W21" s="2">
        <f t="shared" si="0"/>
        <v>3.8986390025336215E-6</v>
      </c>
      <c r="X21" s="2">
        <f t="shared" si="8"/>
        <v>6.4422607421875E-2</v>
      </c>
      <c r="Y21" s="2">
        <f t="shared" si="1"/>
        <v>-3.7396909110809506E-6</v>
      </c>
      <c r="Z21" s="2">
        <f t="shared" si="3"/>
        <v>6.4418792724609375E-2</v>
      </c>
      <c r="AA21" s="2">
        <f t="shared" si="2"/>
        <v>7.9474172534621523E-8</v>
      </c>
      <c r="AB21" s="2">
        <f t="shared" si="4"/>
        <v>3.0984110873756177E-13</v>
      </c>
      <c r="AC21" s="2">
        <f t="shared" si="5"/>
        <v>-2.9720884069340344E-13</v>
      </c>
      <c r="AD21" s="2">
        <f t="shared" si="6"/>
        <v>7.62939453125E-6</v>
      </c>
      <c r="AF21" s="2">
        <v>17</v>
      </c>
      <c r="AG21" s="2">
        <f t="shared" si="13"/>
        <v>2084.1064453125</v>
      </c>
      <c r="AH21" s="2">
        <v>-8.4974696222082002</v>
      </c>
      <c r="AI21" s="2">
        <f t="shared" si="14"/>
        <v>2084.1064453125</v>
      </c>
      <c r="AJ21" s="2">
        <v>-4.205982286322751</v>
      </c>
      <c r="AK21" s="2">
        <f t="shared" si="9"/>
        <v>2084.1064453125</v>
      </c>
      <c r="AL21" s="2">
        <v>-4.205982286322751</v>
      </c>
      <c r="AM21" s="2">
        <f t="shared" si="10"/>
        <v>35.740206709573371</v>
      </c>
      <c r="AN21" s="2">
        <f t="shared" si="11"/>
        <v>17.690286992860756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232.73304165824382</v>
      </c>
      <c r="H22" s="25" t="s">
        <v>101</v>
      </c>
      <c r="J22" s="14" t="s">
        <v>112</v>
      </c>
      <c r="K22" s="6">
        <f>linear_250!K22</f>
        <v>24.791176572839969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6.4418792724609375E-2</v>
      </c>
      <c r="W22" s="2">
        <f t="shared" si="0"/>
        <v>7.9474172534621523E-8</v>
      </c>
      <c r="X22" s="2">
        <f t="shared" si="8"/>
        <v>6.4422607421875E-2</v>
      </c>
      <c r="Y22" s="2">
        <f t="shared" si="1"/>
        <v>-3.7396909110809506E-6</v>
      </c>
      <c r="Z22" s="2">
        <f t="shared" si="3"/>
        <v>6.4420700073242188E-2</v>
      </c>
      <c r="AA22" s="2">
        <f t="shared" si="2"/>
        <v>-1.8301083375693583E-6</v>
      </c>
      <c r="AB22" s="2">
        <f t="shared" si="4"/>
        <v>-1.4544634577703655E-13</v>
      </c>
      <c r="AC22" s="2">
        <f t="shared" si="5"/>
        <v>6.8440395163015978E-12</v>
      </c>
      <c r="AD22" s="2">
        <f t="shared" si="6"/>
        <v>3.814697265625E-6</v>
      </c>
      <c r="AF22" s="2">
        <v>18</v>
      </c>
      <c r="AG22" s="2">
        <f t="shared" si="13"/>
        <v>2084.1064453125</v>
      </c>
      <c r="AH22" s="2">
        <v>-8.4974696222082002</v>
      </c>
      <c r="AI22" s="2">
        <f t="shared" si="14"/>
        <v>2084.1064453125</v>
      </c>
      <c r="AJ22" s="2">
        <v>-4.205982286322751</v>
      </c>
      <c r="AK22" s="2">
        <f t="shared" si="9"/>
        <v>2084.1064453125</v>
      </c>
      <c r="AL22" s="2">
        <v>-4.205982286322751</v>
      </c>
      <c r="AM22" s="2">
        <f t="shared" si="10"/>
        <v>35.740206709573371</v>
      </c>
      <c r="AN22" s="2">
        <f t="shared" si="11"/>
        <v>17.690286992860756</v>
      </c>
      <c r="AO22" s="2">
        <f t="shared" si="12"/>
        <v>0</v>
      </c>
    </row>
    <row r="23" spans="2:41" x14ac:dyDescent="0.2">
      <c r="J23" s="15" t="s">
        <v>64</v>
      </c>
      <c r="K23" s="6">
        <f>linear_250!K23</f>
        <v>64.413906000758757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17091.94177546577</v>
      </c>
      <c r="P23" s="6" t="s">
        <v>18</v>
      </c>
      <c r="U23" s="2">
        <v>19</v>
      </c>
      <c r="V23" s="2">
        <f t="shared" si="7"/>
        <v>6.4418792724609375E-2</v>
      </c>
      <c r="W23" s="2">
        <f t="shared" si="0"/>
        <v>7.9474172534621523E-8</v>
      </c>
      <c r="X23" s="2">
        <f t="shared" si="8"/>
        <v>6.4420700073242188E-2</v>
      </c>
      <c r="Y23" s="2">
        <f t="shared" si="1"/>
        <v>-1.8301083375693583E-6</v>
      </c>
      <c r="Z23" s="2">
        <f t="shared" si="3"/>
        <v>6.4419746398925781E-2</v>
      </c>
      <c r="AA23" s="2">
        <f t="shared" si="2"/>
        <v>-8.7531707460009045E-7</v>
      </c>
      <c r="AB23" s="2">
        <f t="shared" si="4"/>
        <v>-6.956510020926777E-14</v>
      </c>
      <c r="AC23" s="2">
        <f t="shared" si="5"/>
        <v>1.6019250762424455E-12</v>
      </c>
      <c r="AD23" s="2">
        <f t="shared" si="6"/>
        <v>1.9073486328125E-6</v>
      </c>
      <c r="AF23" s="2">
        <v>19</v>
      </c>
      <c r="AG23" s="2">
        <f t="shared" si="13"/>
        <v>2084.1064453125</v>
      </c>
      <c r="AH23" s="2">
        <v>-8.4974696222082002</v>
      </c>
      <c r="AI23" s="2">
        <f t="shared" si="14"/>
        <v>2084.1064453125</v>
      </c>
      <c r="AJ23" s="2">
        <v>-4.205982286322751</v>
      </c>
      <c r="AK23" s="2">
        <f t="shared" si="9"/>
        <v>2084.1064453125</v>
      </c>
      <c r="AL23" s="2">
        <v>-4.205982286322751</v>
      </c>
      <c r="AM23" s="2">
        <f t="shared" si="10"/>
        <v>35.740206709573371</v>
      </c>
      <c r="AN23" s="2">
        <f t="shared" si="11"/>
        <v>17.690286992860756</v>
      </c>
      <c r="AO23" s="2">
        <f t="shared" si="12"/>
        <v>0</v>
      </c>
    </row>
    <row r="24" spans="2:41" x14ac:dyDescent="0.2">
      <c r="B24" s="34" t="s">
        <v>104</v>
      </c>
      <c r="C24" s="34"/>
      <c r="D24" s="34"/>
      <c r="F24" s="31" t="s">
        <v>81</v>
      </c>
      <c r="G24" s="32"/>
      <c r="H24" s="32"/>
      <c r="J24" s="15" t="s">
        <v>65</v>
      </c>
      <c r="K24" s="6">
        <f>linear_250!K24</f>
        <v>8.8897316737476917</v>
      </c>
      <c r="L24" s="6" t="s">
        <v>7</v>
      </c>
      <c r="N24" s="6" t="s">
        <v>31</v>
      </c>
      <c r="O24" s="18">
        <f>Z34</f>
        <v>6.4418872352689505E-2</v>
      </c>
      <c r="U24" s="2">
        <v>20</v>
      </c>
      <c r="V24" s="2">
        <f t="shared" si="7"/>
        <v>6.4418792724609375E-2</v>
      </c>
      <c r="W24" s="2">
        <f t="shared" si="0"/>
        <v>7.9474172534621523E-8</v>
      </c>
      <c r="X24" s="2">
        <f t="shared" si="8"/>
        <v>6.4419746398925781E-2</v>
      </c>
      <c r="Y24" s="2">
        <f t="shared" si="1"/>
        <v>-8.7531707460009045E-7</v>
      </c>
      <c r="Z24" s="2">
        <f t="shared" si="3"/>
        <v>6.4419269561767578E-2</v>
      </c>
      <c r="AA24" s="2">
        <f t="shared" si="2"/>
        <v>-3.979214490551497E-7</v>
      </c>
      <c r="AB24" s="2">
        <f t="shared" si="4"/>
        <v>-3.1624477897435578E-14</v>
      </c>
      <c r="AC24" s="2">
        <f t="shared" si="5"/>
        <v>3.4830743870758256E-13</v>
      </c>
      <c r="AD24" s="2">
        <f t="shared" si="6"/>
        <v>9.5367431640625E-7</v>
      </c>
      <c r="AF24" s="2">
        <v>20</v>
      </c>
      <c r="AG24" s="2">
        <f t="shared" si="13"/>
        <v>2084.1064453125</v>
      </c>
      <c r="AH24" s="2">
        <v>-8.4974696222082002</v>
      </c>
      <c r="AI24" s="2">
        <f t="shared" si="14"/>
        <v>2084.1064453125</v>
      </c>
      <c r="AJ24" s="2">
        <v>-4.205982286322751</v>
      </c>
      <c r="AK24" s="2">
        <f t="shared" si="9"/>
        <v>2084.1064453125</v>
      </c>
      <c r="AL24" s="2">
        <v>-4.205982286322751</v>
      </c>
      <c r="AM24" s="2">
        <f t="shared" si="10"/>
        <v>35.740206709573371</v>
      </c>
      <c r="AN24" s="2">
        <f t="shared" si="11"/>
        <v>17.690286992860756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>linear_250!K25</f>
        <v>19.228031642017541</v>
      </c>
      <c r="L25" s="6" t="s">
        <v>7</v>
      </c>
      <c r="N25" s="6" t="s">
        <v>32</v>
      </c>
      <c r="O25" s="6">
        <f xml:space="preserve"> O19 * $C$9 * O24 - $C$8 * SIN(O17/180*PI())</f>
        <v>0.66883908268706538</v>
      </c>
      <c r="P25" s="6" t="s">
        <v>10</v>
      </c>
      <c r="U25" s="2">
        <v>21</v>
      </c>
      <c r="V25" s="2">
        <f t="shared" si="7"/>
        <v>6.4418792724609375E-2</v>
      </c>
      <c r="W25" s="2">
        <f t="shared" si="0"/>
        <v>7.9474172534621523E-8</v>
      </c>
      <c r="X25" s="2">
        <f t="shared" si="8"/>
        <v>6.4419269561767578E-2</v>
      </c>
      <c r="Y25" s="2">
        <f t="shared" si="1"/>
        <v>-3.979214490551497E-7</v>
      </c>
      <c r="Z25" s="2">
        <f t="shared" si="3"/>
        <v>6.4419031143188477E-2</v>
      </c>
      <c r="AA25" s="2">
        <f t="shared" si="2"/>
        <v>-1.5922363776066373E-7</v>
      </c>
      <c r="AB25" s="2">
        <f t="shared" si="4"/>
        <v>-1.2654166858981067E-14</v>
      </c>
      <c r="AC25" s="2">
        <f t="shared" si="5"/>
        <v>6.3358500661555567E-14</v>
      </c>
      <c r="AD25" s="2">
        <f t="shared" si="6"/>
        <v>4.76837158203125E-7</v>
      </c>
      <c r="AF25" s="2">
        <v>21</v>
      </c>
      <c r="AG25" s="2">
        <f t="shared" si="13"/>
        <v>2084.1064453125</v>
      </c>
      <c r="AH25" s="2">
        <v>-8.4974696222082002</v>
      </c>
      <c r="AI25" s="2">
        <f t="shared" si="14"/>
        <v>2084.1064453125</v>
      </c>
      <c r="AJ25" s="2">
        <v>-4.205982286322751</v>
      </c>
      <c r="AK25" s="2">
        <f t="shared" si="9"/>
        <v>2084.1064453125</v>
      </c>
      <c r="AL25" s="2">
        <v>-4.205982286322751</v>
      </c>
      <c r="AM25" s="2">
        <f t="shared" si="10"/>
        <v>35.740206709573371</v>
      </c>
      <c r="AN25" s="2">
        <f t="shared" si="11"/>
        <v>17.690286992860756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>linear_250!K26</f>
        <v>55.095217496321837</v>
      </c>
      <c r="L26" s="6" t="s">
        <v>7</v>
      </c>
      <c r="N26" s="6" t="s">
        <v>33</v>
      </c>
      <c r="O26" s="6">
        <f xml:space="preserve"> 1/$C$21 - O23 * SQRT( (2*$C$47*PI()*$C$9^2) / O18^3 )</f>
        <v>0.83724727105271701</v>
      </c>
      <c r="U26" s="2">
        <v>22</v>
      </c>
      <c r="V26" s="2">
        <f t="shared" si="7"/>
        <v>6.4418792724609375E-2</v>
      </c>
      <c r="W26" s="2">
        <f t="shared" si="0"/>
        <v>7.9474172534621523E-8</v>
      </c>
      <c r="X26" s="2">
        <f t="shared" si="8"/>
        <v>6.4419031143188477E-2</v>
      </c>
      <c r="Y26" s="2">
        <f t="shared" si="1"/>
        <v>-1.5922363776066373E-7</v>
      </c>
      <c r="Z26" s="2">
        <f t="shared" si="3"/>
        <v>6.4418911933898926E-2</v>
      </c>
      <c r="AA26" s="2">
        <f t="shared" si="2"/>
        <v>-3.9874732488121012E-8</v>
      </c>
      <c r="AB26" s="2">
        <f t="shared" si="4"/>
        <v>-3.1690113695328073E-15</v>
      </c>
      <c r="AC26" s="2">
        <f t="shared" si="5"/>
        <v>6.3489999614919494E-15</v>
      </c>
      <c r="AD26" s="2">
        <f t="shared" si="6"/>
        <v>2.384185791015625E-7</v>
      </c>
      <c r="AF26" s="2">
        <v>22</v>
      </c>
      <c r="AG26" s="2">
        <f t="shared" si="13"/>
        <v>2084.1064453125</v>
      </c>
      <c r="AH26" s="2">
        <v>-8.4974696222082002</v>
      </c>
      <c r="AI26" s="2">
        <f t="shared" si="14"/>
        <v>2084.1064453125</v>
      </c>
      <c r="AJ26" s="2">
        <v>-4.205982286322751</v>
      </c>
      <c r="AK26" s="2">
        <f t="shared" si="9"/>
        <v>2084.1064453125</v>
      </c>
      <c r="AL26" s="2">
        <v>-4.205982286322751</v>
      </c>
      <c r="AM26" s="2">
        <f t="shared" si="10"/>
        <v>35.740206709573371</v>
      </c>
      <c r="AN26" s="2">
        <f t="shared" si="11"/>
        <v>17.690286992860756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1.178349589440586E-2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6.4418792724609375E-2</v>
      </c>
      <c r="W27" s="2">
        <f t="shared" si="0"/>
        <v>7.9474172534621523E-8</v>
      </c>
      <c r="X27" s="2">
        <f t="shared" si="8"/>
        <v>6.4418911933898926E-2</v>
      </c>
      <c r="Y27" s="2">
        <f t="shared" si="1"/>
        <v>-3.9874732488121012E-8</v>
      </c>
      <c r="Z27" s="2">
        <f t="shared" si="3"/>
        <v>6.441885232925415E-2</v>
      </c>
      <c r="AA27" s="2">
        <f t="shared" si="2"/>
        <v>1.9799720044066937E-8</v>
      </c>
      <c r="AB27" s="2">
        <f t="shared" si="4"/>
        <v>1.5735663669193799E-15</v>
      </c>
      <c r="AC27" s="2">
        <f t="shared" si="5"/>
        <v>-7.8950854009685669E-16</v>
      </c>
      <c r="AD27" s="2">
        <f t="shared" si="6"/>
        <v>1.1920928955078125E-7</v>
      </c>
      <c r="AF27" s="2">
        <v>23</v>
      </c>
      <c r="AG27" s="2">
        <f t="shared" si="13"/>
        <v>2084.1064453125</v>
      </c>
      <c r="AH27" s="2">
        <v>-8.4974696222082002</v>
      </c>
      <c r="AI27" s="2">
        <f t="shared" si="14"/>
        <v>2084.1064453125</v>
      </c>
      <c r="AJ27" s="2">
        <v>-4.205982286322751</v>
      </c>
      <c r="AK27" s="2">
        <f t="shared" si="9"/>
        <v>2084.1064453125</v>
      </c>
      <c r="AL27" s="2">
        <v>-4.205982286322751</v>
      </c>
      <c r="AM27" s="2">
        <f t="shared" si="10"/>
        <v>35.740206709573371</v>
      </c>
      <c r="AN27" s="2">
        <f t="shared" si="11"/>
        <v>17.690286992860756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5112.3264034910962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1.1500028058014515</v>
      </c>
      <c r="U28" s="2">
        <v>24</v>
      </c>
      <c r="V28" s="2">
        <f t="shared" si="7"/>
        <v>6.441885232925415E-2</v>
      </c>
      <c r="W28" s="2">
        <f t="shared" si="0"/>
        <v>1.9799720044066937E-8</v>
      </c>
      <c r="X28" s="2">
        <f t="shared" si="8"/>
        <v>6.4418911933898926E-2</v>
      </c>
      <c r="Y28" s="2">
        <f t="shared" si="1"/>
        <v>-3.9874732488121012E-8</v>
      </c>
      <c r="Z28" s="2">
        <f t="shared" si="3"/>
        <v>6.4418882131576538E-2</v>
      </c>
      <c r="AA28" s="2">
        <f t="shared" si="2"/>
        <v>-1.0037506215088143E-8</v>
      </c>
      <c r="AB28" s="2">
        <f t="shared" si="4"/>
        <v>-1.9873981299932717E-16</v>
      </c>
      <c r="AC28" s="2">
        <f t="shared" si="5"/>
        <v>4.0024287517449174E-16</v>
      </c>
      <c r="AD28" s="2">
        <f t="shared" si="6"/>
        <v>5.9604644775390625E-8</v>
      </c>
      <c r="AF28" s="2">
        <v>24</v>
      </c>
      <c r="AG28" s="2">
        <f t="shared" si="13"/>
        <v>2084.1064453125</v>
      </c>
      <c r="AH28" s="2">
        <v>-8.4974696222082002</v>
      </c>
      <c r="AI28" s="2">
        <f t="shared" si="14"/>
        <v>2084.1064453125</v>
      </c>
      <c r="AJ28" s="2">
        <v>-4.205982286322751</v>
      </c>
      <c r="AK28" s="2">
        <f t="shared" si="9"/>
        <v>2084.1064453125</v>
      </c>
      <c r="AL28" s="2">
        <v>-4.205982286322751</v>
      </c>
      <c r="AM28" s="2">
        <f t="shared" si="10"/>
        <v>35.740206709573371</v>
      </c>
      <c r="AN28" s="2">
        <f t="shared" si="11"/>
        <v>17.690286992860756</v>
      </c>
      <c r="AO28" s="2">
        <f t="shared" si="12"/>
        <v>0</v>
      </c>
    </row>
    <row r="29" spans="2:41" x14ac:dyDescent="0.2">
      <c r="B29" s="34" t="s">
        <v>108</v>
      </c>
      <c r="C29" s="34"/>
      <c r="D29" s="34"/>
      <c r="F29" t="s">
        <v>97</v>
      </c>
      <c r="G29" s="6">
        <f>G31/$C$18</f>
        <v>44.855566733698218</v>
      </c>
      <c r="H29" t="s">
        <v>18</v>
      </c>
      <c r="U29" s="2">
        <v>25</v>
      </c>
      <c r="V29" s="2">
        <f t="shared" si="7"/>
        <v>6.441885232925415E-2</v>
      </c>
      <c r="W29" s="2">
        <f t="shared" si="0"/>
        <v>1.9799720044066937E-8</v>
      </c>
      <c r="X29" s="2">
        <f t="shared" si="8"/>
        <v>6.4418882131576538E-2</v>
      </c>
      <c r="Y29" s="2">
        <f t="shared" si="1"/>
        <v>-1.0037506215088143E-8</v>
      </c>
      <c r="Z29" s="2">
        <f t="shared" si="3"/>
        <v>6.4418867230415344E-2</v>
      </c>
      <c r="AA29" s="2">
        <f t="shared" si="2"/>
        <v>4.8811069214282909E-9</v>
      </c>
      <c r="AB29" s="2">
        <f t="shared" si="4"/>
        <v>9.66445505494376E-17</v>
      </c>
      <c r="AC29" s="2">
        <f t="shared" si="5"/>
        <v>-4.8994141060346223E-17</v>
      </c>
      <c r="AD29" s="2">
        <f t="shared" si="6"/>
        <v>2.9802322387695312E-8</v>
      </c>
      <c r="AF29" s="2">
        <v>25</v>
      </c>
      <c r="AG29" s="2">
        <f t="shared" si="13"/>
        <v>2084.1064453125</v>
      </c>
      <c r="AH29" s="2">
        <v>-8.4974696222082002</v>
      </c>
      <c r="AI29" s="2">
        <f t="shared" si="14"/>
        <v>2084.1064453125</v>
      </c>
      <c r="AJ29" s="2">
        <v>-4.205982286322751</v>
      </c>
      <c r="AK29" s="2">
        <f t="shared" si="9"/>
        <v>2084.1064453125</v>
      </c>
      <c r="AL29" s="2">
        <v>-4.205982286322751</v>
      </c>
      <c r="AM29" s="2">
        <f t="shared" si="10"/>
        <v>35.740206709573371</v>
      </c>
      <c r="AN29" s="2">
        <f t="shared" si="11"/>
        <v>17.690286992860756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11.628135181564435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6.4418867230415344E-2</v>
      </c>
      <c r="W30" s="2">
        <f t="shared" si="0"/>
        <v>4.8811069214282909E-9</v>
      </c>
      <c r="X30" s="2">
        <f t="shared" si="8"/>
        <v>6.4418882131576538E-2</v>
      </c>
      <c r="Y30" s="2">
        <f t="shared" si="1"/>
        <v>-1.0037506215088143E-8</v>
      </c>
      <c r="Z30" s="2">
        <f t="shared" si="3"/>
        <v>6.4418874680995941E-2</v>
      </c>
      <c r="AA30" s="2">
        <f t="shared" si="2"/>
        <v>-2.5781996537688201E-9</v>
      </c>
      <c r="AB30" s="2">
        <f t="shared" si="4"/>
        <v>-1.2584468174835011E-17</v>
      </c>
      <c r="AC30" s="2">
        <f t="shared" si="5"/>
        <v>2.5878695048442631E-17</v>
      </c>
      <c r="AD30" s="2">
        <f t="shared" si="6"/>
        <v>1.4901161193847656E-8</v>
      </c>
      <c r="AF30" s="2">
        <v>26</v>
      </c>
      <c r="AG30" s="2">
        <f t="shared" si="13"/>
        <v>2084.1064453125</v>
      </c>
      <c r="AH30" s="2">
        <v>-8.4974696222082002</v>
      </c>
      <c r="AI30" s="2">
        <f t="shared" si="14"/>
        <v>2084.1064453125</v>
      </c>
      <c r="AJ30" s="2">
        <v>-4.205982286322751</v>
      </c>
      <c r="AK30" s="2">
        <f t="shared" si="9"/>
        <v>2084.1064453125</v>
      </c>
      <c r="AL30" s="2">
        <v>-4.205982286322751</v>
      </c>
      <c r="AM30" s="2">
        <f t="shared" si="10"/>
        <v>35.740206709573371</v>
      </c>
      <c r="AN30" s="2">
        <f t="shared" si="11"/>
        <v>17.690286992860756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179.42226693479287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6.4418867230415344E-2</v>
      </c>
      <c r="W31" s="2">
        <f t="shared" si="0"/>
        <v>4.8811069214282909E-9</v>
      </c>
      <c r="X31" s="2">
        <f t="shared" si="8"/>
        <v>6.4418874680995941E-2</v>
      </c>
      <c r="Y31" s="2">
        <f t="shared" si="1"/>
        <v>-2.5781996537688201E-9</v>
      </c>
      <c r="Z31" s="2">
        <f t="shared" si="3"/>
        <v>6.4418870955705643E-2</v>
      </c>
      <c r="AA31" s="2">
        <f t="shared" si="2"/>
        <v>1.1514536407686293E-9</v>
      </c>
      <c r="AB31" s="2">
        <f t="shared" si="4"/>
        <v>5.6203683356595617E-18</v>
      </c>
      <c r="AC31" s="2">
        <f t="shared" si="5"/>
        <v>-2.9686773779605275E-18</v>
      </c>
      <c r="AD31" s="2">
        <f t="shared" si="6"/>
        <v>7.4505805969238281E-9</v>
      </c>
      <c r="AF31" s="2">
        <v>27</v>
      </c>
      <c r="AG31" s="2">
        <f t="shared" si="13"/>
        <v>2084.1064453125</v>
      </c>
      <c r="AH31" s="2">
        <v>-8.4974696222082002</v>
      </c>
      <c r="AI31" s="2">
        <f t="shared" si="14"/>
        <v>2084.1064453125</v>
      </c>
      <c r="AJ31" s="2">
        <v>-4.205982286322751</v>
      </c>
      <c r="AK31" s="2">
        <f t="shared" si="9"/>
        <v>2084.1064453125</v>
      </c>
      <c r="AL31" s="2">
        <v>-4.205982286322751</v>
      </c>
      <c r="AM31" s="2">
        <f t="shared" si="10"/>
        <v>35.740206709573371</v>
      </c>
      <c r="AN31" s="2">
        <f t="shared" si="11"/>
        <v>17.690286992860756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394.71</v>
      </c>
      <c r="L32" s="6" t="s">
        <v>7</v>
      </c>
      <c r="U32" s="2">
        <v>28</v>
      </c>
      <c r="V32" s="2">
        <f t="shared" si="7"/>
        <v>6.4418870955705643E-2</v>
      </c>
      <c r="W32" s="2">
        <f t="shared" si="0"/>
        <v>1.1514536407686293E-9</v>
      </c>
      <c r="X32" s="2">
        <f t="shared" si="8"/>
        <v>6.4418874680995941E-2</v>
      </c>
      <c r="Y32" s="2">
        <f t="shared" si="1"/>
        <v>-2.5781996537688201E-9</v>
      </c>
      <c r="Z32" s="2">
        <f t="shared" si="3"/>
        <v>6.4418872818350792E-2</v>
      </c>
      <c r="AA32" s="2">
        <f t="shared" si="2"/>
        <v>-7.1337299956120148E-10</v>
      </c>
      <c r="AB32" s="2">
        <f t="shared" si="4"/>
        <v>-8.2141593757078326E-19</v>
      </c>
      <c r="AC32" s="2">
        <f t="shared" si="5"/>
        <v>1.8392180204767143E-18</v>
      </c>
      <c r="AD32" s="2">
        <f t="shared" si="6"/>
        <v>3.7252902984619141E-9</v>
      </c>
      <c r="AF32" s="2">
        <v>28</v>
      </c>
      <c r="AG32" s="2">
        <f t="shared" si="13"/>
        <v>2084.1064453125</v>
      </c>
      <c r="AH32" s="2">
        <v>-8.4974696222082002</v>
      </c>
      <c r="AI32" s="2">
        <f t="shared" si="14"/>
        <v>2084.1064453125</v>
      </c>
      <c r="AJ32" s="2">
        <v>-4.205982286322751</v>
      </c>
      <c r="AK32" s="2">
        <f t="shared" si="9"/>
        <v>2084.1064453125</v>
      </c>
      <c r="AL32" s="2">
        <v>-4.205982286322751</v>
      </c>
      <c r="AM32" s="2">
        <f t="shared" si="10"/>
        <v>35.740206709573371</v>
      </c>
      <c r="AN32" s="2">
        <f t="shared" si="11"/>
        <v>17.690286992860756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747.7</v>
      </c>
      <c r="L33" s="6" t="s">
        <v>7</v>
      </c>
      <c r="U33" s="2">
        <v>29</v>
      </c>
      <c r="V33" s="2">
        <f t="shared" si="7"/>
        <v>6.4418870955705643E-2</v>
      </c>
      <c r="W33" s="2">
        <f t="shared" si="0"/>
        <v>1.1514536407686293E-9</v>
      </c>
      <c r="X33" s="2">
        <f t="shared" si="8"/>
        <v>6.4418872818350792E-2</v>
      </c>
      <c r="Y33" s="2">
        <f t="shared" si="1"/>
        <v>-7.1337299956120148E-10</v>
      </c>
      <c r="Z33" s="2">
        <f t="shared" si="3"/>
        <v>6.4418871887028217E-2</v>
      </c>
      <c r="AA33" s="2">
        <f t="shared" si="2"/>
        <v>2.1904031366482002E-10</v>
      </c>
      <c r="AB33" s="2">
        <f t="shared" si="4"/>
        <v>2.5221476664445956E-19</v>
      </c>
      <c r="AC33" s="2">
        <f t="shared" si="5"/>
        <v>-1.5625744558389909E-19</v>
      </c>
      <c r="AD33" s="2">
        <f t="shared" si="6"/>
        <v>1.862645149230957E-9</v>
      </c>
      <c r="AF33" s="2">
        <v>29</v>
      </c>
      <c r="AG33" s="2">
        <f t="shared" si="13"/>
        <v>2084.1064453125</v>
      </c>
      <c r="AH33" s="2">
        <v>-8.4974696222082002</v>
      </c>
      <c r="AI33" s="2">
        <f t="shared" si="14"/>
        <v>2084.1064453125</v>
      </c>
      <c r="AJ33" s="2">
        <v>-4.205982286322751</v>
      </c>
      <c r="AK33" s="2">
        <f t="shared" si="9"/>
        <v>2084.1064453125</v>
      </c>
      <c r="AL33" s="2">
        <v>-4.205982286322751</v>
      </c>
      <c r="AM33" s="2">
        <f t="shared" si="10"/>
        <v>35.740206709573371</v>
      </c>
      <c r="AN33" s="2">
        <f t="shared" si="11"/>
        <v>17.690286992860756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196.29</v>
      </c>
      <c r="L34" s="6" t="s">
        <v>7</v>
      </c>
      <c r="U34" s="2">
        <v>30</v>
      </c>
      <c r="V34" s="2">
        <f t="shared" si="7"/>
        <v>6.4418871887028217E-2</v>
      </c>
      <c r="W34" s="2">
        <f t="shared" si="0"/>
        <v>2.1904031366482002E-10</v>
      </c>
      <c r="X34" s="2">
        <f t="shared" si="8"/>
        <v>6.4418872818350792E-2</v>
      </c>
      <c r="Y34" s="2">
        <f t="shared" si="1"/>
        <v>-7.1337299956120148E-10</v>
      </c>
      <c r="Z34" s="2">
        <f t="shared" si="3"/>
        <v>6.4418872352689505E-2</v>
      </c>
      <c r="AA34" s="2">
        <f t="shared" si="2"/>
        <v>-2.4716634294819073E-10</v>
      </c>
      <c r="AB34" s="2">
        <f t="shared" si="4"/>
        <v>-5.4139393286758173E-20</v>
      </c>
      <c r="AC34" s="2">
        <f t="shared" si="5"/>
        <v>1.7632179545952344E-19</v>
      </c>
      <c r="AD34" s="2">
        <f>X34-V34</f>
        <v>9.3132257461547852E-10</v>
      </c>
      <c r="AF34" s="2">
        <v>30</v>
      </c>
      <c r="AG34" s="2">
        <f t="shared" si="13"/>
        <v>2084.1064453125</v>
      </c>
      <c r="AH34" s="2">
        <v>-8.4974696222082002</v>
      </c>
      <c r="AI34" s="2">
        <f t="shared" si="14"/>
        <v>2084.1064453125</v>
      </c>
      <c r="AJ34" s="2">
        <v>-4.205982286322751</v>
      </c>
      <c r="AK34" s="2">
        <f t="shared" si="9"/>
        <v>2084.1064453125</v>
      </c>
      <c r="AL34" s="2">
        <v>-4.205982286322751</v>
      </c>
      <c r="AM34" s="2">
        <f t="shared" si="10"/>
        <v>35.740206709573371</v>
      </c>
      <c r="AN34" s="2">
        <f t="shared" si="11"/>
        <v>17.690286992860756</v>
      </c>
      <c r="AO34" s="2">
        <f t="shared" si="12"/>
        <v>0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232.73304165824382</v>
      </c>
      <c r="H35" s="25" t="s">
        <v>101</v>
      </c>
      <c r="J35" s="15" t="s">
        <v>70</v>
      </c>
      <c r="K35" s="6">
        <f>ROUND(SUM(K23:K26),2)</f>
        <v>147.63</v>
      </c>
      <c r="L35" s="6" t="s">
        <v>7</v>
      </c>
      <c r="AF35" s="2">
        <v>31</v>
      </c>
      <c r="AG35" s="2">
        <f t="shared" si="13"/>
        <v>2084.1064453125</v>
      </c>
      <c r="AH35" s="2">
        <v>-8.4974696222082002</v>
      </c>
      <c r="AI35" s="2">
        <f t="shared" si="14"/>
        <v>2084.1064453125</v>
      </c>
      <c r="AJ35" s="2">
        <v>-4.205982286322751</v>
      </c>
      <c r="AK35" s="2">
        <f t="shared" si="9"/>
        <v>2084.1064453125</v>
      </c>
      <c r="AL35" s="2">
        <v>-4.205982286322751</v>
      </c>
      <c r="AM35" s="2">
        <f t="shared" si="10"/>
        <v>35.740206709573371</v>
      </c>
      <c r="AN35" s="2">
        <f t="shared" si="11"/>
        <v>17.690286992860756</v>
      </c>
      <c r="AO35" s="2">
        <f t="shared" si="12"/>
        <v>0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2086.33</v>
      </c>
      <c r="L36" s="6" t="s">
        <v>7</v>
      </c>
      <c r="AF36" s="2">
        <v>32</v>
      </c>
      <c r="AG36" s="2">
        <f t="shared" si="13"/>
        <v>2084.1064453125</v>
      </c>
      <c r="AH36" s="2">
        <v>-8.4974696222082002</v>
      </c>
      <c r="AI36" s="2">
        <f t="shared" si="14"/>
        <v>2084.1064453125</v>
      </c>
      <c r="AJ36" s="2">
        <v>-4.205982286322751</v>
      </c>
      <c r="AK36" s="2">
        <f t="shared" si="9"/>
        <v>2084.1064453125</v>
      </c>
      <c r="AL36" s="2">
        <v>-4.205982286322751</v>
      </c>
      <c r="AM36" s="2">
        <f t="shared" si="10"/>
        <v>35.740206709573371</v>
      </c>
      <c r="AN36" s="2">
        <f t="shared" si="11"/>
        <v>17.690286992860756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2084.1064453125</v>
      </c>
      <c r="AH37" s="2">
        <v>-8.4974696222082002</v>
      </c>
      <c r="AI37" s="2">
        <f t="shared" si="14"/>
        <v>2084.1064453125</v>
      </c>
      <c r="AJ37" s="2">
        <v>-4.205982286322751</v>
      </c>
      <c r="AK37" s="2">
        <f t="shared" si="9"/>
        <v>2084.1064453125</v>
      </c>
      <c r="AL37" s="2">
        <v>-4.205982286322751</v>
      </c>
      <c r="AM37" s="2">
        <f t="shared" si="10"/>
        <v>35.740206709573371</v>
      </c>
      <c r="AN37" s="2">
        <f t="shared" si="11"/>
        <v>17.690286992860756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2084.1064453125</v>
      </c>
      <c r="AH38" s="2">
        <v>-8.4974696222082002</v>
      </c>
      <c r="AI38" s="2">
        <f t="shared" si="14"/>
        <v>2084.1064453125</v>
      </c>
      <c r="AJ38" s="2">
        <v>-4.205982286322751</v>
      </c>
      <c r="AK38" s="2">
        <f t="shared" si="9"/>
        <v>2084.1064453125</v>
      </c>
      <c r="AL38" s="2">
        <v>-4.205982286322751</v>
      </c>
      <c r="AM38" s="2">
        <f t="shared" si="10"/>
        <v>35.740206709573371</v>
      </c>
      <c r="AN38" s="2">
        <f t="shared" si="11"/>
        <v>17.690286992860756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28.76</v>
      </c>
      <c r="L39" s="6" t="s">
        <v>58</v>
      </c>
      <c r="AF39" s="2">
        <v>35</v>
      </c>
      <c r="AG39" s="2">
        <f t="shared" si="13"/>
        <v>2084.1064453125</v>
      </c>
      <c r="AH39" s="2">
        <v>-8.4974696222082002</v>
      </c>
      <c r="AI39" s="2">
        <f t="shared" si="14"/>
        <v>2084.1064453125</v>
      </c>
      <c r="AJ39" s="2">
        <v>-4.205982286322751</v>
      </c>
      <c r="AK39" s="2">
        <f t="shared" si="9"/>
        <v>2084.1064453125</v>
      </c>
      <c r="AL39" s="2">
        <v>-4.205982286322751</v>
      </c>
      <c r="AM39" s="2">
        <f t="shared" si="10"/>
        <v>35.740206709573371</v>
      </c>
      <c r="AN39" s="2">
        <f t="shared" si="11"/>
        <v>17.690286992860756</v>
      </c>
      <c r="AO39" s="2">
        <f t="shared" si="12"/>
        <v>0</v>
      </c>
    </row>
    <row r="40" spans="2:41" x14ac:dyDescent="0.2">
      <c r="B40" s="29" t="s">
        <v>144</v>
      </c>
      <c r="C40" s="35"/>
      <c r="D40" s="35"/>
      <c r="J40" s="11" t="s">
        <v>52</v>
      </c>
      <c r="K40" s="6">
        <f>ROUND(K13/$C$5 * 100, 2)</f>
        <v>18.920000000000002</v>
      </c>
      <c r="L40" s="6" t="s">
        <v>58</v>
      </c>
      <c r="AF40" s="2">
        <v>36</v>
      </c>
      <c r="AG40" s="2">
        <f t="shared" si="13"/>
        <v>2084.1064453125</v>
      </c>
      <c r="AH40" s="2">
        <v>-8.4974696222082002</v>
      </c>
      <c r="AI40" s="2">
        <f t="shared" si="14"/>
        <v>2084.1064453125</v>
      </c>
      <c r="AJ40" s="2">
        <v>-4.205982286322751</v>
      </c>
      <c r="AK40" s="2">
        <f t="shared" si="9"/>
        <v>2084.1064453125</v>
      </c>
      <c r="AL40" s="2">
        <v>-4.205982286322751</v>
      </c>
      <c r="AM40" s="2">
        <f t="shared" si="10"/>
        <v>35.740206709573371</v>
      </c>
      <c r="AN40" s="2">
        <f t="shared" si="11"/>
        <v>17.690286992860756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35.840000000000003</v>
      </c>
      <c r="L41" s="6" t="s">
        <v>58</v>
      </c>
      <c r="AF41" s="2">
        <v>37</v>
      </c>
      <c r="AG41" s="2">
        <f t="shared" si="13"/>
        <v>2084.1064453125</v>
      </c>
      <c r="AH41" s="2">
        <v>-8.4974696222082002</v>
      </c>
      <c r="AI41" s="2">
        <f t="shared" si="14"/>
        <v>2084.1064453125</v>
      </c>
      <c r="AJ41" s="2">
        <v>-4.205982286322751</v>
      </c>
      <c r="AK41" s="2">
        <f t="shared" si="9"/>
        <v>2084.1064453125</v>
      </c>
      <c r="AL41" s="2">
        <v>-4.205982286322751</v>
      </c>
      <c r="AM41" s="2">
        <f t="shared" si="10"/>
        <v>35.740206709573371</v>
      </c>
      <c r="AN41" s="2">
        <f t="shared" si="11"/>
        <v>17.690286992860756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9.41</v>
      </c>
      <c r="L42" s="6" t="s">
        <v>58</v>
      </c>
      <c r="AF42" s="2">
        <v>38</v>
      </c>
      <c r="AG42" s="2">
        <f t="shared" si="13"/>
        <v>2084.1064453125</v>
      </c>
      <c r="AH42" s="2">
        <v>-8.4974696222082002</v>
      </c>
      <c r="AI42" s="2">
        <f t="shared" si="14"/>
        <v>2084.1064453125</v>
      </c>
      <c r="AJ42" s="2">
        <v>-4.205982286322751</v>
      </c>
      <c r="AK42" s="2">
        <f t="shared" si="9"/>
        <v>2084.1064453125</v>
      </c>
      <c r="AL42" s="2">
        <v>-4.205982286322751</v>
      </c>
      <c r="AM42" s="2">
        <f t="shared" si="10"/>
        <v>35.740206709573371</v>
      </c>
      <c r="AN42" s="2">
        <f t="shared" si="11"/>
        <v>17.690286992860756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7.08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2084.1064453125</v>
      </c>
      <c r="AH43" s="2">
        <v>-8.4974696222082002</v>
      </c>
      <c r="AI43" s="2">
        <f t="shared" si="14"/>
        <v>2084.1064453125</v>
      </c>
      <c r="AJ43" s="2">
        <v>-4.205982286322751</v>
      </c>
      <c r="AK43" s="2">
        <f t="shared" si="9"/>
        <v>2084.1064453125</v>
      </c>
      <c r="AL43" s="2">
        <v>-4.205982286322751</v>
      </c>
      <c r="AM43" s="2">
        <f t="shared" si="10"/>
        <v>35.740206709573371</v>
      </c>
      <c r="AN43" s="2">
        <f t="shared" si="11"/>
        <v>17.690286992860756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2084.1064453125</v>
      </c>
      <c r="AH44" s="2">
        <v>-8.4974696222082002</v>
      </c>
      <c r="AI44" s="2">
        <f t="shared" si="14"/>
        <v>2084.1064453125</v>
      </c>
      <c r="AJ44" s="2">
        <v>-4.205982286322751</v>
      </c>
      <c r="AK44" s="5">
        <f>(AG44+AI44)/2</f>
        <v>2084.1064453125</v>
      </c>
      <c r="AL44" s="2">
        <v>-4.205982286322751</v>
      </c>
      <c r="AM44" s="2">
        <f t="shared" si="10"/>
        <v>35.740206709573371</v>
      </c>
      <c r="AN44" s="2">
        <f t="shared" si="11"/>
        <v>17.690286992860756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5"/>
      <c r="D46" s="35"/>
      <c r="J46" s="29" t="s">
        <v>56</v>
      </c>
      <c r="K46" s="29"/>
      <c r="L46" s="29"/>
      <c r="N46" s="6" t="s">
        <v>153</v>
      </c>
      <c r="O46" s="6">
        <f>G12*1000/O45</f>
        <v>1729.7012146254624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28.76</v>
      </c>
      <c r="L47" s="6" t="s">
        <v>58</v>
      </c>
      <c r="N47" s="6" t="s">
        <v>154</v>
      </c>
      <c r="O47" s="6">
        <f>0.377*O46^0.6945</f>
        <v>66.851671812481911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18.920000000000002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52.32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2025-05-18T16:57:03Z</dcterms:modified>
</cp:coreProperties>
</file>