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ith_fixed_empty_weight/weighted_sum_of_takeoff_weight/liftcruise/"/>
    </mc:Choice>
  </mc:AlternateContent>
  <xr:revisionPtr revIDLastSave="0" documentId="13_ncr:1_{537118A0-4894-2F43-818A-D3CD3901B619}" xr6:coauthVersionLast="47" xr6:coauthVersionMax="47" xr10:uidLastSave="{00000000-0000-0000-0000-000000000000}"/>
  <bookViews>
    <workbookView xWindow="15320" yWindow="760" windowWidth="14920" windowHeight="17260" xr2:uid="{843CD013-835A-1741-B375-CD508AE79BD2}"/>
  </bookViews>
  <sheets>
    <sheet name="obj_val" sheetId="26" r:id="rId1"/>
    <sheet name="uniform_250" sheetId="12" r:id="rId2"/>
    <sheet name="uniform_400" sheetId="19" r:id="rId3"/>
    <sheet name="uniform_550" sheetId="20" r:id="rId4"/>
    <sheet name="uniform_700" sheetId="21" r:id="rId5"/>
    <sheet name="linear_250" sheetId="22" r:id="rId6"/>
    <sheet name="linear_400" sheetId="23" r:id="rId7"/>
    <sheet name="linear_550" sheetId="24" r:id="rId8"/>
    <sheet name="linear_700" sheetId="2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23" l="1"/>
  <c r="K17" i="24"/>
  <c r="K17" i="25"/>
  <c r="K17" i="21"/>
  <c r="K17" i="20"/>
  <c r="K17" i="19"/>
  <c r="E15" i="26"/>
  <c r="E14" i="26"/>
  <c r="E13" i="26"/>
  <c r="E10" i="26"/>
  <c r="E9" i="26"/>
  <c r="E8" i="26"/>
  <c r="E12" i="26"/>
  <c r="E7" i="26"/>
  <c r="F4" i="26" l="1"/>
  <c r="E4" i="26"/>
  <c r="C56" i="25"/>
  <c r="C55" i="25"/>
  <c r="C51" i="25"/>
  <c r="C50" i="25"/>
  <c r="AN44" i="25"/>
  <c r="AM44" i="25"/>
  <c r="AN43" i="25"/>
  <c r="AM43" i="25"/>
  <c r="AN42" i="25"/>
  <c r="AM42" i="25"/>
  <c r="AN41" i="25"/>
  <c r="AM41" i="25"/>
  <c r="C41" i="25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AN33" i="25"/>
  <c r="AM33" i="25"/>
  <c r="AN32" i="25"/>
  <c r="AM32" i="25"/>
  <c r="G32" i="25"/>
  <c r="AN31" i="25"/>
  <c r="AM31" i="25"/>
  <c r="AN30" i="25"/>
  <c r="AM30" i="25"/>
  <c r="AN29" i="25"/>
  <c r="AM29" i="25"/>
  <c r="G29" i="25"/>
  <c r="G27" i="25" s="1"/>
  <c r="AN28" i="25"/>
  <c r="AM28" i="25"/>
  <c r="AN27" i="25"/>
  <c r="AM27" i="25"/>
  <c r="AN26" i="25"/>
  <c r="AM26" i="25"/>
  <c r="G26" i="25"/>
  <c r="AN25" i="25"/>
  <c r="AM25" i="25"/>
  <c r="G25" i="25"/>
  <c r="AN24" i="25"/>
  <c r="AM24" i="25"/>
  <c r="G24" i="25"/>
  <c r="AN23" i="25"/>
  <c r="AM23" i="25"/>
  <c r="G23" i="25"/>
  <c r="C23" i="25"/>
  <c r="AN22" i="25"/>
  <c r="AM22" i="25"/>
  <c r="AN21" i="25"/>
  <c r="AM21" i="25"/>
  <c r="O21" i="25"/>
  <c r="G14" i="25" s="1"/>
  <c r="G15" i="25" s="1"/>
  <c r="AN20" i="25"/>
  <c r="AM20" i="25"/>
  <c r="AN19" i="25"/>
  <c r="AM19" i="25"/>
  <c r="O19" i="25"/>
  <c r="AN18" i="25"/>
  <c r="AM18" i="25"/>
  <c r="AN17" i="25"/>
  <c r="AM17" i="25"/>
  <c r="C17" i="25"/>
  <c r="AN16" i="25"/>
  <c r="AM16" i="25"/>
  <c r="C16" i="25"/>
  <c r="AN15" i="25"/>
  <c r="AM15" i="25"/>
  <c r="AN14" i="25"/>
  <c r="AM14" i="25"/>
  <c r="K14" i="25"/>
  <c r="AN13" i="25"/>
  <c r="AM13" i="25"/>
  <c r="AN12" i="25"/>
  <c r="AM12" i="25"/>
  <c r="AN11" i="25"/>
  <c r="AM11" i="25"/>
  <c r="O11" i="25"/>
  <c r="C11" i="25"/>
  <c r="C30" i="25" s="1"/>
  <c r="AN10" i="25"/>
  <c r="AM10" i="25"/>
  <c r="AN9" i="25"/>
  <c r="AM9" i="25"/>
  <c r="O9" i="25"/>
  <c r="C9" i="25"/>
  <c r="AN8" i="25"/>
  <c r="AM8" i="25"/>
  <c r="AN7" i="25"/>
  <c r="AM7" i="25"/>
  <c r="G7" i="25"/>
  <c r="C7" i="25"/>
  <c r="AN6" i="25"/>
  <c r="AM6" i="25"/>
  <c r="O6" i="25"/>
  <c r="AO5" i="25"/>
  <c r="AN5" i="25"/>
  <c r="AI6" i="25" s="1"/>
  <c r="AM5" i="25"/>
  <c r="AG6" i="25" s="1"/>
  <c r="AK5" i="25"/>
  <c r="G5" i="25"/>
  <c r="G6" i="25" s="1"/>
  <c r="AD4" i="25"/>
  <c r="Z4" i="25"/>
  <c r="O4" i="25"/>
  <c r="G4" i="25"/>
  <c r="G10" i="25" s="1"/>
  <c r="C56" i="24"/>
  <c r="C55" i="24"/>
  <c r="C51" i="24"/>
  <c r="C50" i="24"/>
  <c r="AN44" i="24"/>
  <c r="AM44" i="24"/>
  <c r="AN43" i="24"/>
  <c r="AM43" i="24"/>
  <c r="AN42" i="24"/>
  <c r="AM42" i="24"/>
  <c r="AN41" i="24"/>
  <c r="AM41" i="24"/>
  <c r="C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AN33" i="24"/>
  <c r="AM33" i="24"/>
  <c r="AN32" i="24"/>
  <c r="AM32" i="24"/>
  <c r="G32" i="24"/>
  <c r="AN31" i="24"/>
  <c r="AM31" i="24"/>
  <c r="AN30" i="24"/>
  <c r="AM30" i="24"/>
  <c r="AN29" i="24"/>
  <c r="AM29" i="24"/>
  <c r="G29" i="24"/>
  <c r="G27" i="24" s="1"/>
  <c r="AN28" i="24"/>
  <c r="AM28" i="24"/>
  <c r="AN27" i="24"/>
  <c r="AM27" i="24"/>
  <c r="AN26" i="24"/>
  <c r="AM26" i="24"/>
  <c r="G26" i="24"/>
  <c r="AN25" i="24"/>
  <c r="AM25" i="24"/>
  <c r="G25" i="24"/>
  <c r="AN24" i="24"/>
  <c r="AM24" i="24"/>
  <c r="G24" i="24"/>
  <c r="AN23" i="24"/>
  <c r="AM23" i="24"/>
  <c r="G23" i="24"/>
  <c r="C23" i="24"/>
  <c r="AN22" i="24"/>
  <c r="AM22" i="24"/>
  <c r="AN21" i="24"/>
  <c r="AM21" i="24"/>
  <c r="O21" i="24"/>
  <c r="G14" i="24" s="1"/>
  <c r="G15" i="24" s="1"/>
  <c r="AN20" i="24"/>
  <c r="AM20" i="24"/>
  <c r="AN19" i="24"/>
  <c r="AM19" i="24"/>
  <c r="O19" i="24"/>
  <c r="AN18" i="24"/>
  <c r="AM18" i="24"/>
  <c r="AN17" i="24"/>
  <c r="AM17" i="24"/>
  <c r="C17" i="24"/>
  <c r="AN16" i="24"/>
  <c r="AM16" i="24"/>
  <c r="C16" i="24"/>
  <c r="AN15" i="24"/>
  <c r="AM15" i="24"/>
  <c r="AN14" i="24"/>
  <c r="AM14" i="24"/>
  <c r="K14" i="24"/>
  <c r="AN13" i="24"/>
  <c r="AM13" i="24"/>
  <c r="AN12" i="24"/>
  <c r="AM12" i="24"/>
  <c r="AN11" i="24"/>
  <c r="AM11" i="24"/>
  <c r="O11" i="24"/>
  <c r="C11" i="24"/>
  <c r="C30" i="24" s="1"/>
  <c r="AN10" i="24"/>
  <c r="AM10" i="24"/>
  <c r="AN9" i="24"/>
  <c r="AM9" i="24"/>
  <c r="O9" i="24"/>
  <c r="C9" i="24"/>
  <c r="AN8" i="24"/>
  <c r="AM8" i="24"/>
  <c r="AN7" i="24"/>
  <c r="AM7" i="24"/>
  <c r="G7" i="24"/>
  <c r="C7" i="24"/>
  <c r="AN6" i="24"/>
  <c r="AM6" i="24"/>
  <c r="O6" i="24"/>
  <c r="AO5" i="24"/>
  <c r="AN5" i="24"/>
  <c r="AI6" i="24" s="1"/>
  <c r="AM5" i="24"/>
  <c r="AG6" i="24" s="1"/>
  <c r="AK5" i="24"/>
  <c r="G5" i="24"/>
  <c r="G6" i="24" s="1"/>
  <c r="AD4" i="24"/>
  <c r="Z4" i="24"/>
  <c r="O4" i="24"/>
  <c r="G4" i="24"/>
  <c r="G10" i="24" s="1"/>
  <c r="C56" i="23"/>
  <c r="C55" i="23"/>
  <c r="C51" i="23"/>
  <c r="C50" i="23"/>
  <c r="AN44" i="23"/>
  <c r="AM44" i="23"/>
  <c r="AN43" i="23"/>
  <c r="AM43" i="23"/>
  <c r="AN42" i="23"/>
  <c r="AM42" i="23"/>
  <c r="AN41" i="23"/>
  <c r="AM41" i="23"/>
  <c r="C41" i="23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AN33" i="23"/>
  <c r="AM33" i="23"/>
  <c r="AN32" i="23"/>
  <c r="AM32" i="23"/>
  <c r="G32" i="23"/>
  <c r="AN31" i="23"/>
  <c r="AM31" i="23"/>
  <c r="AN30" i="23"/>
  <c r="AM30" i="23"/>
  <c r="AN29" i="23"/>
  <c r="AM29" i="23"/>
  <c r="G29" i="23"/>
  <c r="G27" i="23" s="1"/>
  <c r="AN28" i="23"/>
  <c r="AM28" i="23"/>
  <c r="AN27" i="23"/>
  <c r="AM27" i="23"/>
  <c r="AN26" i="23"/>
  <c r="AM26" i="23"/>
  <c r="G26" i="23"/>
  <c r="AN25" i="23"/>
  <c r="AM25" i="23"/>
  <c r="G25" i="23"/>
  <c r="AN24" i="23"/>
  <c r="AM24" i="23"/>
  <c r="G24" i="23"/>
  <c r="AN23" i="23"/>
  <c r="AM23" i="23"/>
  <c r="G23" i="23"/>
  <c r="C23" i="23"/>
  <c r="AN22" i="23"/>
  <c r="AM22" i="23"/>
  <c r="AN21" i="23"/>
  <c r="AM21" i="23"/>
  <c r="O21" i="23"/>
  <c r="G14" i="23" s="1"/>
  <c r="G15" i="23" s="1"/>
  <c r="AN20" i="23"/>
  <c r="AM20" i="23"/>
  <c r="AN19" i="23"/>
  <c r="AM19" i="23"/>
  <c r="O19" i="23"/>
  <c r="AN18" i="23"/>
  <c r="AM18" i="23"/>
  <c r="AN17" i="23"/>
  <c r="AM17" i="23"/>
  <c r="C17" i="23"/>
  <c r="AN16" i="23"/>
  <c r="AM16" i="23"/>
  <c r="C16" i="23"/>
  <c r="AN15" i="23"/>
  <c r="AM15" i="23"/>
  <c r="AN14" i="23"/>
  <c r="AM14" i="23"/>
  <c r="K14" i="23"/>
  <c r="AN13" i="23"/>
  <c r="AM13" i="23"/>
  <c r="AN12" i="23"/>
  <c r="AM12" i="23"/>
  <c r="AN11" i="23"/>
  <c r="AM11" i="23"/>
  <c r="O11" i="23"/>
  <c r="C11" i="23"/>
  <c r="C30" i="23" s="1"/>
  <c r="AN10" i="23"/>
  <c r="AM10" i="23"/>
  <c r="AN9" i="23"/>
  <c r="AM9" i="23"/>
  <c r="O9" i="23"/>
  <c r="C9" i="23"/>
  <c r="AN8" i="23"/>
  <c r="AM8" i="23"/>
  <c r="AN7" i="23"/>
  <c r="AM7" i="23"/>
  <c r="G7" i="23"/>
  <c r="C7" i="23"/>
  <c r="AN6" i="23"/>
  <c r="AM6" i="23"/>
  <c r="O6" i="23"/>
  <c r="AO5" i="23"/>
  <c r="AN5" i="23"/>
  <c r="AI6" i="23" s="1"/>
  <c r="AM5" i="23"/>
  <c r="AG6" i="23" s="1"/>
  <c r="AK5" i="23"/>
  <c r="G5" i="23"/>
  <c r="G6" i="23" s="1"/>
  <c r="AD4" i="23"/>
  <c r="Z4" i="23"/>
  <c r="O4" i="23"/>
  <c r="G4" i="23"/>
  <c r="G10" i="23" s="1"/>
  <c r="C56" i="22"/>
  <c r="C55" i="22"/>
  <c r="C51" i="22"/>
  <c r="C50" i="22"/>
  <c r="AN44" i="22"/>
  <c r="AM44" i="22"/>
  <c r="AN43" i="22"/>
  <c r="AM43" i="22"/>
  <c r="AN42" i="22"/>
  <c r="AM42" i="22"/>
  <c r="AN41" i="22"/>
  <c r="AM41" i="22"/>
  <c r="C41" i="22"/>
  <c r="K21" i="22" s="1"/>
  <c r="K21" i="23" s="1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AN33" i="22"/>
  <c r="AM33" i="22"/>
  <c r="AN32" i="22"/>
  <c r="AM32" i="22"/>
  <c r="G32" i="22"/>
  <c r="AN31" i="22"/>
  <c r="AM31" i="22"/>
  <c r="AN30" i="22"/>
  <c r="AM30" i="22"/>
  <c r="AN29" i="22"/>
  <c r="AM29" i="22"/>
  <c r="K29" i="22"/>
  <c r="K29" i="23" s="1"/>
  <c r="G29" i="22"/>
  <c r="G27" i="22" s="1"/>
  <c r="AN28" i="22"/>
  <c r="AM28" i="22"/>
  <c r="K28" i="22"/>
  <c r="K28" i="23" s="1"/>
  <c r="AN27" i="22"/>
  <c r="AM27" i="22"/>
  <c r="K27" i="22"/>
  <c r="K27" i="23" s="1"/>
  <c r="AN26" i="22"/>
  <c r="AM26" i="22"/>
  <c r="K26" i="22"/>
  <c r="K26" i="23" s="1"/>
  <c r="G26" i="22"/>
  <c r="AN25" i="22"/>
  <c r="AM25" i="22"/>
  <c r="G25" i="22"/>
  <c r="AN24" i="22"/>
  <c r="AM24" i="22"/>
  <c r="K24" i="22"/>
  <c r="K24" i="23" s="1"/>
  <c r="G24" i="22"/>
  <c r="AN23" i="22"/>
  <c r="AM23" i="22"/>
  <c r="K23" i="22"/>
  <c r="K23" i="23" s="1"/>
  <c r="G23" i="22"/>
  <c r="C23" i="22"/>
  <c r="AN22" i="22"/>
  <c r="AM22" i="22"/>
  <c r="K22" i="22"/>
  <c r="K22" i="23" s="1"/>
  <c r="AN21" i="22"/>
  <c r="AM21" i="22"/>
  <c r="O21" i="22"/>
  <c r="G14" i="22" s="1"/>
  <c r="G15" i="22" s="1"/>
  <c r="AN20" i="22"/>
  <c r="AM20" i="22"/>
  <c r="K20" i="22"/>
  <c r="K20" i="23" s="1"/>
  <c r="AN19" i="22"/>
  <c r="AM19" i="22"/>
  <c r="O19" i="22"/>
  <c r="AN18" i="22"/>
  <c r="AM18" i="22"/>
  <c r="AN17" i="22"/>
  <c r="AM17" i="22"/>
  <c r="C17" i="22"/>
  <c r="AN16" i="22"/>
  <c r="AM16" i="22"/>
  <c r="C16" i="22"/>
  <c r="AN15" i="22"/>
  <c r="AM15" i="22"/>
  <c r="AN14" i="22"/>
  <c r="AM14" i="22"/>
  <c r="K14" i="22"/>
  <c r="AN13" i="22"/>
  <c r="AM13" i="22"/>
  <c r="AN12" i="22"/>
  <c r="AM12" i="22"/>
  <c r="AN11" i="22"/>
  <c r="AM11" i="22"/>
  <c r="O11" i="22"/>
  <c r="C11" i="22"/>
  <c r="C30" i="22" s="1"/>
  <c r="AN10" i="22"/>
  <c r="AM10" i="22"/>
  <c r="AN9" i="22"/>
  <c r="AM9" i="22"/>
  <c r="O9" i="22"/>
  <c r="C9" i="22"/>
  <c r="AN8" i="22"/>
  <c r="AM8" i="22"/>
  <c r="AN7" i="22"/>
  <c r="AM7" i="22"/>
  <c r="G7" i="22"/>
  <c r="C7" i="22"/>
  <c r="AN6" i="22"/>
  <c r="AM6" i="22"/>
  <c r="O6" i="22"/>
  <c r="AO5" i="22"/>
  <c r="AN5" i="22"/>
  <c r="AI6" i="22" s="1"/>
  <c r="AM5" i="22"/>
  <c r="AG6" i="22" s="1"/>
  <c r="AK5" i="22"/>
  <c r="G5" i="22"/>
  <c r="G6" i="22" s="1"/>
  <c r="AD4" i="22"/>
  <c r="Z4" i="22"/>
  <c r="O4" i="22"/>
  <c r="G4" i="22"/>
  <c r="G10" i="22" s="1"/>
  <c r="C56" i="2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G29" i="21"/>
  <c r="G27" i="21" s="1"/>
  <c r="AN28" i="21"/>
  <c r="AM28" i="21"/>
  <c r="AN27" i="21"/>
  <c r="AM27" i="21"/>
  <c r="AN26" i="21"/>
  <c r="AM26" i="21"/>
  <c r="G26" i="21"/>
  <c r="AN25" i="21"/>
  <c r="AM25" i="21"/>
  <c r="G25" i="21"/>
  <c r="AN24" i="21"/>
  <c r="AM24" i="21"/>
  <c r="G24" i="21"/>
  <c r="AN23" i="21"/>
  <c r="AM23" i="21"/>
  <c r="G23" i="21"/>
  <c r="C23" i="21"/>
  <c r="AN22" i="21"/>
  <c r="AM22" i="21"/>
  <c r="AN21" i="21"/>
  <c r="AM21" i="21"/>
  <c r="O21" i="21"/>
  <c r="O22" i="21" s="1"/>
  <c r="AN20" i="21"/>
  <c r="AM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AN13" i="21"/>
  <c r="AM13" i="21"/>
  <c r="AN12" i="21"/>
  <c r="AM12" i="21"/>
  <c r="AN11" i="21"/>
  <c r="AM11" i="21"/>
  <c r="O11" i="21"/>
  <c r="C11" i="21"/>
  <c r="C30" i="21" s="1"/>
  <c r="AN10" i="21"/>
  <c r="AM10" i="21"/>
  <c r="AN9" i="21"/>
  <c r="AM9" i="21"/>
  <c r="O9" i="21"/>
  <c r="C9" i="21"/>
  <c r="AN8" i="21"/>
  <c r="AM8" i="21"/>
  <c r="AN7" i="21"/>
  <c r="AM7" i="21"/>
  <c r="G7" i="21"/>
  <c r="C7" i="21"/>
  <c r="AN6" i="21"/>
  <c r="AM6" i="21"/>
  <c r="O6" i="21"/>
  <c r="AO5" i="21"/>
  <c r="AN5" i="21"/>
  <c r="AI6" i="21" s="1"/>
  <c r="AM5" i="21"/>
  <c r="AG6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G29" i="20"/>
  <c r="G27" i="20" s="1"/>
  <c r="AN28" i="20"/>
  <c r="AM28" i="20"/>
  <c r="AN27" i="20"/>
  <c r="AM27" i="20"/>
  <c r="AN26" i="20"/>
  <c r="AM26" i="20"/>
  <c r="G26" i="20"/>
  <c r="AN25" i="20"/>
  <c r="AM25" i="20"/>
  <c r="G25" i="20"/>
  <c r="AN24" i="20"/>
  <c r="AM24" i="20"/>
  <c r="G24" i="20"/>
  <c r="AN23" i="20"/>
  <c r="AM23" i="20"/>
  <c r="G23" i="20"/>
  <c r="C23" i="20"/>
  <c r="AN22" i="20"/>
  <c r="AM22" i="20"/>
  <c r="AN21" i="20"/>
  <c r="AM21" i="20"/>
  <c r="O21" i="20"/>
  <c r="G14" i="20" s="1"/>
  <c r="G15" i="20" s="1"/>
  <c r="AN20" i="20"/>
  <c r="AM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G29" i="19"/>
  <c r="G27" i="19" s="1"/>
  <c r="AN28" i="19"/>
  <c r="AM28" i="19"/>
  <c r="AN27" i="19"/>
  <c r="AM27" i="19"/>
  <c r="AN26" i="19"/>
  <c r="AM26" i="19"/>
  <c r="G26" i="19"/>
  <c r="AN25" i="19"/>
  <c r="AM25" i="19"/>
  <c r="G25" i="19"/>
  <c r="AN24" i="19"/>
  <c r="AM24" i="19"/>
  <c r="G24" i="19"/>
  <c r="AN23" i="19"/>
  <c r="AM23" i="19"/>
  <c r="G23" i="19"/>
  <c r="C23" i="19"/>
  <c r="AN22" i="19"/>
  <c r="AM22" i="19"/>
  <c r="AN21" i="19"/>
  <c r="AM21" i="19"/>
  <c r="O21" i="19"/>
  <c r="G14" i="19" s="1"/>
  <c r="G15" i="19" s="1"/>
  <c r="AN20" i="19"/>
  <c r="AM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K23" i="25" l="1"/>
  <c r="K23" i="24"/>
  <c r="K22" i="25"/>
  <c r="K22" i="24"/>
  <c r="K29" i="25"/>
  <c r="K29" i="24"/>
  <c r="K20" i="25"/>
  <c r="K20" i="24"/>
  <c r="K26" i="25"/>
  <c r="K26" i="24"/>
  <c r="K27" i="25"/>
  <c r="K27" i="24"/>
  <c r="K24" i="25"/>
  <c r="K24" i="24"/>
  <c r="K21" i="25"/>
  <c r="K21" i="24"/>
  <c r="K28" i="25"/>
  <c r="K28" i="24"/>
  <c r="O22" i="20"/>
  <c r="G14" i="21"/>
  <c r="G15" i="21" s="1"/>
  <c r="O22" i="23"/>
  <c r="O25" i="23" s="1"/>
  <c r="O22" i="22"/>
  <c r="AK6" i="19"/>
  <c r="AI7" i="19" s="1"/>
  <c r="O25" i="21"/>
  <c r="AK6" i="21"/>
  <c r="AI7" i="21" s="1"/>
  <c r="AK6" i="23"/>
  <c r="AI7" i="23" s="1"/>
  <c r="AK6" i="22"/>
  <c r="AI7" i="22" s="1"/>
  <c r="AI8" i="22" s="1"/>
  <c r="G28" i="25"/>
  <c r="K4" i="25"/>
  <c r="G8" i="25"/>
  <c r="G9" i="25" s="1"/>
  <c r="AO6" i="25"/>
  <c r="G13" i="25"/>
  <c r="K11" i="25" s="1"/>
  <c r="O22" i="25"/>
  <c r="O5" i="25"/>
  <c r="AK6" i="25"/>
  <c r="AI7" i="25" s="1"/>
  <c r="AG7" i="25"/>
  <c r="K42" i="25"/>
  <c r="K34" i="25"/>
  <c r="O12" i="25"/>
  <c r="O13" i="25" s="1"/>
  <c r="O16" i="25" s="1"/>
  <c r="AG7" i="24"/>
  <c r="G28" i="24"/>
  <c r="AO6" i="24"/>
  <c r="K46" i="23"/>
  <c r="G13" i="24"/>
  <c r="K11" i="24" s="1"/>
  <c r="O5" i="24"/>
  <c r="K4" i="24"/>
  <c r="G8" i="24"/>
  <c r="G9" i="24" s="1"/>
  <c r="AK6" i="24"/>
  <c r="AI7" i="24" s="1"/>
  <c r="O22" i="24"/>
  <c r="O25" i="24" s="1"/>
  <c r="K34" i="24"/>
  <c r="O12" i="24"/>
  <c r="O13" i="24" s="1"/>
  <c r="O16" i="24" s="1"/>
  <c r="K42" i="24"/>
  <c r="K38" i="23"/>
  <c r="G28" i="23"/>
  <c r="AO6" i="23"/>
  <c r="O5" i="23"/>
  <c r="G13" i="23"/>
  <c r="K11" i="23"/>
  <c r="K4" i="23"/>
  <c r="G8" i="23"/>
  <c r="G9" i="23" s="1"/>
  <c r="AG7" i="23"/>
  <c r="K42" i="23"/>
  <c r="K34" i="23"/>
  <c r="K38" i="22"/>
  <c r="AG7" i="22"/>
  <c r="G28" i="22"/>
  <c r="K46" i="22"/>
  <c r="K4" i="22"/>
  <c r="G8" i="22"/>
  <c r="G9" i="22" s="1"/>
  <c r="K25" i="22"/>
  <c r="O25" i="22"/>
  <c r="G13" i="22"/>
  <c r="O5" i="22"/>
  <c r="K11" i="22"/>
  <c r="AO6" i="22"/>
  <c r="K34" i="22"/>
  <c r="K42" i="22"/>
  <c r="O12" i="22"/>
  <c r="O13" i="22" s="1"/>
  <c r="O16" i="22" s="1"/>
  <c r="G28" i="21"/>
  <c r="AO6" i="21"/>
  <c r="G13" i="21"/>
  <c r="O5" i="21"/>
  <c r="K4" i="21"/>
  <c r="G8" i="21"/>
  <c r="G9" i="21" s="1"/>
  <c r="K11" i="21"/>
  <c r="AG7" i="21"/>
  <c r="K34" i="21"/>
  <c r="K42" i="21"/>
  <c r="O25" i="20"/>
  <c r="AG7" i="20"/>
  <c r="AO6" i="20"/>
  <c r="G28" i="20"/>
  <c r="G13" i="20"/>
  <c r="K11" i="20" s="1"/>
  <c r="O5" i="20"/>
  <c r="AK6" i="20"/>
  <c r="AI7" i="20" s="1"/>
  <c r="G8" i="20"/>
  <c r="G9" i="20" s="1"/>
  <c r="K4" i="20"/>
  <c r="K42" i="20"/>
  <c r="O12" i="20"/>
  <c r="O13" i="20" s="1"/>
  <c r="O16" i="20" s="1"/>
  <c r="K34" i="20"/>
  <c r="G28" i="19"/>
  <c r="AG7" i="19"/>
  <c r="G13" i="19"/>
  <c r="K11" i="19" s="1"/>
  <c r="O5" i="19"/>
  <c r="O22" i="19"/>
  <c r="O25" i="19" s="1"/>
  <c r="AO6" i="19"/>
  <c r="K4" i="19"/>
  <c r="G8" i="19"/>
  <c r="G9" i="19" s="1"/>
  <c r="K34" i="19"/>
  <c r="K42" i="19"/>
  <c r="O12" i="19"/>
  <c r="O13" i="19" s="1"/>
  <c r="O16" i="19" s="1"/>
  <c r="C9" i="12"/>
  <c r="O11" i="12"/>
  <c r="O5" i="12"/>
  <c r="O19" i="12"/>
  <c r="K25" i="24" l="1"/>
  <c r="K25" i="23"/>
  <c r="K45" i="23" s="1"/>
  <c r="K38" i="24"/>
  <c r="K37" i="24"/>
  <c r="K46" i="25"/>
  <c r="K38" i="25"/>
  <c r="K46" i="24"/>
  <c r="K37" i="22"/>
  <c r="K25" i="25"/>
  <c r="K45" i="25" s="1"/>
  <c r="AK7" i="23"/>
  <c r="AG8" i="23" s="1"/>
  <c r="AI8" i="23"/>
  <c r="AO8" i="23" s="1"/>
  <c r="AK7" i="21"/>
  <c r="AI8" i="21" s="1"/>
  <c r="AK7" i="25"/>
  <c r="AG8" i="25" s="1"/>
  <c r="AO7" i="24"/>
  <c r="AK7" i="22"/>
  <c r="AG8" i="22" s="1"/>
  <c r="AK8" i="22" s="1"/>
  <c r="AI9" i="22" s="1"/>
  <c r="AI10" i="22" s="1"/>
  <c r="AO7" i="25"/>
  <c r="O25" i="25"/>
  <c r="K5" i="25"/>
  <c r="O14" i="25"/>
  <c r="O10" i="25"/>
  <c r="AK7" i="24"/>
  <c r="AG8" i="24" s="1"/>
  <c r="K45" i="24"/>
  <c r="O10" i="24"/>
  <c r="O14" i="24"/>
  <c r="K5" i="24"/>
  <c r="K37" i="23"/>
  <c r="AO7" i="23"/>
  <c r="O10" i="23"/>
  <c r="K5" i="23"/>
  <c r="O12" i="23"/>
  <c r="O13" i="23" s="1"/>
  <c r="O16" i="23" s="1"/>
  <c r="AO7" i="22"/>
  <c r="AK7" i="19"/>
  <c r="AI8" i="19" s="1"/>
  <c r="K45" i="22"/>
  <c r="AO7" i="20"/>
  <c r="AO7" i="19"/>
  <c r="O14" i="22"/>
  <c r="O10" i="22"/>
  <c r="K5" i="22"/>
  <c r="AO7" i="21"/>
  <c r="K5" i="21"/>
  <c r="O10" i="21"/>
  <c r="O12" i="21"/>
  <c r="O13" i="21" s="1"/>
  <c r="O16" i="21" s="1"/>
  <c r="K5" i="20"/>
  <c r="AK7" i="20"/>
  <c r="AG8" i="20" s="1"/>
  <c r="O14" i="20"/>
  <c r="O10" i="20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K8" i="23" l="1"/>
  <c r="AI9" i="23" s="1"/>
  <c r="AG9" i="23"/>
  <c r="K37" i="25"/>
  <c r="AG8" i="21"/>
  <c r="AK8" i="21" s="1"/>
  <c r="AG9" i="21" s="1"/>
  <c r="AG8" i="19"/>
  <c r="AO8" i="19" s="1"/>
  <c r="AI8" i="25"/>
  <c r="AO8" i="25" s="1"/>
  <c r="AG9" i="22"/>
  <c r="AK9" i="22" s="1"/>
  <c r="AG10" i="22" s="1"/>
  <c r="AO10" i="22" s="1"/>
  <c r="AO8" i="22"/>
  <c r="AI8" i="24"/>
  <c r="AO8" i="24" s="1"/>
  <c r="AK9" i="23"/>
  <c r="AG10" i="23" s="1"/>
  <c r="O20" i="25"/>
  <c r="O28" i="25" s="1"/>
  <c r="O30" i="25" s="1"/>
  <c r="O15" i="25"/>
  <c r="O20" i="24"/>
  <c r="O15" i="24"/>
  <c r="O14" i="23"/>
  <c r="AO9" i="23"/>
  <c r="O20" i="22"/>
  <c r="O15" i="22"/>
  <c r="AI9" i="21"/>
  <c r="AK9" i="21" s="1"/>
  <c r="AK8" i="19"/>
  <c r="AI9" i="19" s="1"/>
  <c r="O14" i="21"/>
  <c r="AO8" i="21"/>
  <c r="AG9" i="19"/>
  <c r="AI8" i="20"/>
  <c r="AK8" i="20" s="1"/>
  <c r="O20" i="20"/>
  <c r="O15" i="20"/>
  <c r="O20" i="19"/>
  <c r="O15" i="19"/>
  <c r="AG6" i="12"/>
  <c r="G14" i="12"/>
  <c r="G15" i="12" s="1"/>
  <c r="O25" i="12"/>
  <c r="G6" i="12"/>
  <c r="AI6" i="12"/>
  <c r="G25" i="12"/>
  <c r="K42" i="12"/>
  <c r="AK8" i="24" l="1"/>
  <c r="AI9" i="24" s="1"/>
  <c r="AO9" i="22"/>
  <c r="AI10" i="23"/>
  <c r="AK10" i="23" s="1"/>
  <c r="AG11" i="23" s="1"/>
  <c r="AK8" i="25"/>
  <c r="AG9" i="25" s="1"/>
  <c r="AK9" i="19"/>
  <c r="AI9" i="25"/>
  <c r="AG9" i="24"/>
  <c r="AO9" i="24" s="1"/>
  <c r="O23" i="25"/>
  <c r="G16" i="25"/>
  <c r="AK10" i="22"/>
  <c r="O23" i="24"/>
  <c r="G16" i="24"/>
  <c r="O28" i="24"/>
  <c r="O30" i="24" s="1"/>
  <c r="AO9" i="21"/>
  <c r="AI11" i="23"/>
  <c r="AO11" i="23" s="1"/>
  <c r="O20" i="23"/>
  <c r="O15" i="23"/>
  <c r="AO8" i="20"/>
  <c r="G16" i="22"/>
  <c r="O23" i="22"/>
  <c r="K16" i="22"/>
  <c r="K16" i="25" s="1"/>
  <c r="O28" i="22"/>
  <c r="O30" i="22" s="1"/>
  <c r="AG10" i="21"/>
  <c r="AI10" i="21"/>
  <c r="AI9" i="20"/>
  <c r="AG9" i="20"/>
  <c r="O20" i="21"/>
  <c r="O15" i="21"/>
  <c r="AO9" i="19"/>
  <c r="AG10" i="19"/>
  <c r="AI10" i="19"/>
  <c r="G16" i="20"/>
  <c r="O23" i="20"/>
  <c r="O28" i="20"/>
  <c r="O30" i="20" s="1"/>
  <c r="G16" i="19"/>
  <c r="O23" i="19"/>
  <c r="O28" i="19"/>
  <c r="O30" i="19" s="1"/>
  <c r="AO6" i="12"/>
  <c r="AK6" i="12"/>
  <c r="AG7" i="12" s="1"/>
  <c r="K16" i="23" l="1"/>
  <c r="K16" i="24"/>
  <c r="AO10" i="23"/>
  <c r="AK9" i="24"/>
  <c r="AG10" i="24" s="1"/>
  <c r="AG11" i="22"/>
  <c r="AI11" i="22"/>
  <c r="AO9" i="25"/>
  <c r="AK9" i="25"/>
  <c r="AG10" i="25" s="1"/>
  <c r="AI10" i="24"/>
  <c r="AO10" i="24" s="1"/>
  <c r="AO9" i="20"/>
  <c r="G19" i="25"/>
  <c r="AA4" i="25"/>
  <c r="W4" i="25"/>
  <c r="Y4" i="25"/>
  <c r="AO10" i="21"/>
  <c r="G19" i="24"/>
  <c r="W4" i="24"/>
  <c r="AA4" i="24"/>
  <c r="Y4" i="24"/>
  <c r="O23" i="23"/>
  <c r="G16" i="23"/>
  <c r="O28" i="23"/>
  <c r="O30" i="23" s="1"/>
  <c r="AK11" i="23"/>
  <c r="AO10" i="19"/>
  <c r="AK9" i="20"/>
  <c r="AG10" i="20" s="1"/>
  <c r="G19" i="22"/>
  <c r="Y4" i="22"/>
  <c r="W4" i="22"/>
  <c r="AA4" i="22"/>
  <c r="AK10" i="19"/>
  <c r="AG11" i="19" s="1"/>
  <c r="AK10" i="21"/>
  <c r="G16" i="21"/>
  <c r="O23" i="21"/>
  <c r="O28" i="21"/>
  <c r="O30" i="21" s="1"/>
  <c r="G19" i="20"/>
  <c r="W4" i="20"/>
  <c r="Y4" i="20"/>
  <c r="AA4" i="20"/>
  <c r="G19" i="19"/>
  <c r="Y4" i="19"/>
  <c r="W4" i="19"/>
  <c r="AA4" i="19"/>
  <c r="AI7" i="12"/>
  <c r="AO7" i="12" s="1"/>
  <c r="AO11" i="22" l="1"/>
  <c r="AI10" i="25"/>
  <c r="AK10" i="25" s="1"/>
  <c r="AI10" i="20"/>
  <c r="AO10" i="20" s="1"/>
  <c r="AK10" i="24"/>
  <c r="AG11" i="24" s="1"/>
  <c r="AI11" i="24"/>
  <c r="AK11" i="22"/>
  <c r="AO10" i="25"/>
  <c r="AI11" i="19"/>
  <c r="AK11" i="19" s="1"/>
  <c r="AI12" i="19" s="1"/>
  <c r="AO11" i="24"/>
  <c r="AB4" i="25"/>
  <c r="V5" i="25" s="1"/>
  <c r="W5" i="25" s="1"/>
  <c r="AI12" i="23"/>
  <c r="AG12" i="23"/>
  <c r="AC4" i="25"/>
  <c r="X5" i="25" s="1"/>
  <c r="AC4" i="24"/>
  <c r="X5" i="24" s="1"/>
  <c r="Y5" i="24" s="1"/>
  <c r="AB4" i="24"/>
  <c r="V5" i="24" s="1"/>
  <c r="G19" i="23"/>
  <c r="W4" i="23"/>
  <c r="AA4" i="23"/>
  <c r="Y4" i="23"/>
  <c r="AB4" i="22"/>
  <c r="V5" i="22" s="1"/>
  <c r="W5" i="22" s="1"/>
  <c r="AC4" i="22"/>
  <c r="X5" i="22" s="1"/>
  <c r="Y5" i="22" s="1"/>
  <c r="AG11" i="21"/>
  <c r="AI11" i="21"/>
  <c r="G19" i="21"/>
  <c r="Y4" i="21"/>
  <c r="W4" i="21"/>
  <c r="AA4" i="21"/>
  <c r="AC4" i="20"/>
  <c r="X5" i="20" s="1"/>
  <c r="AB4" i="20"/>
  <c r="V5" i="20" s="1"/>
  <c r="AC4" i="19"/>
  <c r="X5" i="19" s="1"/>
  <c r="Y5" i="19" s="1"/>
  <c r="AB4" i="19"/>
  <c r="V5" i="19" s="1"/>
  <c r="AK7" i="12"/>
  <c r="AI8" i="12" s="1"/>
  <c r="AK11" i="24" l="1"/>
  <c r="AG11" i="25"/>
  <c r="AI11" i="25"/>
  <c r="AK11" i="25" s="1"/>
  <c r="AI12" i="25" s="1"/>
  <c r="AO12" i="23"/>
  <c r="AK10" i="20"/>
  <c r="AO11" i="19"/>
  <c r="AI12" i="22"/>
  <c r="AG12" i="22"/>
  <c r="AK12" i="22" s="1"/>
  <c r="AK12" i="23"/>
  <c r="AG13" i="23" s="1"/>
  <c r="AG12" i="25"/>
  <c r="AK12" i="25" s="1"/>
  <c r="AG13" i="25" s="1"/>
  <c r="AO11" i="21"/>
  <c r="Z5" i="24"/>
  <c r="AA5" i="24" s="1"/>
  <c r="AC5" i="24" s="1"/>
  <c r="X6" i="24" s="1"/>
  <c r="Y6" i="24" s="1"/>
  <c r="AI12" i="24"/>
  <c r="AG12" i="24"/>
  <c r="W5" i="24"/>
  <c r="AG12" i="19"/>
  <c r="AO12" i="19" s="1"/>
  <c r="AD5" i="24"/>
  <c r="AD5" i="25"/>
  <c r="Y5" i="25"/>
  <c r="Z5" i="25"/>
  <c r="AA5" i="25" s="1"/>
  <c r="AB5" i="25" s="1"/>
  <c r="V6" i="25" s="1"/>
  <c r="AB4" i="23"/>
  <c r="V5" i="23" s="1"/>
  <c r="W5" i="23" s="1"/>
  <c r="AD5" i="22"/>
  <c r="AC4" i="23"/>
  <c r="X5" i="23" s="1"/>
  <c r="Z5" i="22"/>
  <c r="AA5" i="22" s="1"/>
  <c r="AC5" i="22" s="1"/>
  <c r="X6" i="22" s="1"/>
  <c r="AK11" i="21"/>
  <c r="AI12" i="21" s="1"/>
  <c r="AB4" i="21"/>
  <c r="V5" i="21" s="1"/>
  <c r="AC4" i="21"/>
  <c r="X5" i="21" s="1"/>
  <c r="Z5" i="20"/>
  <c r="AA5" i="20" s="1"/>
  <c r="W5" i="20"/>
  <c r="AD5" i="20"/>
  <c r="Y5" i="20"/>
  <c r="Z5" i="19"/>
  <c r="AA5" i="19" s="1"/>
  <c r="AC5" i="19" s="1"/>
  <c r="X6" i="19" s="1"/>
  <c r="W5" i="19"/>
  <c r="AD5" i="19"/>
  <c r="AG8" i="12"/>
  <c r="AO8" i="12" s="1"/>
  <c r="AO11" i="25" l="1"/>
  <c r="AG11" i="20"/>
  <c r="AI11" i="20"/>
  <c r="AI13" i="23"/>
  <c r="AK13" i="23" s="1"/>
  <c r="AI14" i="23" s="1"/>
  <c r="AB5" i="24"/>
  <c r="V6" i="24" s="1"/>
  <c r="Z6" i="24" s="1"/>
  <c r="AA6" i="24" s="1"/>
  <c r="AC6" i="24" s="1"/>
  <c r="X7" i="24" s="1"/>
  <c r="Y7" i="24" s="1"/>
  <c r="AO12" i="25"/>
  <c r="AG13" i="22"/>
  <c r="AI13" i="22"/>
  <c r="AO13" i="22" s="1"/>
  <c r="AO12" i="22"/>
  <c r="AO13" i="23"/>
  <c r="AO12" i="24"/>
  <c r="AI13" i="25"/>
  <c r="AK13" i="25" s="1"/>
  <c r="AI14" i="25" s="1"/>
  <c r="AK12" i="24"/>
  <c r="AK12" i="19"/>
  <c r="AC5" i="25"/>
  <c r="X6" i="25" s="1"/>
  <c r="Z6" i="25" s="1"/>
  <c r="AA6" i="25" s="1"/>
  <c r="W6" i="25"/>
  <c r="AD5" i="23"/>
  <c r="Y5" i="23"/>
  <c r="Z5" i="23"/>
  <c r="AA5" i="23" s="1"/>
  <c r="AB5" i="23" s="1"/>
  <c r="V6" i="23" s="1"/>
  <c r="AC5" i="20"/>
  <c r="X6" i="20" s="1"/>
  <c r="Y6" i="20" s="1"/>
  <c r="Y6" i="22"/>
  <c r="AB5" i="22"/>
  <c r="V6" i="22" s="1"/>
  <c r="AG12" i="21"/>
  <c r="AO12" i="21" s="1"/>
  <c r="AD5" i="21"/>
  <c r="Y5" i="21"/>
  <c r="Z5" i="21"/>
  <c r="AA5" i="21" s="1"/>
  <c r="W5" i="21"/>
  <c r="AB5" i="19"/>
  <c r="V6" i="19" s="1"/>
  <c r="Z6" i="19" s="1"/>
  <c r="AA6" i="19" s="1"/>
  <c r="AB5" i="20"/>
  <c r="V6" i="20" s="1"/>
  <c r="Y6" i="19"/>
  <c r="AK8" i="12"/>
  <c r="AI9" i="12" s="1"/>
  <c r="AO11" i="20" l="1"/>
  <c r="AD6" i="24"/>
  <c r="AK11" i="20"/>
  <c r="AG14" i="23"/>
  <c r="W6" i="24"/>
  <c r="AB6" i="24" s="1"/>
  <c r="V7" i="24" s="1"/>
  <c r="AK13" i="22"/>
  <c r="AO13" i="25"/>
  <c r="AG14" i="25"/>
  <c r="AK14" i="25" s="1"/>
  <c r="AG15" i="25" s="1"/>
  <c r="AG13" i="24"/>
  <c r="AI13" i="24"/>
  <c r="AG13" i="19"/>
  <c r="AI13" i="19"/>
  <c r="AB6" i="25"/>
  <c r="V7" i="25" s="1"/>
  <c r="AD6" i="25"/>
  <c r="Y6" i="25"/>
  <c r="AC6" i="25" s="1"/>
  <c r="X7" i="25" s="1"/>
  <c r="AD6" i="20"/>
  <c r="AK12" i="21"/>
  <c r="AI13" i="21" s="1"/>
  <c r="W6" i="23"/>
  <c r="AC5" i="23"/>
  <c r="X6" i="23" s="1"/>
  <c r="Z6" i="22"/>
  <c r="AA6" i="22" s="1"/>
  <c r="AC6" i="22" s="1"/>
  <c r="X7" i="22" s="1"/>
  <c r="W6" i="22"/>
  <c r="AD6" i="22"/>
  <c r="AB5" i="21"/>
  <c r="V6" i="21" s="1"/>
  <c r="W6" i="21" s="1"/>
  <c r="AD6" i="19"/>
  <c r="W6" i="19"/>
  <c r="AB6" i="19" s="1"/>
  <c r="V7" i="19" s="1"/>
  <c r="AC5" i="21"/>
  <c r="X6" i="21" s="1"/>
  <c r="Z6" i="20"/>
  <c r="AA6" i="20" s="1"/>
  <c r="AC6" i="20" s="1"/>
  <c r="X7" i="20" s="1"/>
  <c r="W6" i="20"/>
  <c r="AC6" i="19"/>
  <c r="X7" i="19" s="1"/>
  <c r="AG9" i="12"/>
  <c r="AO9" i="12" s="1"/>
  <c r="AI12" i="20" l="1"/>
  <c r="AG12" i="20"/>
  <c r="AK12" i="20" s="1"/>
  <c r="AG13" i="20" s="1"/>
  <c r="AK13" i="24"/>
  <c r="AK14" i="23"/>
  <c r="AO14" i="23"/>
  <c r="AD7" i="24"/>
  <c r="Z7" i="24"/>
  <c r="AA7" i="24" s="1"/>
  <c r="AC7" i="24" s="1"/>
  <c r="X8" i="24" s="1"/>
  <c r="Y8" i="24" s="1"/>
  <c r="W7" i="24"/>
  <c r="AO14" i="25"/>
  <c r="AI14" i="22"/>
  <c r="AG14" i="22"/>
  <c r="AO13" i="19"/>
  <c r="AK13" i="19"/>
  <c r="AG14" i="19" s="1"/>
  <c r="AI15" i="25"/>
  <c r="AO15" i="25" s="1"/>
  <c r="AO13" i="24"/>
  <c r="AI14" i="24"/>
  <c r="AG14" i="24"/>
  <c r="AG13" i="21"/>
  <c r="AK13" i="21" s="1"/>
  <c r="AI14" i="21" s="1"/>
  <c r="AB6" i="20"/>
  <c r="V7" i="20" s="1"/>
  <c r="W7" i="20" s="1"/>
  <c r="AD7" i="25"/>
  <c r="Y7" i="25"/>
  <c r="Z7" i="25"/>
  <c r="AA7" i="25" s="1"/>
  <c r="W7" i="25"/>
  <c r="AB6" i="22"/>
  <c r="V7" i="22" s="1"/>
  <c r="Z7" i="22" s="1"/>
  <c r="AA7" i="22" s="1"/>
  <c r="AD6" i="23"/>
  <c r="Y6" i="23"/>
  <c r="Z6" i="23"/>
  <c r="AA6" i="23" s="1"/>
  <c r="AB6" i="23" s="1"/>
  <c r="V7" i="23" s="1"/>
  <c r="Y7" i="22"/>
  <c r="AD6" i="21"/>
  <c r="Y6" i="21"/>
  <c r="Z6" i="21"/>
  <c r="AA6" i="21" s="1"/>
  <c r="AB6" i="21" s="1"/>
  <c r="V7" i="21" s="1"/>
  <c r="Y7" i="20"/>
  <c r="Z7" i="19"/>
  <c r="AA7" i="19" s="1"/>
  <c r="W7" i="19"/>
  <c r="AD7" i="19"/>
  <c r="Y7" i="19"/>
  <c r="AK9" i="12"/>
  <c r="AI10" i="12" s="1"/>
  <c r="AG15" i="23" l="1"/>
  <c r="AI15" i="23"/>
  <c r="AI13" i="20"/>
  <c r="AO13" i="20" s="1"/>
  <c r="AO12" i="20"/>
  <c r="AB7" i="24"/>
  <c r="V8" i="24" s="1"/>
  <c r="Z8" i="24" s="1"/>
  <c r="AA8" i="24" s="1"/>
  <c r="AC8" i="24" s="1"/>
  <c r="X9" i="24" s="1"/>
  <c r="Y9" i="24" s="1"/>
  <c r="AI14" i="19"/>
  <c r="AO14" i="19" s="1"/>
  <c r="AK14" i="22"/>
  <c r="AI15" i="22" s="1"/>
  <c r="AK15" i="25"/>
  <c r="AI16" i="25" s="1"/>
  <c r="AD8" i="24"/>
  <c r="W8" i="24"/>
  <c r="AO14" i="22"/>
  <c r="AK14" i="24"/>
  <c r="AG15" i="24" s="1"/>
  <c r="AO13" i="21"/>
  <c r="AG14" i="21"/>
  <c r="AO14" i="21" s="1"/>
  <c r="AD7" i="20"/>
  <c r="AO14" i="24"/>
  <c r="Z7" i="20"/>
  <c r="AA7" i="20" s="1"/>
  <c r="AB7" i="20" s="1"/>
  <c r="V8" i="20" s="1"/>
  <c r="W8" i="20" s="1"/>
  <c r="AD7" i="22"/>
  <c r="AB7" i="25"/>
  <c r="V8" i="25" s="1"/>
  <c r="W8" i="25" s="1"/>
  <c r="W7" i="22"/>
  <c r="AB7" i="22" s="1"/>
  <c r="V8" i="22" s="1"/>
  <c r="AC7" i="25"/>
  <c r="X8" i="25" s="1"/>
  <c r="W7" i="23"/>
  <c r="AC6" i="23"/>
  <c r="X7" i="23" s="1"/>
  <c r="AC7" i="22"/>
  <c r="X8" i="22" s="1"/>
  <c r="W7" i="21"/>
  <c r="AC6" i="21"/>
  <c r="X7" i="21" s="1"/>
  <c r="AC7" i="19"/>
  <c r="X8" i="19" s="1"/>
  <c r="Y8" i="19" s="1"/>
  <c r="AB7" i="19"/>
  <c r="V8" i="19" s="1"/>
  <c r="AG10" i="12"/>
  <c r="AO10" i="12" s="1"/>
  <c r="AB8" i="24" l="1"/>
  <c r="V9" i="24" s="1"/>
  <c r="AK14" i="19"/>
  <c r="AG15" i="22"/>
  <c r="AK15" i="22" s="1"/>
  <c r="AG16" i="25"/>
  <c r="AK16" i="25" s="1"/>
  <c r="AG17" i="25" s="1"/>
  <c r="AO15" i="23"/>
  <c r="AK15" i="23"/>
  <c r="AK13" i="20"/>
  <c r="AO15" i="22"/>
  <c r="AO16" i="25"/>
  <c r="Z9" i="24"/>
  <c r="AA9" i="24" s="1"/>
  <c r="AC9" i="24" s="1"/>
  <c r="X10" i="24" s="1"/>
  <c r="W9" i="24"/>
  <c r="AD9" i="24"/>
  <c r="AI15" i="24"/>
  <c r="AO15" i="24" s="1"/>
  <c r="AK14" i="21"/>
  <c r="AI15" i="21" s="1"/>
  <c r="AC7" i="20"/>
  <c r="X8" i="20" s="1"/>
  <c r="Z8" i="20" s="1"/>
  <c r="AA8" i="20" s="1"/>
  <c r="AB8" i="20" s="1"/>
  <c r="V9" i="20" s="1"/>
  <c r="AG15" i="19"/>
  <c r="AI15" i="19"/>
  <c r="AD8" i="25"/>
  <c r="Y8" i="25"/>
  <c r="Z8" i="25"/>
  <c r="AA8" i="25" s="1"/>
  <c r="AB8" i="25" s="1"/>
  <c r="V9" i="25" s="1"/>
  <c r="AD7" i="23"/>
  <c r="Y7" i="23"/>
  <c r="Z7" i="23"/>
  <c r="AA7" i="23" s="1"/>
  <c r="AB7" i="23" s="1"/>
  <c r="V8" i="23" s="1"/>
  <c r="Y8" i="22"/>
  <c r="AD8" i="22"/>
  <c r="Z8" i="22"/>
  <c r="AA8" i="22" s="1"/>
  <c r="W8" i="22"/>
  <c r="AD7" i="21"/>
  <c r="Y7" i="21"/>
  <c r="Z7" i="21"/>
  <c r="AA7" i="21" s="1"/>
  <c r="AB7" i="21" s="1"/>
  <c r="V8" i="21" s="1"/>
  <c r="Z8" i="19"/>
  <c r="AA8" i="19" s="1"/>
  <c r="AC8" i="19" s="1"/>
  <c r="X9" i="19" s="1"/>
  <c r="W8" i="19"/>
  <c r="AD8" i="19"/>
  <c r="AK10" i="12"/>
  <c r="AI16" i="23" l="1"/>
  <c r="AG16" i="23"/>
  <c r="AI14" i="20"/>
  <c r="AG14" i="20"/>
  <c r="AB9" i="24"/>
  <c r="V10" i="24" s="1"/>
  <c r="W10" i="24" s="1"/>
  <c r="AG15" i="21"/>
  <c r="AO15" i="21" s="1"/>
  <c r="AI17" i="25"/>
  <c r="AK17" i="25" s="1"/>
  <c r="AG18" i="25" s="1"/>
  <c r="AK15" i="24"/>
  <c r="AG16" i="24" s="1"/>
  <c r="AD8" i="20"/>
  <c r="AI16" i="22"/>
  <c r="AG16" i="22"/>
  <c r="Y10" i="24"/>
  <c r="Y8" i="20"/>
  <c r="AC8" i="20" s="1"/>
  <c r="X9" i="20" s="1"/>
  <c r="AK15" i="19"/>
  <c r="AO15" i="19"/>
  <c r="W9" i="25"/>
  <c r="AC8" i="25"/>
  <c r="X9" i="25" s="1"/>
  <c r="W8" i="23"/>
  <c r="AC7" i="23"/>
  <c r="X8" i="23" s="1"/>
  <c r="AB8" i="22"/>
  <c r="V9" i="22" s="1"/>
  <c r="W9" i="22" s="1"/>
  <c r="AC8" i="22"/>
  <c r="X9" i="22" s="1"/>
  <c r="W8" i="21"/>
  <c r="AC7" i="21"/>
  <c r="X8" i="21" s="1"/>
  <c r="AB8" i="19"/>
  <c r="V9" i="19" s="1"/>
  <c r="AD9" i="19" s="1"/>
  <c r="W9" i="20"/>
  <c r="Y9" i="19"/>
  <c r="AG11" i="12"/>
  <c r="AI11" i="12"/>
  <c r="AK16" i="23" l="1"/>
  <c r="AK14" i="20"/>
  <c r="AO17" i="25"/>
  <c r="AG17" i="23"/>
  <c r="AI17" i="23"/>
  <c r="AO16" i="23"/>
  <c r="AD10" i="24"/>
  <c r="AI16" i="24"/>
  <c r="AK16" i="24" s="1"/>
  <c r="AG17" i="24" s="1"/>
  <c r="AK15" i="21"/>
  <c r="AG16" i="21" s="1"/>
  <c r="Z10" i="24"/>
  <c r="AA10" i="24" s="1"/>
  <c r="AB10" i="24" s="1"/>
  <c r="V11" i="24" s="1"/>
  <c r="W11" i="24" s="1"/>
  <c r="AG15" i="20"/>
  <c r="AI15" i="20"/>
  <c r="AO14" i="20"/>
  <c r="AK16" i="22"/>
  <c r="AI17" i="22" s="1"/>
  <c r="AI18" i="25"/>
  <c r="AK18" i="25" s="1"/>
  <c r="AG19" i="25" s="1"/>
  <c r="AO16" i="22"/>
  <c r="AI16" i="21"/>
  <c r="AG16" i="19"/>
  <c r="AI16" i="19"/>
  <c r="AD9" i="25"/>
  <c r="Y9" i="25"/>
  <c r="Z9" i="25"/>
  <c r="AA9" i="25" s="1"/>
  <c r="AB9" i="25" s="1"/>
  <c r="V10" i="25" s="1"/>
  <c r="AD8" i="23"/>
  <c r="Y8" i="23"/>
  <c r="Z8" i="23"/>
  <c r="AA8" i="23" s="1"/>
  <c r="AB8" i="23" s="1"/>
  <c r="V9" i="23" s="1"/>
  <c r="Z9" i="22"/>
  <c r="AA9" i="22" s="1"/>
  <c r="AB9" i="22" s="1"/>
  <c r="V10" i="22" s="1"/>
  <c r="AD9" i="22"/>
  <c r="Y9" i="22"/>
  <c r="W9" i="19"/>
  <c r="Z9" i="19"/>
  <c r="AA9" i="19" s="1"/>
  <c r="AD8" i="21"/>
  <c r="Y8" i="21"/>
  <c r="Z8" i="21"/>
  <c r="AA8" i="21" s="1"/>
  <c r="AB8" i="21" s="1"/>
  <c r="V9" i="21" s="1"/>
  <c r="AD9" i="20"/>
  <c r="Y9" i="20"/>
  <c r="Z9" i="20"/>
  <c r="AA9" i="20" s="1"/>
  <c r="AB9" i="20" s="1"/>
  <c r="V10" i="20" s="1"/>
  <c r="AO11" i="12"/>
  <c r="AK11" i="12"/>
  <c r="AG17" i="22" l="1"/>
  <c r="AC10" i="24"/>
  <c r="X11" i="24" s="1"/>
  <c r="Z11" i="24" s="1"/>
  <c r="AA11" i="24" s="1"/>
  <c r="AB11" i="24" s="1"/>
  <c r="V12" i="24" s="1"/>
  <c r="W12" i="24" s="1"/>
  <c r="AO16" i="24"/>
  <c r="AK16" i="21"/>
  <c r="AI17" i="21" s="1"/>
  <c r="AO17" i="23"/>
  <c r="AK17" i="23"/>
  <c r="AG18" i="23" s="1"/>
  <c r="AO15" i="20"/>
  <c r="AK15" i="20"/>
  <c r="AO18" i="25"/>
  <c r="AB9" i="19"/>
  <c r="V10" i="19" s="1"/>
  <c r="W10" i="19" s="1"/>
  <c r="AO17" i="22"/>
  <c r="AO16" i="21"/>
  <c r="AI19" i="25"/>
  <c r="AO19" i="25" s="1"/>
  <c r="AI17" i="24"/>
  <c r="AO17" i="24" s="1"/>
  <c r="AK17" i="22"/>
  <c r="AK16" i="19"/>
  <c r="AO16" i="19"/>
  <c r="AC9" i="22"/>
  <c r="X10" i="22" s="1"/>
  <c r="Z10" i="22" s="1"/>
  <c r="AA10" i="22" s="1"/>
  <c r="W10" i="25"/>
  <c r="AC9" i="25"/>
  <c r="X10" i="25" s="1"/>
  <c r="W9" i="23"/>
  <c r="AC8" i="23"/>
  <c r="X9" i="23" s="1"/>
  <c r="W10" i="22"/>
  <c r="AC9" i="19"/>
  <c r="X10" i="19" s="1"/>
  <c r="Y10" i="19" s="1"/>
  <c r="W9" i="21"/>
  <c r="AC8" i="21"/>
  <c r="X9" i="21" s="1"/>
  <c r="W10" i="20"/>
  <c r="AC9" i="20"/>
  <c r="X10" i="20" s="1"/>
  <c r="AI12" i="12"/>
  <c r="AG12" i="12"/>
  <c r="AG17" i="21" l="1"/>
  <c r="AO17" i="21" s="1"/>
  <c r="AD11" i="24"/>
  <c r="Y11" i="24"/>
  <c r="AC11" i="24" s="1"/>
  <c r="X12" i="24" s="1"/>
  <c r="AI18" i="23"/>
  <c r="AK18" i="23" s="1"/>
  <c r="AK17" i="24"/>
  <c r="AG18" i="24" s="1"/>
  <c r="AG16" i="20"/>
  <c r="AI16" i="20"/>
  <c r="AK17" i="21"/>
  <c r="AI18" i="21" s="1"/>
  <c r="AK19" i="25"/>
  <c r="AG20" i="25" s="1"/>
  <c r="AI20" i="25"/>
  <c r="AG18" i="22"/>
  <c r="AI18" i="22"/>
  <c r="AD10" i="22"/>
  <c r="Y10" i="22"/>
  <c r="AC10" i="22" s="1"/>
  <c r="X11" i="22" s="1"/>
  <c r="Y11" i="22" s="1"/>
  <c r="AG17" i="19"/>
  <c r="AI17" i="19"/>
  <c r="AD10" i="25"/>
  <c r="Y10" i="25"/>
  <c r="Z10" i="25"/>
  <c r="AA10" i="25" s="1"/>
  <c r="AB10" i="25" s="1"/>
  <c r="V11" i="25" s="1"/>
  <c r="AD12" i="24"/>
  <c r="Y12" i="24"/>
  <c r="Z12" i="24"/>
  <c r="AA12" i="24" s="1"/>
  <c r="AB12" i="24" s="1"/>
  <c r="V13" i="24" s="1"/>
  <c r="AD9" i="23"/>
  <c r="Y9" i="23"/>
  <c r="Z9" i="23"/>
  <c r="AA9" i="23" s="1"/>
  <c r="AB9" i="23" s="1"/>
  <c r="V10" i="23" s="1"/>
  <c r="AB10" i="22"/>
  <c r="V11" i="22" s="1"/>
  <c r="AD10" i="19"/>
  <c r="Z10" i="19"/>
  <c r="AA10" i="19" s="1"/>
  <c r="AC10" i="19" s="1"/>
  <c r="X11" i="19" s="1"/>
  <c r="Y11" i="19" s="1"/>
  <c r="AG18" i="21"/>
  <c r="AD9" i="21"/>
  <c r="Y9" i="21"/>
  <c r="Z9" i="21"/>
  <c r="AA9" i="21" s="1"/>
  <c r="AB9" i="21" s="1"/>
  <c r="V10" i="21" s="1"/>
  <c r="AD10" i="20"/>
  <c r="Y10" i="20"/>
  <c r="Z10" i="20"/>
  <c r="AA10" i="20" s="1"/>
  <c r="AB10" i="20" s="1"/>
  <c r="V11" i="20" s="1"/>
  <c r="AO12" i="12"/>
  <c r="AK12" i="12"/>
  <c r="AO18" i="23" l="1"/>
  <c r="AK20" i="25"/>
  <c r="AI21" i="25" s="1"/>
  <c r="AI19" i="23"/>
  <c r="AG19" i="23"/>
  <c r="AK19" i="23" s="1"/>
  <c r="AO18" i="22"/>
  <c r="AI18" i="24"/>
  <c r="AK18" i="24" s="1"/>
  <c r="AO18" i="24"/>
  <c r="AK16" i="20"/>
  <c r="AO16" i="20"/>
  <c r="AG21" i="25"/>
  <c r="AO20" i="25"/>
  <c r="AK18" i="22"/>
  <c r="AK17" i="19"/>
  <c r="AO17" i="19"/>
  <c r="W11" i="25"/>
  <c r="AC10" i="25"/>
  <c r="X11" i="25" s="1"/>
  <c r="W13" i="24"/>
  <c r="AC12" i="24"/>
  <c r="X13" i="24" s="1"/>
  <c r="AB10" i="19"/>
  <c r="V11" i="19" s="1"/>
  <c r="W11" i="19" s="1"/>
  <c r="W10" i="23"/>
  <c r="AC9" i="23"/>
  <c r="X10" i="23" s="1"/>
  <c r="AK18" i="21"/>
  <c r="AG19" i="21" s="1"/>
  <c r="W11" i="22"/>
  <c r="AD11" i="22"/>
  <c r="Z11" i="22"/>
  <c r="AA11" i="22" s="1"/>
  <c r="AO18" i="21"/>
  <c r="W10" i="21"/>
  <c r="AC9" i="21"/>
  <c r="X10" i="21" s="1"/>
  <c r="W11" i="20"/>
  <c r="AC10" i="20"/>
  <c r="X11" i="20" s="1"/>
  <c r="AG13" i="12"/>
  <c r="AI13" i="12"/>
  <c r="AO19" i="23" l="1"/>
  <c r="AO21" i="25"/>
  <c r="AI20" i="23"/>
  <c r="AG20" i="23"/>
  <c r="AK20" i="23" s="1"/>
  <c r="AI17" i="20"/>
  <c r="AG17" i="20"/>
  <c r="AK17" i="20" s="1"/>
  <c r="AK21" i="25"/>
  <c r="AI22" i="25" s="1"/>
  <c r="AI19" i="22"/>
  <c r="AG19" i="22"/>
  <c r="AI19" i="24"/>
  <c r="AG19" i="24"/>
  <c r="AK19" i="24" s="1"/>
  <c r="AG18" i="19"/>
  <c r="AI18" i="19"/>
  <c r="Z11" i="19"/>
  <c r="AA11" i="19" s="1"/>
  <c r="AB11" i="19" s="1"/>
  <c r="V12" i="19" s="1"/>
  <c r="W12" i="19" s="1"/>
  <c r="AD11" i="25"/>
  <c r="Y11" i="25"/>
  <c r="Z11" i="25"/>
  <c r="AA11" i="25" s="1"/>
  <c r="AB11" i="25" s="1"/>
  <c r="V12" i="25" s="1"/>
  <c r="AD11" i="19"/>
  <c r="AD13" i="24"/>
  <c r="Y13" i="24"/>
  <c r="Z13" i="24"/>
  <c r="AA13" i="24" s="1"/>
  <c r="AB13" i="24" s="1"/>
  <c r="V14" i="24" s="1"/>
  <c r="AI19" i="21"/>
  <c r="AO19" i="21" s="1"/>
  <c r="AD10" i="23"/>
  <c r="Y10" i="23"/>
  <c r="Z10" i="23"/>
  <c r="AA10" i="23" s="1"/>
  <c r="AB10" i="23" s="1"/>
  <c r="V11" i="23" s="1"/>
  <c r="AB11" i="22"/>
  <c r="V12" i="22" s="1"/>
  <c r="AC11" i="22"/>
  <c r="X12" i="22" s="1"/>
  <c r="AD10" i="21"/>
  <c r="Y10" i="21"/>
  <c r="Z10" i="21"/>
  <c r="AA10" i="21" s="1"/>
  <c r="AB10" i="21" s="1"/>
  <c r="V11" i="21" s="1"/>
  <c r="AD11" i="20"/>
  <c r="Y11" i="20"/>
  <c r="Z11" i="20"/>
  <c r="AA11" i="20" s="1"/>
  <c r="AB11" i="20" s="1"/>
  <c r="V12" i="20" s="1"/>
  <c r="AK13" i="12"/>
  <c r="AO13" i="12"/>
  <c r="AG22" i="25" l="1"/>
  <c r="AG21" i="23"/>
  <c r="AI21" i="23"/>
  <c r="AO21" i="23" s="1"/>
  <c r="AO20" i="23"/>
  <c r="AI18" i="20"/>
  <c r="AG18" i="20"/>
  <c r="AO17" i="20"/>
  <c r="AK19" i="22"/>
  <c r="AG20" i="22" s="1"/>
  <c r="AK22" i="25"/>
  <c r="AG23" i="25" s="1"/>
  <c r="AI20" i="22"/>
  <c r="AO19" i="22"/>
  <c r="AI23" i="25"/>
  <c r="AO22" i="25"/>
  <c r="AO18" i="19"/>
  <c r="AC11" i="19"/>
  <c r="X12" i="19" s="1"/>
  <c r="AD12" i="19" s="1"/>
  <c r="AG20" i="24"/>
  <c r="AI20" i="24"/>
  <c r="AO19" i="24"/>
  <c r="AK19" i="21"/>
  <c r="AI20" i="21" s="1"/>
  <c r="AK18" i="19"/>
  <c r="W12" i="25"/>
  <c r="AC11" i="25"/>
  <c r="X12" i="25" s="1"/>
  <c r="W14" i="24"/>
  <c r="AC13" i="24"/>
  <c r="X14" i="24" s="1"/>
  <c r="W11" i="23"/>
  <c r="AC10" i="23"/>
  <c r="X11" i="23" s="1"/>
  <c r="Y12" i="22"/>
  <c r="AD12" i="22"/>
  <c r="W12" i="22"/>
  <c r="Z12" i="22"/>
  <c r="AA12" i="22" s="1"/>
  <c r="W11" i="21"/>
  <c r="AC10" i="21"/>
  <c r="X11" i="21" s="1"/>
  <c r="W12" i="20"/>
  <c r="AC11" i="20"/>
  <c r="X12" i="20" s="1"/>
  <c r="AI14" i="12"/>
  <c r="AG14" i="12"/>
  <c r="AK21" i="23" l="1"/>
  <c r="AK18" i="20"/>
  <c r="AG19" i="20"/>
  <c r="AI19" i="20"/>
  <c r="AO19" i="20" s="1"/>
  <c r="AO18" i="20"/>
  <c r="AO20" i="22"/>
  <c r="AK23" i="25"/>
  <c r="AK20" i="22"/>
  <c r="AO20" i="24"/>
  <c r="Y12" i="19"/>
  <c r="Z12" i="19"/>
  <c r="AA12" i="19" s="1"/>
  <c r="AB12" i="19" s="1"/>
  <c r="V13" i="19" s="1"/>
  <c r="W13" i="19" s="1"/>
  <c r="AO23" i="25"/>
  <c r="AG20" i="21"/>
  <c r="AK20" i="21" s="1"/>
  <c r="AI21" i="21" s="1"/>
  <c r="AK20" i="24"/>
  <c r="AG19" i="19"/>
  <c r="AI19" i="19"/>
  <c r="AD12" i="25"/>
  <c r="Y12" i="25"/>
  <c r="Z12" i="25"/>
  <c r="AA12" i="25" s="1"/>
  <c r="AB12" i="25" s="1"/>
  <c r="V13" i="25" s="1"/>
  <c r="AD14" i="24"/>
  <c r="Y14" i="24"/>
  <c r="Z14" i="24"/>
  <c r="AA14" i="24" s="1"/>
  <c r="AB14" i="24" s="1"/>
  <c r="V15" i="24" s="1"/>
  <c r="AB12" i="22"/>
  <c r="V13" i="22" s="1"/>
  <c r="W13" i="22" s="1"/>
  <c r="AD11" i="23"/>
  <c r="Y11" i="23"/>
  <c r="Z11" i="23"/>
  <c r="AA11" i="23" s="1"/>
  <c r="AB11" i="23" s="1"/>
  <c r="V12" i="23" s="1"/>
  <c r="AC12" i="22"/>
  <c r="X13" i="22" s="1"/>
  <c r="AD11" i="21"/>
  <c r="Y11" i="21"/>
  <c r="Z11" i="21"/>
  <c r="AA11" i="21" s="1"/>
  <c r="AB11" i="21" s="1"/>
  <c r="V12" i="21" s="1"/>
  <c r="AD12" i="20"/>
  <c r="Y12" i="20"/>
  <c r="Z12" i="20"/>
  <c r="AA12" i="20" s="1"/>
  <c r="AB12" i="20" s="1"/>
  <c r="V13" i="20" s="1"/>
  <c r="AK14" i="12"/>
  <c r="AG15" i="12" s="1"/>
  <c r="AI15" i="12"/>
  <c r="AO14" i="12"/>
  <c r="AG22" i="23" l="1"/>
  <c r="AI22" i="23"/>
  <c r="AO22" i="23" s="1"/>
  <c r="AK19" i="20"/>
  <c r="AG24" i="25"/>
  <c r="AI24" i="25"/>
  <c r="AG21" i="22"/>
  <c r="AI21" i="22"/>
  <c r="AO21" i="22" s="1"/>
  <c r="AC12" i="19"/>
  <c r="X13" i="19" s="1"/>
  <c r="AD13" i="19" s="1"/>
  <c r="AO20" i="21"/>
  <c r="AO19" i="19"/>
  <c r="AG21" i="24"/>
  <c r="AI21" i="24"/>
  <c r="AK19" i="19"/>
  <c r="AI20" i="19" s="1"/>
  <c r="W13" i="25"/>
  <c r="AC12" i="25"/>
  <c r="X13" i="25" s="1"/>
  <c r="W15" i="24"/>
  <c r="AC14" i="24"/>
  <c r="X15" i="24" s="1"/>
  <c r="AG21" i="21"/>
  <c r="AO21" i="21" s="1"/>
  <c r="W12" i="23"/>
  <c r="AC11" i="23"/>
  <c r="X12" i="23" s="1"/>
  <c r="AD13" i="22"/>
  <c r="Y13" i="22"/>
  <c r="Z13" i="22"/>
  <c r="AA13" i="22" s="1"/>
  <c r="AB13" i="22" s="1"/>
  <c r="V14" i="22" s="1"/>
  <c r="W14" i="22" s="1"/>
  <c r="W12" i="21"/>
  <c r="AC11" i="21"/>
  <c r="X12" i="21" s="1"/>
  <c r="W13" i="20"/>
  <c r="AC12" i="20"/>
  <c r="X13" i="20" s="1"/>
  <c r="AO15" i="12"/>
  <c r="AK15" i="12"/>
  <c r="AK22" i="23" l="1"/>
  <c r="AI20" i="20"/>
  <c r="AG20" i="20"/>
  <c r="AK24" i="25"/>
  <c r="AI25" i="25" s="1"/>
  <c r="AO24" i="25"/>
  <c r="Y13" i="19"/>
  <c r="Z13" i="19"/>
  <c r="AA13" i="19" s="1"/>
  <c r="AB13" i="19" s="1"/>
  <c r="V14" i="19" s="1"/>
  <c r="W14" i="19" s="1"/>
  <c r="AO21" i="24"/>
  <c r="AK21" i="22"/>
  <c r="AG20" i="19"/>
  <c r="AK20" i="19" s="1"/>
  <c r="AG21" i="19" s="1"/>
  <c r="AK21" i="24"/>
  <c r="AK21" i="21"/>
  <c r="AI22" i="21" s="1"/>
  <c r="AD13" i="25"/>
  <c r="Y13" i="25"/>
  <c r="Z13" i="25"/>
  <c r="AA13" i="25" s="1"/>
  <c r="AB13" i="25" s="1"/>
  <c r="V14" i="25" s="1"/>
  <c r="AD15" i="24"/>
  <c r="Y15" i="24"/>
  <c r="Z15" i="24"/>
  <c r="AA15" i="24" s="1"/>
  <c r="AB15" i="24" s="1"/>
  <c r="V16" i="24" s="1"/>
  <c r="AD12" i="23"/>
  <c r="Y12" i="23"/>
  <c r="Z12" i="23"/>
  <c r="AA12" i="23" s="1"/>
  <c r="AB12" i="23" s="1"/>
  <c r="V13" i="23" s="1"/>
  <c r="AC13" i="22"/>
  <c r="X14" i="22" s="1"/>
  <c r="AD12" i="21"/>
  <c r="Y12" i="21"/>
  <c r="Z12" i="21"/>
  <c r="AA12" i="21" s="1"/>
  <c r="AB12" i="21" s="1"/>
  <c r="V13" i="21" s="1"/>
  <c r="AD13" i="20"/>
  <c r="Y13" i="20"/>
  <c r="Z13" i="20"/>
  <c r="AA13" i="20" s="1"/>
  <c r="AB13" i="20" s="1"/>
  <c r="V14" i="20" s="1"/>
  <c r="AG16" i="12"/>
  <c r="AI16" i="12"/>
  <c r="AG23" i="23" l="1"/>
  <c r="AI23" i="23"/>
  <c r="AO23" i="23" s="1"/>
  <c r="AG25" i="25"/>
  <c r="AO20" i="20"/>
  <c r="AK20" i="20"/>
  <c r="AC13" i="19"/>
  <c r="X14" i="19" s="1"/>
  <c r="AD14" i="19" s="1"/>
  <c r="AI21" i="19"/>
  <c r="AK21" i="19" s="1"/>
  <c r="AI22" i="19" s="1"/>
  <c r="AK25" i="25"/>
  <c r="AG26" i="25" s="1"/>
  <c r="AO25" i="25"/>
  <c r="AI26" i="25"/>
  <c r="Z14" i="19"/>
  <c r="AA14" i="19" s="1"/>
  <c r="AB14" i="19" s="1"/>
  <c r="V15" i="19" s="1"/>
  <c r="W15" i="19" s="1"/>
  <c r="Y14" i="19"/>
  <c r="AO20" i="19"/>
  <c r="AI22" i="22"/>
  <c r="AG22" i="22"/>
  <c r="AI22" i="24"/>
  <c r="AG22" i="24"/>
  <c r="AG22" i="21"/>
  <c r="AO22" i="21" s="1"/>
  <c r="W14" i="25"/>
  <c r="AC13" i="25"/>
  <c r="X14" i="25" s="1"/>
  <c r="W16" i="24"/>
  <c r="AC15" i="24"/>
  <c r="X16" i="24" s="1"/>
  <c r="W13" i="23"/>
  <c r="AC12" i="23"/>
  <c r="X13" i="23" s="1"/>
  <c r="AD14" i="22"/>
  <c r="Y14" i="22"/>
  <c r="Z14" i="22"/>
  <c r="AA14" i="22" s="1"/>
  <c r="AB14" i="22" s="1"/>
  <c r="V15" i="22" s="1"/>
  <c r="W15" i="22" s="1"/>
  <c r="W13" i="21"/>
  <c r="AC12" i="21"/>
  <c r="X13" i="21" s="1"/>
  <c r="W14" i="20"/>
  <c r="AC13" i="20"/>
  <c r="X14" i="20" s="1"/>
  <c r="AO16" i="12"/>
  <c r="AK16" i="12"/>
  <c r="AO21" i="19" l="1"/>
  <c r="AK23" i="23"/>
  <c r="AG21" i="20"/>
  <c r="AI21" i="20"/>
  <c r="AC14" i="19"/>
  <c r="X15" i="19" s="1"/>
  <c r="Z15" i="19" s="1"/>
  <c r="AA15" i="19" s="1"/>
  <c r="AB15" i="19" s="1"/>
  <c r="V16" i="19" s="1"/>
  <c r="AK26" i="25"/>
  <c r="AG27" i="25" s="1"/>
  <c r="AO26" i="25"/>
  <c r="AK22" i="24"/>
  <c r="AG23" i="24" s="1"/>
  <c r="AK22" i="22"/>
  <c r="AK22" i="21"/>
  <c r="AI23" i="21" s="1"/>
  <c r="AI23" i="22"/>
  <c r="AG23" i="22"/>
  <c r="AO22" i="22"/>
  <c r="AO22" i="24"/>
  <c r="AG22" i="19"/>
  <c r="AK22" i="19" s="1"/>
  <c r="AI23" i="19" s="1"/>
  <c r="AD14" i="25"/>
  <c r="Y14" i="25"/>
  <c r="Z14" i="25"/>
  <c r="AA14" i="25" s="1"/>
  <c r="AB14" i="25" s="1"/>
  <c r="V15" i="25" s="1"/>
  <c r="AD16" i="24"/>
  <c r="Y16" i="24"/>
  <c r="Z16" i="24"/>
  <c r="AA16" i="24" s="1"/>
  <c r="AB16" i="24" s="1"/>
  <c r="V17" i="24" s="1"/>
  <c r="AD13" i="23"/>
  <c r="Y13" i="23"/>
  <c r="Z13" i="23"/>
  <c r="AA13" i="23" s="1"/>
  <c r="AB13" i="23" s="1"/>
  <c r="V14" i="23" s="1"/>
  <c r="AC14" i="22"/>
  <c r="X15" i="22" s="1"/>
  <c r="AD13" i="21"/>
  <c r="Y13" i="21"/>
  <c r="Z13" i="21"/>
  <c r="AA13" i="21" s="1"/>
  <c r="AB13" i="21" s="1"/>
  <c r="V14" i="21" s="1"/>
  <c r="AD14" i="20"/>
  <c r="Y14" i="20"/>
  <c r="Z14" i="20"/>
  <c r="AA14" i="20" s="1"/>
  <c r="AB14" i="20" s="1"/>
  <c r="V15" i="20" s="1"/>
  <c r="Y15" i="19"/>
  <c r="AG17" i="12"/>
  <c r="AI17" i="12"/>
  <c r="AD15" i="19" l="1"/>
  <c r="AI27" i="25"/>
  <c r="AG24" i="23"/>
  <c r="AI24" i="23"/>
  <c r="AI23" i="24"/>
  <c r="AO23" i="24" s="1"/>
  <c r="AK21" i="20"/>
  <c r="AO21" i="20"/>
  <c r="AG23" i="21"/>
  <c r="AO23" i="21" s="1"/>
  <c r="AK23" i="24"/>
  <c r="AI24" i="24" s="1"/>
  <c r="AO27" i="25"/>
  <c r="AK27" i="25"/>
  <c r="AI28" i="25" s="1"/>
  <c r="AK23" i="22"/>
  <c r="AI24" i="22" s="1"/>
  <c r="AO23" i="22"/>
  <c r="AG23" i="19"/>
  <c r="AK23" i="19" s="1"/>
  <c r="AI24" i="19" s="1"/>
  <c r="AO22" i="19"/>
  <c r="W15" i="25"/>
  <c r="AC14" i="25"/>
  <c r="X15" i="25" s="1"/>
  <c r="W17" i="24"/>
  <c r="AC16" i="24"/>
  <c r="X17" i="24" s="1"/>
  <c r="W14" i="23"/>
  <c r="AC13" i="23"/>
  <c r="X14" i="23" s="1"/>
  <c r="AD15" i="22"/>
  <c r="Y15" i="22"/>
  <c r="Z15" i="22"/>
  <c r="AA15" i="22" s="1"/>
  <c r="AB15" i="22" s="1"/>
  <c r="V16" i="22" s="1"/>
  <c r="W16" i="22" s="1"/>
  <c r="W14" i="21"/>
  <c r="AC13" i="21"/>
  <c r="X14" i="21" s="1"/>
  <c r="W15" i="20"/>
  <c r="AC14" i="20"/>
  <c r="X15" i="20" s="1"/>
  <c r="AC15" i="19"/>
  <c r="X16" i="19" s="1"/>
  <c r="Z16" i="19" s="1"/>
  <c r="AA16" i="19" s="1"/>
  <c r="W16" i="19"/>
  <c r="AK17" i="12"/>
  <c r="AO17" i="12"/>
  <c r="AK23" i="21" l="1"/>
  <c r="AI24" i="21" s="1"/>
  <c r="AG28" i="25"/>
  <c r="AK24" i="23"/>
  <c r="AO24" i="23"/>
  <c r="AG24" i="22"/>
  <c r="AK24" i="22" s="1"/>
  <c r="AG24" i="24"/>
  <c r="AK24" i="24" s="1"/>
  <c r="AG22" i="20"/>
  <c r="AI22" i="20"/>
  <c r="AO22" i="20" s="1"/>
  <c r="AK28" i="25"/>
  <c r="AI29" i="25" s="1"/>
  <c r="AG24" i="21"/>
  <c r="AK24" i="21" s="1"/>
  <c r="AI25" i="21" s="1"/>
  <c r="AG29" i="25"/>
  <c r="AK29" i="25" s="1"/>
  <c r="AO28" i="25"/>
  <c r="AO23" i="19"/>
  <c r="AG24" i="19"/>
  <c r="AK24" i="19" s="1"/>
  <c r="AG25" i="19" s="1"/>
  <c r="AD15" i="25"/>
  <c r="Y15" i="25"/>
  <c r="Z15" i="25"/>
  <c r="AA15" i="25" s="1"/>
  <c r="AB15" i="25" s="1"/>
  <c r="V16" i="25" s="1"/>
  <c r="AD17" i="24"/>
  <c r="Y17" i="24"/>
  <c r="Z17" i="24"/>
  <c r="AA17" i="24" s="1"/>
  <c r="AB17" i="24" s="1"/>
  <c r="V18" i="24" s="1"/>
  <c r="AD14" i="23"/>
  <c r="Y14" i="23"/>
  <c r="Z14" i="23"/>
  <c r="AA14" i="23" s="1"/>
  <c r="AB14" i="23" s="1"/>
  <c r="V15" i="23" s="1"/>
  <c r="AC15" i="22"/>
  <c r="X16" i="22" s="1"/>
  <c r="AD16" i="19"/>
  <c r="Y16" i="19"/>
  <c r="AC16" i="19" s="1"/>
  <c r="X17" i="19" s="1"/>
  <c r="AD14" i="21"/>
  <c r="Y14" i="21"/>
  <c r="Z14" i="21"/>
  <c r="AA14" i="21" s="1"/>
  <c r="AB14" i="21" s="1"/>
  <c r="V15" i="21" s="1"/>
  <c r="AD15" i="20"/>
  <c r="Y15" i="20"/>
  <c r="Z15" i="20"/>
  <c r="AA15" i="20" s="1"/>
  <c r="AB15" i="20" s="1"/>
  <c r="V16" i="20" s="1"/>
  <c r="AB16" i="19"/>
  <c r="V17" i="19" s="1"/>
  <c r="W17" i="19" s="1"/>
  <c r="AI18" i="12"/>
  <c r="AG18" i="12"/>
  <c r="AO24" i="22" l="1"/>
  <c r="AI25" i="19"/>
  <c r="AO24" i="24"/>
  <c r="AI25" i="23"/>
  <c r="AG25" i="23"/>
  <c r="AK25" i="23" s="1"/>
  <c r="AG25" i="21"/>
  <c r="AO24" i="21"/>
  <c r="AK25" i="21"/>
  <c r="AI26" i="21" s="1"/>
  <c r="AK22" i="20"/>
  <c r="AO29" i="25"/>
  <c r="AO25" i="21"/>
  <c r="AI25" i="22"/>
  <c r="AG25" i="22"/>
  <c r="AG30" i="25"/>
  <c r="AI30" i="25"/>
  <c r="AO25" i="19"/>
  <c r="AI25" i="24"/>
  <c r="AG25" i="24"/>
  <c r="AO24" i="19"/>
  <c r="AK25" i="19"/>
  <c r="W16" i="25"/>
  <c r="AC15" i="25"/>
  <c r="X16" i="25" s="1"/>
  <c r="W18" i="24"/>
  <c r="AC17" i="24"/>
  <c r="X18" i="24" s="1"/>
  <c r="W15" i="23"/>
  <c r="AC14" i="23"/>
  <c r="X15" i="23" s="1"/>
  <c r="AD16" i="22"/>
  <c r="Y16" i="22"/>
  <c r="Z16" i="22"/>
  <c r="AA16" i="22" s="1"/>
  <c r="AB16" i="22" s="1"/>
  <c r="V17" i="22" s="1"/>
  <c r="W17" i="22" s="1"/>
  <c r="AD17" i="19"/>
  <c r="W15" i="21"/>
  <c r="AC14" i="21"/>
  <c r="X15" i="21" s="1"/>
  <c r="Z17" i="19"/>
  <c r="AA17" i="19" s="1"/>
  <c r="AB17" i="19" s="1"/>
  <c r="V18" i="19" s="1"/>
  <c r="W18" i="19" s="1"/>
  <c r="Y17" i="19"/>
  <c r="W16" i="20"/>
  <c r="AC15" i="20"/>
  <c r="X16" i="20" s="1"/>
  <c r="AK18" i="12"/>
  <c r="AI19" i="12" s="1"/>
  <c r="AO18" i="12"/>
  <c r="AK25" i="22" l="1"/>
  <c r="AG26" i="21"/>
  <c r="AI26" i="23"/>
  <c r="AG26" i="23"/>
  <c r="AK26" i="23" s="1"/>
  <c r="AO25" i="23"/>
  <c r="AI23" i="20"/>
  <c r="AG23" i="20"/>
  <c r="AO30" i="25"/>
  <c r="AG19" i="12"/>
  <c r="AO19" i="12" s="1"/>
  <c r="AK25" i="24"/>
  <c r="AI26" i="24" s="1"/>
  <c r="AG26" i="22"/>
  <c r="AI26" i="22"/>
  <c r="AO25" i="22"/>
  <c r="AK30" i="25"/>
  <c r="AO25" i="24"/>
  <c r="AG26" i="19"/>
  <c r="AI26" i="19"/>
  <c r="AD16" i="25"/>
  <c r="Y16" i="25"/>
  <c r="Z16" i="25"/>
  <c r="AA16" i="25" s="1"/>
  <c r="AB16" i="25" s="1"/>
  <c r="V17" i="25" s="1"/>
  <c r="AD18" i="24"/>
  <c r="Y18" i="24"/>
  <c r="Z18" i="24"/>
  <c r="AA18" i="24" s="1"/>
  <c r="AB18" i="24" s="1"/>
  <c r="V19" i="24" s="1"/>
  <c r="AK26" i="21"/>
  <c r="AI27" i="21" s="1"/>
  <c r="AD15" i="23"/>
  <c r="Y15" i="23"/>
  <c r="Z15" i="23"/>
  <c r="AA15" i="23" s="1"/>
  <c r="AB15" i="23" s="1"/>
  <c r="V16" i="23" s="1"/>
  <c r="AC16" i="22"/>
  <c r="X17" i="22" s="1"/>
  <c r="AO26" i="21"/>
  <c r="AC17" i="19"/>
  <c r="X18" i="19" s="1"/>
  <c r="AD18" i="19" s="1"/>
  <c r="AD15" i="21"/>
  <c r="Y15" i="21"/>
  <c r="Z15" i="21"/>
  <c r="AA15" i="21" s="1"/>
  <c r="AB15" i="21" s="1"/>
  <c r="V16" i="21" s="1"/>
  <c r="AD16" i="20"/>
  <c r="Y16" i="20"/>
  <c r="Z16" i="20"/>
  <c r="AA16" i="20" s="1"/>
  <c r="AB16" i="20" s="1"/>
  <c r="V17" i="20" s="1"/>
  <c r="AK19" i="12" l="1"/>
  <c r="AG26" i="24"/>
  <c r="AK26" i="24" s="1"/>
  <c r="AG27" i="23"/>
  <c r="AI27" i="23"/>
  <c r="AO27" i="23" s="1"/>
  <c r="AO26" i="23"/>
  <c r="AO23" i="20"/>
  <c r="AK23" i="20"/>
  <c r="AO26" i="22"/>
  <c r="AK26" i="22"/>
  <c r="AO26" i="24"/>
  <c r="AG31" i="25"/>
  <c r="AI31" i="25"/>
  <c r="AO26" i="19"/>
  <c r="AK26" i="19"/>
  <c r="W17" i="25"/>
  <c r="AC16" i="25"/>
  <c r="X17" i="25" s="1"/>
  <c r="AG27" i="21"/>
  <c r="AO27" i="21" s="1"/>
  <c r="W19" i="24"/>
  <c r="AC18" i="24"/>
  <c r="X19" i="24" s="1"/>
  <c r="W16" i="23"/>
  <c r="AC15" i="23"/>
  <c r="X16" i="23" s="1"/>
  <c r="AD17" i="22"/>
  <c r="Z17" i="22"/>
  <c r="AA17" i="22" s="1"/>
  <c r="AB17" i="22" s="1"/>
  <c r="V18" i="22" s="1"/>
  <c r="W18" i="22" s="1"/>
  <c r="Y17" i="22"/>
  <c r="Y18" i="19"/>
  <c r="Z18" i="19"/>
  <c r="AA18" i="19" s="1"/>
  <c r="AB18" i="19" s="1"/>
  <c r="V19" i="19" s="1"/>
  <c r="W19" i="19" s="1"/>
  <c r="W16" i="21"/>
  <c r="AC15" i="21"/>
  <c r="X16" i="21" s="1"/>
  <c r="W17" i="20"/>
  <c r="AC16" i="20"/>
  <c r="X17" i="20" s="1"/>
  <c r="AI20" i="12"/>
  <c r="AG20" i="12"/>
  <c r="AK27" i="23" l="1"/>
  <c r="AI24" i="20"/>
  <c r="AG24" i="20"/>
  <c r="AO31" i="25"/>
  <c r="AG27" i="22"/>
  <c r="AI27" i="22"/>
  <c r="AK31" i="25"/>
  <c r="AI32" i="25" s="1"/>
  <c r="AG27" i="24"/>
  <c r="AI27" i="24"/>
  <c r="AK27" i="21"/>
  <c r="AG28" i="21" s="1"/>
  <c r="AG27" i="19"/>
  <c r="AI27" i="19"/>
  <c r="AD17" i="25"/>
  <c r="Y17" i="25"/>
  <c r="Z17" i="25"/>
  <c r="AA17" i="25" s="1"/>
  <c r="AB17" i="25" s="1"/>
  <c r="V18" i="25" s="1"/>
  <c r="AC17" i="22"/>
  <c r="X18" i="22" s="1"/>
  <c r="AD18" i="22" s="1"/>
  <c r="AD19" i="24"/>
  <c r="Y19" i="24"/>
  <c r="Z19" i="24"/>
  <c r="AA19" i="24" s="1"/>
  <c r="AB19" i="24" s="1"/>
  <c r="V20" i="24" s="1"/>
  <c r="AD16" i="23"/>
  <c r="Y16" i="23"/>
  <c r="Z16" i="23"/>
  <c r="AA16" i="23" s="1"/>
  <c r="AB16" i="23" s="1"/>
  <c r="V17" i="23" s="1"/>
  <c r="AC18" i="19"/>
  <c r="X19" i="19" s="1"/>
  <c r="Y19" i="19" s="1"/>
  <c r="AD16" i="21"/>
  <c r="Y16" i="21"/>
  <c r="Z16" i="21"/>
  <c r="AA16" i="21" s="1"/>
  <c r="AB16" i="21" s="1"/>
  <c r="V17" i="21" s="1"/>
  <c r="AD17" i="20"/>
  <c r="Y17" i="20"/>
  <c r="Z17" i="20"/>
  <c r="AA17" i="20" s="1"/>
  <c r="AB17" i="20" s="1"/>
  <c r="V18" i="20" s="1"/>
  <c r="AK20" i="12"/>
  <c r="AI21" i="12" s="1"/>
  <c r="AO20" i="12"/>
  <c r="AO27" i="22" l="1"/>
  <c r="AI28" i="23"/>
  <c r="AG28" i="23"/>
  <c r="AK28" i="23" s="1"/>
  <c r="AO27" i="24"/>
  <c r="AO24" i="20"/>
  <c r="AK24" i="20"/>
  <c r="AO27" i="19"/>
  <c r="AG32" i="25"/>
  <c r="AK32" i="25" s="1"/>
  <c r="AI33" i="25" s="1"/>
  <c r="AK27" i="22"/>
  <c r="AI28" i="21"/>
  <c r="AO28" i="21" s="1"/>
  <c r="AK27" i="24"/>
  <c r="Y18" i="22"/>
  <c r="AK27" i="19"/>
  <c r="AI28" i="19" s="1"/>
  <c r="AG28" i="19"/>
  <c r="Z18" i="22"/>
  <c r="AA18" i="22" s="1"/>
  <c r="AB18" i="22" s="1"/>
  <c r="V19" i="22" s="1"/>
  <c r="W19" i="22" s="1"/>
  <c r="W18" i="25"/>
  <c r="AC17" i="25"/>
  <c r="X18" i="25" s="1"/>
  <c r="W20" i="24"/>
  <c r="AC19" i="24"/>
  <c r="X20" i="24" s="1"/>
  <c r="Z19" i="19"/>
  <c r="AA19" i="19" s="1"/>
  <c r="AB19" i="19" s="1"/>
  <c r="V20" i="19" s="1"/>
  <c r="W20" i="19" s="1"/>
  <c r="AD19" i="19"/>
  <c r="W17" i="23"/>
  <c r="AC16" i="23"/>
  <c r="X17" i="23" s="1"/>
  <c r="W17" i="21"/>
  <c r="AC16" i="21"/>
  <c r="X17" i="21" s="1"/>
  <c r="AG21" i="12"/>
  <c r="AK21" i="12" s="1"/>
  <c r="W18" i="20"/>
  <c r="AC17" i="20"/>
  <c r="X18" i="20" s="1"/>
  <c r="AG29" i="23" l="1"/>
  <c r="AI29" i="23"/>
  <c r="AO29" i="23" s="1"/>
  <c r="AO28" i="23"/>
  <c r="AI25" i="20"/>
  <c r="AG25" i="20"/>
  <c r="AK25" i="20" s="1"/>
  <c r="AO32" i="25"/>
  <c r="AG33" i="25"/>
  <c r="AK33" i="25" s="1"/>
  <c r="AI34" i="25" s="1"/>
  <c r="AI28" i="22"/>
  <c r="AG28" i="22"/>
  <c r="AK28" i="21"/>
  <c r="AI29" i="21" s="1"/>
  <c r="AG29" i="21"/>
  <c r="AI28" i="24"/>
  <c r="AG28" i="24"/>
  <c r="AC18" i="22"/>
  <c r="X19" i="22" s="1"/>
  <c r="AD19" i="22" s="1"/>
  <c r="AK28" i="19"/>
  <c r="AI29" i="19" s="1"/>
  <c r="AO28" i="19"/>
  <c r="AD18" i="25"/>
  <c r="Y18" i="25"/>
  <c r="Z18" i="25"/>
  <c r="AA18" i="25" s="1"/>
  <c r="AB18" i="25" s="1"/>
  <c r="V19" i="25" s="1"/>
  <c r="AC19" i="19"/>
  <c r="X20" i="19" s="1"/>
  <c r="Y20" i="19" s="1"/>
  <c r="AD20" i="24"/>
  <c r="Y20" i="24"/>
  <c r="Z20" i="24"/>
  <c r="AA20" i="24" s="1"/>
  <c r="AB20" i="24" s="1"/>
  <c r="V21" i="24" s="1"/>
  <c r="AD17" i="23"/>
  <c r="Y17" i="23"/>
  <c r="Z17" i="23"/>
  <c r="AA17" i="23" s="1"/>
  <c r="AB17" i="23" s="1"/>
  <c r="V18" i="23" s="1"/>
  <c r="AD17" i="21"/>
  <c r="Y17" i="21"/>
  <c r="Z17" i="21"/>
  <c r="AA17" i="21" s="1"/>
  <c r="AB17" i="21" s="1"/>
  <c r="V18" i="21" s="1"/>
  <c r="AG22" i="12"/>
  <c r="AI22" i="12"/>
  <c r="AO21" i="12"/>
  <c r="AD18" i="20"/>
  <c r="Y18" i="20"/>
  <c r="Z18" i="20"/>
  <c r="AA18" i="20" s="1"/>
  <c r="AB18" i="20" s="1"/>
  <c r="V19" i="20" s="1"/>
  <c r="AK29" i="23" l="1"/>
  <c r="AI26" i="20"/>
  <c r="AG26" i="20"/>
  <c r="AK26" i="20" s="1"/>
  <c r="AO25" i="20"/>
  <c r="AK28" i="24"/>
  <c r="AG29" i="24" s="1"/>
  <c r="AK29" i="21"/>
  <c r="AG30" i="21" s="1"/>
  <c r="AK22" i="12"/>
  <c r="AG23" i="12" s="1"/>
  <c r="AO33" i="25"/>
  <c r="AG34" i="25"/>
  <c r="AK34" i="25" s="1"/>
  <c r="AI35" i="25" s="1"/>
  <c r="AK28" i="22"/>
  <c r="AG29" i="22" s="1"/>
  <c r="AO28" i="22"/>
  <c r="AG29" i="19"/>
  <c r="AK29" i="19" s="1"/>
  <c r="AI30" i="19" s="1"/>
  <c r="AO29" i="21"/>
  <c r="Y19" i="22"/>
  <c r="Z19" i="22"/>
  <c r="AA19" i="22" s="1"/>
  <c r="AB19" i="22" s="1"/>
  <c r="V20" i="22" s="1"/>
  <c r="W20" i="22" s="1"/>
  <c r="AO28" i="24"/>
  <c r="Z20" i="19"/>
  <c r="AA20" i="19" s="1"/>
  <c r="AB20" i="19" s="1"/>
  <c r="V21" i="19" s="1"/>
  <c r="W21" i="19" s="1"/>
  <c r="AD20" i="19"/>
  <c r="W19" i="25"/>
  <c r="AC18" i="25"/>
  <c r="X19" i="25" s="1"/>
  <c r="W21" i="24"/>
  <c r="AC20" i="24"/>
  <c r="X21" i="24" s="1"/>
  <c r="W18" i="23"/>
  <c r="AC17" i="23"/>
  <c r="X18" i="23" s="1"/>
  <c r="W18" i="21"/>
  <c r="AC17" i="21"/>
  <c r="X18" i="21" s="1"/>
  <c r="AO22" i="12"/>
  <c r="W19" i="20"/>
  <c r="AC18" i="20"/>
  <c r="X19" i="20" s="1"/>
  <c r="AI23" i="12"/>
  <c r="AI29" i="24" l="1"/>
  <c r="AI29" i="22"/>
  <c r="AK29" i="22" s="1"/>
  <c r="AG30" i="23"/>
  <c r="AI30" i="23"/>
  <c r="AO30" i="23" s="1"/>
  <c r="AI27" i="20"/>
  <c r="AG27" i="20"/>
  <c r="AO26" i="20"/>
  <c r="AI30" i="21"/>
  <c r="AK30" i="21" s="1"/>
  <c r="AG31" i="21" s="1"/>
  <c r="AO29" i="19"/>
  <c r="AO34" i="25"/>
  <c r="AG35" i="25"/>
  <c r="AK35" i="25" s="1"/>
  <c r="AI36" i="25" s="1"/>
  <c r="AO29" i="22"/>
  <c r="AO29" i="24"/>
  <c r="AC19" i="22"/>
  <c r="X20" i="22" s="1"/>
  <c r="AD20" i="22" s="1"/>
  <c r="AG30" i="19"/>
  <c r="AK30" i="19" s="1"/>
  <c r="AI31" i="19" s="1"/>
  <c r="AK29" i="24"/>
  <c r="AC20" i="19"/>
  <c r="X21" i="19" s="1"/>
  <c r="AD21" i="19" s="1"/>
  <c r="AD19" i="25"/>
  <c r="Y19" i="25"/>
  <c r="Z19" i="25"/>
  <c r="AA19" i="25" s="1"/>
  <c r="AB19" i="25" s="1"/>
  <c r="V20" i="25" s="1"/>
  <c r="AD21" i="24"/>
  <c r="Y21" i="24"/>
  <c r="Z21" i="24"/>
  <c r="AA21" i="24" s="1"/>
  <c r="AB21" i="24" s="1"/>
  <c r="V22" i="24" s="1"/>
  <c r="AD18" i="23"/>
  <c r="Y18" i="23"/>
  <c r="Z18" i="23"/>
  <c r="AA18" i="23" s="1"/>
  <c r="AB18" i="23" s="1"/>
  <c r="V19" i="23" s="1"/>
  <c r="AD18" i="21"/>
  <c r="Y18" i="21"/>
  <c r="Z18" i="21"/>
  <c r="AA18" i="21" s="1"/>
  <c r="AB18" i="21" s="1"/>
  <c r="V19" i="21" s="1"/>
  <c r="AD19" i="20"/>
  <c r="Y19" i="20"/>
  <c r="Z19" i="20"/>
  <c r="AA19" i="20" s="1"/>
  <c r="AB19" i="20" s="1"/>
  <c r="V20" i="20" s="1"/>
  <c r="AK23" i="12"/>
  <c r="AO23" i="12"/>
  <c r="AO30" i="21" l="1"/>
  <c r="AK30" i="23"/>
  <c r="AI31" i="21"/>
  <c r="AO31" i="21" s="1"/>
  <c r="AO27" i="20"/>
  <c r="AK27" i="20"/>
  <c r="AO35" i="25"/>
  <c r="AG36" i="25"/>
  <c r="AO36" i="25" s="1"/>
  <c r="Z20" i="22"/>
  <c r="AA20" i="22" s="1"/>
  <c r="AB20" i="22" s="1"/>
  <c r="V21" i="22" s="1"/>
  <c r="W21" i="22" s="1"/>
  <c r="AG30" i="22"/>
  <c r="AI30" i="22"/>
  <c r="Y20" i="22"/>
  <c r="AG31" i="19"/>
  <c r="AK31" i="19" s="1"/>
  <c r="AI32" i="19" s="1"/>
  <c r="AO30" i="19"/>
  <c r="Z21" i="19"/>
  <c r="AA21" i="19" s="1"/>
  <c r="AB21" i="19" s="1"/>
  <c r="V22" i="19" s="1"/>
  <c r="W22" i="19" s="1"/>
  <c r="Y21" i="19"/>
  <c r="AG30" i="24"/>
  <c r="AI30" i="24"/>
  <c r="W20" i="25"/>
  <c r="AC19" i="25"/>
  <c r="X20" i="25" s="1"/>
  <c r="AK31" i="21"/>
  <c r="AG32" i="21" s="1"/>
  <c r="W22" i="24"/>
  <c r="AC21" i="24"/>
  <c r="X22" i="24" s="1"/>
  <c r="W19" i="23"/>
  <c r="AC18" i="23"/>
  <c r="X19" i="23" s="1"/>
  <c r="W19" i="21"/>
  <c r="AC18" i="21"/>
  <c r="X19" i="21" s="1"/>
  <c r="W20" i="20"/>
  <c r="AC19" i="20"/>
  <c r="X20" i="20" s="1"/>
  <c r="AI24" i="12"/>
  <c r="AG24" i="12"/>
  <c r="AG31" i="23" l="1"/>
  <c r="AI31" i="23"/>
  <c r="AO31" i="23" s="1"/>
  <c r="AC20" i="22"/>
  <c r="X21" i="22" s="1"/>
  <c r="Z21" i="22" s="1"/>
  <c r="AA21" i="22" s="1"/>
  <c r="AB21" i="22" s="1"/>
  <c r="V22" i="22" s="1"/>
  <c r="W22" i="22" s="1"/>
  <c r="AI28" i="20"/>
  <c r="AG28" i="20"/>
  <c r="AC21" i="19"/>
  <c r="X22" i="19" s="1"/>
  <c r="Y22" i="19" s="1"/>
  <c r="AK36" i="25"/>
  <c r="AG37" i="25" s="1"/>
  <c r="AO30" i="24"/>
  <c r="AO30" i="22"/>
  <c r="AO31" i="19"/>
  <c r="AK30" i="22"/>
  <c r="AG32" i="19"/>
  <c r="AK32" i="19" s="1"/>
  <c r="AI33" i="19" s="1"/>
  <c r="AK30" i="24"/>
  <c r="AI32" i="21"/>
  <c r="AO32" i="21" s="1"/>
  <c r="AD20" i="25"/>
  <c r="Y20" i="25"/>
  <c r="Z20" i="25"/>
  <c r="AA20" i="25" s="1"/>
  <c r="AB20" i="25" s="1"/>
  <c r="V21" i="25" s="1"/>
  <c r="AD22" i="24"/>
  <c r="Y22" i="24"/>
  <c r="Z22" i="24"/>
  <c r="AA22" i="24" s="1"/>
  <c r="AB22" i="24" s="1"/>
  <c r="V23" i="24" s="1"/>
  <c r="AD19" i="23"/>
  <c r="Y19" i="23"/>
  <c r="Z19" i="23"/>
  <c r="AA19" i="23" s="1"/>
  <c r="AB19" i="23" s="1"/>
  <c r="V20" i="23" s="1"/>
  <c r="AD19" i="21"/>
  <c r="Y19" i="21"/>
  <c r="Z19" i="21"/>
  <c r="AA19" i="21" s="1"/>
  <c r="AB19" i="21" s="1"/>
  <c r="V20" i="21" s="1"/>
  <c r="AD20" i="20"/>
  <c r="Y20" i="20"/>
  <c r="Z20" i="20"/>
  <c r="AA20" i="20" s="1"/>
  <c r="AB20" i="20" s="1"/>
  <c r="V21" i="20" s="1"/>
  <c r="AO24" i="12"/>
  <c r="AK24" i="12"/>
  <c r="AD21" i="22" l="1"/>
  <c r="Y21" i="22"/>
  <c r="AC21" i="22" s="1"/>
  <c r="X22" i="22" s="1"/>
  <c r="AD22" i="22" s="1"/>
  <c r="AK31" i="23"/>
  <c r="AI37" i="25"/>
  <c r="AK37" i="25" s="1"/>
  <c r="AD22" i="19"/>
  <c r="AO28" i="20"/>
  <c r="AK28" i="20"/>
  <c r="Z22" i="19"/>
  <c r="AA22" i="19" s="1"/>
  <c r="AB22" i="19" s="1"/>
  <c r="V23" i="19" s="1"/>
  <c r="W23" i="19" s="1"/>
  <c r="AO32" i="19"/>
  <c r="AG31" i="22"/>
  <c r="AI31" i="22"/>
  <c r="AO37" i="25"/>
  <c r="AG33" i="19"/>
  <c r="AK33" i="19" s="1"/>
  <c r="AI34" i="19" s="1"/>
  <c r="AK32" i="21"/>
  <c r="AG33" i="21" s="1"/>
  <c r="AG31" i="24"/>
  <c r="AI31" i="24"/>
  <c r="W21" i="25"/>
  <c r="AC20" i="25"/>
  <c r="X21" i="25" s="1"/>
  <c r="W23" i="24"/>
  <c r="AC22" i="24"/>
  <c r="X23" i="24" s="1"/>
  <c r="W20" i="23"/>
  <c r="AC19" i="23"/>
  <c r="X20" i="23" s="1"/>
  <c r="W20" i="21"/>
  <c r="AC19" i="21"/>
  <c r="X20" i="21" s="1"/>
  <c r="W21" i="20"/>
  <c r="AC20" i="20"/>
  <c r="X21" i="20" s="1"/>
  <c r="AG25" i="12"/>
  <c r="AI25" i="12"/>
  <c r="AO31" i="22" l="1"/>
  <c r="AI32" i="23"/>
  <c r="AG32" i="23"/>
  <c r="AK32" i="23" s="1"/>
  <c r="AC22" i="19"/>
  <c r="X23" i="19" s="1"/>
  <c r="AD23" i="19" s="1"/>
  <c r="AG29" i="20"/>
  <c r="AI29" i="20"/>
  <c r="AG34" i="19"/>
  <c r="AO34" i="19" s="1"/>
  <c r="AO31" i="24"/>
  <c r="AO33" i="19"/>
  <c r="AK31" i="22"/>
  <c r="AI33" i="21"/>
  <c r="AO33" i="21" s="1"/>
  <c r="Y23" i="19"/>
  <c r="Z22" i="22"/>
  <c r="AA22" i="22" s="1"/>
  <c r="AB22" i="22" s="1"/>
  <c r="V23" i="22" s="1"/>
  <c r="W23" i="22" s="1"/>
  <c r="Y22" i="22"/>
  <c r="AG38" i="25"/>
  <c r="AI38" i="25"/>
  <c r="AK31" i="24"/>
  <c r="AD21" i="25"/>
  <c r="Y21" i="25"/>
  <c r="Z21" i="25"/>
  <c r="AA21" i="25" s="1"/>
  <c r="AB21" i="25" s="1"/>
  <c r="V22" i="25" s="1"/>
  <c r="AD23" i="24"/>
  <c r="Y23" i="24"/>
  <c r="Z23" i="24"/>
  <c r="AA23" i="24" s="1"/>
  <c r="AB23" i="24" s="1"/>
  <c r="V24" i="24" s="1"/>
  <c r="AD20" i="23"/>
  <c r="Y20" i="23"/>
  <c r="Z20" i="23"/>
  <c r="AA20" i="23" s="1"/>
  <c r="AB20" i="23" s="1"/>
  <c r="V21" i="23" s="1"/>
  <c r="AD20" i="21"/>
  <c r="Y20" i="21"/>
  <c r="Z20" i="21"/>
  <c r="AA20" i="21" s="1"/>
  <c r="AB20" i="21" s="1"/>
  <c r="V21" i="21" s="1"/>
  <c r="AD21" i="20"/>
  <c r="Y21" i="20"/>
  <c r="Z21" i="20"/>
  <c r="AA21" i="20" s="1"/>
  <c r="AB21" i="20" s="1"/>
  <c r="V22" i="20" s="1"/>
  <c r="AK25" i="12"/>
  <c r="AO25" i="12"/>
  <c r="AI33" i="23" l="1"/>
  <c r="AG33" i="23"/>
  <c r="AK33" i="23" s="1"/>
  <c r="AO32" i="23"/>
  <c r="Z23" i="19"/>
  <c r="AA23" i="19" s="1"/>
  <c r="AB23" i="19" s="1"/>
  <c r="V24" i="19" s="1"/>
  <c r="W24" i="19" s="1"/>
  <c r="AK34" i="19"/>
  <c r="AK29" i="20"/>
  <c r="AO29" i="20"/>
  <c r="AK33" i="21"/>
  <c r="AI34" i="21" s="1"/>
  <c r="AC22" i="22"/>
  <c r="X23" i="22" s="1"/>
  <c r="Z23" i="22" s="1"/>
  <c r="AA23" i="22" s="1"/>
  <c r="AB23" i="22" s="1"/>
  <c r="V24" i="22" s="1"/>
  <c r="AI32" i="22"/>
  <c r="AG32" i="22"/>
  <c r="AC23" i="19"/>
  <c r="X24" i="19" s="1"/>
  <c r="Y24" i="19" s="1"/>
  <c r="AO38" i="25"/>
  <c r="AK38" i="25"/>
  <c r="AI32" i="24"/>
  <c r="AG32" i="24"/>
  <c r="W22" i="25"/>
  <c r="AC21" i="25"/>
  <c r="X22" i="25" s="1"/>
  <c r="W24" i="24"/>
  <c r="AC23" i="24"/>
  <c r="X24" i="24" s="1"/>
  <c r="W21" i="23"/>
  <c r="AC20" i="23"/>
  <c r="X21" i="23" s="1"/>
  <c r="W21" i="21"/>
  <c r="AC20" i="21"/>
  <c r="X21" i="21" s="1"/>
  <c r="W22" i="20"/>
  <c r="AC21" i="20"/>
  <c r="X22" i="20" s="1"/>
  <c r="AG26" i="12"/>
  <c r="AI26" i="12"/>
  <c r="AI34" i="23" l="1"/>
  <c r="AG34" i="23"/>
  <c r="AK34" i="23" s="1"/>
  <c r="AO33" i="23"/>
  <c r="AD23" i="22"/>
  <c r="Y23" i="22"/>
  <c r="AC23" i="22" s="1"/>
  <c r="X24" i="22" s="1"/>
  <c r="AG34" i="21"/>
  <c r="AO34" i="21" s="1"/>
  <c r="AD24" i="19"/>
  <c r="AG35" i="19"/>
  <c r="AI35" i="19"/>
  <c r="AG30" i="20"/>
  <c r="AI30" i="20"/>
  <c r="AO32" i="22"/>
  <c r="AK32" i="22"/>
  <c r="Z24" i="19"/>
  <c r="AA24" i="19" s="1"/>
  <c r="AK32" i="24"/>
  <c r="AI33" i="24" s="1"/>
  <c r="AG39" i="25"/>
  <c r="AI39" i="25"/>
  <c r="AG33" i="24"/>
  <c r="AO32" i="24"/>
  <c r="AD22" i="25"/>
  <c r="Y22" i="25"/>
  <c r="Z22" i="25"/>
  <c r="AA22" i="25" s="1"/>
  <c r="AB22" i="25" s="1"/>
  <c r="V23" i="25" s="1"/>
  <c r="AD24" i="24"/>
  <c r="Y24" i="24"/>
  <c r="Z24" i="24"/>
  <c r="AA24" i="24" s="1"/>
  <c r="AB24" i="24" s="1"/>
  <c r="V25" i="24" s="1"/>
  <c r="AD21" i="23"/>
  <c r="Y21" i="23"/>
  <c r="Z21" i="23"/>
  <c r="AA21" i="23" s="1"/>
  <c r="AB21" i="23" s="1"/>
  <c r="V22" i="23" s="1"/>
  <c r="W24" i="22"/>
  <c r="AD21" i="21"/>
  <c r="Y21" i="21"/>
  <c r="Z21" i="21"/>
  <c r="AA21" i="21" s="1"/>
  <c r="AB21" i="21" s="1"/>
  <c r="V22" i="21" s="1"/>
  <c r="AD22" i="20"/>
  <c r="Y22" i="20"/>
  <c r="Z22" i="20"/>
  <c r="AA22" i="20" s="1"/>
  <c r="AB22" i="20" s="1"/>
  <c r="V23" i="20" s="1"/>
  <c r="AO26" i="12"/>
  <c r="AK26" i="12"/>
  <c r="AK34" i="21" l="1"/>
  <c r="AI35" i="23"/>
  <c r="AG35" i="23"/>
  <c r="AO34" i="23"/>
  <c r="AO30" i="20"/>
  <c r="AO35" i="19"/>
  <c r="AK35" i="19"/>
  <c r="AK30" i="20"/>
  <c r="AO39" i="25"/>
  <c r="AI33" i="22"/>
  <c r="AG33" i="22"/>
  <c r="AB24" i="19"/>
  <c r="V25" i="19" s="1"/>
  <c r="AC24" i="19"/>
  <c r="X25" i="19" s="1"/>
  <c r="AO33" i="24"/>
  <c r="AK39" i="25"/>
  <c r="AI40" i="25" s="1"/>
  <c r="AK33" i="24"/>
  <c r="W23" i="25"/>
  <c r="AC22" i="25"/>
  <c r="X23" i="25" s="1"/>
  <c r="W25" i="24"/>
  <c r="AC24" i="24"/>
  <c r="X25" i="24" s="1"/>
  <c r="W22" i="23"/>
  <c r="AC21" i="23"/>
  <c r="X22" i="23" s="1"/>
  <c r="AD24" i="22"/>
  <c r="Y24" i="22"/>
  <c r="Z24" i="22"/>
  <c r="AA24" i="22" s="1"/>
  <c r="AB24" i="22" s="1"/>
  <c r="V25" i="22" s="1"/>
  <c r="W22" i="21"/>
  <c r="AC21" i="21"/>
  <c r="X22" i="21" s="1"/>
  <c r="W23" i="20"/>
  <c r="AC22" i="20"/>
  <c r="X23" i="20" s="1"/>
  <c r="AG27" i="12"/>
  <c r="AI27" i="12"/>
  <c r="AI35" i="21" l="1"/>
  <c r="AG35" i="21"/>
  <c r="AK35" i="21" s="1"/>
  <c r="AO35" i="23"/>
  <c r="AK35" i="23"/>
  <c r="AI36" i="19"/>
  <c r="AG36" i="19"/>
  <c r="AK36" i="19" s="1"/>
  <c r="AG37" i="19" s="1"/>
  <c r="AG40" i="25"/>
  <c r="AK40" i="25" s="1"/>
  <c r="AI41" i="25" s="1"/>
  <c r="AG31" i="20"/>
  <c r="AI31" i="20"/>
  <c r="AK33" i="22"/>
  <c r="AI34" i="22"/>
  <c r="AG34" i="22"/>
  <c r="AO33" i="22"/>
  <c r="Y25" i="19"/>
  <c r="AD25" i="19"/>
  <c r="W25" i="19"/>
  <c r="Z25" i="19"/>
  <c r="AA25" i="19" s="1"/>
  <c r="AI34" i="24"/>
  <c r="AG34" i="24"/>
  <c r="AD23" i="25"/>
  <c r="Y23" i="25"/>
  <c r="Z23" i="25"/>
  <c r="AA23" i="25" s="1"/>
  <c r="AB23" i="25" s="1"/>
  <c r="V24" i="25" s="1"/>
  <c r="AD25" i="24"/>
  <c r="Y25" i="24"/>
  <c r="Z25" i="24"/>
  <c r="AA25" i="24" s="1"/>
  <c r="AB25" i="24" s="1"/>
  <c r="V26" i="24" s="1"/>
  <c r="AD22" i="23"/>
  <c r="Y22" i="23"/>
  <c r="Z22" i="23"/>
  <c r="AA22" i="23" s="1"/>
  <c r="AB22" i="23" s="1"/>
  <c r="V23" i="23" s="1"/>
  <c r="W25" i="22"/>
  <c r="AC24" i="22"/>
  <c r="X25" i="22" s="1"/>
  <c r="AG36" i="21"/>
  <c r="AI36" i="21"/>
  <c r="AD22" i="21"/>
  <c r="Y22" i="21"/>
  <c r="Z22" i="21"/>
  <c r="AA22" i="21" s="1"/>
  <c r="AB22" i="21" s="1"/>
  <c r="V23" i="21" s="1"/>
  <c r="AD23" i="20"/>
  <c r="Y23" i="20"/>
  <c r="Z23" i="20"/>
  <c r="AA23" i="20" s="1"/>
  <c r="AB23" i="20" s="1"/>
  <c r="V24" i="20" s="1"/>
  <c r="AO27" i="12"/>
  <c r="AK27" i="12"/>
  <c r="AO35" i="21" l="1"/>
  <c r="AI37" i="19"/>
  <c r="AO40" i="25"/>
  <c r="AI36" i="23"/>
  <c r="AG36" i="23"/>
  <c r="AK36" i="23" s="1"/>
  <c r="AK34" i="22"/>
  <c r="AO36" i="19"/>
  <c r="AG41" i="25"/>
  <c r="AO41" i="25" s="1"/>
  <c r="AK31" i="20"/>
  <c r="AO31" i="20"/>
  <c r="AI35" i="22"/>
  <c r="AG35" i="22"/>
  <c r="AO34" i="22"/>
  <c r="AB25" i="19"/>
  <c r="V26" i="19" s="1"/>
  <c r="W26" i="19" s="1"/>
  <c r="AC25" i="19"/>
  <c r="X26" i="19" s="1"/>
  <c r="AK34" i="24"/>
  <c r="AG35" i="24" s="1"/>
  <c r="AO34" i="24"/>
  <c r="W24" i="25"/>
  <c r="AC23" i="25"/>
  <c r="X24" i="25" s="1"/>
  <c r="AO36" i="21"/>
  <c r="W26" i="24"/>
  <c r="AC25" i="24"/>
  <c r="X26" i="24" s="1"/>
  <c r="W23" i="23"/>
  <c r="AC22" i="23"/>
  <c r="X23" i="23" s="1"/>
  <c r="AD25" i="22"/>
  <c r="Y25" i="22"/>
  <c r="Z25" i="22"/>
  <c r="AA25" i="22" s="1"/>
  <c r="AB25" i="22" s="1"/>
  <c r="V26" i="22" s="1"/>
  <c r="AK36" i="21"/>
  <c r="AO37" i="19"/>
  <c r="W23" i="21"/>
  <c r="AC22" i="21"/>
  <c r="X23" i="21" s="1"/>
  <c r="W24" i="20"/>
  <c r="AC23" i="20"/>
  <c r="X24" i="20" s="1"/>
  <c r="AK37" i="19"/>
  <c r="AI28" i="12"/>
  <c r="AG28" i="12"/>
  <c r="AK41" i="25" l="1"/>
  <c r="AI42" i="25" s="1"/>
  <c r="AO36" i="23"/>
  <c r="AG37" i="23"/>
  <c r="AI37" i="23"/>
  <c r="AO37" i="23" s="1"/>
  <c r="AI35" i="24"/>
  <c r="AK35" i="24" s="1"/>
  <c r="AG42" i="25"/>
  <c r="AK42" i="25" s="1"/>
  <c r="AI43" i="25" s="1"/>
  <c r="AI32" i="20"/>
  <c r="AG32" i="20"/>
  <c r="AK32" i="20" s="1"/>
  <c r="AK35" i="22"/>
  <c r="AI36" i="22" s="1"/>
  <c r="AG36" i="22"/>
  <c r="AO35" i="22"/>
  <c r="Y26" i="19"/>
  <c r="AD26" i="19"/>
  <c r="Z26" i="19"/>
  <c r="AA26" i="19" s="1"/>
  <c r="AB26" i="19" s="1"/>
  <c r="V27" i="19" s="1"/>
  <c r="W27" i="19" s="1"/>
  <c r="AD24" i="25"/>
  <c r="Y24" i="25"/>
  <c r="Z24" i="25"/>
  <c r="AA24" i="25" s="1"/>
  <c r="AB24" i="25" s="1"/>
  <c r="V25" i="25" s="1"/>
  <c r="AD26" i="24"/>
  <c r="Y26" i="24"/>
  <c r="Z26" i="24"/>
  <c r="AA26" i="24" s="1"/>
  <c r="AB26" i="24" s="1"/>
  <c r="V27" i="24" s="1"/>
  <c r="AD23" i="23"/>
  <c r="Y23" i="23"/>
  <c r="Z23" i="23"/>
  <c r="AA23" i="23" s="1"/>
  <c r="AB23" i="23" s="1"/>
  <c r="V24" i="23" s="1"/>
  <c r="W26" i="22"/>
  <c r="AC25" i="22"/>
  <c r="X26" i="22" s="1"/>
  <c r="AI37" i="21"/>
  <c r="AG37" i="21"/>
  <c r="AD23" i="21"/>
  <c r="Y23" i="21"/>
  <c r="Z23" i="21"/>
  <c r="AA23" i="21" s="1"/>
  <c r="AB23" i="21" s="1"/>
  <c r="V24" i="21" s="1"/>
  <c r="AD24" i="20"/>
  <c r="Y24" i="20"/>
  <c r="Z24" i="20"/>
  <c r="AA24" i="20" s="1"/>
  <c r="AB24" i="20" s="1"/>
  <c r="V25" i="20" s="1"/>
  <c r="AG38" i="19"/>
  <c r="AI38" i="19"/>
  <c r="AO28" i="12"/>
  <c r="AK28" i="12"/>
  <c r="AO35" i="24" l="1"/>
  <c r="AK37" i="23"/>
  <c r="AO42" i="25"/>
  <c r="AG43" i="25"/>
  <c r="AO43" i="25" s="1"/>
  <c r="AI33" i="20"/>
  <c r="AG33" i="20"/>
  <c r="AO32" i="20"/>
  <c r="AO36" i="22"/>
  <c r="AK36" i="22"/>
  <c r="AK43" i="25"/>
  <c r="AI44" i="25" s="1"/>
  <c r="AC26" i="19"/>
  <c r="X27" i="19" s="1"/>
  <c r="AG36" i="24"/>
  <c r="AI36" i="24"/>
  <c r="AK37" i="21"/>
  <c r="AG38" i="21" s="1"/>
  <c r="W25" i="25"/>
  <c r="AC24" i="25"/>
  <c r="X25" i="25" s="1"/>
  <c r="W27" i="24"/>
  <c r="AC26" i="24"/>
  <c r="X27" i="24" s="1"/>
  <c r="W24" i="23"/>
  <c r="AC23" i="23"/>
  <c r="X24" i="23" s="1"/>
  <c r="AD26" i="22"/>
  <c r="Y26" i="22"/>
  <c r="Z26" i="22"/>
  <c r="AA26" i="22" s="1"/>
  <c r="AB26" i="22" s="1"/>
  <c r="V27" i="22" s="1"/>
  <c r="AO37" i="21"/>
  <c r="W24" i="21"/>
  <c r="AC23" i="21"/>
  <c r="X24" i="21" s="1"/>
  <c r="W25" i="20"/>
  <c r="AC24" i="20"/>
  <c r="X25" i="20" s="1"/>
  <c r="AK38" i="19"/>
  <c r="AO38" i="19"/>
  <c r="AI29" i="12"/>
  <c r="AG29" i="12"/>
  <c r="AK33" i="20" l="1"/>
  <c r="AG44" i="25"/>
  <c r="AO44" i="25" s="1"/>
  <c r="AG38" i="23"/>
  <c r="AI38" i="23"/>
  <c r="AO38" i="23" s="1"/>
  <c r="AG34" i="20"/>
  <c r="AI34" i="20"/>
  <c r="AO33" i="20"/>
  <c r="AG37" i="22"/>
  <c r="AI37" i="22"/>
  <c r="AD27" i="19"/>
  <c r="Z27" i="19"/>
  <c r="AA27" i="19" s="1"/>
  <c r="AB27" i="19" s="1"/>
  <c r="V28" i="19" s="1"/>
  <c r="W28" i="19" s="1"/>
  <c r="Y27" i="19"/>
  <c r="AO36" i="24"/>
  <c r="AI38" i="21"/>
  <c r="AK38" i="21" s="1"/>
  <c r="AG39" i="21" s="1"/>
  <c r="AK36" i="24"/>
  <c r="AD25" i="25"/>
  <c r="Y25" i="25"/>
  <c r="Z25" i="25"/>
  <c r="AA25" i="25" s="1"/>
  <c r="AB25" i="25" s="1"/>
  <c r="V26" i="25" s="1"/>
  <c r="AD27" i="24"/>
  <c r="Y27" i="24"/>
  <c r="Z27" i="24"/>
  <c r="AA27" i="24" s="1"/>
  <c r="AB27" i="24" s="1"/>
  <c r="V28" i="24" s="1"/>
  <c r="AD24" i="23"/>
  <c r="Y24" i="23"/>
  <c r="Z24" i="23"/>
  <c r="AA24" i="23" s="1"/>
  <c r="AB24" i="23" s="1"/>
  <c r="V25" i="23" s="1"/>
  <c r="W27" i="22"/>
  <c r="AC26" i="22"/>
  <c r="X27" i="22" s="1"/>
  <c r="AD24" i="21"/>
  <c r="Y24" i="21"/>
  <c r="Z24" i="21"/>
  <c r="AA24" i="21" s="1"/>
  <c r="AB24" i="21" s="1"/>
  <c r="V25" i="21" s="1"/>
  <c r="AD25" i="20"/>
  <c r="Y25" i="20"/>
  <c r="Z25" i="20"/>
  <c r="AA25" i="20" s="1"/>
  <c r="AB25" i="20" s="1"/>
  <c r="V26" i="20" s="1"/>
  <c r="AG39" i="19"/>
  <c r="AI39" i="19"/>
  <c r="AK29" i="12"/>
  <c r="AI30" i="12" s="1"/>
  <c r="AO29" i="12"/>
  <c r="AK44" i="25" l="1"/>
  <c r="AO37" i="22"/>
  <c r="AK38" i="23"/>
  <c r="AK34" i="20"/>
  <c r="AO34" i="20"/>
  <c r="AO38" i="21"/>
  <c r="AK37" i="22"/>
  <c r="AI39" i="21"/>
  <c r="AK39" i="21" s="1"/>
  <c r="AC27" i="19"/>
  <c r="X28" i="19" s="1"/>
  <c r="AG37" i="24"/>
  <c r="AI37" i="24"/>
  <c r="AO39" i="21"/>
  <c r="W26" i="25"/>
  <c r="AC25" i="25"/>
  <c r="X26" i="25" s="1"/>
  <c r="W28" i="24"/>
  <c r="AC27" i="24"/>
  <c r="X28" i="24" s="1"/>
  <c r="W25" i="23"/>
  <c r="AC24" i="23"/>
  <c r="X25" i="23" s="1"/>
  <c r="AD27" i="22"/>
  <c r="Y27" i="22"/>
  <c r="Z27" i="22"/>
  <c r="AA27" i="22" s="1"/>
  <c r="AB27" i="22" s="1"/>
  <c r="V28" i="22" s="1"/>
  <c r="AO39" i="19"/>
  <c r="W25" i="21"/>
  <c r="AC24" i="21"/>
  <c r="X25" i="21" s="1"/>
  <c r="W26" i="20"/>
  <c r="AC25" i="20"/>
  <c r="X26" i="20" s="1"/>
  <c r="AK39" i="19"/>
  <c r="AG30" i="12"/>
  <c r="AO30" i="12" s="1"/>
  <c r="AG39" i="23" l="1"/>
  <c r="AI39" i="23"/>
  <c r="AO39" i="23" s="1"/>
  <c r="AO37" i="24"/>
  <c r="AI35" i="20"/>
  <c r="AG35" i="20"/>
  <c r="AK35" i="20" s="1"/>
  <c r="AG38" i="22"/>
  <c r="AI38" i="22"/>
  <c r="AO38" i="22" s="1"/>
  <c r="AD28" i="19"/>
  <c r="Z28" i="19"/>
  <c r="AA28" i="19" s="1"/>
  <c r="AB28" i="19" s="1"/>
  <c r="V29" i="19" s="1"/>
  <c r="W29" i="19" s="1"/>
  <c r="Y28" i="19"/>
  <c r="AK37" i="24"/>
  <c r="AD26" i="25"/>
  <c r="Y26" i="25"/>
  <c r="Z26" i="25"/>
  <c r="AA26" i="25" s="1"/>
  <c r="AB26" i="25" s="1"/>
  <c r="V27" i="25" s="1"/>
  <c r="AD28" i="24"/>
  <c r="Y28" i="24"/>
  <c r="Z28" i="24"/>
  <c r="AA28" i="24" s="1"/>
  <c r="AB28" i="24" s="1"/>
  <c r="V29" i="24" s="1"/>
  <c r="AD25" i="23"/>
  <c r="Y25" i="23"/>
  <c r="Z25" i="23"/>
  <c r="AA25" i="23" s="1"/>
  <c r="AB25" i="23" s="1"/>
  <c r="V26" i="23" s="1"/>
  <c r="W28" i="22"/>
  <c r="AC27" i="22"/>
  <c r="X28" i="22" s="1"/>
  <c r="AI40" i="21"/>
  <c r="AG40" i="21"/>
  <c r="AD25" i="21"/>
  <c r="Y25" i="21"/>
  <c r="Z25" i="21"/>
  <c r="AA25" i="21" s="1"/>
  <c r="AB25" i="21" s="1"/>
  <c r="V26" i="21" s="1"/>
  <c r="AD26" i="20"/>
  <c r="Y26" i="20"/>
  <c r="Z26" i="20"/>
  <c r="AA26" i="20" s="1"/>
  <c r="AB26" i="20" s="1"/>
  <c r="V27" i="20" s="1"/>
  <c r="AG40" i="19"/>
  <c r="AI40" i="19"/>
  <c r="AK30" i="12"/>
  <c r="AG31" i="12" s="1"/>
  <c r="AI31" i="12"/>
  <c r="AK39" i="23" l="1"/>
  <c r="AG36" i="20"/>
  <c r="AI36" i="20"/>
  <c r="AO35" i="20"/>
  <c r="AK38" i="22"/>
  <c r="AC28" i="19"/>
  <c r="X29" i="19" s="1"/>
  <c r="AG38" i="24"/>
  <c r="AI38" i="24"/>
  <c r="W27" i="25"/>
  <c r="AC26" i="25"/>
  <c r="X27" i="25" s="1"/>
  <c r="AK40" i="21"/>
  <c r="AG41" i="21" s="1"/>
  <c r="W29" i="24"/>
  <c r="AC28" i="24"/>
  <c r="X29" i="24" s="1"/>
  <c r="W26" i="23"/>
  <c r="AC25" i="23"/>
  <c r="X26" i="23" s="1"/>
  <c r="AD28" i="22"/>
  <c r="Y28" i="22"/>
  <c r="Z28" i="22"/>
  <c r="AA28" i="22" s="1"/>
  <c r="AB28" i="22" s="1"/>
  <c r="V29" i="22" s="1"/>
  <c r="AO40" i="19"/>
  <c r="AO40" i="21"/>
  <c r="W26" i="21"/>
  <c r="AC25" i="21"/>
  <c r="X26" i="21" s="1"/>
  <c r="W27" i="20"/>
  <c r="AC26" i="20"/>
  <c r="X27" i="20" s="1"/>
  <c r="AK40" i="19"/>
  <c r="AO31" i="12"/>
  <c r="AK31" i="12"/>
  <c r="AG40" i="23" l="1"/>
  <c r="AI40" i="23"/>
  <c r="AO40" i="23" s="1"/>
  <c r="AK36" i="20"/>
  <c r="AO36" i="20"/>
  <c r="AG39" i="22"/>
  <c r="AI39" i="22"/>
  <c r="AO39" i="22" s="1"/>
  <c r="AD29" i="19"/>
  <c r="Y29" i="19"/>
  <c r="Z29" i="19"/>
  <c r="AA29" i="19" s="1"/>
  <c r="AB29" i="19" s="1"/>
  <c r="V30" i="19" s="1"/>
  <c r="W30" i="19" s="1"/>
  <c r="AO38" i="24"/>
  <c r="AK38" i="24"/>
  <c r="AI41" i="21"/>
  <c r="AO41" i="21" s="1"/>
  <c r="AD27" i="25"/>
  <c r="Y27" i="25"/>
  <c r="Z27" i="25"/>
  <c r="AA27" i="25" s="1"/>
  <c r="AB27" i="25" s="1"/>
  <c r="V28" i="25" s="1"/>
  <c r="AD29" i="24"/>
  <c r="Y29" i="24"/>
  <c r="Z29" i="24"/>
  <c r="AA29" i="24" s="1"/>
  <c r="AB29" i="24" s="1"/>
  <c r="V30" i="24" s="1"/>
  <c r="AD26" i="23"/>
  <c r="Y26" i="23"/>
  <c r="Z26" i="23"/>
  <c r="AA26" i="23" s="1"/>
  <c r="AB26" i="23" s="1"/>
  <c r="V27" i="23" s="1"/>
  <c r="W29" i="22"/>
  <c r="AC28" i="22"/>
  <c r="X29" i="22" s="1"/>
  <c r="AD26" i="21"/>
  <c r="Y26" i="21"/>
  <c r="Z26" i="21"/>
  <c r="AA26" i="21" s="1"/>
  <c r="AB26" i="21" s="1"/>
  <c r="V27" i="21" s="1"/>
  <c r="AD27" i="20"/>
  <c r="Y27" i="20"/>
  <c r="Z27" i="20"/>
  <c r="AA27" i="20" s="1"/>
  <c r="AB27" i="20" s="1"/>
  <c r="V28" i="20" s="1"/>
  <c r="AG41" i="19"/>
  <c r="AI41" i="19"/>
  <c r="AG32" i="12"/>
  <c r="AI32" i="12"/>
  <c r="AK40" i="23" l="1"/>
  <c r="AI37" i="20"/>
  <c r="AG37" i="20"/>
  <c r="AK37" i="20" s="1"/>
  <c r="AK39" i="22"/>
  <c r="AK41" i="21"/>
  <c r="AC29" i="19"/>
  <c r="X30" i="19" s="1"/>
  <c r="AG39" i="24"/>
  <c r="AI39" i="24"/>
  <c r="W28" i="25"/>
  <c r="AC27" i="25"/>
  <c r="X28" i="25" s="1"/>
  <c r="W30" i="24"/>
  <c r="AC29" i="24"/>
  <c r="X30" i="24" s="1"/>
  <c r="W27" i="23"/>
  <c r="AC26" i="23"/>
  <c r="X27" i="23" s="1"/>
  <c r="AD29" i="22"/>
  <c r="Y29" i="22"/>
  <c r="Z29" i="22"/>
  <c r="AA29" i="22" s="1"/>
  <c r="AB29" i="22" s="1"/>
  <c r="V30" i="22" s="1"/>
  <c r="AO41" i="19"/>
  <c r="AI42" i="21"/>
  <c r="AG42" i="21"/>
  <c r="W27" i="21"/>
  <c r="AC26" i="21"/>
  <c r="X27" i="21" s="1"/>
  <c r="W28" i="20"/>
  <c r="AC27" i="20"/>
  <c r="X28" i="20" s="1"/>
  <c r="AK41" i="19"/>
  <c r="AO32" i="12"/>
  <c r="AK32" i="12"/>
  <c r="AI41" i="23" l="1"/>
  <c r="AG41" i="23"/>
  <c r="AK41" i="23" s="1"/>
  <c r="AI38" i="20"/>
  <c r="AG38" i="20"/>
  <c r="AO37" i="20"/>
  <c r="AO39" i="24"/>
  <c r="AI40" i="22"/>
  <c r="AG40" i="22"/>
  <c r="AK40" i="22" s="1"/>
  <c r="AD30" i="19"/>
  <c r="Y30" i="19"/>
  <c r="Z30" i="19"/>
  <c r="AA30" i="19" s="1"/>
  <c r="AB30" i="19" s="1"/>
  <c r="V31" i="19" s="1"/>
  <c r="W31" i="19" s="1"/>
  <c r="AK39" i="24"/>
  <c r="AK42" i="21"/>
  <c r="AG43" i="21" s="1"/>
  <c r="AD28" i="25"/>
  <c r="Y28" i="25"/>
  <c r="Z28" i="25"/>
  <c r="AA28" i="25" s="1"/>
  <c r="AB28" i="25" s="1"/>
  <c r="V29" i="25" s="1"/>
  <c r="AD30" i="24"/>
  <c r="Y30" i="24"/>
  <c r="Z30" i="24"/>
  <c r="AA30" i="24" s="1"/>
  <c r="AB30" i="24" s="1"/>
  <c r="V31" i="24" s="1"/>
  <c r="AD27" i="23"/>
  <c r="Y27" i="23"/>
  <c r="Z27" i="23"/>
  <c r="AA27" i="23" s="1"/>
  <c r="AB27" i="23" s="1"/>
  <c r="V28" i="23" s="1"/>
  <c r="W30" i="22"/>
  <c r="AC29" i="22"/>
  <c r="X30" i="22" s="1"/>
  <c r="AI43" i="21"/>
  <c r="AO42" i="21"/>
  <c r="AD27" i="21"/>
  <c r="Y27" i="21"/>
  <c r="Z27" i="21"/>
  <c r="AA27" i="21" s="1"/>
  <c r="AB27" i="21" s="1"/>
  <c r="V28" i="21" s="1"/>
  <c r="AD28" i="20"/>
  <c r="Y28" i="20"/>
  <c r="Z28" i="20"/>
  <c r="AA28" i="20" s="1"/>
  <c r="AB28" i="20" s="1"/>
  <c r="V29" i="20" s="1"/>
  <c r="AG42" i="19"/>
  <c r="AI42" i="19"/>
  <c r="AI33" i="12"/>
  <c r="AG33" i="12"/>
  <c r="AK38" i="20" l="1"/>
  <c r="AI42" i="23"/>
  <c r="AG42" i="23"/>
  <c r="AK42" i="23" s="1"/>
  <c r="AO41" i="23"/>
  <c r="AI39" i="20"/>
  <c r="AG39" i="20"/>
  <c r="AK39" i="20" s="1"/>
  <c r="AO38" i="20"/>
  <c r="AI41" i="22"/>
  <c r="AG41" i="22"/>
  <c r="AK41" i="22" s="1"/>
  <c r="AO40" i="22"/>
  <c r="AC30" i="19"/>
  <c r="X31" i="19" s="1"/>
  <c r="AI40" i="24"/>
  <c r="AG40" i="24"/>
  <c r="AO43" i="21"/>
  <c r="W29" i="25"/>
  <c r="AC28" i="25"/>
  <c r="X29" i="25" s="1"/>
  <c r="W31" i="24"/>
  <c r="AC30" i="24"/>
  <c r="X31" i="24" s="1"/>
  <c r="W28" i="23"/>
  <c r="AC27" i="23"/>
  <c r="X28" i="23" s="1"/>
  <c r="AD30" i="22"/>
  <c r="Y30" i="22"/>
  <c r="Z30" i="22"/>
  <c r="AA30" i="22" s="1"/>
  <c r="AB30" i="22" s="1"/>
  <c r="V31" i="22" s="1"/>
  <c r="AO42" i="19"/>
  <c r="AK43" i="21"/>
  <c r="W28" i="21"/>
  <c r="AC27" i="21"/>
  <c r="X28" i="21" s="1"/>
  <c r="W29" i="20"/>
  <c r="AC28" i="20"/>
  <c r="X29" i="20" s="1"/>
  <c r="AK42" i="19"/>
  <c r="AK33" i="12"/>
  <c r="AI34" i="12" s="1"/>
  <c r="AO33" i="12"/>
  <c r="AI43" i="23" l="1"/>
  <c r="AG43" i="23"/>
  <c r="AK43" i="23" s="1"/>
  <c r="AO42" i="23"/>
  <c r="AG40" i="20"/>
  <c r="AI40" i="20"/>
  <c r="AO40" i="20" s="1"/>
  <c r="AO39" i="20"/>
  <c r="AG34" i="12"/>
  <c r="AK34" i="12" s="1"/>
  <c r="AG35" i="12" s="1"/>
  <c r="AI42" i="22"/>
  <c r="AG42" i="22"/>
  <c r="AO41" i="22"/>
  <c r="Y31" i="19"/>
  <c r="AD31" i="19"/>
  <c r="Z31" i="19"/>
  <c r="AA31" i="19" s="1"/>
  <c r="AB31" i="19" s="1"/>
  <c r="V32" i="19" s="1"/>
  <c r="W32" i="19" s="1"/>
  <c r="AK40" i="24"/>
  <c r="AG41" i="24" s="1"/>
  <c r="AO40" i="24"/>
  <c r="AD29" i="25"/>
  <c r="Y29" i="25"/>
  <c r="Z29" i="25"/>
  <c r="AA29" i="25" s="1"/>
  <c r="AB29" i="25" s="1"/>
  <c r="V30" i="25" s="1"/>
  <c r="AD31" i="24"/>
  <c r="Y31" i="24"/>
  <c r="Z31" i="24"/>
  <c r="AA31" i="24" s="1"/>
  <c r="AB31" i="24" s="1"/>
  <c r="V32" i="24" s="1"/>
  <c r="AD28" i="23"/>
  <c r="Y28" i="23"/>
  <c r="Z28" i="23"/>
  <c r="AA28" i="23" s="1"/>
  <c r="AB28" i="23" s="1"/>
  <c r="V29" i="23" s="1"/>
  <c r="W31" i="22"/>
  <c r="AC30" i="22"/>
  <c r="X31" i="22" s="1"/>
  <c r="AG44" i="21"/>
  <c r="AI44" i="21"/>
  <c r="AD28" i="21"/>
  <c r="Y28" i="21"/>
  <c r="Z28" i="21"/>
  <c r="AA28" i="21" s="1"/>
  <c r="AB28" i="21" s="1"/>
  <c r="V29" i="21" s="1"/>
  <c r="AD29" i="20"/>
  <c r="Y29" i="20"/>
  <c r="Z29" i="20"/>
  <c r="AA29" i="20" s="1"/>
  <c r="AB29" i="20" s="1"/>
  <c r="V30" i="20" s="1"/>
  <c r="AG43" i="19"/>
  <c r="AI43" i="19"/>
  <c r="AI41" i="24" l="1"/>
  <c r="AK42" i="22"/>
  <c r="AG44" i="23"/>
  <c r="AI44" i="23"/>
  <c r="AO44" i="23" s="1"/>
  <c r="AO43" i="23"/>
  <c r="AK40" i="20"/>
  <c r="AO34" i="12"/>
  <c r="AG43" i="22"/>
  <c r="AI43" i="22"/>
  <c r="AO43" i="22" s="1"/>
  <c r="AO42" i="22"/>
  <c r="AC31" i="19"/>
  <c r="X32" i="19" s="1"/>
  <c r="AK41" i="24"/>
  <c r="AI42" i="24" s="1"/>
  <c r="AO41" i="24"/>
  <c r="AO44" i="21"/>
  <c r="W30" i="25"/>
  <c r="AC29" i="25"/>
  <c r="X30" i="25" s="1"/>
  <c r="W32" i="24"/>
  <c r="AC31" i="24"/>
  <c r="X32" i="24" s="1"/>
  <c r="W29" i="23"/>
  <c r="AC28" i="23"/>
  <c r="X29" i="23" s="1"/>
  <c r="AD31" i="22"/>
  <c r="Y31" i="22"/>
  <c r="Z31" i="22"/>
  <c r="AA31" i="22" s="1"/>
  <c r="AB31" i="22" s="1"/>
  <c r="V32" i="22" s="1"/>
  <c r="AK44" i="21"/>
  <c r="AI35" i="12"/>
  <c r="AO35" i="12" s="1"/>
  <c r="W29" i="21"/>
  <c r="AC28" i="21"/>
  <c r="X29" i="21" s="1"/>
  <c r="W30" i="20"/>
  <c r="AC29" i="20"/>
  <c r="X30" i="20" s="1"/>
  <c r="AO43" i="19"/>
  <c r="AK43" i="19"/>
  <c r="AG42" i="24" l="1"/>
  <c r="AK44" i="23"/>
  <c r="AI41" i="20"/>
  <c r="AG41" i="20"/>
  <c r="AK43" i="22"/>
  <c r="AD32" i="19"/>
  <c r="Z32" i="19"/>
  <c r="AA32" i="19" s="1"/>
  <c r="AB32" i="19" s="1"/>
  <c r="V33" i="19" s="1"/>
  <c r="W33" i="19" s="1"/>
  <c r="Y32" i="19"/>
  <c r="AK42" i="24"/>
  <c r="AI43" i="24" s="1"/>
  <c r="AG43" i="24"/>
  <c r="AO42" i="24"/>
  <c r="AD30" i="25"/>
  <c r="Y30" i="25"/>
  <c r="Z30" i="25"/>
  <c r="AA30" i="25" s="1"/>
  <c r="AB30" i="25" s="1"/>
  <c r="V31" i="25" s="1"/>
  <c r="AD32" i="24"/>
  <c r="Y32" i="24"/>
  <c r="Z32" i="24"/>
  <c r="AA32" i="24" s="1"/>
  <c r="AB32" i="24" s="1"/>
  <c r="V33" i="24" s="1"/>
  <c r="AD29" i="23"/>
  <c r="Y29" i="23"/>
  <c r="Z29" i="23"/>
  <c r="AA29" i="23" s="1"/>
  <c r="AB29" i="23" s="1"/>
  <c r="V30" i="23" s="1"/>
  <c r="AK35" i="12"/>
  <c r="AG36" i="12" s="1"/>
  <c r="W32" i="22"/>
  <c r="AC31" i="22"/>
  <c r="X32" i="22" s="1"/>
  <c r="AD29" i="21"/>
  <c r="Y29" i="21"/>
  <c r="Z29" i="21"/>
  <c r="AA29" i="21" s="1"/>
  <c r="AB29" i="21" s="1"/>
  <c r="V30" i="21" s="1"/>
  <c r="AD30" i="20"/>
  <c r="Y30" i="20"/>
  <c r="Z30" i="20"/>
  <c r="AA30" i="20" s="1"/>
  <c r="AB30" i="20" s="1"/>
  <c r="V31" i="20" s="1"/>
  <c r="AG44" i="19"/>
  <c r="AI44" i="19"/>
  <c r="AK41" i="20" l="1"/>
  <c r="AI42" i="20"/>
  <c r="AG42" i="20"/>
  <c r="AO41" i="20"/>
  <c r="AC32" i="19"/>
  <c r="X33" i="19" s="1"/>
  <c r="Y33" i="19" s="1"/>
  <c r="AG44" i="22"/>
  <c r="AI44" i="22"/>
  <c r="AI36" i="12"/>
  <c r="AO36" i="12" s="1"/>
  <c r="Z33" i="19"/>
  <c r="AA33" i="19" s="1"/>
  <c r="AB33" i="19" s="1"/>
  <c r="V34" i="19" s="1"/>
  <c r="W34" i="19" s="1"/>
  <c r="AD33" i="19"/>
  <c r="AK43" i="24"/>
  <c r="AI44" i="24" s="1"/>
  <c r="AO43" i="24"/>
  <c r="W31" i="25"/>
  <c r="AC30" i="25"/>
  <c r="X31" i="25" s="1"/>
  <c r="W33" i="24"/>
  <c r="AC32" i="24"/>
  <c r="X33" i="24" s="1"/>
  <c r="W30" i="23"/>
  <c r="AC29" i="23"/>
  <c r="X30" i="23" s="1"/>
  <c r="AO44" i="19"/>
  <c r="AD32" i="22"/>
  <c r="Y32" i="22"/>
  <c r="Z32" i="22"/>
  <c r="AA32" i="22" s="1"/>
  <c r="AB32" i="22" s="1"/>
  <c r="V33" i="22" s="1"/>
  <c r="W30" i="21"/>
  <c r="AC29" i="21"/>
  <c r="X30" i="21" s="1"/>
  <c r="W31" i="20"/>
  <c r="AC30" i="20"/>
  <c r="X31" i="20" s="1"/>
  <c r="AK44" i="19"/>
  <c r="AG44" i="24" l="1"/>
  <c r="AK42" i="20"/>
  <c r="AG43" i="20"/>
  <c r="AI43" i="20"/>
  <c r="AO43" i="20" s="1"/>
  <c r="AO42" i="20"/>
  <c r="AO44" i="22"/>
  <c r="AK36" i="12"/>
  <c r="AG37" i="12" s="1"/>
  <c r="AC33" i="19"/>
  <c r="X34" i="19" s="1"/>
  <c r="Z34" i="19" s="1"/>
  <c r="AK44" i="22"/>
  <c r="AO44" i="24"/>
  <c r="AK44" i="24"/>
  <c r="AD31" i="25"/>
  <c r="Y31" i="25"/>
  <c r="Z31" i="25"/>
  <c r="AA31" i="25" s="1"/>
  <c r="AB31" i="25" s="1"/>
  <c r="V32" i="25" s="1"/>
  <c r="AD33" i="24"/>
  <c r="Y33" i="24"/>
  <c r="Z33" i="24"/>
  <c r="AA33" i="24" s="1"/>
  <c r="AB33" i="24" s="1"/>
  <c r="V34" i="24" s="1"/>
  <c r="AD30" i="23"/>
  <c r="Y30" i="23"/>
  <c r="Z30" i="23"/>
  <c r="AA30" i="23" s="1"/>
  <c r="AB30" i="23" s="1"/>
  <c r="V31" i="23" s="1"/>
  <c r="W33" i="22"/>
  <c r="AC32" i="22"/>
  <c r="X33" i="22" s="1"/>
  <c r="AD30" i="21"/>
  <c r="Y30" i="21"/>
  <c r="Z30" i="21"/>
  <c r="AA30" i="21" s="1"/>
  <c r="AB30" i="21" s="1"/>
  <c r="V31" i="21" s="1"/>
  <c r="AD31" i="20"/>
  <c r="Y31" i="20"/>
  <c r="Z31" i="20"/>
  <c r="AA31" i="20" s="1"/>
  <c r="AB31" i="20" s="1"/>
  <c r="V32" i="20" s="1"/>
  <c r="AD34" i="19" l="1"/>
  <c r="AK43" i="20"/>
  <c r="AI37" i="12"/>
  <c r="Y34" i="19"/>
  <c r="W32" i="25"/>
  <c r="AC31" i="25"/>
  <c r="X32" i="25" s="1"/>
  <c r="W34" i="24"/>
  <c r="AC33" i="24"/>
  <c r="X34" i="24" s="1"/>
  <c r="W31" i="23"/>
  <c r="AC30" i="23"/>
  <c r="X31" i="23" s="1"/>
  <c r="AD33" i="22"/>
  <c r="Y33" i="22"/>
  <c r="Z33" i="22"/>
  <c r="AA33" i="22" s="1"/>
  <c r="AB33" i="22" s="1"/>
  <c r="V34" i="22" s="1"/>
  <c r="W31" i="21"/>
  <c r="AC30" i="21"/>
  <c r="X31" i="21" s="1"/>
  <c r="W32" i="20"/>
  <c r="AC31" i="20"/>
  <c r="X32" i="20" s="1"/>
  <c r="O26" i="19"/>
  <c r="O27" i="19" s="1"/>
  <c r="G17" i="19" s="1"/>
  <c r="AA34" i="19"/>
  <c r="AB34" i="19" s="1"/>
  <c r="AO37" i="12"/>
  <c r="AK37" i="12"/>
  <c r="AI44" i="20" l="1"/>
  <c r="AG44" i="20"/>
  <c r="AD32" i="25"/>
  <c r="Y32" i="25"/>
  <c r="Z32" i="25"/>
  <c r="AA32" i="25" s="1"/>
  <c r="AB32" i="25" s="1"/>
  <c r="V33" i="25" s="1"/>
  <c r="AD34" i="24"/>
  <c r="Y34" i="24"/>
  <c r="Z34" i="24"/>
  <c r="AD31" i="23"/>
  <c r="Y31" i="23"/>
  <c r="Z31" i="23"/>
  <c r="AA31" i="23" s="1"/>
  <c r="AB31" i="23" s="1"/>
  <c r="V32" i="23" s="1"/>
  <c r="W34" i="22"/>
  <c r="AC33" i="22"/>
  <c r="X34" i="22" s="1"/>
  <c r="AD31" i="21"/>
  <c r="Y31" i="21"/>
  <c r="Z31" i="21"/>
  <c r="AA31" i="21" s="1"/>
  <c r="AB31" i="21" s="1"/>
  <c r="V32" i="21" s="1"/>
  <c r="AD32" i="20"/>
  <c r="Y32" i="20"/>
  <c r="Z32" i="20"/>
  <c r="AA32" i="20" s="1"/>
  <c r="AB32" i="20" s="1"/>
  <c r="V33" i="20" s="1"/>
  <c r="AC34" i="19"/>
  <c r="G20" i="19"/>
  <c r="G18" i="19"/>
  <c r="AI38" i="12"/>
  <c r="AG38" i="12"/>
  <c r="AK44" i="20" l="1"/>
  <c r="AO44" i="20"/>
  <c r="W33" i="25"/>
  <c r="AC32" i="25"/>
  <c r="X33" i="25" s="1"/>
  <c r="O26" i="24"/>
  <c r="O27" i="24" s="1"/>
  <c r="G17" i="24" s="1"/>
  <c r="AA34" i="24"/>
  <c r="AB34" i="24" s="1"/>
  <c r="W32" i="23"/>
  <c r="AC31" i="23"/>
  <c r="X32" i="23" s="1"/>
  <c r="AD34" i="22"/>
  <c r="Y34" i="22"/>
  <c r="Z34" i="22"/>
  <c r="W32" i="21"/>
  <c r="AC31" i="21"/>
  <c r="X32" i="21" s="1"/>
  <c r="W33" i="20"/>
  <c r="AC32" i="20"/>
  <c r="X33" i="20" s="1"/>
  <c r="K6" i="19"/>
  <c r="G33" i="19"/>
  <c r="K10" i="19" s="1"/>
  <c r="K15" i="19" s="1"/>
  <c r="AK38" i="12"/>
  <c r="AG39" i="12" s="1"/>
  <c r="AO38" i="12"/>
  <c r="AD33" i="25" l="1"/>
  <c r="Y33" i="25"/>
  <c r="Z33" i="25"/>
  <c r="AA33" i="25" s="1"/>
  <c r="AB33" i="25" s="1"/>
  <c r="V34" i="25" s="1"/>
  <c r="AC34" i="24"/>
  <c r="G20" i="24"/>
  <c r="G18" i="24"/>
  <c r="AD32" i="23"/>
  <c r="Y32" i="23"/>
  <c r="Z32" i="23"/>
  <c r="AA32" i="23" s="1"/>
  <c r="AB32" i="23" s="1"/>
  <c r="V33" i="23" s="1"/>
  <c r="O26" i="22"/>
  <c r="O27" i="22" s="1"/>
  <c r="G17" i="22" s="1"/>
  <c r="AA34" i="22"/>
  <c r="AB34" i="22" s="1"/>
  <c r="AD32" i="21"/>
  <c r="Y32" i="21"/>
  <c r="Z32" i="21"/>
  <c r="AA32" i="21" s="1"/>
  <c r="AB32" i="21" s="1"/>
  <c r="V33" i="21" s="1"/>
  <c r="AD33" i="20"/>
  <c r="Y33" i="20"/>
  <c r="Z33" i="20"/>
  <c r="AA33" i="20" s="1"/>
  <c r="AB33" i="20" s="1"/>
  <c r="V34" i="20" s="1"/>
  <c r="K43" i="19"/>
  <c r="K35" i="19"/>
  <c r="K7" i="19"/>
  <c r="AI39" i="12"/>
  <c r="AO39" i="12" s="1"/>
  <c r="W34" i="25" l="1"/>
  <c r="AC33" i="25"/>
  <c r="X34" i="25" s="1"/>
  <c r="K6" i="24"/>
  <c r="G33" i="24"/>
  <c r="K10" i="24" s="1"/>
  <c r="K15" i="24" s="1"/>
  <c r="W33" i="23"/>
  <c r="AC32" i="23"/>
  <c r="X33" i="23" s="1"/>
  <c r="AC34" i="22"/>
  <c r="G20" i="22"/>
  <c r="G18" i="22"/>
  <c r="W33" i="21"/>
  <c r="AC32" i="21"/>
  <c r="X33" i="21" s="1"/>
  <c r="W34" i="20"/>
  <c r="AC33" i="20"/>
  <c r="X34" i="20" s="1"/>
  <c r="AK39" i="12"/>
  <c r="AG40" i="12" s="1"/>
  <c r="AI40" i="12"/>
  <c r="AD34" i="25" l="1"/>
  <c r="Y34" i="25"/>
  <c r="Z34" i="25"/>
  <c r="K43" i="24"/>
  <c r="K35" i="24"/>
  <c r="K7" i="24"/>
  <c r="AD33" i="23"/>
  <c r="Y33" i="23"/>
  <c r="Z33" i="23"/>
  <c r="AA33" i="23" s="1"/>
  <c r="AB33" i="23" s="1"/>
  <c r="V34" i="23" s="1"/>
  <c r="K6" i="22"/>
  <c r="G33" i="22"/>
  <c r="K10" i="22" s="1"/>
  <c r="K15" i="22" s="1"/>
  <c r="AD33" i="21"/>
  <c r="Y33" i="21"/>
  <c r="Z33" i="21"/>
  <c r="AA33" i="21" s="1"/>
  <c r="AB33" i="21" s="1"/>
  <c r="V34" i="21" s="1"/>
  <c r="AD34" i="20"/>
  <c r="Y34" i="20"/>
  <c r="Z34" i="20"/>
  <c r="AO40" i="12"/>
  <c r="AK40" i="12"/>
  <c r="O26" i="25" l="1"/>
  <c r="O27" i="25" s="1"/>
  <c r="G17" i="25" s="1"/>
  <c r="AA34" i="25"/>
  <c r="AB34" i="25" s="1"/>
  <c r="W34" i="23"/>
  <c r="AC33" i="23"/>
  <c r="X34" i="23" s="1"/>
  <c r="K35" i="22"/>
  <c r="K43" i="22"/>
  <c r="K7" i="22"/>
  <c r="K19" i="22"/>
  <c r="K19" i="23" s="1"/>
  <c r="K18" i="22"/>
  <c r="K18" i="23" s="1"/>
  <c r="W34" i="21"/>
  <c r="AC33" i="21"/>
  <c r="X34" i="21" s="1"/>
  <c r="O26" i="20"/>
  <c r="O27" i="20" s="1"/>
  <c r="G17" i="20" s="1"/>
  <c r="AA34" i="20"/>
  <c r="AB34" i="20" s="1"/>
  <c r="AI41" i="12"/>
  <c r="AG41" i="12"/>
  <c r="K19" i="25" l="1"/>
  <c r="K19" i="24"/>
  <c r="K18" i="25"/>
  <c r="K18" i="24"/>
  <c r="K30" i="22"/>
  <c r="AH4" i="22" s="1"/>
  <c r="AC34" i="25"/>
  <c r="G20" i="25"/>
  <c r="G18" i="25"/>
  <c r="AD34" i="23"/>
  <c r="Y34" i="23"/>
  <c r="Z34" i="23"/>
  <c r="K44" i="22"/>
  <c r="K47" i="22" s="1"/>
  <c r="K36" i="22"/>
  <c r="K39" i="22" s="1"/>
  <c r="AD34" i="21"/>
  <c r="Y34" i="21"/>
  <c r="Z34" i="21"/>
  <c r="AC34" i="20"/>
  <c r="G20" i="20"/>
  <c r="G18" i="20"/>
  <c r="AK41" i="12"/>
  <c r="AG42" i="12" s="1"/>
  <c r="AO41" i="12"/>
  <c r="K31" i="22" l="1"/>
  <c r="K44" i="24"/>
  <c r="K47" i="24" s="1"/>
  <c r="K36" i="24"/>
  <c r="K39" i="24" s="1"/>
  <c r="K30" i="24"/>
  <c r="AL4" i="22"/>
  <c r="AJ4" i="22"/>
  <c r="AI42" i="12"/>
  <c r="AO42" i="12" s="1"/>
  <c r="K6" i="25"/>
  <c r="G33" i="25"/>
  <c r="K10" i="25" s="1"/>
  <c r="K15" i="25" s="1"/>
  <c r="O26" i="23"/>
  <c r="O27" i="23" s="1"/>
  <c r="G17" i="23" s="1"/>
  <c r="AA34" i="23"/>
  <c r="AB34" i="23" s="1"/>
  <c r="O26" i="21"/>
  <c r="O27" i="21" s="1"/>
  <c r="G17" i="21" s="1"/>
  <c r="AA34" i="21"/>
  <c r="AB34" i="21" s="1"/>
  <c r="K6" i="20"/>
  <c r="G33" i="20"/>
  <c r="K10" i="20" s="1"/>
  <c r="K15" i="20" s="1"/>
  <c r="K31" i="24" l="1"/>
  <c r="AJ4" i="24"/>
  <c r="AH4" i="24"/>
  <c r="AL4" i="24"/>
  <c r="AK42" i="12"/>
  <c r="AG43" i="12" s="1"/>
  <c r="K35" i="25"/>
  <c r="K43" i="25"/>
  <c r="K7" i="25"/>
  <c r="AC34" i="23"/>
  <c r="G20" i="23"/>
  <c r="G18" i="23"/>
  <c r="AC34" i="21"/>
  <c r="G20" i="21"/>
  <c r="G18" i="21"/>
  <c r="K43" i="20"/>
  <c r="K35" i="20"/>
  <c r="K7" i="20"/>
  <c r="AI43" i="12"/>
  <c r="K44" i="25" l="1"/>
  <c r="K47" i="25" s="1"/>
  <c r="K36" i="25"/>
  <c r="K39" i="25" s="1"/>
  <c r="K30" i="25"/>
  <c r="K6" i="23"/>
  <c r="G33" i="23"/>
  <c r="K10" i="23" s="1"/>
  <c r="K15" i="23" s="1"/>
  <c r="K6" i="21"/>
  <c r="G33" i="21"/>
  <c r="K10" i="21" s="1"/>
  <c r="K15" i="21" s="1"/>
  <c r="AO43" i="12"/>
  <c r="AK43" i="12"/>
  <c r="K31" i="25" l="1"/>
  <c r="AJ4" i="25"/>
  <c r="AH4" i="25"/>
  <c r="AL4" i="25"/>
  <c r="K35" i="23"/>
  <c r="K43" i="23"/>
  <c r="K7" i="23"/>
  <c r="K43" i="21"/>
  <c r="K35" i="21"/>
  <c r="K7" i="21"/>
  <c r="AG44" i="12"/>
  <c r="AI44" i="12"/>
  <c r="K36" i="23" l="1"/>
  <c r="K39" i="23" s="1"/>
  <c r="K44" i="23"/>
  <c r="K47" i="23" s="1"/>
  <c r="K30" i="23"/>
  <c r="AO44" i="12"/>
  <c r="AK44" i="12"/>
  <c r="K31" i="23" l="1"/>
  <c r="AL4" i="23"/>
  <c r="AH4" i="23"/>
  <c r="AJ4" i="23"/>
  <c r="G29" i="12"/>
  <c r="G27" i="12" s="1"/>
  <c r="K29" i="12"/>
  <c r="K29" i="21" s="1"/>
  <c r="K24" i="12"/>
  <c r="K24" i="21" s="1"/>
  <c r="K27" i="12"/>
  <c r="K27" i="21" s="1"/>
  <c r="O4" i="12"/>
  <c r="G7" i="12"/>
  <c r="G26" i="12"/>
  <c r="G10" i="12"/>
  <c r="K14" i="12"/>
  <c r="K34" i="12"/>
  <c r="K20" i="12"/>
  <c r="K20" i="21" s="1"/>
  <c r="K23" i="12"/>
  <c r="K23" i="21" s="1"/>
  <c r="K26" i="12"/>
  <c r="K26" i="21" s="1"/>
  <c r="K21" i="12"/>
  <c r="K21" i="21" s="1"/>
  <c r="O6" i="12"/>
  <c r="K22" i="12"/>
  <c r="K22" i="21" s="1"/>
  <c r="K28" i="12"/>
  <c r="K28" i="21" s="1"/>
  <c r="K46" i="21" l="1"/>
  <c r="K38" i="21"/>
  <c r="K22" i="19"/>
  <c r="K22" i="20"/>
  <c r="K28" i="19"/>
  <c r="K28" i="20"/>
  <c r="K27" i="19"/>
  <c r="K27" i="20"/>
  <c r="K29" i="19"/>
  <c r="K29" i="20"/>
  <c r="K23" i="19"/>
  <c r="K23" i="20"/>
  <c r="K24" i="19"/>
  <c r="K24" i="20"/>
  <c r="K21" i="19"/>
  <c r="K21" i="20"/>
  <c r="K26" i="19"/>
  <c r="K26" i="20"/>
  <c r="K20" i="19"/>
  <c r="K20" i="20"/>
  <c r="G28" i="12"/>
  <c r="K25" i="12"/>
  <c r="K25" i="21" s="1"/>
  <c r="K45" i="21" s="1"/>
  <c r="G8" i="12"/>
  <c r="G9" i="12" s="1"/>
  <c r="K4" i="12"/>
  <c r="K5" i="12" s="1"/>
  <c r="O12" i="12"/>
  <c r="O13" i="12" s="1"/>
  <c r="K38" i="12"/>
  <c r="K46" i="12"/>
  <c r="K38" i="19" l="1"/>
  <c r="K37" i="21"/>
  <c r="K46" i="19"/>
  <c r="K25" i="19"/>
  <c r="K25" i="20"/>
  <c r="K45" i="20" s="1"/>
  <c r="K46" i="20"/>
  <c r="K38" i="20"/>
  <c r="K45" i="12"/>
  <c r="O16" i="12"/>
  <c r="O14" i="12"/>
  <c r="K37" i="12"/>
  <c r="K37" i="20" l="1"/>
  <c r="K37" i="19"/>
  <c r="K45" i="19"/>
  <c r="O20" i="12"/>
  <c r="O15" i="12"/>
  <c r="O23" i="12" l="1"/>
  <c r="O28" i="12"/>
  <c r="O30" i="12" s="1"/>
  <c r="G16" i="12"/>
  <c r="K16" i="12"/>
  <c r="K16" i="21" s="1"/>
  <c r="K16" i="19" l="1"/>
  <c r="K16" i="20"/>
  <c r="G19" i="12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8" i="21" s="1"/>
  <c r="K19" i="12"/>
  <c r="K19" i="21" s="1"/>
  <c r="K43" i="12"/>
  <c r="K35" i="12"/>
  <c r="K44" i="21" l="1"/>
  <c r="K47" i="21" s="1"/>
  <c r="K30" i="21"/>
  <c r="K36" i="21"/>
  <c r="K39" i="21" s="1"/>
  <c r="K19" i="19"/>
  <c r="K19" i="20"/>
  <c r="K18" i="19"/>
  <c r="K18" i="20"/>
  <c r="K30" i="12"/>
  <c r="K31" i="12" s="1"/>
  <c r="K36" i="12"/>
  <c r="K39" i="12" s="1"/>
  <c r="K44" i="12"/>
  <c r="K47" i="12" s="1"/>
  <c r="K30" i="19" l="1"/>
  <c r="K31" i="19" s="1"/>
  <c r="K36" i="19"/>
  <c r="K39" i="19" s="1"/>
  <c r="K44" i="19"/>
  <c r="K47" i="19" s="1"/>
  <c r="AH4" i="21"/>
  <c r="K31" i="21"/>
  <c r="AJ4" i="21"/>
  <c r="AL4" i="21"/>
  <c r="K36" i="20"/>
  <c r="K39" i="20" s="1"/>
  <c r="K44" i="20"/>
  <c r="K47" i="20" s="1"/>
  <c r="K30" i="20"/>
  <c r="AJ4" i="19"/>
  <c r="AL4" i="19"/>
  <c r="AL4" i="12"/>
  <c r="AH4" i="12"/>
  <c r="AJ4" i="12"/>
  <c r="AH4" i="19" l="1"/>
  <c r="K31" i="20"/>
  <c r="AL4" i="20"/>
  <c r="AJ4" i="20"/>
  <c r="AH4" i="20"/>
</calcChain>
</file>

<file path=xl/sharedStrings.xml><?xml version="1.0" encoding="utf-8"?>
<sst xmlns="http://schemas.openxmlformats.org/spreadsheetml/2006/main" count="2295" uniqueCount="185">
  <si>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</si>
  <si>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</si>
  <si>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</si>
  <si>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</si>
  <si>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</si>
  <si>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</si>
  <si>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</si>
  <si>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</si>
  <si>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</si>
  <si>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</si>
  <si>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</si>
  <si>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</si>
  <si>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</si>
  <si>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</si>
  <si>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</si>
  <si>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</si>
  <si>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</si>
  <si>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</si>
  <si>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</si>
  <si>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</si>
  <si>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</si>
  <si>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</si>
  <si>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</si>
  <si>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</si>
  <si>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</si>
  <si>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</si>
  <si>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</si>
  <si>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</si>
  <si>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</si>
  <si>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</si>
  <si>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</si>
  <si>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</si>
  <si>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</si>
  <si>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</si>
  <si>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</si>
  <si>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</si>
  <si>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</si>
  <si>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</si>
  <si>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</si>
  <si>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</si>
  <si>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</si>
  <si>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</si>
  <si>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</si>
  <si>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</si>
  <si>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</si>
  <si>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</si>
  <si>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</si>
  <si>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</si>
  <si>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</si>
  <si>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</si>
  <si>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</si>
  <si>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</si>
  <si>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</si>
  <si>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</si>
  <si>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</si>
  <si>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</si>
  <si>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</si>
  <si>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</si>
  <si>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</si>
  <si>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</si>
  <si>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</si>
  <si>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</si>
  <si>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</si>
  <si>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</si>
  <si>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</si>
  <si>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</si>
  <si>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</si>
  <si>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</si>
  <si>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</si>
  <si>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</si>
  <si>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</si>
  <si>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</si>
  <si>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</si>
  <si>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</si>
  <si>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</si>
  <si>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</si>
  <si>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</si>
  <si>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</si>
  <si>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</si>
  <si>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</si>
  <si>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</si>
  <si>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</si>
  <si>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</si>
  <si>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</si>
  <si>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</si>
  <si>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</si>
  <si>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</si>
  <si>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</si>
  <si>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</si>
  <si>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</si>
  <si>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</si>
  <si>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</si>
  <si>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</si>
  <si>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</si>
  <si>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</si>
  <si>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</si>
  <si>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</si>
  <si>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</si>
  <si>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</si>
  <si>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</si>
  <si>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</si>
  <si>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</si>
  <si>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</si>
  <si>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</si>
  <si>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</si>
  <si>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</si>
  <si>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</si>
  <si>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</si>
  <si>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</si>
  <si>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</si>
  <si>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</si>
  <si>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</si>
  <si>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</si>
  <si>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</si>
  <si>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</si>
  <si>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</si>
  <si>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</si>
  <si>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</si>
  <si>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</si>
  <si>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</si>
  <si>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</si>
  <si>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</si>
  <si>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</si>
  <si>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</si>
  <si>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</si>
  <si>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</si>
  <si>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</si>
  <si>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</si>
  <si>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</si>
  <si>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</si>
  <si>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</si>
  <si>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</si>
  <si>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</si>
  <si>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</si>
  <si>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</si>
  <si>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</si>
  <si>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</si>
  <si>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</si>
  <si>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</si>
  <si>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</si>
  <si>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</si>
  <si>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</si>
  <si>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</si>
  <si>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</si>
  <si>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</si>
  <si>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</si>
  <si>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</si>
  <si>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</si>
  <si>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</si>
  <si>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</si>
  <si>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</si>
  <si>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</si>
  <si>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</si>
  <si>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</si>
  <si>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</si>
  <si>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</si>
  <si>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</si>
  <si>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</si>
  <si>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</si>
  <si>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</si>
  <si>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</si>
  <si>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</si>
  <si>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</si>
  <si>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</si>
  <si>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</si>
  <si>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</si>
  <si>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</si>
  <si>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</si>
  <si>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</si>
  <si>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</si>
  <si>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</si>
  <si>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</si>
  <si>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</si>
  <si>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</si>
  <si>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</si>
  <si>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</si>
  <si>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</si>
  <si>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</si>
  <si>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</si>
  <si>
    <t>uniform</t>
  </si>
  <si>
    <t>linear</t>
  </si>
  <si>
    <t>weighted_sum_of_takeoff_weight</t>
  </si>
  <si>
    <t>uniform
coeffs</t>
  </si>
  <si>
    <t>weights</t>
  </si>
  <si>
    <t>linear
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</si>
</sst>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667.07</c:v>
                </c:pt>
                <c:pt idx="2">
                  <c:v>344.82</c:v>
                </c:pt>
                <c:pt idx="3">
                  <c:v>469.19</c:v>
                </c:pt>
                <c:pt idx="4">
                  <c:v>105.14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uniform_250!$K$34:$K$38</c:f>
              <c:numCache>
                <c:formatCode>General</c:formatCode>
                <c:ptCount val="5"/>
                <c:pt idx="0">
                  <c:v>27.44</c:v>
                </c:pt>
                <c:pt idx="1">
                  <c:v>30.51</c:v>
                </c:pt>
                <c:pt idx="2">
                  <c:v>15.77</c:v>
                </c:pt>
                <c:pt idx="3">
                  <c:v>21.46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378.22</c:v>
                </c:pt>
                <c:pt idx="2">
                  <c:v>344.82</c:v>
                </c:pt>
                <c:pt idx="3">
                  <c:v>469.19</c:v>
                </c:pt>
                <c:pt idx="4">
                  <c:v>105.14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uniform_400!$K$34:$K$38</c:f>
              <c:numCache>
                <c:formatCode>General</c:formatCode>
                <c:ptCount val="5"/>
                <c:pt idx="0">
                  <c:v>31.62</c:v>
                </c:pt>
                <c:pt idx="1">
                  <c:v>19.93</c:v>
                </c:pt>
                <c:pt idx="2">
                  <c:v>18.170000000000002</c:v>
                </c:pt>
                <c:pt idx="3">
                  <c:v>24.73</c:v>
                </c:pt>
                <c:pt idx="4">
                  <c:v>5.54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264.83999999999997</c:v>
                </c:pt>
                <c:pt idx="2">
                  <c:v>344.82</c:v>
                </c:pt>
                <c:pt idx="3">
                  <c:v>469.19</c:v>
                </c:pt>
                <c:pt idx="4">
                  <c:v>105.14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uniform_550!$K$34:$K$38</c:f>
              <c:numCache>
                <c:formatCode>General</c:formatCode>
                <c:ptCount val="5"/>
                <c:pt idx="0">
                  <c:v>33.630000000000003</c:v>
                </c:pt>
                <c:pt idx="1">
                  <c:v>14.85</c:v>
                </c:pt>
                <c:pt idx="2">
                  <c:v>19.329999999999998</c:v>
                </c:pt>
                <c:pt idx="3">
                  <c:v>26.3</c:v>
                </c:pt>
                <c:pt idx="4">
                  <c:v>5.89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AC-D547-8F73-C59A2B2BDB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AC-D547-8F73-C59A2B2BDB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AC-D547-8F73-C59A2B2BDB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AC-D547-8F73-C59A2B2BDB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AC-D547-8F73-C59A2B2BDB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203.92</c:v>
                </c:pt>
                <c:pt idx="2">
                  <c:v>344.82</c:v>
                </c:pt>
                <c:pt idx="3">
                  <c:v>469.19</c:v>
                </c:pt>
                <c:pt idx="4">
                  <c:v>105.14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AC-D547-8F73-C59A2B2BDB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6-984E-B21E-5F01E909243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46-984E-B21E-5F01E909243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46-984E-B21E-5F01E909243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46-984E-B21E-5F01E909243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46-984E-B21E-5F01E90924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uniform_700!$K$34:$K$38</c:f>
              <c:numCache>
                <c:formatCode>General</c:formatCode>
                <c:ptCount val="5"/>
                <c:pt idx="0">
                  <c:v>34.82</c:v>
                </c:pt>
                <c:pt idx="1">
                  <c:v>11.83</c:v>
                </c:pt>
                <c:pt idx="2">
                  <c:v>20.010000000000002</c:v>
                </c:pt>
                <c:pt idx="3">
                  <c:v>27.23</c:v>
                </c:pt>
                <c:pt idx="4">
                  <c:v>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46-984E-B21E-5F01E90924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1-F147-8E3B-235EF7FED1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1-F147-8E3B-235EF7FED1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1-F147-8E3B-235EF7FED1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31-F147-8E3B-235EF7FED1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31-F147-8E3B-235EF7FED1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671.33</c:v>
                </c:pt>
                <c:pt idx="2">
                  <c:v>346.85</c:v>
                </c:pt>
                <c:pt idx="3">
                  <c:v>464.96</c:v>
                </c:pt>
                <c:pt idx="4">
                  <c:v>105.25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31-F147-8E3B-235EF7FED1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9D-054F-BF9D-594ABFFA280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9D-054F-BF9D-594ABFFA280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9D-054F-BF9D-594ABFFA280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9D-054F-BF9D-594ABFFA280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9D-054F-BF9D-594ABFFA28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linear_250!$K$34:$K$38</c:f>
              <c:numCache>
                <c:formatCode>General</c:formatCode>
                <c:ptCount val="5"/>
                <c:pt idx="0">
                  <c:v>27.42</c:v>
                </c:pt>
                <c:pt idx="1">
                  <c:v>30.68</c:v>
                </c:pt>
                <c:pt idx="2">
                  <c:v>15.85</c:v>
                </c:pt>
                <c:pt idx="3">
                  <c:v>21.25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D-054F-BF9D-594ABFFA28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F-A94C-9473-768CE60070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F-A94C-9473-768CE60070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F-A94C-9473-768CE60070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F-A94C-9473-768CE60070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F-A94C-9473-768CE60070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380.02</c:v>
                </c:pt>
                <c:pt idx="2">
                  <c:v>346.85</c:v>
                </c:pt>
                <c:pt idx="3">
                  <c:v>464.96</c:v>
                </c:pt>
                <c:pt idx="4">
                  <c:v>105.25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6F-A94C-9473-768CE60070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98-3C46-B365-7C2FB1EB42A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98-3C46-B365-7C2FB1EB42A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8-3C46-B365-7C2FB1EB42A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98-3C46-B365-7C2FB1EB42A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98-3C46-B365-7C2FB1EB42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linear_400!$K$34:$K$38</c:f>
              <c:numCache>
                <c:formatCode>General</c:formatCode>
                <c:ptCount val="5"/>
                <c:pt idx="0">
                  <c:v>31.63</c:v>
                </c:pt>
                <c:pt idx="1">
                  <c:v>20.03</c:v>
                </c:pt>
                <c:pt idx="2">
                  <c:v>18.28</c:v>
                </c:pt>
                <c:pt idx="3">
                  <c:v>24.51</c:v>
                </c:pt>
                <c:pt idx="4">
                  <c:v>5.55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98-3C46-B365-7C2FB1EB42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96-9746-929D-9D379D51AB3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96-9746-929D-9D379D51AB3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96-9746-929D-9D379D51AB3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96-9746-929D-9D379D51AB3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96-9746-929D-9D379D51AB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265.95</c:v>
                </c:pt>
                <c:pt idx="2">
                  <c:v>346.85</c:v>
                </c:pt>
                <c:pt idx="3">
                  <c:v>464.96</c:v>
                </c:pt>
                <c:pt idx="4">
                  <c:v>105.25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96-9746-929D-9D379D51AB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33-444E-9331-197FAD1AD5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33-444E-9331-197FAD1AD5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33-444E-9331-197FAD1AD5B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D33-444E-9331-197FAD1AD5B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D33-444E-9331-197FAD1AD5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linear_550!$K$34:$K$38</c:f>
              <c:numCache>
                <c:formatCode>General</c:formatCode>
                <c:ptCount val="5"/>
                <c:pt idx="0">
                  <c:v>33.65</c:v>
                </c:pt>
                <c:pt idx="1">
                  <c:v>14.92</c:v>
                </c:pt>
                <c:pt idx="2">
                  <c:v>19.45</c:v>
                </c:pt>
                <c:pt idx="3">
                  <c:v>26.08</c:v>
                </c:pt>
                <c:pt idx="4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33-444E-9331-197FAD1AD5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C3-6148-854C-757FD56E51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C3-6148-854C-757FD56E51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C3-6148-854C-757FD56E51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C3-6148-854C-757FD56E51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C3-6148-854C-757FD56E5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204.72</c:v>
                </c:pt>
                <c:pt idx="2">
                  <c:v>346.85</c:v>
                </c:pt>
                <c:pt idx="3">
                  <c:v>464.96</c:v>
                </c:pt>
                <c:pt idx="4">
                  <c:v>105.25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C3-6148-854C-757FD56E51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EC-C447-8527-1A1FB5EFEF5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EC-C447-8527-1A1FB5EFEF5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EC-C447-8527-1A1FB5EFEF5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EC-C447-8527-1A1FB5EFEF5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EC-C447-8527-1A1FB5EFEF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linear_700!$K$34:$K$38</c:f>
              <c:numCache>
                <c:formatCode>General</c:formatCode>
                <c:ptCount val="5"/>
                <c:pt idx="0">
                  <c:v>34.85</c:v>
                </c:pt>
                <c:pt idx="1">
                  <c:v>11.89</c:v>
                </c:pt>
                <c:pt idx="2">
                  <c:v>20.14</c:v>
                </c:pt>
                <c:pt idx="3">
                  <c:v>27</c:v>
                </c:pt>
                <c:pt idx="4">
                  <c:v>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EC-C447-8527-1A1FB5EFEF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CFFF4-03F9-944C-A86B-ADFDB8ED7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3E8C7-8FD5-134F-AAB7-3680C5335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5E2C3-5EF0-394D-8F36-27411F4E3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D1BCB-8546-2A4F-8F83-20501D41B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47B53-0996-E746-AECF-BB2822473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EE131-EC7D-7244-9D52-638B840C2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95307-5CCD-EF42-84F1-5FC73929A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441D2-1031-4742-9CA4-8BAD48BDF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ED848-C4ED-7F40-8725-CD8BDDF0D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90B7A-8D32-2A45-BEE2-3A493BD17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866A-75E0-C34B-9B47-0CDA4F201F3C}">
  <dimension ref="B3:G15"/>
  <sheetViews>
    <sheetView tabSelected="1" topLeftCell="A2" workbookViewId="0">
      <selection activeCell="H9" sqref="H9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179</v>
      </c>
      <c r="F3" s="2" t="s">
        <v>180</v>
      </c>
    </row>
    <row r="4" spans="2:7" x14ac:dyDescent="0.2">
      <c r="B4" s="27" t="s">
        <v>181</v>
      </c>
      <c r="C4" s="27"/>
      <c r="D4" s="27"/>
      <c r="E4" s="4">
        <f>C7*E7 + C8*E8 + C9*E9 + C10*E10</f>
        <v>1897.6636582554625</v>
      </c>
      <c r="F4" s="4">
        <f xml:space="preserve"> C12*E12 + C13*E13 + C14*E14 + C15*E15</f>
        <v>1821.8719205106249</v>
      </c>
    </row>
    <row r="6" spans="2:7" x14ac:dyDescent="0.2">
      <c r="D6" s="2"/>
      <c r="E6" s="2"/>
      <c r="F6" s="2"/>
      <c r="G6" s="2"/>
    </row>
    <row r="7" spans="2:7" x14ac:dyDescent="0.2">
      <c r="B7" s="28" t="s">
        <v>182</v>
      </c>
      <c r="C7" s="2">
        <v>0.25</v>
      </c>
      <c r="D7" s="27" t="s">
        <v>183</v>
      </c>
      <c r="E7" s="2">
        <f>uniform_250!C5</f>
        <v>2186.2274817888701</v>
      </c>
      <c r="F7" s="2"/>
      <c r="G7" s="2"/>
    </row>
    <row r="8" spans="2:7" x14ac:dyDescent="0.2">
      <c r="B8" s="27"/>
      <c r="C8" s="2">
        <v>0.25</v>
      </c>
      <c r="D8" s="27"/>
      <c r="E8" s="2">
        <f>uniform_400!C5</f>
        <v>1897.37089603545</v>
      </c>
      <c r="F8" s="2"/>
      <c r="G8" s="2"/>
    </row>
    <row r="9" spans="2:7" x14ac:dyDescent="0.2">
      <c r="B9" s="27"/>
      <c r="C9" s="2">
        <v>0.25</v>
      </c>
      <c r="D9" s="27"/>
      <c r="E9" s="2">
        <f>uniform_550!C5</f>
        <v>1783.9879788876899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uniform_700!C5</f>
        <v>1723.06827630984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184</v>
      </c>
      <c r="C12" s="2">
        <v>0.1</v>
      </c>
      <c r="D12" s="27" t="s">
        <v>183</v>
      </c>
      <c r="E12" s="2">
        <f>linear_250!C5</f>
        <v>2188.4074791918301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linear_400!C5</f>
        <v>1897.0815686774199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linear_550!C5</f>
        <v>1783.0115198701001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linear_700!C5</f>
        <v>1721.7785072373199</v>
      </c>
      <c r="F15" s="2"/>
      <c r="G15" s="2"/>
    </row>
  </sheetData>
  <mergeCells count="5">
    <mergeCell ref="B4:D4"/>
    <mergeCell ref="B7:B10"/>
    <mergeCell ref="D7:D10"/>
    <mergeCell ref="B12:B15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F37" sqref="F3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524.64906060817634</v>
      </c>
      <c r="L4" s="6" t="s">
        <v>97</v>
      </c>
      <c r="N4" s="6" t="s">
        <v>131</v>
      </c>
      <c r="O4" s="6">
        <f xml:space="preserve"> $C$5 * $C$74</f>
        <v>21426.239758604424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1.1854555158560336</v>
      </c>
      <c r="X4" s="3">
        <v>1</v>
      </c>
      <c r="Y4" s="2">
        <f t="shared" ref="Y4:Y34" si="1" xml:space="preserve"> $O$22 * TAN($O$19/180*PI()) + $O$23 / (2 * SQRT($O$22^2 + X4^2)) - X4</f>
        <v>-2.9282639291279611E-2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0.48974404152153961</v>
      </c>
      <c r="AB4" s="2">
        <f>W4*AA4</f>
        <v>0.58056977537933552</v>
      </c>
      <c r="AC4" s="2">
        <f>Y4*AA4</f>
        <v>-1.4340998112928709E-2</v>
      </c>
      <c r="AD4" s="2">
        <f>X4-V4</f>
        <v>1</v>
      </c>
      <c r="AF4" s="2">
        <v>0</v>
      </c>
      <c r="AH4" s="2">
        <f>K30</f>
        <v>1.11383219941672E-2</v>
      </c>
      <c r="AJ4" s="2">
        <f>K30</f>
        <v>1.11383219941672E-2</v>
      </c>
      <c r="AL4" s="2">
        <f>K30</f>
        <v>1.11383219941672E-2</v>
      </c>
    </row>
    <row r="5" spans="2:41" x14ac:dyDescent="0.2">
      <c r="B5" s="9" t="s">
        <v>38</v>
      </c>
      <c r="C5" s="9">
        <v>2186.2274817888701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65.581132576022043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0.48974404152153961</v>
      </c>
      <c r="X5" s="2">
        <f>IF(AC4&gt;0, Z4, X4)</f>
        <v>1</v>
      </c>
      <c r="Y5" s="2">
        <f t="shared" si="1"/>
        <v>-2.9282639291279611E-2</v>
      </c>
      <c r="Z5" s="2">
        <f t="shared" ref="Z5:Z34" si="3" xml:space="preserve"> (V5 + X5)/2</f>
        <v>0.75</v>
      </c>
      <c r="AA5" s="2">
        <f t="shared" si="2"/>
        <v>0.22712215893936416</v>
      </c>
      <c r="AB5" s="2">
        <f t="shared" ref="AB5:AB34" si="4">W5*AA5</f>
        <v>0.11123172403806168</v>
      </c>
      <c r="AC5" s="2">
        <f t="shared" ref="AC5:AC34" si="5">Y5*AA5</f>
        <v>-6.6507362552780773E-3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-889.52256714367877</v>
      </c>
      <c r="AI5" s="3">
        <v>10000</v>
      </c>
      <c r="AJ5" s="2">
        <f t="dataTable" ref="AJ5:AJ44" dt2D="0" dtr="0" r1="C5" ca="1"/>
        <v>2887.7327740527489</v>
      </c>
      <c r="AK5" s="2">
        <f>(AG5+AI5)/2</f>
        <v>5250</v>
      </c>
      <c r="AL5" s="2">
        <f t="dataTable" ref="AL5:AL44" dt2D="0" dtr="0" r1="C5" ca="1"/>
        <v>936.37106951023679</v>
      </c>
      <c r="AM5" s="2">
        <f>AH5*AL5</f>
        <v>-832923.19754981797</v>
      </c>
      <c r="AN5" s="2">
        <f>AJ5*AL5</f>
        <v>2703989.4260995355</v>
      </c>
      <c r="AO5" s="2">
        <f>AI5-AG5</f>
        <v>9500</v>
      </c>
    </row>
    <row r="6" spans="2:41" x14ac:dyDescent="0.2">
      <c r="B6" s="6" t="s">
        <v>168</v>
      </c>
      <c r="C6" s="16">
        <v>408.59567620629298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172.72620640697525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0.22055833839056635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0.22712215893936416</v>
      </c>
      <c r="X6" s="2">
        <f t="shared" ref="X6:X34" si="8">IF(AC5&gt;0, Z5, X5)</f>
        <v>1</v>
      </c>
      <c r="Y6" s="2">
        <f t="shared" si="1"/>
        <v>-2.9282639291279611E-2</v>
      </c>
      <c r="Z6" s="2">
        <f t="shared" si="3"/>
        <v>0.875</v>
      </c>
      <c r="AA6" s="2">
        <f t="shared" si="2"/>
        <v>9.8468511256400992E-2</v>
      </c>
      <c r="AB6" s="2">
        <f t="shared" si="4"/>
        <v>2.2364380864098875E-2</v>
      </c>
      <c r="AC6" s="2">
        <f t="shared" si="5"/>
        <v>-2.8834178966704962E-3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-889.52256714367877</v>
      </c>
      <c r="AI6" s="2">
        <f>IF(AN5&gt;0,AK5,AI5)</f>
        <v>5250</v>
      </c>
      <c r="AJ6" s="2">
        <v>936.37106951023679</v>
      </c>
      <c r="AK6" s="2">
        <f t="shared" ref="AK6:AK44" si="9">(AG6+AI6)/2</f>
        <v>2875</v>
      </c>
      <c r="AL6" s="2">
        <v>288.36870403932744</v>
      </c>
      <c r="AM6" s="2">
        <f t="shared" ref="AM6:AM44" si="10">AH6*AL6</f>
        <v>-256510.46990095827</v>
      </c>
      <c r="AN6" s="2">
        <f t="shared" ref="AN6:AN44" si="11">AJ6*AL6</f>
        <v>270020.11181458598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2678.536175917312</v>
      </c>
      <c r="H7" s="6" t="s">
        <v>21</v>
      </c>
      <c r="J7" s="6" t="s">
        <v>133</v>
      </c>
      <c r="K7" s="6">
        <f>K6/$C$28</f>
        <v>172.72620640697525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9.8468511256400992E-2</v>
      </c>
      <c r="X7" s="2">
        <f t="shared" si="8"/>
        <v>1</v>
      </c>
      <c r="Y7" s="2">
        <f t="shared" si="1"/>
        <v>-2.9282639291279611E-2</v>
      </c>
      <c r="Z7" s="2">
        <f t="shared" si="3"/>
        <v>0.9375</v>
      </c>
      <c r="AA7" s="2">
        <f t="shared" si="2"/>
        <v>3.4502309765769845E-2</v>
      </c>
      <c r="AB7" s="2">
        <f t="shared" si="4"/>
        <v>3.3973910775425419E-3</v>
      </c>
      <c r="AC7" s="2">
        <f t="shared" si="5"/>
        <v>-1.0103186915870323E-3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-889.52256714367877</v>
      </c>
      <c r="AI7" s="2">
        <f t="shared" ref="AI7:AI44" si="14">IF(AN6&gt;0,AK6,AI6)</f>
        <v>2875</v>
      </c>
      <c r="AJ7" s="2">
        <v>288.36870403932744</v>
      </c>
      <c r="AK7" s="2">
        <f t="shared" si="9"/>
        <v>1687.5</v>
      </c>
      <c r="AL7" s="2">
        <v>-236.94717713746149</v>
      </c>
      <c r="AM7" s="2">
        <f t="shared" si="10"/>
        <v>210769.86128476274</v>
      </c>
      <c r="AN7" s="2">
        <f t="shared" si="11"/>
        <v>-68328.150396906727</v>
      </c>
      <c r="AO7" s="2">
        <f t="shared" si="12"/>
        <v>2375</v>
      </c>
    </row>
    <row r="8" spans="2:41" x14ac:dyDescent="0.2">
      <c r="B8" s="6" t="s">
        <v>91</v>
      </c>
      <c r="C8" s="16">
        <v>1.85796418243856</v>
      </c>
      <c r="D8" s="6" t="s">
        <v>8</v>
      </c>
      <c r="F8" t="s">
        <v>93</v>
      </c>
      <c r="G8" s="6">
        <f>G10/$C$21</f>
        <v>43.720755050681362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3.4502309765769845E-2</v>
      </c>
      <c r="X8" s="2">
        <f t="shared" si="8"/>
        <v>1</v>
      </c>
      <c r="Y8" s="2">
        <f t="shared" si="1"/>
        <v>-2.9282639291279611E-2</v>
      </c>
      <c r="Z8" s="2">
        <f t="shared" si="3"/>
        <v>0.96875</v>
      </c>
      <c r="AA8" s="2">
        <f t="shared" si="2"/>
        <v>2.5893381822506001E-3</v>
      </c>
      <c r="AB8" s="2">
        <f t="shared" si="4"/>
        <v>8.9338148052345615E-5</v>
      </c>
      <c r="AC8" s="2">
        <f t="shared" si="5"/>
        <v>-7.5822655993981947E-5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-236.94717713746149</v>
      </c>
      <c r="AI8" s="2">
        <f t="shared" si="14"/>
        <v>2875</v>
      </c>
      <c r="AJ8" s="2">
        <v>288.36870403932744</v>
      </c>
      <c r="AK8" s="2">
        <f t="shared" si="9"/>
        <v>2281.25</v>
      </c>
      <c r="AL8" s="2">
        <v>42.47990117585482</v>
      </c>
      <c r="AM8" s="2">
        <f t="shared" si="10"/>
        <v>-10065.49266869713</v>
      </c>
      <c r="AN8" s="2">
        <f t="shared" si="11"/>
        <v>12249.874049799957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6.2505424461865475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2.5893381822506001E-3</v>
      </c>
      <c r="X9" s="2">
        <f t="shared" si="8"/>
        <v>1</v>
      </c>
      <c r="Y9" s="2">
        <f t="shared" si="1"/>
        <v>-2.9282639291279611E-2</v>
      </c>
      <c r="Z9" s="2">
        <f t="shared" si="3"/>
        <v>0.984375</v>
      </c>
      <c r="AA9" s="2">
        <f t="shared" si="2"/>
        <v>-1.3351534319753222E-2</v>
      </c>
      <c r="AB9" s="2">
        <f t="shared" si="4"/>
        <v>-3.4571637605766313E-5</v>
      </c>
      <c r="AC9" s="2">
        <f t="shared" si="5"/>
        <v>3.9096816347047387E-4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-236.94717713746149</v>
      </c>
      <c r="AI9" s="2">
        <f t="shared" si="14"/>
        <v>2281.25</v>
      </c>
      <c r="AJ9" s="2">
        <v>42.47990117585482</v>
      </c>
      <c r="AK9" s="2">
        <f t="shared" si="9"/>
        <v>1984.375</v>
      </c>
      <c r="AL9" s="2">
        <v>-93.054259561260551</v>
      </c>
      <c r="AM9" s="2">
        <f t="shared" si="10"/>
        <v>22048.944123657322</v>
      </c>
      <c r="AN9" s="2">
        <f t="shared" si="11"/>
        <v>-3952.935750154692</v>
      </c>
      <c r="AO9" s="2">
        <f t="shared" si="12"/>
        <v>593.75</v>
      </c>
    </row>
    <row r="10" spans="2:41" x14ac:dyDescent="0.2">
      <c r="B10" s="6" t="s">
        <v>134</v>
      </c>
      <c r="C10" s="16">
        <v>1.6411331894660399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349.76604040545089</v>
      </c>
      <c r="H10" s="22" t="s">
        <v>97</v>
      </c>
      <c r="J10" s="6" t="s">
        <v>92</v>
      </c>
      <c r="K10" s="6">
        <f xml:space="preserve"> $C$18 * (G10*G6 + G20*G13 + G29*G25 + G33*G32)/3600</f>
        <v>113.40133135652759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2.5893381822506001E-3</v>
      </c>
      <c r="X10" s="2">
        <f t="shared" si="8"/>
        <v>0.984375</v>
      </c>
      <c r="Y10" s="2">
        <f t="shared" si="1"/>
        <v>-1.3351534319753222E-2</v>
      </c>
      <c r="Z10" s="2">
        <f t="shared" si="3"/>
        <v>0.9765625</v>
      </c>
      <c r="AA10" s="2">
        <f t="shared" si="2"/>
        <v>-5.3823478917603973E-3</v>
      </c>
      <c r="AB10" s="2">
        <f t="shared" si="4"/>
        <v>-1.3936718906291217E-5</v>
      </c>
      <c r="AC10" s="2">
        <f t="shared" si="5"/>
        <v>7.1862602597690345E-5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-93.054259561260551</v>
      </c>
      <c r="AI10" s="2">
        <f t="shared" si="14"/>
        <v>2281.25</v>
      </c>
      <c r="AJ10" s="2">
        <v>42.47990117585482</v>
      </c>
      <c r="AK10" s="2">
        <f t="shared" si="9"/>
        <v>2132.8125</v>
      </c>
      <c r="AL10" s="2">
        <v>-24.239209254280468</v>
      </c>
      <c r="AM10" s="2">
        <f t="shared" si="10"/>
        <v>2255.5616695075232</v>
      </c>
      <c r="AN10" s="2">
        <f t="shared" si="11"/>
        <v>-1029.6792137026998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0.86129524703967497</v>
      </c>
      <c r="U11" s="2">
        <v>7</v>
      </c>
      <c r="V11" s="2">
        <f t="shared" si="7"/>
        <v>0.96875</v>
      </c>
      <c r="W11" s="2">
        <f t="shared" si="0"/>
        <v>2.5893381822506001E-3</v>
      </c>
      <c r="X11" s="2">
        <f t="shared" si="8"/>
        <v>0.9765625</v>
      </c>
      <c r="Y11" s="2">
        <f t="shared" si="1"/>
        <v>-5.3823478917603973E-3</v>
      </c>
      <c r="Z11" s="2">
        <f t="shared" si="3"/>
        <v>0.97265625</v>
      </c>
      <c r="AA11" s="2">
        <f t="shared" si="2"/>
        <v>-1.3968210203718634E-3</v>
      </c>
      <c r="AB11" s="2">
        <f t="shared" si="4"/>
        <v>-3.6168420018191093E-6</v>
      </c>
      <c r="AC11" s="2">
        <f t="shared" si="5"/>
        <v>7.5181766741651055E-6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-24.239209254280468</v>
      </c>
      <c r="AI11" s="2">
        <f t="shared" si="14"/>
        <v>2281.25</v>
      </c>
      <c r="AJ11" s="2">
        <v>42.47990117585482</v>
      </c>
      <c r="AK11" s="2">
        <f t="shared" si="9"/>
        <v>2207.03125</v>
      </c>
      <c r="AL11" s="2">
        <v>9.3825503077764552</v>
      </c>
      <c r="AM11" s="2">
        <f t="shared" si="10"/>
        <v>-227.42560024900709</v>
      </c>
      <c r="AN11" s="2">
        <f t="shared" si="11"/>
        <v>398.56980985183003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0.31498099175434258</v>
      </c>
      <c r="U12" s="2">
        <v>8</v>
      </c>
      <c r="V12" s="2">
        <f t="shared" si="7"/>
        <v>0.96875</v>
      </c>
      <c r="W12" s="2">
        <f t="shared" si="0"/>
        <v>2.5893381822506001E-3</v>
      </c>
      <c r="X12" s="2">
        <f t="shared" si="8"/>
        <v>0.97265625</v>
      </c>
      <c r="Y12" s="2">
        <f t="shared" si="1"/>
        <v>-1.3968210203718634E-3</v>
      </c>
      <c r="Z12" s="2">
        <f t="shared" si="3"/>
        <v>0.970703125</v>
      </c>
      <c r="AA12" s="2">
        <f t="shared" si="2"/>
        <v>5.9617906938991272E-4</v>
      </c>
      <c r="AB12" s="2">
        <f t="shared" si="4"/>
        <v>1.543709227829931E-6</v>
      </c>
      <c r="AC12" s="2">
        <f t="shared" si="5"/>
        <v>-8.3275545602956588E-7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-24.239209254280468</v>
      </c>
      <c r="AI12" s="2">
        <f t="shared" si="14"/>
        <v>2207.03125</v>
      </c>
      <c r="AJ12" s="2">
        <v>9.3825503077764552</v>
      </c>
      <c r="AK12" s="2">
        <f t="shared" si="9"/>
        <v>2169.921875</v>
      </c>
      <c r="AL12" s="2">
        <v>-7.3627988782432112</v>
      </c>
      <c r="AM12" s="2">
        <f t="shared" si="10"/>
        <v>178.46842270691869</v>
      </c>
      <c r="AN12" s="2">
        <f t="shared" si="11"/>
        <v>-69.081830881156975</v>
      </c>
      <c r="AO12" s="2">
        <f t="shared" si="12"/>
        <v>74.21875</v>
      </c>
    </row>
    <row r="13" spans="2:41" x14ac:dyDescent="0.2">
      <c r="B13" s="6" t="s">
        <v>136</v>
      </c>
      <c r="C13" s="16">
        <v>6.2566371517699704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2.411086067507439E-2</v>
      </c>
      <c r="U13" s="2">
        <v>9</v>
      </c>
      <c r="V13" s="2">
        <f t="shared" si="7"/>
        <v>0.970703125</v>
      </c>
      <c r="W13" s="2">
        <f t="shared" si="0"/>
        <v>5.9617906938991272E-4</v>
      </c>
      <c r="X13" s="2">
        <f t="shared" si="8"/>
        <v>0.97265625</v>
      </c>
      <c r="Y13" s="2">
        <f t="shared" si="1"/>
        <v>-1.3968210203718634E-3</v>
      </c>
      <c r="Z13" s="2">
        <f t="shared" si="3"/>
        <v>0.9716796875</v>
      </c>
      <c r="AA13" s="2">
        <f t="shared" si="2"/>
        <v>-4.0034079432027525E-4</v>
      </c>
      <c r="AB13" s="2">
        <f t="shared" si="4"/>
        <v>-2.3867480219668016E-7</v>
      </c>
      <c r="AC13" s="2">
        <f t="shared" si="5"/>
        <v>5.5920443681892922E-7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-7.3627988782432112</v>
      </c>
      <c r="AI13" s="2">
        <f t="shared" si="14"/>
        <v>2207.03125</v>
      </c>
      <c r="AJ13" s="2">
        <v>9.3825503077764552</v>
      </c>
      <c r="AK13" s="2">
        <f t="shared" si="9"/>
        <v>2188.4765625</v>
      </c>
      <c r="AL13" s="2">
        <v>1.0262614304483577</v>
      </c>
      <c r="AM13" s="2">
        <f t="shared" si="10"/>
        <v>-7.5561565088894413</v>
      </c>
      <c r="AN13" s="2">
        <f t="shared" si="11"/>
        <v>9.6289495001123431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70.220871169893925</v>
      </c>
      <c r="H14" s="6" t="s">
        <v>10</v>
      </c>
      <c r="J14" s="9" t="s">
        <v>75</v>
      </c>
      <c r="K14" s="17">
        <f>C5</f>
        <v>2186.2274817888701</v>
      </c>
      <c r="L14" s="6" t="s">
        <v>7</v>
      </c>
      <c r="N14" s="6" t="s">
        <v>40</v>
      </c>
      <c r="O14" s="6">
        <f xml:space="preserve"> O5 * O13 * $C$12</f>
        <v>1640.1151026070718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5.9617906938991272E-4</v>
      </c>
      <c r="X14" s="2">
        <f t="shared" si="8"/>
        <v>0.9716796875</v>
      </c>
      <c r="Y14" s="2">
        <f t="shared" si="1"/>
        <v>-4.0034079432027525E-4</v>
      </c>
      <c r="Z14" s="2">
        <f t="shared" si="3"/>
        <v>0.97119140625</v>
      </c>
      <c r="AA14" s="2">
        <f t="shared" si="2"/>
        <v>9.7914175463453823E-5</v>
      </c>
      <c r="AB14" s="2">
        <f t="shared" si="4"/>
        <v>5.8374382007882528E-8</v>
      </c>
      <c r="AC14" s="2">
        <f t="shared" si="5"/>
        <v>-3.9199038780253907E-8</v>
      </c>
      <c r="AD14" s="2">
        <f t="shared" si="6"/>
        <v>9.765625E-4</v>
      </c>
      <c r="AF14" s="2">
        <v>10</v>
      </c>
      <c r="AG14" s="2">
        <f t="shared" si="13"/>
        <v>2169.921875</v>
      </c>
      <c r="AH14" s="2">
        <v>-7.3627988782432112</v>
      </c>
      <c r="AI14" s="2">
        <f t="shared" si="14"/>
        <v>2188.4765625</v>
      </c>
      <c r="AJ14" s="2">
        <v>1.0262614304483577</v>
      </c>
      <c r="AK14" s="2">
        <f t="shared" si="9"/>
        <v>2179.19921875</v>
      </c>
      <c r="AL14" s="2">
        <v>-3.1641722767492411</v>
      </c>
      <c r="AM14" s="2">
        <f t="shared" si="10"/>
        <v>23.297164089817581</v>
      </c>
      <c r="AN14" s="2">
        <f t="shared" si="11"/>
        <v>-3.2472679669217128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0.21104983583591769</v>
      </c>
      <c r="H15" s="6" t="s">
        <v>120</v>
      </c>
      <c r="J15" s="10" t="s">
        <v>53</v>
      </c>
      <c r="K15" s="6">
        <f xml:space="preserve"> 1000 * K10 / ($C$60 * $C$61 * $C$62)</f>
        <v>667.06665503839758</v>
      </c>
      <c r="L15" s="6" t="s">
        <v>7</v>
      </c>
      <c r="N15" s="6" t="s">
        <v>140</v>
      </c>
      <c r="O15" s="6">
        <f>O4/O14</f>
        <v>13.06386345967182</v>
      </c>
      <c r="U15" s="2">
        <v>11</v>
      </c>
      <c r="V15" s="2">
        <f t="shared" si="7"/>
        <v>0.97119140625</v>
      </c>
      <c r="W15" s="2">
        <f t="shared" si="0"/>
        <v>9.7914175463453823E-5</v>
      </c>
      <c r="X15" s="2">
        <f t="shared" si="8"/>
        <v>0.9716796875</v>
      </c>
      <c r="Y15" s="2">
        <f t="shared" si="1"/>
        <v>-4.0034079432027525E-4</v>
      </c>
      <c r="Z15" s="2">
        <f t="shared" si="3"/>
        <v>0.971435546875</v>
      </c>
      <c r="AA15" s="2">
        <f t="shared" si="2"/>
        <v>-1.5121454902455866E-4</v>
      </c>
      <c r="AB15" s="2">
        <f t="shared" si="4"/>
        <v>-1.4806047885817676E-8</v>
      </c>
      <c r="AC15" s="2">
        <f t="shared" si="5"/>
        <v>6.0537352669274018E-8</v>
      </c>
      <c r="AD15" s="2">
        <f t="shared" si="6"/>
        <v>4.8828125E-4</v>
      </c>
      <c r="AF15" s="2">
        <v>11</v>
      </c>
      <c r="AG15" s="2">
        <f t="shared" si="13"/>
        <v>2179.19921875</v>
      </c>
      <c r="AH15" s="2">
        <v>-3.1641722767492411</v>
      </c>
      <c r="AI15" s="2">
        <f t="shared" si="14"/>
        <v>2188.4765625</v>
      </c>
      <c r="AJ15" s="2">
        <v>1.0262614304483577</v>
      </c>
      <c r="AK15" s="2">
        <f t="shared" si="9"/>
        <v>2183.837890625</v>
      </c>
      <c r="AL15" s="2">
        <v>-1.0679317105109476</v>
      </c>
      <c r="AM15" s="2">
        <f t="shared" si="10"/>
        <v>3.3791199118601365</v>
      </c>
      <c r="AN15" s="2">
        <f t="shared" si="11"/>
        <v>-1.0959771248501264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1640.1151026070718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161.44187427558631</v>
      </c>
      <c r="L16" s="6" t="s">
        <v>7</v>
      </c>
      <c r="N16" s="6" t="s">
        <v>111</v>
      </c>
      <c r="O16" s="6">
        <f>(O13*$C$12)/(0.3048^2)/($C$5*2.20462/1000)^(2/3)</f>
        <v>2.7286718760785966</v>
      </c>
      <c r="U16" s="2">
        <v>12</v>
      </c>
      <c r="V16" s="2">
        <f t="shared" si="7"/>
        <v>0.97119140625</v>
      </c>
      <c r="W16" s="2">
        <f t="shared" si="0"/>
        <v>9.7914175463453823E-5</v>
      </c>
      <c r="X16" s="2">
        <f t="shared" si="8"/>
        <v>0.971435546875</v>
      </c>
      <c r="Y16" s="2">
        <f t="shared" si="1"/>
        <v>-1.5121454902455866E-4</v>
      </c>
      <c r="Z16" s="2">
        <f t="shared" si="3"/>
        <v>0.9713134765625</v>
      </c>
      <c r="AA16" s="2">
        <f t="shared" si="2"/>
        <v>-2.6650496794733414E-5</v>
      </c>
      <c r="AB16" s="2">
        <f t="shared" si="4"/>
        <v>-2.6094614193477411E-9</v>
      </c>
      <c r="AC16" s="2">
        <f t="shared" si="5"/>
        <v>4.0299428540960589E-9</v>
      </c>
      <c r="AD16" s="2">
        <f t="shared" si="6"/>
        <v>2.44140625E-4</v>
      </c>
      <c r="AF16" s="2">
        <v>12</v>
      </c>
      <c r="AG16" s="2">
        <f t="shared" si="13"/>
        <v>2183.837890625</v>
      </c>
      <c r="AH16" s="2">
        <v>-1.0679317105109476</v>
      </c>
      <c r="AI16" s="2">
        <f t="shared" si="14"/>
        <v>2188.4765625</v>
      </c>
      <c r="AJ16" s="2">
        <v>1.0262614304483577</v>
      </c>
      <c r="AK16" s="2">
        <f t="shared" si="9"/>
        <v>2186.1572265625</v>
      </c>
      <c r="AL16" s="2">
        <v>-2.0578909755613495E-2</v>
      </c>
      <c r="AM16" s="2">
        <f t="shared" si="10"/>
        <v>2.1976870295762747E-2</v>
      </c>
      <c r="AN16" s="2">
        <f t="shared" si="11"/>
        <v>-2.1119341362863569E-2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115.15080427131683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0.97119140625</v>
      </c>
      <c r="W17" s="2">
        <f t="shared" si="0"/>
        <v>9.7914175463453823E-5</v>
      </c>
      <c r="X17" s="2">
        <f t="shared" si="8"/>
        <v>0.9713134765625</v>
      </c>
      <c r="Y17" s="2">
        <f t="shared" si="1"/>
        <v>-2.6650496794733414E-5</v>
      </c>
      <c r="Z17" s="2">
        <f t="shared" si="3"/>
        <v>0.97125244140625</v>
      </c>
      <c r="AA17" s="2">
        <f t="shared" si="2"/>
        <v>3.563176181642369E-5</v>
      </c>
      <c r="AB17" s="2">
        <f t="shared" si="4"/>
        <v>3.4888545785653033E-9</v>
      </c>
      <c r="AC17" s="2">
        <f t="shared" si="5"/>
        <v>-9.4960415407930404E-10</v>
      </c>
      <c r="AD17" s="2">
        <f t="shared" si="6"/>
        <v>1.220703125E-4</v>
      </c>
      <c r="AF17" s="2">
        <v>13</v>
      </c>
      <c r="AG17" s="2">
        <f t="shared" si="13"/>
        <v>2186.1572265625</v>
      </c>
      <c r="AH17" s="2">
        <v>-2.0578909755613495E-2</v>
      </c>
      <c r="AI17" s="2">
        <f t="shared" si="14"/>
        <v>2188.4765625</v>
      </c>
      <c r="AJ17" s="2">
        <v>1.0262614304483577</v>
      </c>
      <c r="AK17" s="2">
        <f t="shared" si="9"/>
        <v>2187.31689453125</v>
      </c>
      <c r="AL17" s="2">
        <v>0.50290502184225261</v>
      </c>
      <c r="AM17" s="2">
        <f t="shared" si="10"/>
        <v>-1.0349237060136549E-2</v>
      </c>
      <c r="AN17" s="2">
        <f t="shared" si="11"/>
        <v>0.51611202709549275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1.4533049106268126</v>
      </c>
      <c r="H18" s="6" t="s">
        <v>172</v>
      </c>
      <c r="J18" s="12" t="s">
        <v>54</v>
      </c>
      <c r="K18" s="6">
        <f xml:space="preserve"> $C$78 * (0.2138 * K4 + 0.2138 * K6)</f>
        <v>119.27906567027154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0.97125244140625</v>
      </c>
      <c r="W18" s="2">
        <f t="shared" si="0"/>
        <v>3.563176181642369E-5</v>
      </c>
      <c r="X18" s="2">
        <f t="shared" si="8"/>
        <v>0.9713134765625</v>
      </c>
      <c r="Y18" s="2">
        <f t="shared" si="1"/>
        <v>-2.6650496794733414E-5</v>
      </c>
      <c r="Z18" s="2">
        <f t="shared" si="3"/>
        <v>0.971282958984375</v>
      </c>
      <c r="AA18" s="2">
        <f t="shared" si="2"/>
        <v>4.4906131331234889E-6</v>
      </c>
      <c r="AB18" s="2">
        <f t="shared" si="4"/>
        <v>1.6000845756916029E-10</v>
      </c>
      <c r="AC18" s="2">
        <f t="shared" si="5"/>
        <v>-1.1967707091069532E-10</v>
      </c>
      <c r="AD18" s="2">
        <f t="shared" si="6"/>
        <v>6.103515625E-5</v>
      </c>
      <c r="AF18" s="2">
        <v>14</v>
      </c>
      <c r="AG18" s="2">
        <f t="shared" si="13"/>
        <v>2186.1572265625</v>
      </c>
      <c r="AH18" s="2">
        <v>-2.0578909755613495E-2</v>
      </c>
      <c r="AI18" s="2">
        <f t="shared" si="14"/>
        <v>2187.31689453125</v>
      </c>
      <c r="AJ18" s="2">
        <v>0.50290502184225261</v>
      </c>
      <c r="AK18" s="2">
        <f t="shared" si="9"/>
        <v>2186.737060546875</v>
      </c>
      <c r="AL18" s="2">
        <v>0.24117944149998038</v>
      </c>
      <c r="AM18" s="2">
        <f t="shared" si="10"/>
        <v>-4.9632099615373607E-3</v>
      </c>
      <c r="AN18" s="2">
        <f t="shared" si="11"/>
        <v>0.12129035229544992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4.5856311676668725E-2</v>
      </c>
      <c r="J19" s="12" t="s">
        <v>73</v>
      </c>
      <c r="K19" s="6">
        <f xml:space="preserve"> $C$78 * (0.1149 * K4 + 0.1149 * K6)</f>
        <v>64.102734544032742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0.971282958984375</v>
      </c>
      <c r="W19" s="2">
        <f t="shared" si="0"/>
        <v>4.4906131331234889E-6</v>
      </c>
      <c r="X19" s="2">
        <f t="shared" si="8"/>
        <v>0.9713134765625</v>
      </c>
      <c r="Y19" s="2">
        <f t="shared" si="1"/>
        <v>-2.6650496794733414E-5</v>
      </c>
      <c r="Z19" s="2">
        <f t="shared" si="3"/>
        <v>0.9712982177734375</v>
      </c>
      <c r="AA19" s="2">
        <f t="shared" si="2"/>
        <v>-1.1079946674930063E-5</v>
      </c>
      <c r="AB19" s="2">
        <f t="shared" si="4"/>
        <v>-4.9755754052748877E-11</v>
      </c>
      <c r="AC19" s="2">
        <f t="shared" si="5"/>
        <v>2.9528608334604079E-10</v>
      </c>
      <c r="AD19" s="2">
        <f t="shared" si="6"/>
        <v>3.0517578125E-5</v>
      </c>
      <c r="AF19" s="2">
        <v>15</v>
      </c>
      <c r="AG19" s="2">
        <f t="shared" si="13"/>
        <v>2186.1572265625</v>
      </c>
      <c r="AH19" s="2">
        <v>-2.0578909755613495E-2</v>
      </c>
      <c r="AI19" s="2">
        <f t="shared" si="14"/>
        <v>2186.737060546875</v>
      </c>
      <c r="AJ19" s="2">
        <v>0.24117944149998038</v>
      </c>
      <c r="AK19" s="2">
        <f t="shared" si="9"/>
        <v>2186.4471435546875</v>
      </c>
      <c r="AL19" s="2">
        <v>0.11030421383497924</v>
      </c>
      <c r="AM19" s="2">
        <f t="shared" si="10"/>
        <v>-2.2699404621739313E-3</v>
      </c>
      <c r="AN19" s="2">
        <f t="shared" si="11"/>
        <v>2.6603108687814701E-2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115.15080427131683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214.71464184538445</v>
      </c>
      <c r="L20" s="6" t="s">
        <v>7</v>
      </c>
      <c r="N20" s="6" t="s">
        <v>20</v>
      </c>
      <c r="O20" s="6">
        <f xml:space="preserve"> O14 / $C$28</f>
        <v>1640.1151026070718</v>
      </c>
      <c r="P20" s="6" t="s">
        <v>21</v>
      </c>
      <c r="U20" s="2">
        <v>16</v>
      </c>
      <c r="V20" s="2">
        <f t="shared" si="7"/>
        <v>0.971282958984375</v>
      </c>
      <c r="W20" s="2">
        <f t="shared" si="0"/>
        <v>4.4906131331234889E-6</v>
      </c>
      <c r="X20" s="2">
        <f t="shared" si="8"/>
        <v>0.9712982177734375</v>
      </c>
      <c r="Y20" s="2">
        <f t="shared" si="1"/>
        <v>-1.1079946674930063E-5</v>
      </c>
      <c r="Z20" s="2">
        <f t="shared" si="3"/>
        <v>0.97129058837890625</v>
      </c>
      <c r="AA20" s="2">
        <f t="shared" si="2"/>
        <v>-3.2946679819900737E-6</v>
      </c>
      <c r="AB20" s="2">
        <f t="shared" si="4"/>
        <v>-1.4795079309206087E-11</v>
      </c>
      <c r="AC20" s="2">
        <f t="shared" si="5"/>
        <v>3.6504745552049461E-11</v>
      </c>
      <c r="AD20" s="2">
        <f t="shared" si="6"/>
        <v>1.52587890625E-5</v>
      </c>
      <c r="AF20" s="2">
        <v>16</v>
      </c>
      <c r="AG20" s="2">
        <f t="shared" si="13"/>
        <v>2186.1572265625</v>
      </c>
      <c r="AH20" s="2">
        <v>-2.0578909755613495E-2</v>
      </c>
      <c r="AI20" s="2">
        <f t="shared" si="14"/>
        <v>2186.4471435546875</v>
      </c>
      <c r="AJ20" s="2">
        <v>0.11030421383497924</v>
      </c>
      <c r="AK20" s="2">
        <f t="shared" si="9"/>
        <v>2186.3021850585938</v>
      </c>
      <c r="AL20" s="2">
        <v>4.4863639030381819E-2</v>
      </c>
      <c r="AM20" s="2">
        <f t="shared" si="10"/>
        <v>-9.232447789146468E-4</v>
      </c>
      <c r="AN20" s="2">
        <f t="shared" si="11"/>
        <v>4.948648433022557E-3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56.841914526510628</v>
      </c>
      <c r="L21" s="6" t="s">
        <v>7</v>
      </c>
      <c r="N21" s="6" t="s">
        <v>27</v>
      </c>
      <c r="O21" s="6">
        <f>$C$6*2*PI()/60</f>
        <v>42.788039155274795</v>
      </c>
      <c r="P21" s="6" t="s">
        <v>28</v>
      </c>
      <c r="U21" s="2">
        <v>17</v>
      </c>
      <c r="V21" s="2">
        <f t="shared" si="7"/>
        <v>0.971282958984375</v>
      </c>
      <c r="W21" s="2">
        <f t="shared" si="0"/>
        <v>4.4906131331234889E-6</v>
      </c>
      <c r="X21" s="2">
        <f t="shared" si="8"/>
        <v>0.97129058837890625</v>
      </c>
      <c r="Y21" s="2">
        <f t="shared" si="1"/>
        <v>-3.2946679819900737E-6</v>
      </c>
      <c r="Z21" s="2">
        <f t="shared" si="3"/>
        <v>0.97128677368164062</v>
      </c>
      <c r="AA21" s="2">
        <f t="shared" si="2"/>
        <v>5.9797227280888876E-7</v>
      </c>
      <c r="AB21" s="2">
        <f t="shared" si="4"/>
        <v>2.6852621415192975E-12</v>
      </c>
      <c r="AC21" s="2">
        <f t="shared" si="5"/>
        <v>-1.9701201013412792E-12</v>
      </c>
      <c r="AD21" s="2">
        <f t="shared" si="6"/>
        <v>7.62939453125E-6</v>
      </c>
      <c r="AF21" s="2">
        <v>17</v>
      </c>
      <c r="AG21" s="2">
        <f t="shared" si="13"/>
        <v>2186.1572265625</v>
      </c>
      <c r="AH21" s="2">
        <v>-2.0578909755613495E-2</v>
      </c>
      <c r="AI21" s="2">
        <f t="shared" si="14"/>
        <v>2186.3021850585938</v>
      </c>
      <c r="AJ21" s="2">
        <v>4.4863639030381819E-2</v>
      </c>
      <c r="AK21" s="2">
        <f t="shared" si="9"/>
        <v>2186.2297058105469</v>
      </c>
      <c r="AL21" s="2">
        <v>1.2142611384660995E-2</v>
      </c>
      <c r="AM21" s="2">
        <f t="shared" si="10"/>
        <v>-2.4988170388242362E-4</v>
      </c>
      <c r="AN21" s="2">
        <f t="shared" si="11"/>
        <v>5.4476173404763566E-4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140.48578964379911</v>
      </c>
      <c r="L22" s="6" t="s">
        <v>7</v>
      </c>
      <c r="N22" s="6" t="s">
        <v>29</v>
      </c>
      <c r="O22" s="6">
        <f xml:space="preserve"> $C$7 * COS(O19/180*PI()) / (O21 * $C$10)</f>
        <v>8.3227612935007786E-2</v>
      </c>
      <c r="U22" s="2">
        <v>18</v>
      </c>
      <c r="V22" s="2">
        <f t="shared" si="7"/>
        <v>0.97128677368164062</v>
      </c>
      <c r="W22" s="2">
        <f t="shared" si="0"/>
        <v>5.9797227280888876E-7</v>
      </c>
      <c r="X22" s="2">
        <f t="shared" si="8"/>
        <v>0.97129058837890625</v>
      </c>
      <c r="Y22" s="2">
        <f t="shared" si="1"/>
        <v>-3.2946679819900737E-6</v>
      </c>
      <c r="Z22" s="2">
        <f t="shared" si="3"/>
        <v>0.97128868103027344</v>
      </c>
      <c r="AA22" s="2">
        <f t="shared" si="2"/>
        <v>-1.3483479303078028E-6</v>
      </c>
      <c r="AB22" s="2">
        <f t="shared" si="4"/>
        <v>-8.0627467642331796E-13</v>
      </c>
      <c r="AC22" s="2">
        <f t="shared" si="5"/>
        <v>4.4423587545677012E-12</v>
      </c>
      <c r="AD22" s="2">
        <f t="shared" si="6"/>
        <v>3.814697265625E-6</v>
      </c>
      <c r="AF22" s="2">
        <v>18</v>
      </c>
      <c r="AG22" s="2">
        <f t="shared" si="13"/>
        <v>2186.1572265625</v>
      </c>
      <c r="AH22" s="2">
        <v>-2.0578909755613495E-2</v>
      </c>
      <c r="AI22" s="2">
        <f t="shared" si="14"/>
        <v>2186.2297058105469</v>
      </c>
      <c r="AJ22" s="2">
        <v>1.2142611384660995E-2</v>
      </c>
      <c r="AK22" s="2">
        <f t="shared" si="9"/>
        <v>2186.1934661865234</v>
      </c>
      <c r="AL22" s="2">
        <v>-4.2183842192571319E-3</v>
      </c>
      <c r="AM22" s="2">
        <f t="shared" si="10"/>
        <v>8.6809748162596602E-5</v>
      </c>
      <c r="AN22" s="2">
        <f t="shared" si="11"/>
        <v>-5.1222200245625933E-5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24.684431777977931</v>
      </c>
      <c r="L23" s="6" t="s">
        <v>7</v>
      </c>
      <c r="N23" s="6" t="s">
        <v>30</v>
      </c>
      <c r="O23" s="6">
        <f xml:space="preserve"> O20 / ( $C$71 * PI() * $C$10^2 * O21^2 * $C$10^2)</f>
        <v>3.8977080281330824E-2</v>
      </c>
      <c r="U23" s="2">
        <v>19</v>
      </c>
      <c r="V23" s="2">
        <f t="shared" si="7"/>
        <v>0.97128677368164062</v>
      </c>
      <c r="W23" s="2">
        <f t="shared" si="0"/>
        <v>5.9797227280888876E-7</v>
      </c>
      <c r="X23" s="2">
        <f t="shared" si="8"/>
        <v>0.97128868103027344</v>
      </c>
      <c r="Y23" s="2">
        <f t="shared" si="1"/>
        <v>-1.3483479303078028E-6</v>
      </c>
      <c r="Z23" s="2">
        <f t="shared" si="3"/>
        <v>0.97128772735595703</v>
      </c>
      <c r="AA23" s="2">
        <f t="shared" si="2"/>
        <v>-3.7518784767875957E-7</v>
      </c>
      <c r="AB23" s="2">
        <f t="shared" si="4"/>
        <v>-2.2435193000674302E-13</v>
      </c>
      <c r="AC23" s="2">
        <f t="shared" si="5"/>
        <v>5.0588375789429461E-13</v>
      </c>
      <c r="AD23" s="2">
        <f t="shared" si="6"/>
        <v>1.9073486328125E-6</v>
      </c>
      <c r="AF23" s="2">
        <v>19</v>
      </c>
      <c r="AG23" s="2">
        <f t="shared" si="13"/>
        <v>2186.1934661865234</v>
      </c>
      <c r="AH23" s="2">
        <v>-4.2183842192571319E-3</v>
      </c>
      <c r="AI23" s="2">
        <f t="shared" si="14"/>
        <v>2186.2297058105469</v>
      </c>
      <c r="AJ23" s="2">
        <v>1.2142611384660995E-2</v>
      </c>
      <c r="AK23" s="2">
        <f t="shared" si="9"/>
        <v>2186.2115859985352</v>
      </c>
      <c r="AL23" s="2">
        <v>3.9624257265131746E-3</v>
      </c>
      <c r="AM23" s="2">
        <f t="shared" si="10"/>
        <v>-1.6715034154701652E-5</v>
      </c>
      <c r="AN23" s="2">
        <f t="shared" si="11"/>
        <v>4.811419573763249E-5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8.6330172633340219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0.97128677368164062</v>
      </c>
      <c r="W24" s="2">
        <f t="shared" si="0"/>
        <v>5.9797227280888876E-7</v>
      </c>
      <c r="X24" s="2">
        <f t="shared" si="8"/>
        <v>0.97128772735595703</v>
      </c>
      <c r="Y24" s="2">
        <f t="shared" si="1"/>
        <v>-3.7518784767875957E-7</v>
      </c>
      <c r="Z24" s="2">
        <f t="shared" si="3"/>
        <v>0.97128725051879883</v>
      </c>
      <c r="AA24" s="2">
        <f t="shared" si="2"/>
        <v>1.1139220790212789E-7</v>
      </c>
      <c r="AB24" s="2">
        <f t="shared" si="4"/>
        <v>6.6609451732435676E-14</v>
      </c>
      <c r="AC24" s="2">
        <f t="shared" si="5"/>
        <v>-4.1793002730984276E-14</v>
      </c>
      <c r="AD24" s="2">
        <f t="shared" si="6"/>
        <v>9.5367431640625E-7</v>
      </c>
      <c r="AF24" s="2">
        <v>20</v>
      </c>
      <c r="AG24" s="2">
        <f t="shared" si="13"/>
        <v>2186.1934661865234</v>
      </c>
      <c r="AH24" s="2">
        <v>-4.2183842192571319E-3</v>
      </c>
      <c r="AI24" s="2">
        <f t="shared" si="14"/>
        <v>2186.2115859985352</v>
      </c>
      <c r="AJ24" s="2">
        <v>3.9624257265131746E-3</v>
      </c>
      <c r="AK24" s="2">
        <f t="shared" si="9"/>
        <v>2186.2025260925293</v>
      </c>
      <c r="AL24" s="2">
        <v>-1.2797539170605887E-4</v>
      </c>
      <c r="AM24" s="2">
        <f t="shared" si="10"/>
        <v>5.3984937282608874E-7</v>
      </c>
      <c r="AN24" s="2">
        <f t="shared" si="11"/>
        <v>-5.0709298445668845E-7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23.828511081606546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2884.0940048241246</v>
      </c>
      <c r="P25" s="6" t="s">
        <v>19</v>
      </c>
      <c r="U25" s="2">
        <v>21</v>
      </c>
      <c r="V25" s="2">
        <f t="shared" si="7"/>
        <v>0.97128725051879883</v>
      </c>
      <c r="W25" s="2">
        <f t="shared" si="0"/>
        <v>1.1139220790212789E-7</v>
      </c>
      <c r="X25" s="2">
        <f t="shared" si="8"/>
        <v>0.97128772735595703</v>
      </c>
      <c r="Y25" s="2">
        <f t="shared" si="1"/>
        <v>-3.7518784767875957E-7</v>
      </c>
      <c r="Z25" s="2">
        <f t="shared" si="3"/>
        <v>0.97128748893737793</v>
      </c>
      <c r="AA25" s="2">
        <f t="shared" si="2"/>
        <v>-1.3189782110956116E-7</v>
      </c>
      <c r="AB25" s="2">
        <f t="shared" si="4"/>
        <v>-1.4692389510873912E-14</v>
      </c>
      <c r="AC25" s="2">
        <f t="shared" si="5"/>
        <v>4.9486459615614314E-14</v>
      </c>
      <c r="AD25" s="2">
        <f t="shared" si="6"/>
        <v>4.76837158203125E-7</v>
      </c>
      <c r="AF25" s="2">
        <v>21</v>
      </c>
      <c r="AG25" s="2">
        <f t="shared" si="13"/>
        <v>2186.2025260925293</v>
      </c>
      <c r="AH25" s="2">
        <v>-1.2797539170605887E-4</v>
      </c>
      <c r="AI25" s="2">
        <f t="shared" si="14"/>
        <v>2186.2115859985352</v>
      </c>
      <c r="AJ25" s="2">
        <v>3.9624257265131746E-3</v>
      </c>
      <c r="AK25" s="2">
        <f t="shared" si="9"/>
        <v>2186.2070560455322</v>
      </c>
      <c r="AL25" s="2">
        <v>1.9172261306721339E-3</v>
      </c>
      <c r="AM25" s="2">
        <f t="shared" si="10"/>
        <v>-2.4535776506185793E-7</v>
      </c>
      <c r="AN25" s="2">
        <f t="shared" si="11"/>
        <v>7.5968661437185725E-6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2678.536175917312</v>
      </c>
      <c r="H26" s="6" t="s">
        <v>21</v>
      </c>
      <c r="J26" s="14" t="s">
        <v>65</v>
      </c>
      <c r="K26" s="6">
        <f xml:space="preserve"> $C$80 * (0.0268 * $C$5)</f>
        <v>46.872717209553379</v>
      </c>
      <c r="L26" s="6" t="s">
        <v>7</v>
      </c>
      <c r="N26" s="6" t="s">
        <v>32</v>
      </c>
      <c r="O26" s="17">
        <f>Z34</f>
        <v>0.97128735994920135</v>
      </c>
      <c r="U26" s="2">
        <v>22</v>
      </c>
      <c r="V26" s="2">
        <f t="shared" si="7"/>
        <v>0.97128725051879883</v>
      </c>
      <c r="W26" s="2">
        <f t="shared" si="0"/>
        <v>1.1139220790212789E-7</v>
      </c>
      <c r="X26" s="2">
        <f t="shared" si="8"/>
        <v>0.97128748893737793</v>
      </c>
      <c r="Y26" s="2">
        <f t="shared" si="1"/>
        <v>-1.3189782110956116E-7</v>
      </c>
      <c r="Z26" s="2">
        <f t="shared" si="3"/>
        <v>0.97128736972808838</v>
      </c>
      <c r="AA26" s="2">
        <f t="shared" si="2"/>
        <v>-1.0252806936783543E-8</v>
      </c>
      <c r="AB26" s="2">
        <f t="shared" si="4"/>
        <v>-1.1420828018825715E-15</v>
      </c>
      <c r="AC26" s="2">
        <f t="shared" si="5"/>
        <v>1.3523228952187436E-15</v>
      </c>
      <c r="AD26" s="2">
        <f t="shared" si="6"/>
        <v>2.384185791015625E-7</v>
      </c>
      <c r="AF26" s="2">
        <v>22</v>
      </c>
      <c r="AG26" s="2">
        <f t="shared" si="13"/>
        <v>2186.2025260925293</v>
      </c>
      <c r="AH26" s="2">
        <v>-1.2797539170605887E-4</v>
      </c>
      <c r="AI26" s="2">
        <f t="shared" si="14"/>
        <v>2186.2070560455322</v>
      </c>
      <c r="AJ26" s="2">
        <v>1.9172261306721339E-3</v>
      </c>
      <c r="AK26" s="2">
        <f t="shared" si="9"/>
        <v>2186.2047910690308</v>
      </c>
      <c r="AL26" s="2">
        <v>8.9432888853480108E-4</v>
      </c>
      <c r="AM26" s="2">
        <f t="shared" si="10"/>
        <v>-1.1445208982428543E-7</v>
      </c>
      <c r="AN26" s="2">
        <f t="shared" si="11"/>
        <v>1.7146307145138867E-6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38.921715474105525</v>
      </c>
      <c r="H27" t="s">
        <v>97</v>
      </c>
      <c r="J27" s="14" t="s">
        <v>66</v>
      </c>
      <c r="K27" s="6">
        <f xml:space="preserve"> $C$80 * (11.5 * ($C$5*2.20462/1000)^0.4 * 0.453592)</f>
        <v>7.8282529536978558</v>
      </c>
      <c r="L27" s="6" t="s">
        <v>7</v>
      </c>
      <c r="N27" s="6" t="s">
        <v>33</v>
      </c>
      <c r="O27" s="6">
        <f xml:space="preserve"> O21 * $C$10 * O26 - $C$7 * SIN(O19/180*PI())</f>
        <v>1.403812896699165</v>
      </c>
      <c r="P27" s="6" t="s">
        <v>10</v>
      </c>
      <c r="U27" s="2">
        <v>23</v>
      </c>
      <c r="V27" s="2">
        <f t="shared" si="7"/>
        <v>0.97128725051879883</v>
      </c>
      <c r="W27" s="2">
        <f t="shared" si="0"/>
        <v>1.1139220790212789E-7</v>
      </c>
      <c r="X27" s="2">
        <f t="shared" si="8"/>
        <v>0.97128736972808838</v>
      </c>
      <c r="Y27" s="2">
        <f t="shared" si="1"/>
        <v>-1.0252806936783543E-8</v>
      </c>
      <c r="Z27" s="2">
        <f t="shared" si="3"/>
        <v>0.9712873101234436</v>
      </c>
      <c r="AA27" s="2">
        <f t="shared" si="2"/>
        <v>5.0569700427161024E-8</v>
      </c>
      <c r="AB27" s="2">
        <f t="shared" si="4"/>
        <v>5.6330705835306461E-15</v>
      </c>
      <c r="AC27" s="2">
        <f t="shared" si="5"/>
        <v>-5.1848137533066224E-16</v>
      </c>
      <c r="AD27" s="2">
        <f t="shared" si="6"/>
        <v>1.1920928955078125E-7</v>
      </c>
      <c r="AF27" s="2">
        <v>23</v>
      </c>
      <c r="AG27" s="2">
        <f t="shared" si="13"/>
        <v>2186.2025260925293</v>
      </c>
      <c r="AH27" s="2">
        <v>-1.2797539170605887E-4</v>
      </c>
      <c r="AI27" s="2">
        <f t="shared" si="14"/>
        <v>2186.2047910690308</v>
      </c>
      <c r="AJ27" s="2">
        <v>8.9432888853480108E-4</v>
      </c>
      <c r="AK27" s="2">
        <f t="shared" si="9"/>
        <v>2186.20365858078</v>
      </c>
      <c r="AL27" s="2">
        <v>3.834735300642933E-4</v>
      </c>
      <c r="AM27" s="2">
        <f t="shared" si="10"/>
        <v>-4.9075175218883081E-8</v>
      </c>
      <c r="AN27" s="2">
        <f t="shared" si="11"/>
        <v>3.4295145592491606E-7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7.0212330544736616</v>
      </c>
      <c r="H28" s="6" t="s">
        <v>172</v>
      </c>
      <c r="J28" s="14" t="s">
        <v>67</v>
      </c>
      <c r="K28" s="6">
        <f xml:space="preserve"> $C$80 * (8 * ($C$5/1000))</f>
        <v>13.991855883448771</v>
      </c>
      <c r="L28" s="6" t="s">
        <v>7</v>
      </c>
      <c r="N28" s="6" t="s">
        <v>34</v>
      </c>
      <c r="O28" s="6">
        <f xml:space="preserve"> 1/$C$31 - O25 * SQRT( (2*$C$71*PI()*$C$10^2) / O20^3 )</f>
        <v>1.1539511866332304</v>
      </c>
      <c r="U28" s="2">
        <v>24</v>
      </c>
      <c r="V28" s="2">
        <f t="shared" si="7"/>
        <v>0.9712873101234436</v>
      </c>
      <c r="W28" s="2">
        <f t="shared" si="0"/>
        <v>5.0569700427161024E-8</v>
      </c>
      <c r="X28" s="2">
        <f t="shared" si="8"/>
        <v>0.97128736972808838</v>
      </c>
      <c r="Y28" s="2">
        <f t="shared" si="1"/>
        <v>-1.0252806936783543E-8</v>
      </c>
      <c r="Z28" s="2">
        <f t="shared" si="3"/>
        <v>0.97128733992576599</v>
      </c>
      <c r="AA28" s="2">
        <f t="shared" si="2"/>
        <v>2.0158446689677589E-8</v>
      </c>
      <c r="AB28" s="2">
        <f t="shared" si="4"/>
        <v>1.0194066101738915E-15</v>
      </c>
      <c r="AC28" s="2">
        <f t="shared" si="5"/>
        <v>-2.0668066205470763E-16</v>
      </c>
      <c r="AD28" s="2">
        <f t="shared" si="6"/>
        <v>5.9604644775390625E-8</v>
      </c>
      <c r="AF28" s="2">
        <v>24</v>
      </c>
      <c r="AG28" s="2">
        <f t="shared" si="13"/>
        <v>2186.2025260925293</v>
      </c>
      <c r="AH28" s="2">
        <v>-1.2797539170605887E-4</v>
      </c>
      <c r="AI28" s="2">
        <f t="shared" si="14"/>
        <v>2186.20365858078</v>
      </c>
      <c r="AJ28" s="2">
        <v>3.834735300642933E-4</v>
      </c>
      <c r="AK28" s="2">
        <f t="shared" si="9"/>
        <v>2186.2030923366547</v>
      </c>
      <c r="AL28" s="2">
        <v>1.2745236290356843E-4</v>
      </c>
      <c r="AM28" s="2">
        <f t="shared" si="10"/>
        <v>-1.6310766066446937E-8</v>
      </c>
      <c r="AN28" s="2">
        <f t="shared" si="11"/>
        <v>4.887460751766677E-8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311.3737237928442</v>
      </c>
      <c r="H29" s="22" t="s">
        <v>97</v>
      </c>
      <c r="J29" s="14" t="s">
        <v>68</v>
      </c>
      <c r="K29" s="6">
        <f xml:space="preserve"> $C$80 * (13 * ($C$5*2.20462/1000)^1.3 * 0.453592)</f>
        <v>36.444881753275084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0.97128733992576599</v>
      </c>
      <c r="W29" s="2">
        <f t="shared" si="0"/>
        <v>2.0158446689677589E-8</v>
      </c>
      <c r="X29" s="2">
        <f t="shared" si="8"/>
        <v>0.97128736972808838</v>
      </c>
      <c r="Y29" s="2">
        <f t="shared" si="1"/>
        <v>-1.0252806936783543E-8</v>
      </c>
      <c r="Z29" s="2">
        <f t="shared" si="3"/>
        <v>0.97128735482692719</v>
      </c>
      <c r="AA29" s="2">
        <f t="shared" si="2"/>
        <v>4.9528199319581745E-9</v>
      </c>
      <c r="AB29" s="2">
        <f t="shared" si="4"/>
        <v>9.9841156561951446E-17</v>
      </c>
      <c r="AC29" s="2">
        <f t="shared" si="5"/>
        <v>-5.0780306555020566E-17</v>
      </c>
      <c r="AD29" s="2">
        <f t="shared" si="6"/>
        <v>2.9802322387695312E-8</v>
      </c>
      <c r="AF29" s="2">
        <v>25</v>
      </c>
      <c r="AG29" s="2">
        <f t="shared" si="13"/>
        <v>2186.2025260925293</v>
      </c>
      <c r="AH29" s="2">
        <v>-1.2797539170605887E-4</v>
      </c>
      <c r="AI29" s="2">
        <f t="shared" si="14"/>
        <v>2186.2030923366547</v>
      </c>
      <c r="AJ29" s="2">
        <v>1.2745236290356843E-4</v>
      </c>
      <c r="AK29" s="2">
        <f t="shared" si="9"/>
        <v>2186.202809214592</v>
      </c>
      <c r="AL29" s="2">
        <v>3.521063263178803E-8</v>
      </c>
      <c r="AM29" s="2">
        <f t="shared" si="10"/>
        <v>-4.5060945032712118E-12</v>
      </c>
      <c r="AN29" s="2">
        <f t="shared" si="11"/>
        <v>4.4876783282508767E-12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1.11383219941672E-2</v>
      </c>
      <c r="L30" s="9" t="s">
        <v>7</v>
      </c>
      <c r="N30" s="6" t="s">
        <v>36</v>
      </c>
      <c r="O30" s="6">
        <f xml:space="preserve"> 1/$C$77 * LN( EXP($C$77 * O28) + EXP($C$77 * O29) )</f>
        <v>1.1751390096270162</v>
      </c>
      <c r="U30" s="2">
        <v>26</v>
      </c>
      <c r="V30" s="2">
        <f>IF(AB29&gt;0, Z29, V29)</f>
        <v>0.97128735482692719</v>
      </c>
      <c r="W30" s="2">
        <f t="shared" si="0"/>
        <v>4.9528199319581745E-9</v>
      </c>
      <c r="X30" s="2">
        <f t="shared" si="8"/>
        <v>0.97128736972808838</v>
      </c>
      <c r="Y30" s="2">
        <f t="shared" si="1"/>
        <v>-1.0252806936783543E-8</v>
      </c>
      <c r="Z30" s="2">
        <f t="shared" si="3"/>
        <v>0.97128736227750778</v>
      </c>
      <c r="AA30" s="2">
        <f t="shared" si="2"/>
        <v>-2.6499934469015329E-9</v>
      </c>
      <c r="AB30" s="2">
        <f t="shared" si="4"/>
        <v>-1.3124940363372459E-17</v>
      </c>
      <c r="AC30" s="2">
        <f t="shared" si="5"/>
        <v>2.7169871194822968E-17</v>
      </c>
      <c r="AD30" s="2">
        <f t="shared" si="6"/>
        <v>1.4901161193847656E-8</v>
      </c>
      <c r="AF30" s="2">
        <v>26</v>
      </c>
      <c r="AG30" s="2">
        <f t="shared" si="13"/>
        <v>2186.2025260925293</v>
      </c>
      <c r="AH30" s="2">
        <v>-1.2797539170605887E-4</v>
      </c>
      <c r="AI30" s="2">
        <f t="shared" si="14"/>
        <v>2186.202809214592</v>
      </c>
      <c r="AJ30" s="2">
        <v>3.521063263178803E-8</v>
      </c>
      <c r="AK30" s="2">
        <f t="shared" si="9"/>
        <v>2186.2026676535606</v>
      </c>
      <c r="AL30" s="2">
        <v>-6.4266811705238069E-5</v>
      </c>
      <c r="AM30" s="2">
        <f t="shared" si="10"/>
        <v>8.2245704016773713E-9</v>
      </c>
      <c r="AN30" s="2">
        <f t="shared" si="11"/>
        <v>-2.2628750973694325E-12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0.97128735482692719</v>
      </c>
      <c r="W31" s="2">
        <f t="shared" si="0"/>
        <v>4.9528199319581745E-9</v>
      </c>
      <c r="X31" s="2">
        <f t="shared" si="8"/>
        <v>0.97128736227750778</v>
      </c>
      <c r="Y31" s="2">
        <f t="shared" si="1"/>
        <v>-2.6499934469015329E-9</v>
      </c>
      <c r="Z31" s="2">
        <f t="shared" si="3"/>
        <v>0.97128735855221748</v>
      </c>
      <c r="AA31" s="2">
        <f t="shared" si="2"/>
        <v>1.1514131870171695E-9</v>
      </c>
      <c r="AB31" s="2">
        <f t="shared" si="4"/>
        <v>5.7027421825781225E-18</v>
      </c>
      <c r="AC31" s="2">
        <f t="shared" si="5"/>
        <v>-3.0512374002715085E-18</v>
      </c>
      <c r="AD31" s="2">
        <f t="shared" si="6"/>
        <v>7.4505805969238281E-9</v>
      </c>
      <c r="AF31" s="2">
        <v>27</v>
      </c>
      <c r="AG31" s="2">
        <f t="shared" si="13"/>
        <v>2186.2026676535606</v>
      </c>
      <c r="AH31" s="2">
        <v>-6.4266811705238069E-5</v>
      </c>
      <c r="AI31" s="2">
        <f t="shared" si="14"/>
        <v>2186.202809214592</v>
      </c>
      <c r="AJ31" s="2">
        <v>3.521063263178803E-8</v>
      </c>
      <c r="AK31" s="2">
        <f t="shared" si="9"/>
        <v>2186.2027384340763</v>
      </c>
      <c r="AL31" s="2">
        <v>-3.2115799513121601E-5</v>
      </c>
      <c r="AM31" s="2">
        <f t="shared" si="10"/>
        <v>2.0639800400729622E-9</v>
      </c>
      <c r="AN31" s="2">
        <f t="shared" si="11"/>
        <v>-1.1308176183326816E-12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0.97128735855221748</v>
      </c>
      <c r="W32" s="2">
        <f t="shared" si="0"/>
        <v>1.1514131870171695E-9</v>
      </c>
      <c r="X32" s="2">
        <f t="shared" si="8"/>
        <v>0.97128736227750778</v>
      </c>
      <c r="Y32" s="2">
        <f t="shared" si="1"/>
        <v>-2.6499934469015329E-9</v>
      </c>
      <c r="Z32" s="2">
        <f t="shared" si="3"/>
        <v>0.97128736041486263</v>
      </c>
      <c r="AA32" s="2">
        <f t="shared" si="2"/>
        <v>-7.4929018545333292E-10</v>
      </c>
      <c r="AB32" s="2">
        <f t="shared" si="4"/>
        <v>-8.6274260043350808E-19</v>
      </c>
      <c r="AC32" s="2">
        <f t="shared" si="5"/>
        <v>1.9856140812789666E-18</v>
      </c>
      <c r="AD32" s="2">
        <f t="shared" si="6"/>
        <v>3.7252902984619141E-9</v>
      </c>
      <c r="AF32" s="2">
        <v>28</v>
      </c>
      <c r="AG32" s="2">
        <f t="shared" si="13"/>
        <v>2186.2027384340763</v>
      </c>
      <c r="AH32" s="2">
        <v>-3.2115799513121601E-5</v>
      </c>
      <c r="AI32" s="2">
        <f t="shared" si="14"/>
        <v>2186.202809214592</v>
      </c>
      <c r="AJ32" s="2">
        <v>3.521063263178803E-8</v>
      </c>
      <c r="AK32" s="2">
        <f t="shared" si="9"/>
        <v>2186.2027738243341</v>
      </c>
      <c r="AL32" s="2">
        <v>-1.6040294667618582E-5</v>
      </c>
      <c r="AM32" s="2">
        <f t="shared" si="10"/>
        <v>5.1514688767663187E-10</v>
      </c>
      <c r="AN32" s="2">
        <f t="shared" si="11"/>
        <v>-5.6478892284714638E-13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115.15080427131683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0.97128735855221748</v>
      </c>
      <c r="W33" s="2">
        <f t="shared" si="0"/>
        <v>1.1514131870171695E-9</v>
      </c>
      <c r="X33" s="2">
        <f t="shared" si="8"/>
        <v>0.97128736041486263</v>
      </c>
      <c r="Y33" s="2">
        <f t="shared" si="1"/>
        <v>-7.4929018545333292E-10</v>
      </c>
      <c r="Z33" s="2">
        <f t="shared" si="3"/>
        <v>0.97128735948354006</v>
      </c>
      <c r="AA33" s="2">
        <f t="shared" si="2"/>
        <v>2.0106150078191831E-10</v>
      </c>
      <c r="AB33" s="2">
        <f t="shared" si="4"/>
        <v>2.3150486340176369E-19</v>
      </c>
      <c r="AC33" s="2">
        <f t="shared" si="5"/>
        <v>-1.5065340920840901E-19</v>
      </c>
      <c r="AD33" s="2">
        <f t="shared" si="6"/>
        <v>1.862645149230957E-9</v>
      </c>
      <c r="AF33" s="2">
        <v>29</v>
      </c>
      <c r="AG33" s="2">
        <f t="shared" si="13"/>
        <v>2186.2027738243341</v>
      </c>
      <c r="AH33" s="2">
        <v>-1.6040294667618582E-5</v>
      </c>
      <c r="AI33" s="2">
        <f t="shared" si="14"/>
        <v>2186.202809214592</v>
      </c>
      <c r="AJ33" s="2">
        <v>3.521063263178803E-8</v>
      </c>
      <c r="AK33" s="2">
        <f t="shared" si="9"/>
        <v>2186.2027915194631</v>
      </c>
      <c r="AL33" s="2">
        <v>-8.002542017493397E-6</v>
      </c>
      <c r="AM33" s="2">
        <f t="shared" si="10"/>
        <v>1.2836313205059299E-10</v>
      </c>
      <c r="AN33" s="2">
        <f t="shared" si="11"/>
        <v>-2.8177456709840782E-13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27.44</v>
      </c>
      <c r="L34" s="6" t="s">
        <v>59</v>
      </c>
      <c r="U34" s="2">
        <v>30</v>
      </c>
      <c r="V34" s="2">
        <f t="shared" si="7"/>
        <v>0.97128735948354006</v>
      </c>
      <c r="W34" s="2">
        <f t="shared" si="0"/>
        <v>2.0106150078191831E-10</v>
      </c>
      <c r="X34" s="2">
        <f t="shared" si="8"/>
        <v>0.97128736041486263</v>
      </c>
      <c r="Y34" s="2">
        <f t="shared" si="1"/>
        <v>-7.4929018545333292E-10</v>
      </c>
      <c r="Z34" s="2">
        <f t="shared" si="3"/>
        <v>0.97128735994920135</v>
      </c>
      <c r="AA34" s="2">
        <f t="shared" si="2"/>
        <v>-2.7411428682455607E-10</v>
      </c>
      <c r="AB34" s="2">
        <f t="shared" si="4"/>
        <v>-5.5113829894710462E-20</v>
      </c>
      <c r="AC34" s="2">
        <f t="shared" si="5"/>
        <v>2.0539114481017972E-19</v>
      </c>
      <c r="AD34" s="2">
        <f t="shared" si="6"/>
        <v>9.3132257461547852E-10</v>
      </c>
      <c r="AF34" s="2">
        <v>30</v>
      </c>
      <c r="AG34" s="2">
        <f t="shared" si="13"/>
        <v>2186.2027915194631</v>
      </c>
      <c r="AH34" s="2">
        <v>-8.002542017493397E-6</v>
      </c>
      <c r="AI34" s="2">
        <f t="shared" si="14"/>
        <v>2186.202809214592</v>
      </c>
      <c r="AJ34" s="2">
        <v>3.521063263178803E-8</v>
      </c>
      <c r="AK34" s="2">
        <f t="shared" si="9"/>
        <v>2186.2028003670275</v>
      </c>
      <c r="AL34" s="2">
        <v>-3.983665465057129E-6</v>
      </c>
      <c r="AM34" s="2">
        <f t="shared" si="10"/>
        <v>3.1879450267757049E-11</v>
      </c>
      <c r="AN34" s="2">
        <f t="shared" si="11"/>
        <v>-1.4026738121806759E-13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30.51</v>
      </c>
      <c r="L35" s="6" t="s">
        <v>59</v>
      </c>
      <c r="AF35" s="2">
        <v>31</v>
      </c>
      <c r="AG35" s="2">
        <f t="shared" si="13"/>
        <v>2186.2028003670275</v>
      </c>
      <c r="AH35" s="2">
        <v>-3.983665465057129E-6</v>
      </c>
      <c r="AI35" s="2">
        <f t="shared" si="14"/>
        <v>2186.202809214592</v>
      </c>
      <c r="AJ35" s="2">
        <v>3.521063263178803E-8</v>
      </c>
      <c r="AK35" s="2">
        <f t="shared" si="9"/>
        <v>2186.2028047908098</v>
      </c>
      <c r="AL35" s="2">
        <v>-1.9742269614653196E-6</v>
      </c>
      <c r="AM35" s="2">
        <f t="shared" si="10"/>
        <v>7.8646597665740653E-12</v>
      </c>
      <c r="AN35" s="2">
        <f t="shared" si="11"/>
        <v>-6.9513780271926513E-14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15.77</v>
      </c>
      <c r="L36" s="6" t="s">
        <v>59</v>
      </c>
      <c r="AF36" s="2">
        <v>32</v>
      </c>
      <c r="AG36" s="2">
        <f t="shared" si="13"/>
        <v>2186.2028047908098</v>
      </c>
      <c r="AH36" s="2">
        <v>-1.9742269614653196E-6</v>
      </c>
      <c r="AI36" s="2">
        <f t="shared" si="14"/>
        <v>2186.202809214592</v>
      </c>
      <c r="AJ36" s="2">
        <v>3.521063263178803E-8</v>
      </c>
      <c r="AK36" s="2">
        <f t="shared" si="9"/>
        <v>2186.2028070027009</v>
      </c>
      <c r="AL36" s="2">
        <v>-9.6950907391146757E-7</v>
      </c>
      <c r="AM36" s="2">
        <f t="shared" si="10"/>
        <v>1.9140309531012926E-12</v>
      </c>
      <c r="AN36" s="2">
        <f t="shared" si="11"/>
        <v>-3.4137027834681713E-14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21.46</v>
      </c>
      <c r="L37" s="6" t="s">
        <v>59</v>
      </c>
      <c r="AF37" s="2">
        <v>33</v>
      </c>
      <c r="AG37" s="2">
        <f t="shared" si="13"/>
        <v>2186.2028070027009</v>
      </c>
      <c r="AH37" s="2">
        <v>-9.6950907391146757E-7</v>
      </c>
      <c r="AI37" s="2">
        <f t="shared" si="14"/>
        <v>2186.202809214592</v>
      </c>
      <c r="AJ37" s="2">
        <v>3.521063263178803E-8</v>
      </c>
      <c r="AK37" s="2">
        <f t="shared" si="9"/>
        <v>2186.2028081086464</v>
      </c>
      <c r="AL37" s="2">
        <v>-4.6714853851881344E-7</v>
      </c>
      <c r="AM37" s="2">
        <f t="shared" si="10"/>
        <v>4.5290474695847035E-13</v>
      </c>
      <c r="AN37" s="2">
        <f t="shared" si="11"/>
        <v>-1.644859557426262E-14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4.8099999999999996</v>
      </c>
      <c r="L38" s="6" t="s">
        <v>59</v>
      </c>
      <c r="AF38" s="2">
        <v>34</v>
      </c>
      <c r="AG38" s="2">
        <f t="shared" si="13"/>
        <v>2186.2028081086464</v>
      </c>
      <c r="AH38" s="2">
        <v>-4.6714853851881344E-7</v>
      </c>
      <c r="AI38" s="2">
        <f t="shared" si="14"/>
        <v>2186.202809214592</v>
      </c>
      <c r="AJ38" s="2">
        <v>3.521063263178803E-8</v>
      </c>
      <c r="AK38" s="2">
        <f t="shared" si="9"/>
        <v>2186.2028086616192</v>
      </c>
      <c r="AL38" s="2">
        <v>-2.1596906663035043E-7</v>
      </c>
      <c r="AM38" s="2">
        <f t="shared" si="10"/>
        <v>1.0088963384164044E-13</v>
      </c>
      <c r="AN38" s="2">
        <f t="shared" si="11"/>
        <v>-7.6044074649514201E-15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99.990000000000009</v>
      </c>
      <c r="L39" s="9" t="s">
        <v>59</v>
      </c>
      <c r="AF39" s="2">
        <v>35</v>
      </c>
      <c r="AG39" s="2">
        <f t="shared" si="13"/>
        <v>2186.2028086616192</v>
      </c>
      <c r="AH39" s="2">
        <v>-2.1596906663035043E-7</v>
      </c>
      <c r="AI39" s="2">
        <f t="shared" si="14"/>
        <v>2186.202809214592</v>
      </c>
      <c r="AJ39" s="2">
        <v>3.521063263178803E-8</v>
      </c>
      <c r="AK39" s="2">
        <f t="shared" si="9"/>
        <v>2186.2028089381056</v>
      </c>
      <c r="AL39" s="2">
        <v>-9.0379444372956641E-8</v>
      </c>
      <c r="AM39" s="2">
        <f t="shared" si="10"/>
        <v>1.9519164243797123E-14</v>
      </c>
      <c r="AN39" s="2">
        <f t="shared" si="11"/>
        <v>-3.1823174132812982E-15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2186.2028089381056</v>
      </c>
      <c r="AH40" s="2">
        <v>-9.0379444372956641E-8</v>
      </c>
      <c r="AI40" s="2">
        <f t="shared" si="14"/>
        <v>2186.202809214592</v>
      </c>
      <c r="AJ40" s="2">
        <v>3.521063263178803E-8</v>
      </c>
      <c r="AK40" s="2">
        <f t="shared" si="9"/>
        <v>2186.2028090763488</v>
      </c>
      <c r="AL40" s="2">
        <v>-2.7584519557422027E-8</v>
      </c>
      <c r="AM40" s="2">
        <f t="shared" si="10"/>
        <v>2.4930735508947586E-15</v>
      </c>
      <c r="AN40" s="2">
        <f t="shared" si="11"/>
        <v>-9.7126838446075914E-16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2186.2028090763488</v>
      </c>
      <c r="AH41" s="2">
        <v>-2.7584519557422027E-8</v>
      </c>
      <c r="AI41" s="2">
        <f t="shared" si="14"/>
        <v>2186.202809214592</v>
      </c>
      <c r="AJ41" s="2">
        <v>3.521063263178803E-8</v>
      </c>
      <c r="AK41" s="2">
        <f t="shared" si="9"/>
        <v>2186.2028091454704</v>
      </c>
      <c r="AL41" s="2">
        <v>3.8130565371830016E-9</v>
      </c>
      <c r="AM41" s="2">
        <f t="shared" si="10"/>
        <v>-1.0518133262348042E-16</v>
      </c>
      <c r="AN41" s="2">
        <f t="shared" si="11"/>
        <v>1.3426013293498847E-16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2186.2028090763488</v>
      </c>
      <c r="AH42" s="2">
        <v>-2.7584519557422027E-8</v>
      </c>
      <c r="AI42" s="2">
        <f t="shared" si="14"/>
        <v>2186.2028091454704</v>
      </c>
      <c r="AJ42" s="2">
        <v>3.8130565371830016E-9</v>
      </c>
      <c r="AK42" s="2">
        <f t="shared" si="9"/>
        <v>2186.2028091109096</v>
      </c>
      <c r="AL42" s="2">
        <v>-1.1885276762768626E-8</v>
      </c>
      <c r="AM42" s="2">
        <f t="shared" si="10"/>
        <v>3.2784964930796473E-16</v>
      </c>
      <c r="AN42" s="2">
        <f t="shared" si="11"/>
        <v>-4.5319232256504134E-17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667.07</v>
      </c>
      <c r="L43" s="6" t="s">
        <v>7</v>
      </c>
      <c r="AF43" s="2">
        <v>39</v>
      </c>
      <c r="AG43" s="2">
        <f t="shared" si="13"/>
        <v>2186.2028091109096</v>
      </c>
      <c r="AH43" s="2">
        <v>-1.1885276762768626E-8</v>
      </c>
      <c r="AI43" s="2">
        <f t="shared" si="14"/>
        <v>2186.2028091454704</v>
      </c>
      <c r="AJ43" s="2">
        <v>3.8130565371830016E-9</v>
      </c>
      <c r="AK43" s="2">
        <f t="shared" si="9"/>
        <v>2186.20280912819</v>
      </c>
      <c r="AL43" s="2">
        <v>-4.0363374864682555E-9</v>
      </c>
      <c r="AM43" s="2">
        <f t="shared" si="10"/>
        <v>4.7972988134613082E-17</v>
      </c>
      <c r="AN43" s="2">
        <f t="shared" si="11"/>
        <v>-1.5390783039054587E-17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344.82</v>
      </c>
      <c r="L44" s="6" t="s">
        <v>7</v>
      </c>
      <c r="AF44" s="2">
        <v>40</v>
      </c>
      <c r="AG44" s="2">
        <f t="shared" si="13"/>
        <v>2186.20280912819</v>
      </c>
      <c r="AH44" s="2">
        <v>-4.0363374864682555E-9</v>
      </c>
      <c r="AI44" s="2">
        <f t="shared" si="14"/>
        <v>2186.2028091454704</v>
      </c>
      <c r="AJ44" s="2">
        <v>3.8130565371830016E-9</v>
      </c>
      <c r="AK44" s="5">
        <f t="shared" si="9"/>
        <v>2186.2028091368302</v>
      </c>
      <c r="AL44" s="2">
        <v>-1.1186784831807017E-10</v>
      </c>
      <c r="AM44" s="2">
        <f t="shared" si="10"/>
        <v>4.5153638969677143E-19</v>
      </c>
      <c r="AN44" s="2">
        <f t="shared" si="11"/>
        <v>-4.2655843032981393E-19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469.19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105.14</v>
      </c>
      <c r="L46" s="6" t="s">
        <v>7</v>
      </c>
    </row>
    <row r="47" spans="2:41" x14ac:dyDescent="0.2">
      <c r="J47" s="9" t="s">
        <v>60</v>
      </c>
      <c r="K47" s="9">
        <f>SUM(K42:K46)</f>
        <v>2186.2199999999998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47" priority="7" operator="containsText" text="FALSE">
      <formula>NOT(ISERROR(SEARCH("FALSE",K31)))</formula>
    </cfRule>
    <cfRule type="containsText" dxfId="46" priority="8" operator="containsText" text="TRUE">
      <formula>NOT(ISERROR(SEARCH("TRUE",K31)))</formula>
    </cfRule>
    <cfRule type="cellIs" dxfId="45" priority="9" operator="equal">
      <formula>1</formula>
    </cfRule>
    <cfRule type="cellIs" dxfId="44" priority="10" operator="equal">
      <formula>TRUE</formula>
    </cfRule>
    <cfRule type="containsText" dxfId="43" priority="11" operator="containsText" text="YES">
      <formula>NOT(ISERROR(SEARCH("YES",K31)))</formula>
    </cfRule>
    <cfRule type="cellIs" dxfId="42" priority="12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427.80255949238813</v>
      </c>
      <c r="L4" s="6" t="s">
        <v>97</v>
      </c>
      <c r="N4" s="6" t="s">
        <v>131</v>
      </c>
      <c r="O4" s="6">
        <f xml:space="preserve"> $C$5 * $C$74</f>
        <v>18595.285288514035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1.1714092930471292</v>
      </c>
      <c r="X4" s="3">
        <v>1</v>
      </c>
      <c r="Y4" s="2">
        <f t="shared" ref="Y4:Y34" si="1" xml:space="preserve"> $O$22 * TAN($O$19/180*PI()) + $O$23 / (2 * SQRT($O$22^2 + X4^2)) - X4</f>
        <v>-3.0447644948293551E-2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0.48743770722145574</v>
      </c>
      <c r="AB4" s="2">
        <f>W4*AA4</f>
        <v>0.57098906002079897</v>
      </c>
      <c r="AC4" s="2">
        <f>Y4*AA4</f>
        <v>-1.4841330243889148E-2</v>
      </c>
      <c r="AD4" s="2">
        <f>X4-V4</f>
        <v>1</v>
      </c>
      <c r="AF4" s="2">
        <v>0</v>
      </c>
      <c r="AH4" s="2">
        <f>K30</f>
        <v>-3.2971187511066091E-4</v>
      </c>
      <c r="AJ4" s="2">
        <f>K30</f>
        <v>-3.2971187511066091E-4</v>
      </c>
      <c r="AL4" s="2">
        <f>K30</f>
        <v>-3.2971187511066091E-4</v>
      </c>
    </row>
    <row r="5" spans="2:41" x14ac:dyDescent="0.2">
      <c r="B5" s="9" t="s">
        <v>38</v>
      </c>
      <c r="C5" s="9">
        <v>1897.37089603545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53.475319936548516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0.48743770722145574</v>
      </c>
      <c r="X5" s="2">
        <f>IF(AC4&gt;0, Z4, X4)</f>
        <v>1</v>
      </c>
      <c r="Y5" s="2">
        <f t="shared" si="1"/>
        <v>-3.0447644948293551E-2</v>
      </c>
      <c r="Z5" s="2">
        <f t="shared" ref="Z5:Z34" si="3" xml:space="preserve"> (V5 + X5)/2</f>
        <v>0.75</v>
      </c>
      <c r="AA5" s="2">
        <f t="shared" si="2"/>
        <v>0.22557295701892244</v>
      </c>
      <c r="AB5" s="2">
        <f t="shared" ref="AB5:AB34" si="4">W5*AA5</f>
        <v>0.10995276498046753</v>
      </c>
      <c r="AC5" s="2">
        <f t="shared" ref="AC5:AC34" si="5">Y5*AA5</f>
        <v>-6.8681653052488321E-3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-1270.796607020824</v>
      </c>
      <c r="AI5" s="3">
        <v>10000</v>
      </c>
      <c r="AJ5" s="2">
        <f t="dataTable" ref="AJ5:AJ44" dt2D="0" dtr="0" r1="C5"/>
        <v>6812.352726210227</v>
      </c>
      <c r="AK5" s="2">
        <f>(AG5+AI5)/2</f>
        <v>5250</v>
      </c>
      <c r="AL5" s="2">
        <f t="dataTable" ref="AL5:AL44" dt2D="0" dtr="0" r1="C5" ca="1"/>
        <v>2659.5816313323121</v>
      </c>
      <c r="AM5" s="2">
        <f>AH5*AL5</f>
        <v>-3379787.3131920104</v>
      </c>
      <c r="AN5" s="2">
        <f>AJ5*AL5</f>
        <v>18118008.17678532</v>
      </c>
      <c r="AO5" s="2">
        <f>AI5-AG5</f>
        <v>9500</v>
      </c>
    </row>
    <row r="6" spans="2:41" x14ac:dyDescent="0.2">
      <c r="B6" s="6" t="s">
        <v>168</v>
      </c>
      <c r="C6" s="16">
        <v>408.59567620629298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162.37532872651514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0.20067567764503172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0.22557295701892244</v>
      </c>
      <c r="X6" s="2">
        <f t="shared" ref="X6:X34" si="8">IF(AC5&gt;0, Z5, X5)</f>
        <v>1</v>
      </c>
      <c r="Y6" s="2">
        <f t="shared" si="1"/>
        <v>-3.0447644948293551E-2</v>
      </c>
      <c r="Z6" s="2">
        <f t="shared" si="3"/>
        <v>0.875</v>
      </c>
      <c r="AA6" s="2">
        <f t="shared" si="2"/>
        <v>9.7138475925932388E-2</v>
      </c>
      <c r="AB6" s="2">
        <f t="shared" si="4"/>
        <v>2.191181325492398E-2</v>
      </c>
      <c r="AC6" s="2">
        <f t="shared" si="5"/>
        <v>-2.9576378258111499E-3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-1270.796607020824</v>
      </c>
      <c r="AI6" s="2">
        <f>IF(AN5&gt;0,AK5,AI5)</f>
        <v>5250</v>
      </c>
      <c r="AJ6" s="2">
        <v>2659.5816313323121</v>
      </c>
      <c r="AK6" s="2">
        <f t="shared" ref="AK6:AK44" si="9">(AG6+AI6)/2</f>
        <v>2875</v>
      </c>
      <c r="AL6" s="2">
        <v>830.43094518241969</v>
      </c>
      <c r="AM6" s="2">
        <f t="shared" ref="AM6:AM44" si="10">AH6*AL6</f>
        <v>-1055308.8275029149</v>
      </c>
      <c r="AN6" s="2">
        <f t="shared" ref="AN6:AN44" si="11">AJ6*AL6</f>
        <v>2208598.8878970938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2324.6330157761677</v>
      </c>
      <c r="H7" s="6" t="s">
        <v>21</v>
      </c>
      <c r="J7" s="6" t="s">
        <v>133</v>
      </c>
      <c r="K7" s="6">
        <f>K6/$C$28</f>
        <v>162.37532872651514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9.7138475925932388E-2</v>
      </c>
      <c r="X7" s="2">
        <f t="shared" si="8"/>
        <v>1</v>
      </c>
      <c r="Y7" s="2">
        <f t="shared" si="1"/>
        <v>-3.0447644948293551E-2</v>
      </c>
      <c r="Z7" s="2">
        <f t="shared" si="3"/>
        <v>0.9375</v>
      </c>
      <c r="AA7" s="2">
        <f t="shared" si="2"/>
        <v>3.326022554848973E-2</v>
      </c>
      <c r="AB7" s="2">
        <f t="shared" si="4"/>
        <v>3.2308476187330511E-3</v>
      </c>
      <c r="AC7" s="2">
        <f t="shared" si="5"/>
        <v>-1.0126955384005775E-3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-1270.796607020824</v>
      </c>
      <c r="AI7" s="2">
        <f t="shared" ref="AI7:AI44" si="14">IF(AN6&gt;0,AK6,AI6)</f>
        <v>2875</v>
      </c>
      <c r="AJ7" s="2">
        <v>830.43094518241969</v>
      </c>
      <c r="AK7" s="2">
        <f t="shared" si="9"/>
        <v>1687.5</v>
      </c>
      <c r="AL7" s="2">
        <v>-184.33427902522521</v>
      </c>
      <c r="AM7" s="2">
        <f t="shared" si="10"/>
        <v>234251.37634288604</v>
      </c>
      <c r="AN7" s="2">
        <f t="shared" si="11"/>
        <v>-153076.88956043764</v>
      </c>
      <c r="AO7" s="2">
        <f t="shared" si="12"/>
        <v>2375</v>
      </c>
    </row>
    <row r="8" spans="2:41" x14ac:dyDescent="0.2">
      <c r="B8" s="6" t="s">
        <v>91</v>
      </c>
      <c r="C8" s="16">
        <v>1.85796418243856</v>
      </c>
      <c r="D8" s="6" t="s">
        <v>8</v>
      </c>
      <c r="F8" t="s">
        <v>93</v>
      </c>
      <c r="G8" s="6">
        <f>G10/$C$21</f>
        <v>35.650213291032344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3.326022554848973E-2</v>
      </c>
      <c r="X8" s="2">
        <f t="shared" si="8"/>
        <v>1</v>
      </c>
      <c r="Y8" s="2">
        <f t="shared" si="1"/>
        <v>-3.0447644948293551E-2</v>
      </c>
      <c r="Z8" s="2">
        <f t="shared" si="3"/>
        <v>0.96875</v>
      </c>
      <c r="AA8" s="2">
        <f t="shared" si="2"/>
        <v>1.3870227751615616E-3</v>
      </c>
      <c r="AB8" s="2">
        <f t="shared" si="4"/>
        <v>4.6132690342765698E-5</v>
      </c>
      <c r="AC8" s="2">
        <f t="shared" si="5"/>
        <v>-4.2231576993316023E-5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-184.33427902522521</v>
      </c>
      <c r="AI8" s="2">
        <f t="shared" si="14"/>
        <v>2875</v>
      </c>
      <c r="AJ8" s="2">
        <v>830.43094518241969</v>
      </c>
      <c r="AK8" s="2">
        <f t="shared" si="9"/>
        <v>2281.25</v>
      </c>
      <c r="AL8" s="2">
        <v>331.56711142552899</v>
      </c>
      <c r="AM8" s="2">
        <f t="shared" si="10"/>
        <v>-61119.1844331014</v>
      </c>
      <c r="AN8" s="2">
        <f t="shared" si="11"/>
        <v>275343.58973250672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6.6527333249950207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1.3870227751615616E-3</v>
      </c>
      <c r="X9" s="2">
        <f t="shared" si="8"/>
        <v>1</v>
      </c>
      <c r="Y9" s="2">
        <f t="shared" si="1"/>
        <v>-3.0447644948293551E-2</v>
      </c>
      <c r="Z9" s="2">
        <f t="shared" si="3"/>
        <v>0.984375</v>
      </c>
      <c r="AA9" s="2">
        <f t="shared" si="2"/>
        <v>-1.4534901895760011E-2</v>
      </c>
      <c r="AB9" s="2">
        <f t="shared" si="4"/>
        <v>-2.0160239964158092E-5</v>
      </c>
      <c r="AC9" s="2">
        <f t="shared" si="5"/>
        <v>4.4255353228037965E-4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-184.33427902522521</v>
      </c>
      <c r="AI9" s="2">
        <f t="shared" si="14"/>
        <v>2281.25</v>
      </c>
      <c r="AJ9" s="2">
        <v>331.56711142552899</v>
      </c>
      <c r="AK9" s="2">
        <f t="shared" si="9"/>
        <v>1984.375</v>
      </c>
      <c r="AL9" s="2">
        <v>75.778347360518637</v>
      </c>
      <c r="AM9" s="2">
        <f t="shared" si="10"/>
        <v>-13968.547026424281</v>
      </c>
      <c r="AN9" s="2">
        <f t="shared" si="11"/>
        <v>25125.607742927525</v>
      </c>
      <c r="AO9" s="2">
        <f t="shared" si="12"/>
        <v>593.75</v>
      </c>
    </row>
    <row r="10" spans="2:41" x14ac:dyDescent="0.2">
      <c r="B10" s="6" t="s">
        <v>134</v>
      </c>
      <c r="C10" s="16">
        <v>1.6411331894660399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285.20170632825875</v>
      </c>
      <c r="H10" s="22" t="s">
        <v>97</v>
      </c>
      <c r="J10" s="6" t="s">
        <v>92</v>
      </c>
      <c r="K10" s="6">
        <f xml:space="preserve"> $C$18 * (G10*G6 + G20*G13 + G29*G25 + G33*G32)/3600</f>
        <v>102.87625815072626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1.3870227751615616E-3</v>
      </c>
      <c r="X10" s="2">
        <f t="shared" si="8"/>
        <v>0.984375</v>
      </c>
      <c r="Y10" s="2">
        <f t="shared" si="1"/>
        <v>-1.4534901895760011E-2</v>
      </c>
      <c r="Z10" s="2">
        <f t="shared" si="3"/>
        <v>0.9765625</v>
      </c>
      <c r="AA10" s="2">
        <f t="shared" si="2"/>
        <v>-6.5751144118084692E-3</v>
      </c>
      <c r="AB10" s="2">
        <f t="shared" si="4"/>
        <v>-9.119833438471361E-6</v>
      </c>
      <c r="AC10" s="2">
        <f t="shared" si="5"/>
        <v>9.5568642929033882E-5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-184.33427902522521</v>
      </c>
      <c r="AI10" s="2">
        <f t="shared" si="14"/>
        <v>1984.375</v>
      </c>
      <c r="AJ10" s="2">
        <v>75.778347360518637</v>
      </c>
      <c r="AK10" s="2">
        <f t="shared" si="9"/>
        <v>1835.9375</v>
      </c>
      <c r="AL10" s="2">
        <v>-53.732206882008086</v>
      </c>
      <c r="AM10" s="2">
        <f t="shared" si="10"/>
        <v>9904.6876160292049</v>
      </c>
      <c r="AN10" s="2">
        <f t="shared" si="11"/>
        <v>-4071.7378375520589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0.86129524703967497</v>
      </c>
      <c r="U11" s="2">
        <v>7</v>
      </c>
      <c r="V11" s="2">
        <f t="shared" si="7"/>
        <v>0.96875</v>
      </c>
      <c r="W11" s="2">
        <f t="shared" si="0"/>
        <v>1.3870227751615616E-3</v>
      </c>
      <c r="X11" s="2">
        <f t="shared" si="8"/>
        <v>0.9765625</v>
      </c>
      <c r="Y11" s="2">
        <f t="shared" si="1"/>
        <v>-6.5751144118084692E-3</v>
      </c>
      <c r="Z11" s="2">
        <f t="shared" si="3"/>
        <v>0.97265625</v>
      </c>
      <c r="AA11" s="2">
        <f t="shared" si="2"/>
        <v>-2.5943430185265681E-3</v>
      </c>
      <c r="AB11" s="2">
        <f t="shared" si="4"/>
        <v>-3.598412853277743E-6</v>
      </c>
      <c r="AC11" s="2">
        <f t="shared" si="5"/>
        <v>1.7058102170288724E-5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-53.732206882008086</v>
      </c>
      <c r="AI11" s="2">
        <f t="shared" si="14"/>
        <v>1984.375</v>
      </c>
      <c r="AJ11" s="2">
        <v>75.778347360518637</v>
      </c>
      <c r="AK11" s="2">
        <f t="shared" si="9"/>
        <v>1910.15625</v>
      </c>
      <c r="AL11" s="2">
        <v>11.158780524119493</v>
      </c>
      <c r="AM11" s="2">
        <f t="shared" si="10"/>
        <v>-599.58590367291117</v>
      </c>
      <c r="AN11" s="2">
        <f t="shared" si="11"/>
        <v>845.59394667651713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0.27336394384268697</v>
      </c>
      <c r="U12" s="2">
        <v>8</v>
      </c>
      <c r="V12" s="2">
        <f t="shared" si="7"/>
        <v>0.96875</v>
      </c>
      <c r="W12" s="2">
        <f t="shared" si="0"/>
        <v>1.3870227751615616E-3</v>
      </c>
      <c r="X12" s="2">
        <f t="shared" si="8"/>
        <v>0.97265625</v>
      </c>
      <c r="Y12" s="2">
        <f t="shared" si="1"/>
        <v>-2.5943430185265681E-3</v>
      </c>
      <c r="Z12" s="2">
        <f t="shared" si="3"/>
        <v>0.970703125</v>
      </c>
      <c r="AA12" s="2">
        <f t="shared" si="2"/>
        <v>-6.037348636764861E-4</v>
      </c>
      <c r="AB12" s="2">
        <f t="shared" si="4"/>
        <v>-8.3739400607834682E-7</v>
      </c>
      <c r="AC12" s="2">
        <f t="shared" si="5"/>
        <v>1.5662953286201811E-6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-53.732206882008086</v>
      </c>
      <c r="AI12" s="2">
        <f t="shared" si="14"/>
        <v>1910.15625</v>
      </c>
      <c r="AJ12" s="2">
        <v>11.158780524119493</v>
      </c>
      <c r="AK12" s="2">
        <f t="shared" si="9"/>
        <v>1873.046875</v>
      </c>
      <c r="AL12" s="2">
        <v>-21.25269950554798</v>
      </c>
      <c r="AM12" s="2">
        <f t="shared" si="10"/>
        <v>1141.954446633255</v>
      </c>
      <c r="AN12" s="2">
        <f t="shared" si="11"/>
        <v>-237.15420932747278</v>
      </c>
      <c r="AO12" s="2">
        <f t="shared" si="12"/>
        <v>74.21875</v>
      </c>
    </row>
    <row r="13" spans="2:41" x14ac:dyDescent="0.2">
      <c r="B13" s="6" t="s">
        <v>136</v>
      </c>
      <c r="C13" s="16">
        <v>6.2566371517699704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2.2664553977219275E-2</v>
      </c>
      <c r="U13" s="2">
        <v>9</v>
      </c>
      <c r="V13" s="2">
        <f t="shared" si="7"/>
        <v>0.96875</v>
      </c>
      <c r="W13" s="2">
        <f t="shared" si="0"/>
        <v>1.3870227751615616E-3</v>
      </c>
      <c r="X13" s="2">
        <f t="shared" si="8"/>
        <v>0.970703125</v>
      </c>
      <c r="Y13" s="2">
        <f t="shared" si="1"/>
        <v>-6.037348636764861E-4</v>
      </c>
      <c r="Z13" s="2">
        <f t="shared" si="3"/>
        <v>0.9697265625</v>
      </c>
      <c r="AA13" s="2">
        <f t="shared" si="2"/>
        <v>3.9162521461888478E-4</v>
      </c>
      <c r="AB13" s="2">
        <f t="shared" si="4"/>
        <v>5.4319309200392767E-7</v>
      </c>
      <c r="AC13" s="2">
        <f t="shared" si="5"/>
        <v>-2.3643779556020701E-7</v>
      </c>
      <c r="AD13" s="2">
        <f t="shared" si="6"/>
        <v>1.953125E-3</v>
      </c>
      <c r="AF13" s="2">
        <v>9</v>
      </c>
      <c r="AG13" s="2">
        <f t="shared" si="13"/>
        <v>1873.046875</v>
      </c>
      <c r="AH13" s="2">
        <v>-21.25269950554798</v>
      </c>
      <c r="AI13" s="2">
        <f t="shared" si="14"/>
        <v>1910.15625</v>
      </c>
      <c r="AJ13" s="2">
        <v>11.158780524119493</v>
      </c>
      <c r="AK13" s="2">
        <f t="shared" si="9"/>
        <v>1891.6015625</v>
      </c>
      <c r="AL13" s="2">
        <v>-5.038467217526204</v>
      </c>
      <c r="AM13" s="2">
        <f t="shared" si="10"/>
        <v>107.08102974263886</v>
      </c>
      <c r="AN13" s="2">
        <f t="shared" si="11"/>
        <v>-56.223149858345934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70.220871169893925</v>
      </c>
      <c r="H14" s="6" t="s">
        <v>10</v>
      </c>
      <c r="J14" s="9" t="s">
        <v>75</v>
      </c>
      <c r="K14" s="17">
        <f>C5</f>
        <v>1897.37089603545</v>
      </c>
      <c r="L14" s="6" t="s">
        <v>7</v>
      </c>
      <c r="N14" s="6" t="s">
        <v>40</v>
      </c>
      <c r="O14" s="6">
        <f xml:space="preserve"> O5 * O13 * $C$12</f>
        <v>1541.7316607996127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3.9162521461888478E-4</v>
      </c>
      <c r="X14" s="2">
        <f t="shared" si="8"/>
        <v>0.970703125</v>
      </c>
      <c r="Y14" s="2">
        <f t="shared" si="1"/>
        <v>-6.037348636764861E-4</v>
      </c>
      <c r="Z14" s="2">
        <f t="shared" si="3"/>
        <v>0.97021484375</v>
      </c>
      <c r="AA14" s="2">
        <f t="shared" si="2"/>
        <v>-1.0605950283937293E-4</v>
      </c>
      <c r="AB14" s="2">
        <f t="shared" si="4"/>
        <v>-4.1535575561841641E-8</v>
      </c>
      <c r="AC14" s="2">
        <f t="shared" si="5"/>
        <v>6.4031819488324704E-8</v>
      </c>
      <c r="AD14" s="2">
        <f t="shared" si="6"/>
        <v>9.765625E-4</v>
      </c>
      <c r="AF14" s="2">
        <v>10</v>
      </c>
      <c r="AG14" s="2">
        <f t="shared" si="13"/>
        <v>1891.6015625</v>
      </c>
      <c r="AH14" s="2">
        <v>-5.038467217526204</v>
      </c>
      <c r="AI14" s="2">
        <f t="shared" si="14"/>
        <v>1910.15625</v>
      </c>
      <c r="AJ14" s="2">
        <v>11.158780524119493</v>
      </c>
      <c r="AK14" s="2">
        <f t="shared" si="9"/>
        <v>1900.87890625</v>
      </c>
      <c r="AL14" s="2">
        <v>3.0622784086758656</v>
      </c>
      <c r="AM14" s="2">
        <f t="shared" si="10"/>
        <v>-15.42918937305166</v>
      </c>
      <c r="AN14" s="2">
        <f t="shared" si="11"/>
        <v>34.171292666163886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0.21104983583591769</v>
      </c>
      <c r="H15" s="6" t="s">
        <v>120</v>
      </c>
      <c r="J15" s="10" t="s">
        <v>53</v>
      </c>
      <c r="K15" s="6">
        <f xml:space="preserve"> 1000 * K10 / ($C$60 * $C$61 * $C$62)</f>
        <v>378.22153731884652</v>
      </c>
      <c r="L15" s="6" t="s">
        <v>7</v>
      </c>
      <c r="N15" s="6" t="s">
        <v>140</v>
      </c>
      <c r="O15" s="6">
        <f>O4/O14</f>
        <v>12.061298189121748</v>
      </c>
      <c r="U15" s="2">
        <v>11</v>
      </c>
      <c r="V15" s="2">
        <f t="shared" si="7"/>
        <v>0.9697265625</v>
      </c>
      <c r="W15" s="2">
        <f t="shared" si="0"/>
        <v>3.9162521461888478E-4</v>
      </c>
      <c r="X15" s="2">
        <f t="shared" si="8"/>
        <v>0.97021484375</v>
      </c>
      <c r="Y15" s="2">
        <f t="shared" si="1"/>
        <v>-1.0605950283937293E-4</v>
      </c>
      <c r="Z15" s="2">
        <f t="shared" si="3"/>
        <v>0.969970703125</v>
      </c>
      <c r="AA15" s="2">
        <f t="shared" si="2"/>
        <v>1.4278168544190617E-4</v>
      </c>
      <c r="AB15" s="2">
        <f t="shared" si="4"/>
        <v>5.5916908204832598E-8</v>
      </c>
      <c r="AC15" s="2">
        <f t="shared" si="5"/>
        <v>-1.5143354572536299E-8</v>
      </c>
      <c r="AD15" s="2">
        <f t="shared" si="6"/>
        <v>4.8828125E-4</v>
      </c>
      <c r="AF15" s="2">
        <v>11</v>
      </c>
      <c r="AG15" s="2">
        <f t="shared" si="13"/>
        <v>1891.6015625</v>
      </c>
      <c r="AH15" s="2">
        <v>-5.038467217526204</v>
      </c>
      <c r="AI15" s="2">
        <f t="shared" si="14"/>
        <v>1900.87890625</v>
      </c>
      <c r="AJ15" s="2">
        <v>3.0622784086758656</v>
      </c>
      <c r="AK15" s="2">
        <f t="shared" si="9"/>
        <v>1896.240234375</v>
      </c>
      <c r="AL15" s="2">
        <v>-0.9875638769615307</v>
      </c>
      <c r="AM15" s="2">
        <f t="shared" si="10"/>
        <v>4.9758082192837536</v>
      </c>
      <c r="AN15" s="2">
        <f t="shared" si="11"/>
        <v>-3.0241955376075245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1541.7316607996127</v>
      </c>
      <c r="H16" s="6" t="s">
        <v>21</v>
      </c>
      <c r="J16" s="11" t="s">
        <v>123</v>
      </c>
      <c r="K16" s="6">
        <f>uniform_250!K16</f>
        <v>161.44187427558631</v>
      </c>
      <c r="L16" s="6" t="s">
        <v>7</v>
      </c>
      <c r="N16" s="6" t="s">
        <v>111</v>
      </c>
      <c r="O16" s="6">
        <f>(O13*$C$12)/(0.3048^2)/($C$5*2.20462/1000)^(2/3)</f>
        <v>2.8191262222475442</v>
      </c>
      <c r="U16" s="2">
        <v>12</v>
      </c>
      <c r="V16" s="2">
        <f t="shared" si="7"/>
        <v>0.969970703125</v>
      </c>
      <c r="W16" s="2">
        <f t="shared" si="0"/>
        <v>1.4278168544190617E-4</v>
      </c>
      <c r="X16" s="2">
        <f t="shared" si="8"/>
        <v>0.97021484375</v>
      </c>
      <c r="Y16" s="2">
        <f t="shared" si="1"/>
        <v>-1.0605950283937293E-4</v>
      </c>
      <c r="Z16" s="2">
        <f t="shared" si="3"/>
        <v>0.9700927734375</v>
      </c>
      <c r="AA16" s="2">
        <f t="shared" si="2"/>
        <v>1.8360798798133793E-5</v>
      </c>
      <c r="AB16" s="2">
        <f t="shared" si="4"/>
        <v>2.6215857984572682E-9</v>
      </c>
      <c r="AC16" s="2">
        <f t="shared" si="5"/>
        <v>-1.9473371922638259E-9</v>
      </c>
      <c r="AD16" s="2">
        <f t="shared" si="6"/>
        <v>2.44140625E-4</v>
      </c>
      <c r="AF16" s="2">
        <v>12</v>
      </c>
      <c r="AG16" s="2">
        <f t="shared" si="13"/>
        <v>1896.240234375</v>
      </c>
      <c r="AH16" s="2">
        <v>-0.9875638769615307</v>
      </c>
      <c r="AI16" s="2">
        <f t="shared" si="14"/>
        <v>1900.87890625</v>
      </c>
      <c r="AJ16" s="2">
        <v>3.0622784086758656</v>
      </c>
      <c r="AK16" s="2">
        <f t="shared" si="9"/>
        <v>1898.5595703125</v>
      </c>
      <c r="AL16" s="2">
        <v>1.0374899956309491</v>
      </c>
      <c r="AM16" s="2">
        <f t="shared" si="10"/>
        <v>-1.0245876423941016</v>
      </c>
      <c r="AN16" s="2">
        <f t="shared" si="11"/>
        <v>3.1770832128378736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108.2502191510101</v>
      </c>
      <c r="H17" s="6" t="s">
        <v>97</v>
      </c>
      <c r="J17" s="11" t="s">
        <v>124</v>
      </c>
      <c r="K17" s="6">
        <f>uniform_250!K17</f>
        <v>0</v>
      </c>
      <c r="L17" s="6" t="s">
        <v>7</v>
      </c>
      <c r="U17" s="2">
        <v>13</v>
      </c>
      <c r="V17" s="2">
        <f t="shared" si="7"/>
        <v>0.9700927734375</v>
      </c>
      <c r="W17" s="2">
        <f t="shared" si="0"/>
        <v>1.8360798798133793E-5</v>
      </c>
      <c r="X17" s="2">
        <f t="shared" si="8"/>
        <v>0.97021484375</v>
      </c>
      <c r="Y17" s="2">
        <f t="shared" si="1"/>
        <v>-1.0605950283937293E-4</v>
      </c>
      <c r="Z17" s="2">
        <f t="shared" si="3"/>
        <v>0.97015380859375</v>
      </c>
      <c r="AA17" s="2">
        <f t="shared" si="2"/>
        <v>-4.3849425132802544E-5</v>
      </c>
      <c r="AB17" s="2">
        <f t="shared" si="4"/>
        <v>-8.0511047227721866E-10</v>
      </c>
      <c r="AC17" s="2">
        <f t="shared" si="5"/>
        <v>4.6506482293773419E-9</v>
      </c>
      <c r="AD17" s="2">
        <f t="shared" si="6"/>
        <v>1.220703125E-4</v>
      </c>
      <c r="AF17" s="2">
        <v>13</v>
      </c>
      <c r="AG17" s="2">
        <f t="shared" si="13"/>
        <v>1896.240234375</v>
      </c>
      <c r="AH17" s="2">
        <v>-0.9875638769615307</v>
      </c>
      <c r="AI17" s="2">
        <f t="shared" si="14"/>
        <v>1898.5595703125</v>
      </c>
      <c r="AJ17" s="2">
        <v>1.0374899956309491</v>
      </c>
      <c r="AK17" s="2">
        <f t="shared" si="9"/>
        <v>1897.39990234375</v>
      </c>
      <c r="AL17" s="2">
        <v>2.4996244386557009E-2</v>
      </c>
      <c r="AM17" s="2">
        <f t="shared" si="10"/>
        <v>-2.4685388015866137E-2</v>
      </c>
      <c r="AN17" s="2">
        <f t="shared" si="11"/>
        <v>2.5933353479399169E-2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1.453213406599519</v>
      </c>
      <c r="H18" s="6" t="s">
        <v>172</v>
      </c>
      <c r="J18" s="12" t="s">
        <v>54</v>
      </c>
      <c r="K18" s="6">
        <f>uniform_250!K18</f>
        <v>119.27906567027154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0.9700927734375</v>
      </c>
      <c r="W18" s="2">
        <f t="shared" si="0"/>
        <v>1.8360798798133793E-5</v>
      </c>
      <c r="X18" s="2">
        <f t="shared" si="8"/>
        <v>0.97015380859375</v>
      </c>
      <c r="Y18" s="2">
        <f t="shared" si="1"/>
        <v>-4.3849425132802544E-5</v>
      </c>
      <c r="Z18" s="2">
        <f t="shared" si="3"/>
        <v>0.970123291015625</v>
      </c>
      <c r="AA18" s="2">
        <f t="shared" si="2"/>
        <v>-1.2744331447045454E-5</v>
      </c>
      <c r="AB18" s="2">
        <f t="shared" si="4"/>
        <v>-2.3399610551593089E-10</v>
      </c>
      <c r="AC18" s="2">
        <f t="shared" si="5"/>
        <v>5.5883160765484076E-10</v>
      </c>
      <c r="AD18" s="2">
        <f t="shared" si="6"/>
        <v>6.103515625E-5</v>
      </c>
      <c r="AF18" s="2">
        <v>14</v>
      </c>
      <c r="AG18" s="2">
        <f t="shared" si="13"/>
        <v>1896.240234375</v>
      </c>
      <c r="AH18" s="2">
        <v>-0.9875638769615307</v>
      </c>
      <c r="AI18" s="2">
        <f t="shared" si="14"/>
        <v>1897.39990234375</v>
      </c>
      <c r="AJ18" s="2">
        <v>2.4996244386557009E-2</v>
      </c>
      <c r="AK18" s="2">
        <f t="shared" si="9"/>
        <v>1896.820068359375</v>
      </c>
      <c r="AL18" s="2">
        <v>-0.48127548004754317</v>
      </c>
      <c r="AM18" s="2">
        <f t="shared" si="10"/>
        <v>0.47529027896227355</v>
      </c>
      <c r="AN18" s="2">
        <f t="shared" si="11"/>
        <v>-1.203007951652593E-2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4.3105589020572876E-2</v>
      </c>
      <c r="J19" s="12" t="s">
        <v>73</v>
      </c>
      <c r="K19" s="6">
        <f>uniform_250!K19</f>
        <v>64.102734544032742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0.9700927734375</v>
      </c>
      <c r="W19" s="2">
        <f t="shared" si="0"/>
        <v>1.8360798798133793E-5</v>
      </c>
      <c r="X19" s="2">
        <f t="shared" si="8"/>
        <v>0.970123291015625</v>
      </c>
      <c r="Y19" s="2">
        <f t="shared" si="1"/>
        <v>-1.2744331447045454E-5</v>
      </c>
      <c r="Z19" s="2">
        <f t="shared" si="3"/>
        <v>0.9701080322265625</v>
      </c>
      <c r="AA19" s="2">
        <f t="shared" si="2"/>
        <v>2.8082291053665998E-6</v>
      </c>
      <c r="AB19" s="2">
        <f t="shared" si="4"/>
        <v>5.1561329582699401E-11</v>
      </c>
      <c r="AC19" s="2">
        <f t="shared" si="5"/>
        <v>-3.5789002498031881E-11</v>
      </c>
      <c r="AD19" s="2">
        <f t="shared" si="6"/>
        <v>3.0517578125E-5</v>
      </c>
      <c r="AF19" s="2">
        <v>15</v>
      </c>
      <c r="AG19" s="2">
        <f t="shared" si="13"/>
        <v>1896.820068359375</v>
      </c>
      <c r="AH19" s="2">
        <v>-0.48127548004754317</v>
      </c>
      <c r="AI19" s="2">
        <f t="shared" si="14"/>
        <v>1897.39990234375</v>
      </c>
      <c r="AJ19" s="2">
        <v>2.4996244386557009E-2</v>
      </c>
      <c r="AK19" s="2">
        <f t="shared" si="9"/>
        <v>1897.1099853515625</v>
      </c>
      <c r="AL19" s="2">
        <v>-0.22813741485015271</v>
      </c>
      <c r="AM19" s="2">
        <f t="shared" si="10"/>
        <v>0.10979694384881275</v>
      </c>
      <c r="AN19" s="2">
        <f t="shared" si="11"/>
        <v>-5.7025785753117572E-3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108.2502191510101</v>
      </c>
      <c r="H20" s="22" t="s">
        <v>97</v>
      </c>
      <c r="J20" s="13" t="s">
        <v>61</v>
      </c>
      <c r="K20" s="6">
        <f>uniform_250!K20</f>
        <v>214.71464184538445</v>
      </c>
      <c r="L20" s="6" t="s">
        <v>7</v>
      </c>
      <c r="N20" s="6" t="s">
        <v>20</v>
      </c>
      <c r="O20" s="6">
        <f xml:space="preserve"> O14 / $C$28</f>
        <v>1541.7316607996127</v>
      </c>
      <c r="P20" s="6" t="s">
        <v>21</v>
      </c>
      <c r="U20" s="2">
        <v>16</v>
      </c>
      <c r="V20" s="2">
        <f t="shared" si="7"/>
        <v>0.9701080322265625</v>
      </c>
      <c r="W20" s="2">
        <f t="shared" si="0"/>
        <v>2.8082291053665998E-6</v>
      </c>
      <c r="X20" s="2">
        <f t="shared" si="8"/>
        <v>0.970123291015625</v>
      </c>
      <c r="Y20" s="2">
        <f t="shared" si="1"/>
        <v>-1.2744331447045454E-5</v>
      </c>
      <c r="Z20" s="2">
        <f t="shared" si="3"/>
        <v>0.97011566162109375</v>
      </c>
      <c r="AA20" s="2">
        <f t="shared" si="2"/>
        <v>-4.9680523134254528E-6</v>
      </c>
      <c r="AB20" s="2">
        <f t="shared" si="4"/>
        <v>-1.3951429103545225E-11</v>
      </c>
      <c r="AC20" s="2">
        <f t="shared" si="5"/>
        <v>6.331450532855492E-11</v>
      </c>
      <c r="AD20" s="2">
        <f t="shared" si="6"/>
        <v>1.52587890625E-5</v>
      </c>
      <c r="AF20" s="2">
        <v>16</v>
      </c>
      <c r="AG20" s="2">
        <f t="shared" si="13"/>
        <v>1897.1099853515625</v>
      </c>
      <c r="AH20" s="2">
        <v>-0.22813741485015271</v>
      </c>
      <c r="AI20" s="2">
        <f t="shared" si="14"/>
        <v>1897.39990234375</v>
      </c>
      <c r="AJ20" s="2">
        <v>2.4996244386557009E-2</v>
      </c>
      <c r="AK20" s="2">
        <f t="shared" si="9"/>
        <v>1897.2549438476562</v>
      </c>
      <c r="AL20" s="2">
        <v>-0.10157007414295549</v>
      </c>
      <c r="AM20" s="2">
        <f t="shared" si="10"/>
        <v>2.3171934141112207E-2</v>
      </c>
      <c r="AN20" s="2">
        <f t="shared" si="11"/>
        <v>-2.5388703956380305E-3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uniform_250!K21</f>
        <v>56.841914526510628</v>
      </c>
      <c r="L21" s="6" t="s">
        <v>7</v>
      </c>
      <c r="N21" s="6" t="s">
        <v>27</v>
      </c>
      <c r="O21" s="6">
        <f>$C$6*2*PI()/60</f>
        <v>42.788039155274795</v>
      </c>
      <c r="P21" s="6" t="s">
        <v>28</v>
      </c>
      <c r="U21" s="2">
        <v>17</v>
      </c>
      <c r="V21" s="2">
        <f t="shared" si="7"/>
        <v>0.9701080322265625</v>
      </c>
      <c r="W21" s="2">
        <f t="shared" si="0"/>
        <v>2.8082291053665998E-6</v>
      </c>
      <c r="X21" s="2">
        <f t="shared" si="8"/>
        <v>0.97011566162109375</v>
      </c>
      <c r="Y21" s="2">
        <f t="shared" si="1"/>
        <v>-4.9680523134254528E-6</v>
      </c>
      <c r="Z21" s="2">
        <f t="shared" si="3"/>
        <v>0.97011184692382812</v>
      </c>
      <c r="AA21" s="2">
        <f t="shared" si="2"/>
        <v>-1.0799118896898108E-6</v>
      </c>
      <c r="AB21" s="2">
        <f t="shared" si="4"/>
        <v>-3.0326399998583715E-12</v>
      </c>
      <c r="AC21" s="2">
        <f t="shared" si="5"/>
        <v>5.3650587618691167E-12</v>
      </c>
      <c r="AD21" s="2">
        <f t="shared" si="6"/>
        <v>7.62939453125E-6</v>
      </c>
      <c r="AF21" s="2">
        <v>17</v>
      </c>
      <c r="AG21" s="2">
        <f t="shared" si="13"/>
        <v>1897.2549438476562</v>
      </c>
      <c r="AH21" s="2">
        <v>-0.10157007414295549</v>
      </c>
      <c r="AI21" s="2">
        <f t="shared" si="14"/>
        <v>1897.39990234375</v>
      </c>
      <c r="AJ21" s="2">
        <v>2.4996244386557009E-2</v>
      </c>
      <c r="AK21" s="2">
        <f t="shared" si="9"/>
        <v>1897.3274230957031</v>
      </c>
      <c r="AL21" s="2">
        <v>-3.8286787106699194E-2</v>
      </c>
      <c r="AM21" s="2">
        <f t="shared" si="10"/>
        <v>3.8887918051229895E-3</v>
      </c>
      <c r="AN21" s="2">
        <f t="shared" si="11"/>
        <v>-9.57025887295133E-4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>uniform_250!K22</f>
        <v>140.48578964379911</v>
      </c>
      <c r="L22" s="6" t="s">
        <v>7</v>
      </c>
      <c r="N22" s="6" t="s">
        <v>29</v>
      </c>
      <c r="O22" s="6">
        <f xml:space="preserve"> $C$7 * COS(O19/180*PI()) / (O21 * $C$10)</f>
        <v>8.3227612935007786E-2</v>
      </c>
      <c r="U22" s="2">
        <v>18</v>
      </c>
      <c r="V22" s="2">
        <f t="shared" si="7"/>
        <v>0.9701080322265625</v>
      </c>
      <c r="W22" s="2">
        <f t="shared" si="0"/>
        <v>2.8082291053665998E-6</v>
      </c>
      <c r="X22" s="2">
        <f t="shared" si="8"/>
        <v>0.97011184692382812</v>
      </c>
      <c r="Y22" s="2">
        <f t="shared" si="1"/>
        <v>-1.0799118896898108E-6</v>
      </c>
      <c r="Z22" s="2">
        <f t="shared" si="3"/>
        <v>0.97010993957519531</v>
      </c>
      <c r="AA22" s="2">
        <f t="shared" si="2"/>
        <v>8.6415853650656516E-7</v>
      </c>
      <c r="AB22" s="2">
        <f t="shared" si="4"/>
        <v>2.4267551538687416E-12</v>
      </c>
      <c r="AC22" s="2">
        <f t="shared" si="5"/>
        <v>-9.3321507815038615E-13</v>
      </c>
      <c r="AD22" s="2">
        <f t="shared" si="6"/>
        <v>3.814697265625E-6</v>
      </c>
      <c r="AF22" s="2">
        <v>18</v>
      </c>
      <c r="AG22" s="2">
        <f t="shared" si="13"/>
        <v>1897.3274230957031</v>
      </c>
      <c r="AH22" s="2">
        <v>-3.8286787106699194E-2</v>
      </c>
      <c r="AI22" s="2">
        <f t="shared" si="14"/>
        <v>1897.39990234375</v>
      </c>
      <c r="AJ22" s="2">
        <v>2.4996244386557009E-2</v>
      </c>
      <c r="AK22" s="2">
        <f t="shared" si="9"/>
        <v>1897.3636627197266</v>
      </c>
      <c r="AL22" s="2">
        <v>-6.6450807958062796E-3</v>
      </c>
      <c r="AM22" s="2">
        <f t="shared" si="10"/>
        <v>2.5441879373585028E-4</v>
      </c>
      <c r="AN22" s="2">
        <f t="shared" si="11"/>
        <v>-1.6610206354039051E-4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uniform_250!K23</f>
        <v>24.684431777977931</v>
      </c>
      <c r="L23" s="6" t="s">
        <v>7</v>
      </c>
      <c r="N23" s="6" t="s">
        <v>30</v>
      </c>
      <c r="O23" s="6">
        <f xml:space="preserve"> O20 / ( $C$71 * PI() * $C$10^2 * O21^2 * $C$10^2)</f>
        <v>3.6639013091054079E-2</v>
      </c>
      <c r="U23" s="2">
        <v>19</v>
      </c>
      <c r="V23" s="2">
        <f t="shared" si="7"/>
        <v>0.97010993957519531</v>
      </c>
      <c r="W23" s="2">
        <f t="shared" si="0"/>
        <v>8.6415853650656516E-7</v>
      </c>
      <c r="X23" s="2">
        <f t="shared" si="8"/>
        <v>0.97011184692382812</v>
      </c>
      <c r="Y23" s="2">
        <f t="shared" si="1"/>
        <v>-1.0799118896898108E-6</v>
      </c>
      <c r="Z23" s="2">
        <f t="shared" si="3"/>
        <v>0.97011089324951172</v>
      </c>
      <c r="AA23" s="2">
        <f t="shared" si="2"/>
        <v>-1.0787669446621351E-7</v>
      </c>
      <c r="AB23" s="2">
        <f t="shared" si="4"/>
        <v>-9.3222566413088942E-14</v>
      </c>
      <c r="AC23" s="2">
        <f t="shared" si="5"/>
        <v>1.1649732497449897E-13</v>
      </c>
      <c r="AD23" s="2">
        <f t="shared" si="6"/>
        <v>1.9073486328125E-6</v>
      </c>
      <c r="AF23" s="2">
        <v>19</v>
      </c>
      <c r="AG23" s="2">
        <f t="shared" si="13"/>
        <v>1897.3636627197266</v>
      </c>
      <c r="AH23" s="2">
        <v>-6.6450807958062796E-3</v>
      </c>
      <c r="AI23" s="2">
        <f t="shared" si="14"/>
        <v>1897.39990234375</v>
      </c>
      <c r="AJ23" s="2">
        <v>2.4996244386557009E-2</v>
      </c>
      <c r="AK23" s="2">
        <f t="shared" si="9"/>
        <v>1897.3817825317383</v>
      </c>
      <c r="AL23" s="2">
        <v>9.1755897813072806E-3</v>
      </c>
      <c r="AM23" s="2">
        <f t="shared" si="10"/>
        <v>-6.0972535445961351E-5</v>
      </c>
      <c r="AN23" s="2">
        <f t="shared" si="11"/>
        <v>2.2935528456435197E-4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uniform_250!K24</f>
        <v>8.6330172633340219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0.97010993957519531</v>
      </c>
      <c r="W24" s="2">
        <f t="shared" si="0"/>
        <v>8.6415853650656516E-7</v>
      </c>
      <c r="X24" s="2">
        <f t="shared" si="8"/>
        <v>0.97011089324951172</v>
      </c>
      <c r="Y24" s="2">
        <f t="shared" si="1"/>
        <v>-1.0787669446621351E-7</v>
      </c>
      <c r="Z24" s="2">
        <f t="shared" si="3"/>
        <v>0.97011041641235352</v>
      </c>
      <c r="AA24" s="2">
        <f t="shared" si="2"/>
        <v>3.7814091657928373E-7</v>
      </c>
      <c r="AB24" s="2">
        <f t="shared" si="4"/>
        <v>3.2677370106440494E-13</v>
      </c>
      <c r="AC24" s="2">
        <f t="shared" si="5"/>
        <v>-4.079259212299732E-14</v>
      </c>
      <c r="AD24" s="2">
        <f t="shared" si="6"/>
        <v>9.5367431640625E-7</v>
      </c>
      <c r="AF24" s="2">
        <v>20</v>
      </c>
      <c r="AG24" s="2">
        <f t="shared" si="13"/>
        <v>1897.3636627197266</v>
      </c>
      <c r="AH24" s="2">
        <v>-6.6450807958062796E-3</v>
      </c>
      <c r="AI24" s="2">
        <f t="shared" si="14"/>
        <v>1897.3817825317383</v>
      </c>
      <c r="AJ24" s="2">
        <v>9.1755897813072806E-3</v>
      </c>
      <c r="AK24" s="2">
        <f t="shared" si="9"/>
        <v>1897.3727226257324</v>
      </c>
      <c r="AL24" s="2">
        <v>1.2652564892050577E-3</v>
      </c>
      <c r="AM24" s="2">
        <f t="shared" si="10"/>
        <v>-8.4077315981858048E-6</v>
      </c>
      <c r="AN24" s="2">
        <f t="shared" si="11"/>
        <v>1.1609474513082654E-5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uniform_250!K25</f>
        <v>23.828511081606546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2884.0940048241246</v>
      </c>
      <c r="P25" s="6" t="s">
        <v>19</v>
      </c>
      <c r="U25" s="2">
        <v>21</v>
      </c>
      <c r="V25" s="2">
        <f t="shared" si="7"/>
        <v>0.97011041641235352</v>
      </c>
      <c r="W25" s="2">
        <f t="shared" si="0"/>
        <v>3.7814091657928373E-7</v>
      </c>
      <c r="X25" s="2">
        <f t="shared" si="8"/>
        <v>0.97011089324951172</v>
      </c>
      <c r="Y25" s="2">
        <f t="shared" si="1"/>
        <v>-1.0787669446621351E-7</v>
      </c>
      <c r="Z25" s="2">
        <f t="shared" si="3"/>
        <v>0.97011065483093262</v>
      </c>
      <c r="AA25" s="2">
        <f t="shared" si="2"/>
        <v>1.3513210994631208E-7</v>
      </c>
      <c r="AB25" s="2">
        <f t="shared" si="4"/>
        <v>5.1098979914390996E-14</v>
      </c>
      <c r="AC25" s="2">
        <f t="shared" si="5"/>
        <v>-1.4577605337253081E-14</v>
      </c>
      <c r="AD25" s="2">
        <f t="shared" si="6"/>
        <v>4.76837158203125E-7</v>
      </c>
      <c r="AF25" s="2">
        <v>21</v>
      </c>
      <c r="AG25" s="2">
        <f t="shared" si="13"/>
        <v>1897.3636627197266</v>
      </c>
      <c r="AH25" s="2">
        <v>-6.6450807958062796E-3</v>
      </c>
      <c r="AI25" s="2">
        <f t="shared" si="14"/>
        <v>1897.3727226257324</v>
      </c>
      <c r="AJ25" s="2">
        <v>1.2652564892050577E-3</v>
      </c>
      <c r="AK25" s="2">
        <f t="shared" si="9"/>
        <v>1897.3681926727295</v>
      </c>
      <c r="AL25" s="2">
        <v>-2.6900702757757244E-3</v>
      </c>
      <c r="AM25" s="2">
        <f t="shared" si="10"/>
        <v>1.7875734328926568E-5</v>
      </c>
      <c r="AN25" s="2">
        <f t="shared" si="11"/>
        <v>-3.4036288728428745E-6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2324.6330157761677</v>
      </c>
      <c r="H26" s="6" t="s">
        <v>21</v>
      </c>
      <c r="J26" s="14" t="s">
        <v>65</v>
      </c>
      <c r="K26" s="6">
        <f>uniform_250!K26</f>
        <v>46.872717209553379</v>
      </c>
      <c r="L26" s="6" t="s">
        <v>7</v>
      </c>
      <c r="N26" s="6" t="s">
        <v>32</v>
      </c>
      <c r="O26" s="17">
        <f>Z34</f>
        <v>0.9701107875443995</v>
      </c>
      <c r="U26" s="2">
        <v>22</v>
      </c>
      <c r="V26" s="2">
        <f t="shared" si="7"/>
        <v>0.97011065483093262</v>
      </c>
      <c r="W26" s="2">
        <f t="shared" si="0"/>
        <v>1.3513210994631208E-7</v>
      </c>
      <c r="X26" s="2">
        <f t="shared" si="8"/>
        <v>0.97011089324951172</v>
      </c>
      <c r="Y26" s="2">
        <f t="shared" si="1"/>
        <v>-1.0787669446621351E-7</v>
      </c>
      <c r="Z26" s="2">
        <f t="shared" si="3"/>
        <v>0.97011077404022217</v>
      </c>
      <c r="AA26" s="2">
        <f t="shared" si="2"/>
        <v>1.3627707518004684E-8</v>
      </c>
      <c r="AB26" s="2">
        <f t="shared" si="4"/>
        <v>1.8415408706391929E-15</v>
      </c>
      <c r="AC26" s="2">
        <f t="shared" si="5"/>
        <v>-1.4701120401947121E-15</v>
      </c>
      <c r="AD26" s="2">
        <f t="shared" si="6"/>
        <v>2.384185791015625E-7</v>
      </c>
      <c r="AF26" s="2">
        <v>22</v>
      </c>
      <c r="AG26" s="2">
        <f t="shared" si="13"/>
        <v>1897.3681926727295</v>
      </c>
      <c r="AH26" s="2">
        <v>-2.6900702757757244E-3</v>
      </c>
      <c r="AI26" s="2">
        <f t="shared" si="14"/>
        <v>1897.3727226257324</v>
      </c>
      <c r="AJ26" s="2">
        <v>1.2652564892050577E-3</v>
      </c>
      <c r="AK26" s="2">
        <f t="shared" si="9"/>
        <v>1897.370457649231</v>
      </c>
      <c r="AL26" s="2">
        <v>-7.1240676857087237E-4</v>
      </c>
      <c r="AM26" s="2">
        <f t="shared" si="10"/>
        <v>1.9164242723939393E-6</v>
      </c>
      <c r="AN26" s="2">
        <f t="shared" si="11"/>
        <v>-9.0137728688790201E-7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31.468591265347996</v>
      </c>
      <c r="H27" t="s">
        <v>97</v>
      </c>
      <c r="J27" s="14" t="s">
        <v>66</v>
      </c>
      <c r="K27" s="6">
        <f>uniform_250!K27</f>
        <v>7.8282529536978558</v>
      </c>
      <c r="L27" s="6" t="s">
        <v>7</v>
      </c>
      <c r="N27" s="6" t="s">
        <v>33</v>
      </c>
      <c r="O27" s="6">
        <f xml:space="preserve"> O21 * $C$10 * O26 - $C$7 * SIN(O19/180*PI())</f>
        <v>1.3211929574395214</v>
      </c>
      <c r="P27" s="6" t="s">
        <v>10</v>
      </c>
      <c r="U27" s="2">
        <v>23</v>
      </c>
      <c r="V27" s="2">
        <f t="shared" si="7"/>
        <v>0.97011077404022217</v>
      </c>
      <c r="W27" s="2">
        <f t="shared" si="0"/>
        <v>1.3627707518004684E-8</v>
      </c>
      <c r="X27" s="2">
        <f t="shared" si="8"/>
        <v>0.97011089324951172</v>
      </c>
      <c r="Y27" s="2">
        <f t="shared" si="1"/>
        <v>-1.0787669446621351E-7</v>
      </c>
      <c r="Z27" s="2">
        <f t="shared" si="3"/>
        <v>0.97011083364486694</v>
      </c>
      <c r="AA27" s="2">
        <f t="shared" si="2"/>
        <v>-4.7124493529615563E-8</v>
      </c>
      <c r="AB27" s="2">
        <f t="shared" si="4"/>
        <v>-6.4219881475570504E-16</v>
      </c>
      <c r="AC27" s="2">
        <f t="shared" si="5"/>
        <v>5.0836345903693937E-15</v>
      </c>
      <c r="AD27" s="2">
        <f t="shared" si="6"/>
        <v>1.1920928955078125E-7</v>
      </c>
      <c r="AF27" s="2">
        <v>23</v>
      </c>
      <c r="AG27" s="2">
        <f t="shared" si="13"/>
        <v>1897.370457649231</v>
      </c>
      <c r="AH27" s="2">
        <v>-7.1240676857087237E-4</v>
      </c>
      <c r="AI27" s="2">
        <f t="shared" si="14"/>
        <v>1897.3727226257324</v>
      </c>
      <c r="AJ27" s="2">
        <v>1.2652564892050577E-3</v>
      </c>
      <c r="AK27" s="2">
        <f t="shared" si="9"/>
        <v>1897.3715901374817</v>
      </c>
      <c r="AL27" s="2">
        <v>2.7626626979326829E-4</v>
      </c>
      <c r="AM27" s="2">
        <f t="shared" si="10"/>
        <v>-1.9681396052855107E-7</v>
      </c>
      <c r="AN27" s="2">
        <f t="shared" si="11"/>
        <v>3.4954769060440792E-7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7.5367645155948004</v>
      </c>
      <c r="H28" s="6" t="s">
        <v>172</v>
      </c>
      <c r="J28" s="14" t="s">
        <v>67</v>
      </c>
      <c r="K28" s="6">
        <f>uniform_250!K28</f>
        <v>13.991855883448771</v>
      </c>
      <c r="L28" s="6" t="s">
        <v>7</v>
      </c>
      <c r="N28" s="6" t="s">
        <v>34</v>
      </c>
      <c r="O28" s="6">
        <f xml:space="preserve"> 1/$C$31 - O25 * SQRT( (2*$C$71*PI()*$C$10^2) / O20^3 )</f>
        <v>1.1365095742975264</v>
      </c>
      <c r="U28" s="2">
        <v>24</v>
      </c>
      <c r="V28" s="2">
        <f t="shared" si="7"/>
        <v>0.97011077404022217</v>
      </c>
      <c r="W28" s="2">
        <f t="shared" si="0"/>
        <v>1.3627707518004684E-8</v>
      </c>
      <c r="X28" s="2">
        <f t="shared" si="8"/>
        <v>0.97011083364486694</v>
      </c>
      <c r="Y28" s="2">
        <f t="shared" si="1"/>
        <v>-4.7124493529615563E-8</v>
      </c>
      <c r="Z28" s="2">
        <f t="shared" si="3"/>
        <v>0.97011080384254456</v>
      </c>
      <c r="AA28" s="2">
        <f t="shared" si="2"/>
        <v>-1.674839300580544E-8</v>
      </c>
      <c r="AB28" s="2">
        <f t="shared" si="4"/>
        <v>-2.2824220127971184E-16</v>
      </c>
      <c r="AC28" s="2">
        <f t="shared" si="5"/>
        <v>7.8925953783353701E-16</v>
      </c>
      <c r="AD28" s="2">
        <f t="shared" si="6"/>
        <v>5.9604644775390625E-8</v>
      </c>
      <c r="AF28" s="2">
        <v>24</v>
      </c>
      <c r="AG28" s="2">
        <f t="shared" si="13"/>
        <v>1897.370457649231</v>
      </c>
      <c r="AH28" s="2">
        <v>-7.1240676857087237E-4</v>
      </c>
      <c r="AI28" s="2">
        <f t="shared" si="14"/>
        <v>1897.3715901374817</v>
      </c>
      <c r="AJ28" s="2">
        <v>2.7626626979326829E-4</v>
      </c>
      <c r="AK28" s="2">
        <f t="shared" si="9"/>
        <v>1897.3710238933563</v>
      </c>
      <c r="AL28" s="2">
        <v>-2.1791161975670548E-4</v>
      </c>
      <c r="AM28" s="2">
        <f t="shared" si="10"/>
        <v>1.5524171286491921E-7</v>
      </c>
      <c r="AN28" s="2">
        <f t="shared" si="11"/>
        <v>-6.0201630334794093E-8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251.74873012278397</v>
      </c>
      <c r="H29" s="22" t="s">
        <v>97</v>
      </c>
      <c r="J29" s="14" t="s">
        <v>68</v>
      </c>
      <c r="K29" s="6">
        <f>uniform_250!K29</f>
        <v>36.444881753275084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0.97011077404022217</v>
      </c>
      <c r="W29" s="2">
        <f t="shared" si="0"/>
        <v>1.3627707518004684E-8</v>
      </c>
      <c r="X29" s="2">
        <f t="shared" si="8"/>
        <v>0.97011080384254456</v>
      </c>
      <c r="Y29" s="2">
        <f t="shared" si="1"/>
        <v>-1.674839300580544E-8</v>
      </c>
      <c r="Z29" s="2">
        <f t="shared" si="3"/>
        <v>0.97011078894138336</v>
      </c>
      <c r="AA29" s="2">
        <f t="shared" si="2"/>
        <v>-1.5603427439003781E-9</v>
      </c>
      <c r="AB29" s="2">
        <f t="shared" si="4"/>
        <v>-2.1263894541715239E-17</v>
      </c>
      <c r="AC29" s="2">
        <f t="shared" si="5"/>
        <v>2.6133233498600361E-17</v>
      </c>
      <c r="AD29" s="2">
        <f t="shared" si="6"/>
        <v>2.9802322387695312E-8</v>
      </c>
      <c r="AF29" s="2">
        <v>25</v>
      </c>
      <c r="AG29" s="2">
        <f t="shared" si="13"/>
        <v>1897.3710238933563</v>
      </c>
      <c r="AH29" s="2">
        <v>-2.1791161975670548E-4</v>
      </c>
      <c r="AI29" s="2">
        <f t="shared" si="14"/>
        <v>1897.3715901374817</v>
      </c>
      <c r="AJ29" s="2">
        <v>2.7626626979326829E-4</v>
      </c>
      <c r="AK29" s="2">
        <f t="shared" si="9"/>
        <v>1897.371307015419</v>
      </c>
      <c r="AL29" s="2">
        <v>2.9018705390626565E-5</v>
      </c>
      <c r="AM29" s="2">
        <f t="shared" si="10"/>
        <v>-6.3235130949140754E-9</v>
      </c>
      <c r="AN29" s="2">
        <f t="shared" si="11"/>
        <v>8.0168894924982075E-9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-3.2971187511066091E-4</v>
      </c>
      <c r="L30" s="9" t="s">
        <v>7</v>
      </c>
      <c r="N30" s="6" t="s">
        <v>36</v>
      </c>
      <c r="O30" s="6">
        <f xml:space="preserve"> 1/$C$77 * LN( EXP($C$77 * O28) + EXP($C$77 * O29) )</f>
        <v>1.1670375542168099</v>
      </c>
      <c r="U30" s="2">
        <v>26</v>
      </c>
      <c r="V30" s="2">
        <f>IF(AB29&gt;0, Z29, V29)</f>
        <v>0.97011077404022217</v>
      </c>
      <c r="W30" s="2">
        <f t="shared" si="0"/>
        <v>1.3627707518004684E-8</v>
      </c>
      <c r="X30" s="2">
        <f t="shared" si="8"/>
        <v>0.97011078894138336</v>
      </c>
      <c r="Y30" s="2">
        <f t="shared" si="1"/>
        <v>-1.5603427439003781E-9</v>
      </c>
      <c r="Z30" s="2">
        <f t="shared" si="3"/>
        <v>0.97011078149080276</v>
      </c>
      <c r="AA30" s="2">
        <f t="shared" si="2"/>
        <v>6.0336823315410015E-9</v>
      </c>
      <c r="AB30" s="2">
        <f t="shared" si="4"/>
        <v>8.2225258070793334E-17</v>
      </c>
      <c r="AC30" s="2">
        <f t="shared" si="5"/>
        <v>-9.4146124450199171E-18</v>
      </c>
      <c r="AD30" s="2">
        <f t="shared" si="6"/>
        <v>1.4901161193847656E-8</v>
      </c>
      <c r="AF30" s="2">
        <v>26</v>
      </c>
      <c r="AG30" s="2">
        <f t="shared" si="13"/>
        <v>1897.3710238933563</v>
      </c>
      <c r="AH30" s="2">
        <v>-2.1791161975670548E-4</v>
      </c>
      <c r="AI30" s="2">
        <f t="shared" si="14"/>
        <v>1897.371307015419</v>
      </c>
      <c r="AJ30" s="2">
        <v>2.9018705390626565E-5</v>
      </c>
      <c r="AK30" s="2">
        <f t="shared" si="9"/>
        <v>1897.3711654543877</v>
      </c>
      <c r="AL30" s="2">
        <v>-9.4446456614605268E-5</v>
      </c>
      <c r="AM30" s="2">
        <f t="shared" si="10"/>
        <v>2.0580980341170042E-8</v>
      </c>
      <c r="AN30" s="2">
        <f t="shared" si="11"/>
        <v>-2.7407138996878238E-9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0.97011078149080276</v>
      </c>
      <c r="W31" s="2">
        <f t="shared" si="0"/>
        <v>6.0336823315410015E-9</v>
      </c>
      <c r="X31" s="2">
        <f t="shared" si="8"/>
        <v>0.97011078894138336</v>
      </c>
      <c r="Y31" s="2">
        <f t="shared" si="1"/>
        <v>-1.5603427439003781E-9</v>
      </c>
      <c r="Z31" s="2">
        <f t="shared" si="3"/>
        <v>0.97011078521609306</v>
      </c>
      <c r="AA31" s="2">
        <f t="shared" si="2"/>
        <v>2.2366697383091605E-9</v>
      </c>
      <c r="AB31" s="2">
        <f t="shared" si="4"/>
        <v>1.3495354681528417E-17</v>
      </c>
      <c r="AC31" s="2">
        <f t="shared" si="5"/>
        <v>-3.4899713966722561E-18</v>
      </c>
      <c r="AD31" s="2">
        <f t="shared" si="6"/>
        <v>7.4505805969238281E-9</v>
      </c>
      <c r="AF31" s="2">
        <v>27</v>
      </c>
      <c r="AG31" s="2">
        <f t="shared" si="13"/>
        <v>1897.3711654543877</v>
      </c>
      <c r="AH31" s="2">
        <v>-9.4446456614605268E-5</v>
      </c>
      <c r="AI31" s="2">
        <f t="shared" si="14"/>
        <v>1897.371307015419</v>
      </c>
      <c r="AJ31" s="2">
        <v>2.9018705390626565E-5</v>
      </c>
      <c r="AK31" s="2">
        <f t="shared" si="9"/>
        <v>1897.3712362349033</v>
      </c>
      <c r="AL31" s="2">
        <v>-3.2555253937971429E-5</v>
      </c>
      <c r="AM31" s="2">
        <f t="shared" si="10"/>
        <v>3.074728378630076E-9</v>
      </c>
      <c r="AN31" s="2">
        <f t="shared" si="11"/>
        <v>-9.447113229430282E-10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0.97011078521609306</v>
      </c>
      <c r="W32" s="2">
        <f t="shared" si="0"/>
        <v>2.2366697383091605E-9</v>
      </c>
      <c r="X32" s="2">
        <f t="shared" si="8"/>
        <v>0.97011078894138336</v>
      </c>
      <c r="Y32" s="2">
        <f t="shared" si="1"/>
        <v>-1.5603427439003781E-9</v>
      </c>
      <c r="Z32" s="2">
        <f t="shared" si="3"/>
        <v>0.97011078707873821</v>
      </c>
      <c r="AA32" s="2">
        <f t="shared" si="2"/>
        <v>3.3816349720439121E-10</v>
      </c>
      <c r="AB32" s="2">
        <f t="shared" si="4"/>
        <v>7.563600607978562E-19</v>
      </c>
      <c r="AC32" s="2">
        <f t="shared" si="5"/>
        <v>-5.2765095911484761E-19</v>
      </c>
      <c r="AD32" s="2">
        <f t="shared" si="6"/>
        <v>3.7252902984619141E-9</v>
      </c>
      <c r="AF32" s="2">
        <v>28</v>
      </c>
      <c r="AG32" s="2">
        <f t="shared" si="13"/>
        <v>1897.3712362349033</v>
      </c>
      <c r="AH32" s="2">
        <v>-3.2555253937971429E-5</v>
      </c>
      <c r="AI32" s="2">
        <f t="shared" si="14"/>
        <v>1897.371307015419</v>
      </c>
      <c r="AJ32" s="2">
        <v>2.9018705390626565E-5</v>
      </c>
      <c r="AK32" s="2">
        <f t="shared" si="9"/>
        <v>1897.3712716251612</v>
      </c>
      <c r="AL32" s="2">
        <v>-1.6096525996545097E-6</v>
      </c>
      <c r="AM32" s="2">
        <f t="shared" si="10"/>
        <v>5.2402649133668424E-11</v>
      </c>
      <c r="AN32" s="2">
        <f t="shared" si="11"/>
        <v>-4.6710034570630384E-11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108.2502191510101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0.97011078707873821</v>
      </c>
      <c r="W33" s="2">
        <f t="shared" si="0"/>
        <v>3.3816349720439121E-10</v>
      </c>
      <c r="X33" s="2">
        <f t="shared" si="8"/>
        <v>0.97011078894138336</v>
      </c>
      <c r="Y33" s="2">
        <f t="shared" si="1"/>
        <v>-1.5603427439003781E-9</v>
      </c>
      <c r="Z33" s="2">
        <f t="shared" si="3"/>
        <v>0.97011078801006079</v>
      </c>
      <c r="AA33" s="2">
        <f t="shared" si="2"/>
        <v>-6.1108962334799344E-10</v>
      </c>
      <c r="AB33" s="2">
        <f t="shared" si="4"/>
        <v>-2.0664820413667165E-19</v>
      </c>
      <c r="AC33" s="2">
        <f t="shared" si="5"/>
        <v>9.5350925966385663E-19</v>
      </c>
      <c r="AD33" s="2">
        <f t="shared" si="6"/>
        <v>1.862645149230957E-9</v>
      </c>
      <c r="AF33" s="2">
        <v>29</v>
      </c>
      <c r="AG33" s="2">
        <f t="shared" si="13"/>
        <v>1897.3712716251612</v>
      </c>
      <c r="AH33" s="2">
        <v>-1.6096525996545097E-6</v>
      </c>
      <c r="AI33" s="2">
        <f t="shared" si="14"/>
        <v>1897.371307015419</v>
      </c>
      <c r="AJ33" s="2">
        <v>2.9018705390626565E-5</v>
      </c>
      <c r="AK33" s="2">
        <f t="shared" si="9"/>
        <v>1897.3712893202901</v>
      </c>
      <c r="AL33" s="2">
        <v>1.386314806950395E-5</v>
      </c>
      <c r="AM33" s="2">
        <f t="shared" si="10"/>
        <v>-2.231485232947243E-11</v>
      </c>
      <c r="AN33" s="2">
        <f t="shared" si="11"/>
        <v>4.0229060961556853E-10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31.62</v>
      </c>
      <c r="L34" s="6" t="s">
        <v>59</v>
      </c>
      <c r="U34" s="2">
        <v>30</v>
      </c>
      <c r="V34" s="2">
        <f t="shared" si="7"/>
        <v>0.97011078707873821</v>
      </c>
      <c r="W34" s="2">
        <f t="shared" si="0"/>
        <v>3.3816349720439121E-10</v>
      </c>
      <c r="X34" s="2">
        <f t="shared" si="8"/>
        <v>0.97011078801006079</v>
      </c>
      <c r="Y34" s="2">
        <f t="shared" si="1"/>
        <v>-6.1108962334799344E-10</v>
      </c>
      <c r="Z34" s="2">
        <f t="shared" si="3"/>
        <v>0.9701107875443995</v>
      </c>
      <c r="AA34" s="2">
        <f t="shared" si="2"/>
        <v>-1.3646306307180112E-10</v>
      </c>
      <c r="AB34" s="2">
        <f t="shared" si="4"/>
        <v>-4.6146826647583678E-20</v>
      </c>
      <c r="AC34" s="2">
        <f t="shared" si="5"/>
        <v>8.3391161813460416E-20</v>
      </c>
      <c r="AD34" s="2">
        <f t="shared" si="6"/>
        <v>9.3132257461547852E-10</v>
      </c>
      <c r="AF34" s="2">
        <v>30</v>
      </c>
      <c r="AG34" s="2">
        <f t="shared" si="13"/>
        <v>1897.3712716251612</v>
      </c>
      <c r="AH34" s="2">
        <v>-1.6096525996545097E-6</v>
      </c>
      <c r="AI34" s="2">
        <f t="shared" si="14"/>
        <v>1897.3712893202901</v>
      </c>
      <c r="AJ34" s="2">
        <v>1.386314806950395E-5</v>
      </c>
      <c r="AK34" s="2">
        <f t="shared" si="9"/>
        <v>1897.3712804727256</v>
      </c>
      <c r="AL34" s="2">
        <v>6.1267476212378824E-6</v>
      </c>
      <c r="AM34" s="2">
        <f t="shared" si="10"/>
        <v>-9.8619352359526407E-12</v>
      </c>
      <c r="AN34" s="2">
        <f t="shared" si="11"/>
        <v>8.4936009457701867E-11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19.93</v>
      </c>
      <c r="L35" s="6" t="s">
        <v>59</v>
      </c>
      <c r="AF35" s="2">
        <v>31</v>
      </c>
      <c r="AG35" s="2">
        <f t="shared" si="13"/>
        <v>1897.3712716251612</v>
      </c>
      <c r="AH35" s="2">
        <v>-1.6096525996545097E-6</v>
      </c>
      <c r="AI35" s="2">
        <f t="shared" si="14"/>
        <v>1897.3712804727256</v>
      </c>
      <c r="AJ35" s="2">
        <v>6.1267476212378824E-6</v>
      </c>
      <c r="AK35" s="2">
        <f t="shared" si="9"/>
        <v>1897.3712760489434</v>
      </c>
      <c r="AL35" s="2">
        <v>2.2585475107916864E-6</v>
      </c>
      <c r="AM35" s="2">
        <f t="shared" si="10"/>
        <v>-3.6354768721890597E-12</v>
      </c>
      <c r="AN35" s="2">
        <f t="shared" si="11"/>
        <v>1.3837550589195705E-11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18.170000000000002</v>
      </c>
      <c r="L36" s="6" t="s">
        <v>59</v>
      </c>
      <c r="AF36" s="2">
        <v>32</v>
      </c>
      <c r="AG36" s="2">
        <f t="shared" si="13"/>
        <v>1897.3712716251612</v>
      </c>
      <c r="AH36" s="2">
        <v>-1.6096525996545097E-6</v>
      </c>
      <c r="AI36" s="2">
        <f t="shared" si="14"/>
        <v>1897.3712760489434</v>
      </c>
      <c r="AJ36" s="2">
        <v>2.2585475107916864E-6</v>
      </c>
      <c r="AK36" s="2">
        <f t="shared" si="9"/>
        <v>1897.3712738370523</v>
      </c>
      <c r="AL36" s="2">
        <v>3.2444745556858834E-7</v>
      </c>
      <c r="AM36" s="2">
        <f t="shared" si="10"/>
        <v>-5.2224769030726924E-13</v>
      </c>
      <c r="AN36" s="2">
        <f t="shared" si="11"/>
        <v>7.3277999315713145E-13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24.73</v>
      </c>
      <c r="L37" s="6" t="s">
        <v>59</v>
      </c>
      <c r="AF37" s="2">
        <v>33</v>
      </c>
      <c r="AG37" s="2">
        <f t="shared" si="13"/>
        <v>1897.3712716251612</v>
      </c>
      <c r="AH37" s="2">
        <v>-1.6096525996545097E-6</v>
      </c>
      <c r="AI37" s="2">
        <f t="shared" si="14"/>
        <v>1897.3712738370523</v>
      </c>
      <c r="AJ37" s="2">
        <v>3.2444745556858834E-7</v>
      </c>
      <c r="AK37" s="2">
        <f t="shared" si="9"/>
        <v>1897.3712727311067</v>
      </c>
      <c r="AL37" s="2">
        <v>-6.4260257204296067E-7</v>
      </c>
      <c r="AM37" s="2">
        <f t="shared" si="10"/>
        <v>1.034366900633626E-12</v>
      </c>
      <c r="AN37" s="2">
        <f t="shared" si="11"/>
        <v>-2.0849076944116907E-13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5.54</v>
      </c>
      <c r="L38" s="6" t="s">
        <v>59</v>
      </c>
      <c r="AF38" s="2">
        <v>34</v>
      </c>
      <c r="AG38" s="2">
        <f t="shared" si="13"/>
        <v>1897.3712727311067</v>
      </c>
      <c r="AH38" s="2">
        <v>-6.4260257204296067E-7</v>
      </c>
      <c r="AI38" s="2">
        <f t="shared" si="14"/>
        <v>1897.3712738370523</v>
      </c>
      <c r="AJ38" s="2">
        <v>3.2444745556858834E-7</v>
      </c>
      <c r="AK38" s="2">
        <f t="shared" si="9"/>
        <v>1897.3712732840795</v>
      </c>
      <c r="AL38" s="2">
        <v>-1.5907744455034845E-7</v>
      </c>
      <c r="AM38" s="2">
        <f t="shared" si="10"/>
        <v>1.0222357502207537E-13</v>
      </c>
      <c r="AN38" s="2">
        <f t="shared" si="11"/>
        <v>-5.1612272122713753E-14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99.990000000000009</v>
      </c>
      <c r="L39" s="9" t="s">
        <v>59</v>
      </c>
      <c r="AF39" s="2">
        <v>35</v>
      </c>
      <c r="AG39" s="2">
        <f t="shared" si="13"/>
        <v>1897.3712732840795</v>
      </c>
      <c r="AH39" s="2">
        <v>-1.5907744455034845E-7</v>
      </c>
      <c r="AI39" s="2">
        <f t="shared" si="14"/>
        <v>1897.3712738370523</v>
      </c>
      <c r="AJ39" s="2">
        <v>3.2444745556858834E-7</v>
      </c>
      <c r="AK39" s="2">
        <f t="shared" si="9"/>
        <v>1897.3712735605659</v>
      </c>
      <c r="AL39" s="2">
        <v>8.2685119195957668E-8</v>
      </c>
      <c r="AM39" s="2">
        <f t="shared" si="10"/>
        <v>-1.3153337464033908E-14</v>
      </c>
      <c r="AN39" s="2">
        <f t="shared" si="11"/>
        <v>2.6826976536513906E-14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1897.3712732840795</v>
      </c>
      <c r="AH40" s="2">
        <v>-1.5907744455034845E-7</v>
      </c>
      <c r="AI40" s="2">
        <f t="shared" si="14"/>
        <v>1897.3712735605659</v>
      </c>
      <c r="AJ40" s="2">
        <v>8.2685119195957668E-8</v>
      </c>
      <c r="AK40" s="2">
        <f t="shared" si="9"/>
        <v>1897.3712734223227</v>
      </c>
      <c r="AL40" s="2">
        <v>-3.819627636403311E-8</v>
      </c>
      <c r="AM40" s="2">
        <f t="shared" si="10"/>
        <v>6.0761660353292621E-15</v>
      </c>
      <c r="AN40" s="2">
        <f t="shared" si="11"/>
        <v>-3.1582636640018183E-15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1897.3712734223227</v>
      </c>
      <c r="AH41" s="2">
        <v>-3.819627636403311E-8</v>
      </c>
      <c r="AI41" s="2">
        <f t="shared" si="14"/>
        <v>1897.3712735605659</v>
      </c>
      <c r="AJ41" s="2">
        <v>8.2685119195957668E-8</v>
      </c>
      <c r="AK41" s="2">
        <f t="shared" si="9"/>
        <v>1897.3712734914443</v>
      </c>
      <c r="AL41" s="2">
        <v>2.2244194042286836E-8</v>
      </c>
      <c r="AM41" s="2">
        <f t="shared" si="10"/>
        <v>-8.4964538313436679E-16</v>
      </c>
      <c r="AN41" s="2">
        <f t="shared" si="11"/>
        <v>1.8392638358044984E-15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1897.3712734223227</v>
      </c>
      <c r="AH42" s="2">
        <v>-3.819627636403311E-8</v>
      </c>
      <c r="AI42" s="2">
        <f t="shared" si="14"/>
        <v>1897.3712734914443</v>
      </c>
      <c r="AJ42" s="2">
        <v>2.2244194042286836E-8</v>
      </c>
      <c r="AK42" s="2">
        <f t="shared" si="9"/>
        <v>1897.3712734568835</v>
      </c>
      <c r="AL42" s="2">
        <v>-7.9760411608731374E-9</v>
      </c>
      <c r="AM42" s="2">
        <f t="shared" si="10"/>
        <v>3.0465507247161383E-16</v>
      </c>
      <c r="AN42" s="2">
        <f t="shared" si="11"/>
        <v>-1.7742060727172882E-16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378.22</v>
      </c>
      <c r="L43" s="6" t="s">
        <v>7</v>
      </c>
      <c r="AF43" s="2">
        <v>39</v>
      </c>
      <c r="AG43" s="2">
        <f t="shared" si="13"/>
        <v>1897.3712734568835</v>
      </c>
      <c r="AH43" s="2">
        <v>-7.9760411608731374E-9</v>
      </c>
      <c r="AI43" s="2">
        <f t="shared" si="14"/>
        <v>1897.3712734914443</v>
      </c>
      <c r="AJ43" s="2">
        <v>2.2244194042286836E-8</v>
      </c>
      <c r="AK43" s="2">
        <f t="shared" si="9"/>
        <v>1897.3712734741639</v>
      </c>
      <c r="AL43" s="2">
        <v>7.1340764407068491E-9</v>
      </c>
      <c r="AM43" s="2">
        <f t="shared" si="10"/>
        <v>-5.6901687335893157E-17</v>
      </c>
      <c r="AN43" s="2">
        <f t="shared" si="11"/>
        <v>1.5869178065959017E-16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344.82</v>
      </c>
      <c r="L44" s="6" t="s">
        <v>7</v>
      </c>
      <c r="AF44" s="2">
        <v>40</v>
      </c>
      <c r="AG44" s="2">
        <f t="shared" si="13"/>
        <v>1897.3712734568835</v>
      </c>
      <c r="AH44" s="2">
        <v>-7.9760411608731374E-9</v>
      </c>
      <c r="AI44" s="2">
        <f t="shared" si="14"/>
        <v>1897.3712734741639</v>
      </c>
      <c r="AJ44" s="2">
        <v>7.1340764407068491E-9</v>
      </c>
      <c r="AK44" s="5">
        <f t="shared" si="9"/>
        <v>1897.3712734655237</v>
      </c>
      <c r="AL44" s="2">
        <v>-4.2086867324542254E-10</v>
      </c>
      <c r="AM44" s="2">
        <f t="shared" si="10"/>
        <v>3.3568658611275572E-18</v>
      </c>
      <c r="AN44" s="2">
        <f t="shared" si="11"/>
        <v>-3.0025092864317179E-18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469.19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105.14</v>
      </c>
      <c r="L46" s="6" t="s">
        <v>7</v>
      </c>
    </row>
    <row r="47" spans="2:41" x14ac:dyDescent="0.2">
      <c r="J47" s="9" t="s">
        <v>60</v>
      </c>
      <c r="K47" s="9">
        <f>SUM(K42:K46)</f>
        <v>1897.3700000000001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41" priority="1" operator="containsText" text="FALSE">
      <formula>NOT(ISERROR(SEARCH("FALSE",K31)))</formula>
    </cfRule>
    <cfRule type="containsText" dxfId="40" priority="2" operator="containsText" text="TRUE">
      <formula>NOT(ISERROR(SEARCH("TRUE",K31)))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NOT(ISERROR(SEARCH("YES",K31)))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391.55170436029795</v>
      </c>
      <c r="L4" s="6" t="s">
        <v>97</v>
      </c>
      <c r="N4" s="6" t="s">
        <v>131</v>
      </c>
      <c r="O4" s="6">
        <f xml:space="preserve"> $C$5 * $C$74</f>
        <v>17484.069924342479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1.1664389079348483</v>
      </c>
      <c r="X4" s="3">
        <v>1</v>
      </c>
      <c r="Y4" s="2">
        <f t="shared" ref="Y4:Y34" si="1" xml:space="preserve"> $O$22 * TAN($O$19/180*PI()) + $O$23 / (2 * SQRT($O$22^2 + X4^2)) - X4</f>
        <v>-3.0859892913609466E-2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0.48662158961994562</v>
      </c>
      <c r="AB4" s="2">
        <f>W4*AA4</f>
        <v>0.56761435557380924</v>
      </c>
      <c r="AC4" s="2">
        <f>Y4*AA4</f>
        <v>-1.5017090145121934E-2</v>
      </c>
      <c r="AD4" s="2">
        <f>X4-V4</f>
        <v>1</v>
      </c>
      <c r="AF4" s="2">
        <v>0</v>
      </c>
      <c r="AH4" s="2">
        <f>K30</f>
        <v>-4.557550453228032E-4</v>
      </c>
      <c r="AJ4" s="2">
        <f>K30</f>
        <v>-4.557550453228032E-4</v>
      </c>
      <c r="AL4" s="2">
        <f>K30</f>
        <v>-4.557550453228032E-4</v>
      </c>
    </row>
    <row r="5" spans="2:41" x14ac:dyDescent="0.2">
      <c r="B5" s="9" t="s">
        <v>38</v>
      </c>
      <c r="C5" s="9">
        <v>1783.9879788876899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48.943963045037243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0.48662158961994562</v>
      </c>
      <c r="X5" s="2">
        <f>IF(AC4&gt;0, Z4, X4)</f>
        <v>1</v>
      </c>
      <c r="Y5" s="2">
        <f t="shared" si="1"/>
        <v>-3.0859892913609466E-2</v>
      </c>
      <c r="Z5" s="2">
        <f t="shared" ref="Z5:Z34" si="3" xml:space="preserve"> (V5 + X5)/2</f>
        <v>0.75</v>
      </c>
      <c r="AA5" s="2">
        <f t="shared" si="2"/>
        <v>0.22502475767266128</v>
      </c>
      <c r="AB5" s="2">
        <f t="shared" ref="AB5:AB34" si="4">W5*AA5</f>
        <v>0.10950190528251348</v>
      </c>
      <c r="AC5" s="2">
        <f t="shared" ref="AC5:AC34" si="5">Y5*AA5</f>
        <v>-6.9442399246892467E-3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-1202.1656292229113</v>
      </c>
      <c r="AI5" s="3">
        <v>10000</v>
      </c>
      <c r="AJ5" s="2">
        <f t="dataTable" ref="AJ5:AJ44" dt2D="0" dtr="0" r1="C5" ca="1"/>
        <v>7267.3975222178524</v>
      </c>
      <c r="AK5" s="2">
        <f>(AG5+AI5)/2</f>
        <v>5250</v>
      </c>
      <c r="AL5" s="2">
        <f t="dataTable" ref="AL5:AL44" dt2D="0" dtr="0" r1="C5" ca="1"/>
        <v>2951.7458168520966</v>
      </c>
      <c r="AM5" s="2">
        <f>AH5*AL5</f>
        <v>-3548487.3672220972</v>
      </c>
      <c r="AN5" s="2">
        <f>AJ5*AL5</f>
        <v>21451510.235607836</v>
      </c>
      <c r="AO5" s="2">
        <f>AI5-AG5</f>
        <v>9500</v>
      </c>
    </row>
    <row r="6" spans="2:41" x14ac:dyDescent="0.2">
      <c r="B6" s="6" t="s">
        <v>168</v>
      </c>
      <c r="C6" s="16">
        <v>408.59567620629298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158.7216403655865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0.1925992230615112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0.22502475767266128</v>
      </c>
      <c r="X6" s="2">
        <f t="shared" ref="X6:X34" si="8">IF(AC5&gt;0, Z5, X5)</f>
        <v>1</v>
      </c>
      <c r="Y6" s="2">
        <f t="shared" si="1"/>
        <v>-3.0859892913609466E-2</v>
      </c>
      <c r="Z6" s="2">
        <f t="shared" si="3"/>
        <v>0.875</v>
      </c>
      <c r="AA6" s="2">
        <f t="shared" si="2"/>
        <v>9.666783069302487E-2</v>
      </c>
      <c r="AB6" s="2">
        <f t="shared" si="4"/>
        <v>2.1752655176439768E-2</v>
      </c>
      <c r="AC6" s="2">
        <f t="shared" si="5"/>
        <v>-2.9831589033776779E-3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-1202.1656292229113</v>
      </c>
      <c r="AI6" s="2">
        <f>IF(AN5&gt;0,AK5,AI5)</f>
        <v>5250</v>
      </c>
      <c r="AJ6" s="2">
        <v>2951.7458168520966</v>
      </c>
      <c r="AK6" s="2">
        <f t="shared" ref="AK6:AK44" si="9">(AG6+AI6)/2</f>
        <v>2875</v>
      </c>
      <c r="AL6" s="2">
        <v>973.72713601581108</v>
      </c>
      <c r="AM6" s="2">
        <f t="shared" ref="AM6:AM44" si="10">AH6*AL6</f>
        <v>-1170581.295159871</v>
      </c>
      <c r="AN6" s="2">
        <f t="shared" ref="AN6:AN44" si="11">AJ6*AL6</f>
        <v>2874195.0004900428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2185.7178078021057</v>
      </c>
      <c r="H7" s="6" t="s">
        <v>21</v>
      </c>
      <c r="J7" s="6" t="s">
        <v>133</v>
      </c>
      <c r="K7" s="6">
        <f>K6/$C$28</f>
        <v>158.7216403655865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9.666783069302487E-2</v>
      </c>
      <c r="X7" s="2">
        <f t="shared" si="8"/>
        <v>1</v>
      </c>
      <c r="Y7" s="2">
        <f t="shared" si="1"/>
        <v>-3.0859892913609466E-2</v>
      </c>
      <c r="Z7" s="2">
        <f t="shared" si="3"/>
        <v>0.9375</v>
      </c>
      <c r="AA7" s="2">
        <f t="shared" si="2"/>
        <v>3.2820702625796616E-2</v>
      </c>
      <c r="AB7" s="2">
        <f t="shared" si="4"/>
        <v>3.172706124656624E-3</v>
      </c>
      <c r="AC7" s="2">
        <f t="shared" si="5"/>
        <v>-1.0128433683815046E-3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-1202.1656292229113</v>
      </c>
      <c r="AI7" s="2">
        <f t="shared" ref="AI7:AI44" si="14">IF(AN6&gt;0,AK6,AI6)</f>
        <v>2875</v>
      </c>
      <c r="AJ7" s="2">
        <v>973.72713601581108</v>
      </c>
      <c r="AK7" s="2">
        <f t="shared" si="9"/>
        <v>1687.5</v>
      </c>
      <c r="AL7" s="2">
        <v>-88.147572498839509</v>
      </c>
      <c r="AM7" s="2">
        <f t="shared" si="10"/>
        <v>105967.9819575396</v>
      </c>
      <c r="AN7" s="2">
        <f t="shared" si="11"/>
        <v>-85831.683316041061</v>
      </c>
      <c r="AO7" s="2">
        <f t="shared" si="12"/>
        <v>2375</v>
      </c>
    </row>
    <row r="8" spans="2:41" x14ac:dyDescent="0.2">
      <c r="B8" s="6" t="s">
        <v>91</v>
      </c>
      <c r="C8" s="16">
        <v>1.85796418243856</v>
      </c>
      <c r="D8" s="6" t="s">
        <v>8</v>
      </c>
      <c r="F8" t="s">
        <v>93</v>
      </c>
      <c r="G8" s="6">
        <f>G10/$C$21</f>
        <v>32.629308696691496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3.2820702625796616E-2</v>
      </c>
      <c r="X8" s="2">
        <f t="shared" si="8"/>
        <v>1</v>
      </c>
      <c r="Y8" s="2">
        <f t="shared" si="1"/>
        <v>-3.0859892913609466E-2</v>
      </c>
      <c r="Z8" s="2">
        <f t="shared" si="3"/>
        <v>0.96875</v>
      </c>
      <c r="AA8" s="2">
        <f t="shared" si="2"/>
        <v>9.6157241167504903E-4</v>
      </c>
      <c r="AB8" s="2">
        <f t="shared" si="4"/>
        <v>3.1559482176756869E-5</v>
      </c>
      <c r="AC8" s="2">
        <f t="shared" si="5"/>
        <v>-2.9674021652973208E-5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-88.147572498839509</v>
      </c>
      <c r="AI8" s="2">
        <f t="shared" si="14"/>
        <v>2875</v>
      </c>
      <c r="AJ8" s="2">
        <v>973.72713601581108</v>
      </c>
      <c r="AK8" s="2">
        <f t="shared" si="9"/>
        <v>2281.25</v>
      </c>
      <c r="AL8" s="2">
        <v>448.98525691989039</v>
      </c>
      <c r="AM8" s="2">
        <f t="shared" si="10"/>
        <v>-39576.960485256124</v>
      </c>
      <c r="AN8" s="2">
        <f t="shared" si="11"/>
        <v>437189.12833392801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6.8343003964277225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9.6157241167504903E-4</v>
      </c>
      <c r="X9" s="2">
        <f t="shared" si="8"/>
        <v>1</v>
      </c>
      <c r="Y9" s="2">
        <f t="shared" si="1"/>
        <v>-3.0859892913609466E-2</v>
      </c>
      <c r="Z9" s="2">
        <f t="shared" si="3"/>
        <v>0.984375</v>
      </c>
      <c r="AA9" s="2">
        <f t="shared" si="2"/>
        <v>-1.4953647394970848E-2</v>
      </c>
      <c r="AB9" s="2">
        <f t="shared" si="4"/>
        <v>-1.4379014788920433E-5</v>
      </c>
      <c r="AC9" s="2">
        <f t="shared" si="5"/>
        <v>4.6146795727667554E-4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-88.147572498839509</v>
      </c>
      <c r="AI9" s="2">
        <f t="shared" si="14"/>
        <v>2281.25</v>
      </c>
      <c r="AJ9" s="2">
        <v>448.98525691989039</v>
      </c>
      <c r="AK9" s="2">
        <f t="shared" si="9"/>
        <v>1984.375</v>
      </c>
      <c r="AL9" s="2">
        <v>181.99115578170131</v>
      </c>
      <c r="AM9" s="2">
        <f t="shared" si="10"/>
        <v>-16042.078598415112</v>
      </c>
      <c r="AN9" s="2">
        <f t="shared" si="11"/>
        <v>81711.345835794957</v>
      </c>
      <c r="AO9" s="2">
        <f t="shared" si="12"/>
        <v>593.75</v>
      </c>
    </row>
    <row r="10" spans="2:41" x14ac:dyDescent="0.2">
      <c r="B10" s="6" t="s">
        <v>134</v>
      </c>
      <c r="C10" s="16">
        <v>1.6411331894660399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261.03446957353196</v>
      </c>
      <c r="H10" s="22" t="s">
        <v>97</v>
      </c>
      <c r="J10" s="6" t="s">
        <v>92</v>
      </c>
      <c r="K10" s="6">
        <f xml:space="preserve"> $C$18 * (G10*G6 + G20*G13 + G29*G25 + G33*G32)/3600</f>
        <v>99.049691084132022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9.6157241167504903E-4</v>
      </c>
      <c r="X10" s="2">
        <f t="shared" si="8"/>
        <v>0.984375</v>
      </c>
      <c r="Y10" s="2">
        <f t="shared" si="1"/>
        <v>-1.4953647394970848E-2</v>
      </c>
      <c r="Z10" s="2">
        <f t="shared" si="3"/>
        <v>0.9765625</v>
      </c>
      <c r="AA10" s="2">
        <f t="shared" si="2"/>
        <v>-6.9971858138023757E-3</v>
      </c>
      <c r="AB10" s="2">
        <f t="shared" si="4"/>
        <v>-6.7283008379163914E-6</v>
      </c>
      <c r="AC10" s="2">
        <f t="shared" si="5"/>
        <v>1.0463344941669287E-4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-88.147572498839509</v>
      </c>
      <c r="AI10" s="2">
        <f t="shared" si="14"/>
        <v>1984.375</v>
      </c>
      <c r="AJ10" s="2">
        <v>181.99115578170131</v>
      </c>
      <c r="AK10" s="2">
        <f t="shared" si="9"/>
        <v>1835.9375</v>
      </c>
      <c r="AL10" s="2">
        <v>47.31870724168175</v>
      </c>
      <c r="AM10" s="2">
        <f t="shared" si="10"/>
        <v>-4171.0291771375041</v>
      </c>
      <c r="AN10" s="2">
        <f t="shared" si="11"/>
        <v>8611.586221009622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0.86129524703967497</v>
      </c>
      <c r="U11" s="2">
        <v>7</v>
      </c>
      <c r="V11" s="2">
        <f t="shared" si="7"/>
        <v>0.96875</v>
      </c>
      <c r="W11" s="2">
        <f t="shared" si="0"/>
        <v>9.6157241167504903E-4</v>
      </c>
      <c r="X11" s="2">
        <f t="shared" si="8"/>
        <v>0.9765625</v>
      </c>
      <c r="Y11" s="2">
        <f t="shared" si="1"/>
        <v>-6.9971858138023757E-3</v>
      </c>
      <c r="Z11" s="2">
        <f t="shared" si="3"/>
        <v>0.97265625</v>
      </c>
      <c r="AA11" s="2">
        <f t="shared" si="2"/>
        <v>-3.0180971901806464E-3</v>
      </c>
      <c r="AB11" s="2">
        <f t="shared" si="4"/>
        <v>-2.9021189938316931E-6</v>
      </c>
      <c r="AC11" s="2">
        <f t="shared" si="5"/>
        <v>2.111818684380883E-5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-88.147572498839509</v>
      </c>
      <c r="AI11" s="2">
        <f t="shared" si="14"/>
        <v>1835.9375</v>
      </c>
      <c r="AJ11" s="2">
        <v>47.31870724168175</v>
      </c>
      <c r="AK11" s="2">
        <f t="shared" si="9"/>
        <v>1761.71875</v>
      </c>
      <c r="AL11" s="2">
        <v>-20.314649804222881</v>
      </c>
      <c r="AM11" s="2">
        <f t="shared" si="10"/>
        <v>1790.6870664062722</v>
      </c>
      <c r="AN11" s="2">
        <f t="shared" si="11"/>
        <v>-961.26296680330995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0.25702828619100498</v>
      </c>
      <c r="U12" s="2">
        <v>8</v>
      </c>
      <c r="V12" s="2">
        <f t="shared" si="7"/>
        <v>0.96875</v>
      </c>
      <c r="W12" s="2">
        <f t="shared" si="0"/>
        <v>9.6157241167504903E-4</v>
      </c>
      <c r="X12" s="2">
        <f t="shared" si="8"/>
        <v>0.97265625</v>
      </c>
      <c r="Y12" s="2">
        <f t="shared" si="1"/>
        <v>-3.0180971901806464E-3</v>
      </c>
      <c r="Z12" s="2">
        <f t="shared" si="3"/>
        <v>0.970703125</v>
      </c>
      <c r="AA12" s="2">
        <f t="shared" si="2"/>
        <v>-1.028335443495787E-3</v>
      </c>
      <c r="AB12" s="2">
        <f t="shared" si="4"/>
        <v>-9.8881899241317508E-7</v>
      </c>
      <c r="AC12" s="2">
        <f t="shared" si="5"/>
        <v>3.1036163125778036E-6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-20.314649804222881</v>
      </c>
      <c r="AI12" s="2">
        <f t="shared" si="14"/>
        <v>1835.9375</v>
      </c>
      <c r="AJ12" s="2">
        <v>47.31870724168175</v>
      </c>
      <c r="AK12" s="2">
        <f t="shared" si="9"/>
        <v>1798.828125</v>
      </c>
      <c r="AL12" s="2">
        <v>13.526901281700475</v>
      </c>
      <c r="AM12" s="2">
        <f t="shared" si="10"/>
        <v>-274.79426247403882</v>
      </c>
      <c r="AN12" s="2">
        <f t="shared" si="11"/>
        <v>640.07548163591446</v>
      </c>
      <c r="AO12" s="2">
        <f t="shared" si="12"/>
        <v>74.21875</v>
      </c>
    </row>
    <row r="13" spans="2:41" x14ac:dyDescent="0.2">
      <c r="B13" s="6" t="s">
        <v>136</v>
      </c>
      <c r="C13" s="16">
        <v>6.2566371517699704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2.2152765051711567E-2</v>
      </c>
      <c r="U13" s="2">
        <v>9</v>
      </c>
      <c r="V13" s="2">
        <f t="shared" si="7"/>
        <v>0.96875</v>
      </c>
      <c r="W13" s="2">
        <f t="shared" si="0"/>
        <v>9.6157241167504903E-4</v>
      </c>
      <c r="X13" s="2">
        <f t="shared" si="8"/>
        <v>0.970703125</v>
      </c>
      <c r="Y13" s="2">
        <f t="shared" si="1"/>
        <v>-1.028335443495787E-3</v>
      </c>
      <c r="Z13" s="2">
        <f t="shared" si="3"/>
        <v>0.9697265625</v>
      </c>
      <c r="AA13" s="2">
        <f t="shared" si="2"/>
        <v>-3.3399833840208615E-5</v>
      </c>
      <c r="AB13" s="2">
        <f t="shared" si="4"/>
        <v>-3.211635877527531E-8</v>
      </c>
      <c r="AC13" s="2">
        <f t="shared" si="5"/>
        <v>3.4346232944756518E-8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-20.314649804222881</v>
      </c>
      <c r="AI13" s="2">
        <f t="shared" si="14"/>
        <v>1798.828125</v>
      </c>
      <c r="AJ13" s="2">
        <v>13.526901281700475</v>
      </c>
      <c r="AK13" s="2">
        <f t="shared" si="9"/>
        <v>1780.2734375</v>
      </c>
      <c r="AL13" s="2">
        <v>-3.3876471622068038</v>
      </c>
      <c r="AM13" s="2">
        <f t="shared" si="10"/>
        <v>68.818865760500643</v>
      </c>
      <c r="AN13" s="2">
        <f t="shared" si="11"/>
        <v>-45.824368740404189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70.220871169893925</v>
      </c>
      <c r="H14" s="6" t="s">
        <v>10</v>
      </c>
      <c r="J14" s="9" t="s">
        <v>75</v>
      </c>
      <c r="K14" s="17">
        <f>C5</f>
        <v>1783.9879788876899</v>
      </c>
      <c r="L14" s="6" t="s">
        <v>7</v>
      </c>
      <c r="N14" s="6" t="s">
        <v>40</v>
      </c>
      <c r="O14" s="6">
        <f xml:space="preserve"> O5 * O13 * $C$12</f>
        <v>1506.9177751659074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9.6157241167504903E-4</v>
      </c>
      <c r="X14" s="2">
        <f t="shared" si="8"/>
        <v>0.9697265625</v>
      </c>
      <c r="Y14" s="2">
        <f t="shared" si="1"/>
        <v>-3.3399833840208615E-5</v>
      </c>
      <c r="Z14" s="2">
        <f t="shared" si="3"/>
        <v>0.96923828125</v>
      </c>
      <c r="AA14" s="2">
        <f t="shared" si="2"/>
        <v>4.6408170261535986E-4</v>
      </c>
      <c r="AB14" s="2">
        <f t="shared" si="4"/>
        <v>4.4624816199811447E-7</v>
      </c>
      <c r="AC14" s="2">
        <f t="shared" si="5"/>
        <v>-1.5500251755634126E-8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-3.3876471622068038</v>
      </c>
      <c r="AI14" s="2">
        <f t="shared" si="14"/>
        <v>1798.828125</v>
      </c>
      <c r="AJ14" s="2">
        <v>13.526901281700475</v>
      </c>
      <c r="AK14" s="2">
        <f t="shared" si="9"/>
        <v>1789.55078125</v>
      </c>
      <c r="AL14" s="2">
        <v>5.0711826573274266</v>
      </c>
      <c r="AM14" s="2">
        <f t="shared" si="10"/>
        <v>-17.179377538127614</v>
      </c>
      <c r="AN14" s="2">
        <f t="shared" si="11"/>
        <v>68.597387187139589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0.21104983583591769</v>
      </c>
      <c r="H15" s="6" t="s">
        <v>120</v>
      </c>
      <c r="J15" s="10" t="s">
        <v>53</v>
      </c>
      <c r="K15" s="6">
        <f xml:space="preserve"> 1000 * K10 / ($C$60 * $C$61 * $C$62)</f>
        <v>264.83874621425673</v>
      </c>
      <c r="L15" s="6" t="s">
        <v>7</v>
      </c>
      <c r="N15" s="6" t="s">
        <v>140</v>
      </c>
      <c r="O15" s="6">
        <f>O4/O14</f>
        <v>11.602537452594275</v>
      </c>
      <c r="U15" s="2">
        <v>11</v>
      </c>
      <c r="V15" s="2">
        <f t="shared" si="7"/>
        <v>0.96923828125</v>
      </c>
      <c r="W15" s="2">
        <f t="shared" si="0"/>
        <v>4.6408170261535986E-4</v>
      </c>
      <c r="X15" s="2">
        <f t="shared" si="8"/>
        <v>0.9697265625</v>
      </c>
      <c r="Y15" s="2">
        <f t="shared" si="1"/>
        <v>-3.3399833840208615E-5</v>
      </c>
      <c r="Z15" s="2">
        <f t="shared" si="3"/>
        <v>0.969482421875</v>
      </c>
      <c r="AA15" s="2">
        <f t="shared" si="2"/>
        <v>2.1533978866550285E-4</v>
      </c>
      <c r="AB15" s="2">
        <f t="shared" si="4"/>
        <v>9.9935255764718338E-8</v>
      </c>
      <c r="AC15" s="2">
        <f t="shared" si="5"/>
        <v>-7.1923131606134334E-9</v>
      </c>
      <c r="AD15" s="2">
        <f t="shared" si="6"/>
        <v>4.8828125E-4</v>
      </c>
      <c r="AF15" s="2">
        <v>11</v>
      </c>
      <c r="AG15" s="2">
        <f t="shared" si="13"/>
        <v>1780.2734375</v>
      </c>
      <c r="AH15" s="2">
        <v>-3.3876471622068038</v>
      </c>
      <c r="AI15" s="2">
        <f t="shared" si="14"/>
        <v>1789.55078125</v>
      </c>
      <c r="AJ15" s="2">
        <v>5.0711826573274266</v>
      </c>
      <c r="AK15" s="2">
        <f t="shared" si="9"/>
        <v>1784.912109375</v>
      </c>
      <c r="AL15" s="2">
        <v>0.84215684240007249</v>
      </c>
      <c r="AM15" s="2">
        <f t="shared" si="10"/>
        <v>-2.8529302372896481</v>
      </c>
      <c r="AN15" s="2">
        <f t="shared" si="11"/>
        <v>4.2707311739288745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1506.9177751659074</v>
      </c>
      <c r="H16" s="6" t="s">
        <v>21</v>
      </c>
      <c r="J16" s="11" t="s">
        <v>123</v>
      </c>
      <c r="K16" s="6">
        <f>uniform_250!K16</f>
        <v>161.44187427558631</v>
      </c>
      <c r="L16" s="6" t="s">
        <v>7</v>
      </c>
      <c r="N16" s="6" t="s">
        <v>111</v>
      </c>
      <c r="O16" s="6">
        <f>(O13*$C$12)/(0.3048^2)/($C$5*2.20462/1000)^(2/3)</f>
        <v>2.87101520893787</v>
      </c>
      <c r="U16" s="2">
        <v>12</v>
      </c>
      <c r="V16" s="2">
        <f t="shared" si="7"/>
        <v>0.969482421875</v>
      </c>
      <c r="W16" s="2">
        <f t="shared" si="0"/>
        <v>2.1533978866550285E-4</v>
      </c>
      <c r="X16" s="2">
        <f t="shared" si="8"/>
        <v>0.9697265625</v>
      </c>
      <c r="Y16" s="2">
        <f t="shared" si="1"/>
        <v>-3.3399833840208615E-5</v>
      </c>
      <c r="Z16" s="2">
        <f t="shared" si="3"/>
        <v>0.9696044921875</v>
      </c>
      <c r="AA16" s="2">
        <f t="shared" si="2"/>
        <v>9.0969691088793603E-5</v>
      </c>
      <c r="AB16" s="2">
        <f t="shared" si="4"/>
        <v>1.9589394054026892E-8</v>
      </c>
      <c r="AC16" s="2">
        <f t="shared" si="5"/>
        <v>-3.0383725668608126E-9</v>
      </c>
      <c r="AD16" s="2">
        <f t="shared" si="6"/>
        <v>2.44140625E-4</v>
      </c>
      <c r="AF16" s="2">
        <v>12</v>
      </c>
      <c r="AG16" s="2">
        <f t="shared" si="13"/>
        <v>1780.2734375</v>
      </c>
      <c r="AH16" s="2">
        <v>-3.3876471622068038</v>
      </c>
      <c r="AI16" s="2">
        <f t="shared" si="14"/>
        <v>1784.912109375</v>
      </c>
      <c r="AJ16" s="2">
        <v>0.84215684240007249</v>
      </c>
      <c r="AK16" s="2">
        <f t="shared" si="9"/>
        <v>1782.5927734375</v>
      </c>
      <c r="AL16" s="2">
        <v>-1.2726478124959613</v>
      </c>
      <c r="AM16" s="2">
        <f t="shared" si="10"/>
        <v>4.3112817504906396</v>
      </c>
      <c r="AN16" s="2">
        <f t="shared" si="11"/>
        <v>-1.0717690632589583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105.81442691039099</v>
      </c>
      <c r="H17" s="6" t="s">
        <v>97</v>
      </c>
      <c r="J17" s="11" t="s">
        <v>124</v>
      </c>
      <c r="K17" s="6">
        <f>uniform_250!K17</f>
        <v>0</v>
      </c>
      <c r="L17" s="6" t="s">
        <v>7</v>
      </c>
      <c r="U17" s="2">
        <v>13</v>
      </c>
      <c r="V17" s="2">
        <f t="shared" si="7"/>
        <v>0.9696044921875</v>
      </c>
      <c r="W17" s="2">
        <f t="shared" si="0"/>
        <v>9.0969691088793603E-5</v>
      </c>
      <c r="X17" s="2">
        <f t="shared" si="8"/>
        <v>0.9697265625</v>
      </c>
      <c r="Y17" s="2">
        <f t="shared" si="1"/>
        <v>-3.3399833840208615E-5</v>
      </c>
      <c r="Z17" s="2">
        <f t="shared" si="3"/>
        <v>0.96966552734375</v>
      </c>
      <c r="AA17" s="2">
        <f t="shared" si="2"/>
        <v>2.878485705659628E-5</v>
      </c>
      <c r="AB17" s="2">
        <f t="shared" si="4"/>
        <v>2.6185495544736443E-9</v>
      </c>
      <c r="AC17" s="2">
        <f t="shared" si="5"/>
        <v>-9.614094428044722E-10</v>
      </c>
      <c r="AD17" s="2">
        <f t="shared" si="6"/>
        <v>1.220703125E-4</v>
      </c>
      <c r="AF17" s="2">
        <v>13</v>
      </c>
      <c r="AG17" s="2">
        <f t="shared" si="13"/>
        <v>1782.5927734375</v>
      </c>
      <c r="AH17" s="2">
        <v>-1.2726478124959613</v>
      </c>
      <c r="AI17" s="2">
        <f t="shared" si="14"/>
        <v>1784.912109375</v>
      </c>
      <c r="AJ17" s="2">
        <v>0.84215684240007249</v>
      </c>
      <c r="AK17" s="2">
        <f t="shared" si="9"/>
        <v>1783.75244140625</v>
      </c>
      <c r="AL17" s="2">
        <v>-0.215221262873456</v>
      </c>
      <c r="AM17" s="2">
        <f t="shared" si="10"/>
        <v>0.27390086939852204</v>
      </c>
      <c r="AN17" s="2">
        <f t="shared" si="11"/>
        <v>-0.18125005915886566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1.4530951743170271</v>
      </c>
      <c r="H18" s="6" t="s">
        <v>172</v>
      </c>
      <c r="J18" s="12" t="s">
        <v>54</v>
      </c>
      <c r="K18" s="6">
        <f>uniform_250!K18</f>
        <v>119.27906567027154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0.96966552734375</v>
      </c>
      <c r="W18" s="2">
        <f t="shared" si="0"/>
        <v>2.878485705659628E-5</v>
      </c>
      <c r="X18" s="2">
        <f t="shared" si="8"/>
        <v>0.9697265625</v>
      </c>
      <c r="Y18" s="2">
        <f t="shared" si="1"/>
        <v>-3.3399833840208615E-5</v>
      </c>
      <c r="Z18" s="2">
        <f t="shared" si="3"/>
        <v>0.969696044921875</v>
      </c>
      <c r="AA18" s="2">
        <f t="shared" si="2"/>
        <v>-2.3075062820510084E-6</v>
      </c>
      <c r="AB18" s="2">
        <f t="shared" si="4"/>
        <v>-6.6421238486036212E-11</v>
      </c>
      <c r="AC18" s="2">
        <f t="shared" si="5"/>
        <v>7.7070326405741234E-11</v>
      </c>
      <c r="AD18" s="2">
        <f t="shared" si="6"/>
        <v>6.103515625E-5</v>
      </c>
      <c r="AF18" s="2">
        <v>14</v>
      </c>
      <c r="AG18" s="2">
        <f t="shared" si="13"/>
        <v>1783.75244140625</v>
      </c>
      <c r="AH18" s="2">
        <v>-0.215221262873456</v>
      </c>
      <c r="AI18" s="2">
        <f t="shared" si="14"/>
        <v>1784.912109375</v>
      </c>
      <c r="AJ18" s="2">
        <v>0.84215684240007249</v>
      </c>
      <c r="AK18" s="2">
        <f t="shared" si="9"/>
        <v>1784.332275390625</v>
      </c>
      <c r="AL18" s="2">
        <v>0.3134739012823502</v>
      </c>
      <c r="AM18" s="2">
        <f t="shared" si="10"/>
        <v>-6.7466248911856486E-2</v>
      </c>
      <c r="AN18" s="2">
        <f t="shared" si="11"/>
        <v>0.26399419087877607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4.2132220512620326E-2</v>
      </c>
      <c r="J19" s="12" t="s">
        <v>73</v>
      </c>
      <c r="K19" s="6">
        <f>uniform_250!K19</f>
        <v>64.102734544032742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0.96966552734375</v>
      </c>
      <c r="W19" s="2">
        <f t="shared" si="0"/>
        <v>2.878485705659628E-5</v>
      </c>
      <c r="X19" s="2">
        <f t="shared" si="8"/>
        <v>0.969696044921875</v>
      </c>
      <c r="Y19" s="2">
        <f t="shared" si="1"/>
        <v>-2.3075062820510084E-6</v>
      </c>
      <c r="Z19" s="2">
        <f t="shared" si="3"/>
        <v>0.9696807861328125</v>
      </c>
      <c r="AA19" s="2">
        <f t="shared" si="2"/>
        <v>1.3238670914517137E-5</v>
      </c>
      <c r="AB19" s="2">
        <f t="shared" si="4"/>
        <v>3.8107324989369453E-10</v>
      </c>
      <c r="AC19" s="2">
        <f t="shared" si="5"/>
        <v>-3.0548316301254259E-11</v>
      </c>
      <c r="AD19" s="2">
        <f t="shared" si="6"/>
        <v>3.0517578125E-5</v>
      </c>
      <c r="AF19" s="2">
        <v>15</v>
      </c>
      <c r="AG19" s="2">
        <f t="shared" si="13"/>
        <v>1783.75244140625</v>
      </c>
      <c r="AH19" s="2">
        <v>-0.215221262873456</v>
      </c>
      <c r="AI19" s="2">
        <f t="shared" si="14"/>
        <v>1784.332275390625</v>
      </c>
      <c r="AJ19" s="2">
        <v>0.3134739012823502</v>
      </c>
      <c r="AK19" s="2">
        <f t="shared" si="9"/>
        <v>1784.0423583984375</v>
      </c>
      <c r="AL19" s="2">
        <v>4.9127818989973093E-2</v>
      </c>
      <c r="AM19" s="2">
        <f t="shared" si="10"/>
        <v>-1.0573351245240562E-2</v>
      </c>
      <c r="AN19" s="2">
        <f t="shared" si="11"/>
        <v>1.5400289080279995E-2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105.81442691039099</v>
      </c>
      <c r="H20" s="22" t="s">
        <v>97</v>
      </c>
      <c r="J20" s="13" t="s">
        <v>61</v>
      </c>
      <c r="K20" s="6">
        <f>uniform_250!K20</f>
        <v>214.71464184538445</v>
      </c>
      <c r="L20" s="6" t="s">
        <v>7</v>
      </c>
      <c r="N20" s="6" t="s">
        <v>20</v>
      </c>
      <c r="O20" s="6">
        <f xml:space="preserve"> O14 / $C$28</f>
        <v>1506.9177751659074</v>
      </c>
      <c r="P20" s="6" t="s">
        <v>21</v>
      </c>
      <c r="U20" s="2">
        <v>16</v>
      </c>
      <c r="V20" s="2">
        <f t="shared" si="7"/>
        <v>0.9696807861328125</v>
      </c>
      <c r="W20" s="2">
        <f t="shared" si="0"/>
        <v>1.3238670914517137E-5</v>
      </c>
      <c r="X20" s="2">
        <f t="shared" si="8"/>
        <v>0.969696044921875</v>
      </c>
      <c r="Y20" s="2">
        <f t="shared" si="1"/>
        <v>-2.3075062820510084E-6</v>
      </c>
      <c r="Z20" s="2">
        <f t="shared" si="3"/>
        <v>0.96968841552734375</v>
      </c>
      <c r="AA20" s="2">
        <f t="shared" si="2"/>
        <v>5.4655811980719449E-6</v>
      </c>
      <c r="AB20" s="2">
        <f t="shared" si="4"/>
        <v>7.2357030837846784E-11</v>
      </c>
      <c r="AC20" s="2">
        <f t="shared" si="5"/>
        <v>-1.2611862949610889E-11</v>
      </c>
      <c r="AD20" s="2">
        <f t="shared" si="6"/>
        <v>1.52587890625E-5</v>
      </c>
      <c r="AF20" s="2">
        <v>16</v>
      </c>
      <c r="AG20" s="2">
        <f t="shared" si="13"/>
        <v>1783.75244140625</v>
      </c>
      <c r="AH20" s="2">
        <v>-0.215221262873456</v>
      </c>
      <c r="AI20" s="2">
        <f t="shared" si="14"/>
        <v>1784.0423583984375</v>
      </c>
      <c r="AJ20" s="2">
        <v>4.9127818989973093E-2</v>
      </c>
      <c r="AK20" s="2">
        <f t="shared" si="9"/>
        <v>1783.8973999023438</v>
      </c>
      <c r="AL20" s="2">
        <v>-8.3046346990613529E-2</v>
      </c>
      <c r="AM20" s="2">
        <f t="shared" si="10"/>
        <v>1.7873339676347074E-2</v>
      </c>
      <c r="AN20" s="2">
        <f t="shared" si="11"/>
        <v>-4.0798859027333578E-3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uniform_250!K21</f>
        <v>56.841914526510628</v>
      </c>
      <c r="L21" s="6" t="s">
        <v>7</v>
      </c>
      <c r="N21" s="6" t="s">
        <v>27</v>
      </c>
      <c r="O21" s="6">
        <f>$C$6*2*PI()/60</f>
        <v>42.788039155274795</v>
      </c>
      <c r="P21" s="6" t="s">
        <v>28</v>
      </c>
      <c r="U21" s="2">
        <v>17</v>
      </c>
      <c r="V21" s="2">
        <f t="shared" si="7"/>
        <v>0.96968841552734375</v>
      </c>
      <c r="W21" s="2">
        <f t="shared" si="0"/>
        <v>5.4655811980719449E-6</v>
      </c>
      <c r="X21" s="2">
        <f t="shared" si="8"/>
        <v>0.969696044921875</v>
      </c>
      <c r="Y21" s="2">
        <f t="shared" si="1"/>
        <v>-2.3075062820510084E-6</v>
      </c>
      <c r="Z21" s="2">
        <f t="shared" si="3"/>
        <v>0.96969223022460938</v>
      </c>
      <c r="AA21" s="2">
        <f t="shared" si="2"/>
        <v>1.5790371784563106E-6</v>
      </c>
      <c r="AB21" s="2">
        <f t="shared" si="4"/>
        <v>8.6303559136273858E-12</v>
      </c>
      <c r="AC21" s="2">
        <f t="shared" si="5"/>
        <v>-3.6436382088800357E-12</v>
      </c>
      <c r="AD21" s="2">
        <f t="shared" si="6"/>
        <v>7.62939453125E-6</v>
      </c>
      <c r="AF21" s="2">
        <v>17</v>
      </c>
      <c r="AG21" s="2">
        <f t="shared" si="13"/>
        <v>1783.8973999023438</v>
      </c>
      <c r="AH21" s="2">
        <v>-8.3046346990613529E-2</v>
      </c>
      <c r="AI21" s="2">
        <f t="shared" si="14"/>
        <v>1784.0423583984375</v>
      </c>
      <c r="AJ21" s="2">
        <v>4.9127818989973093E-2</v>
      </c>
      <c r="AK21" s="2">
        <f t="shared" si="9"/>
        <v>1783.9698791503906</v>
      </c>
      <c r="AL21" s="2">
        <v>-1.695905775659412E-2</v>
      </c>
      <c r="AM21" s="2">
        <f t="shared" si="10"/>
        <v>1.4083877950879712E-3</v>
      </c>
      <c r="AN21" s="2">
        <f t="shared" si="11"/>
        <v>-8.3316151970645508E-4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>uniform_250!K22</f>
        <v>140.48578964379911</v>
      </c>
      <c r="L22" s="6" t="s">
        <v>7</v>
      </c>
      <c r="N22" s="6" t="s">
        <v>29</v>
      </c>
      <c r="O22" s="6">
        <f xml:space="preserve"> $C$7 * COS(O19/180*PI()) / (O21 * $C$10)</f>
        <v>8.3227612935007786E-2</v>
      </c>
      <c r="U22" s="2">
        <v>18</v>
      </c>
      <c r="V22" s="2">
        <f t="shared" si="7"/>
        <v>0.96969223022460938</v>
      </c>
      <c r="W22" s="2">
        <f t="shared" si="0"/>
        <v>1.5790371784563106E-6</v>
      </c>
      <c r="X22" s="2">
        <f t="shared" si="8"/>
        <v>0.969696044921875</v>
      </c>
      <c r="Y22" s="2">
        <f t="shared" si="1"/>
        <v>-2.3075062820510084E-6</v>
      </c>
      <c r="Z22" s="2">
        <f t="shared" si="3"/>
        <v>0.96969413757324219</v>
      </c>
      <c r="AA22" s="2">
        <f t="shared" si="2"/>
        <v>-3.6423462168588827E-7</v>
      </c>
      <c r="AB22" s="2">
        <f t="shared" si="4"/>
        <v>-5.7514000932298679E-13</v>
      </c>
      <c r="AC22" s="2">
        <f t="shared" si="5"/>
        <v>8.4047367768065967E-13</v>
      </c>
      <c r="AD22" s="2">
        <f t="shared" si="6"/>
        <v>3.814697265625E-6</v>
      </c>
      <c r="AF22" s="2">
        <v>18</v>
      </c>
      <c r="AG22" s="2">
        <f t="shared" si="13"/>
        <v>1783.9698791503906</v>
      </c>
      <c r="AH22" s="2">
        <v>-1.695905775659412E-2</v>
      </c>
      <c r="AI22" s="2">
        <f t="shared" si="14"/>
        <v>1784.0423583984375</v>
      </c>
      <c r="AJ22" s="2">
        <v>4.9127818989973093E-2</v>
      </c>
      <c r="AK22" s="2">
        <f t="shared" si="9"/>
        <v>1784.0061187744141</v>
      </c>
      <c r="AL22" s="2">
        <v>1.6084404051298407E-2</v>
      </c>
      <c r="AM22" s="2">
        <f t="shared" si="10"/>
        <v>-2.7277633728636612E-4</v>
      </c>
      <c r="AN22" s="2">
        <f t="shared" si="11"/>
        <v>7.9019169079377807E-4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uniform_250!K23</f>
        <v>24.684431777977931</v>
      </c>
      <c r="L23" s="6" t="s">
        <v>7</v>
      </c>
      <c r="N23" s="6" t="s">
        <v>30</v>
      </c>
      <c r="O23" s="6">
        <f xml:space="preserve"> O20 / ( $C$71 * PI() * $C$10^2 * O21^2 * $C$10^2)</f>
        <v>3.5811666514528412E-2</v>
      </c>
      <c r="U23" s="2">
        <v>19</v>
      </c>
      <c r="V23" s="2">
        <f t="shared" si="7"/>
        <v>0.96969223022460938</v>
      </c>
      <c r="W23" s="2">
        <f t="shared" si="0"/>
        <v>1.5790371784563106E-6</v>
      </c>
      <c r="X23" s="2">
        <f t="shared" si="8"/>
        <v>0.96969413757324219</v>
      </c>
      <c r="Y23" s="2">
        <f t="shared" si="1"/>
        <v>-3.6423462168588827E-7</v>
      </c>
      <c r="Z23" s="2">
        <f t="shared" si="3"/>
        <v>0.96969318389892578</v>
      </c>
      <c r="AA23" s="2">
        <f t="shared" si="2"/>
        <v>6.074012609547097E-7</v>
      </c>
      <c r="AB23" s="2">
        <f t="shared" si="4"/>
        <v>9.5910917328872999E-13</v>
      </c>
      <c r="AC23" s="2">
        <f t="shared" si="5"/>
        <v>-2.2123656849537018E-13</v>
      </c>
      <c r="AD23" s="2">
        <f t="shared" si="6"/>
        <v>1.9073486328125E-6</v>
      </c>
      <c r="AF23" s="2">
        <v>19</v>
      </c>
      <c r="AG23" s="2">
        <f t="shared" si="13"/>
        <v>1783.9698791503906</v>
      </c>
      <c r="AH23" s="2">
        <v>-1.695905775659412E-2</v>
      </c>
      <c r="AI23" s="2">
        <f t="shared" si="14"/>
        <v>1784.0061187744141</v>
      </c>
      <c r="AJ23" s="2">
        <v>1.6084404051298407E-2</v>
      </c>
      <c r="AK23" s="2">
        <f t="shared" si="9"/>
        <v>1783.9879989624023</v>
      </c>
      <c r="AL23" s="2">
        <v>-4.3743350124714198E-4</v>
      </c>
      <c r="AM23" s="2">
        <f t="shared" si="10"/>
        <v>7.4184600123194665E-6</v>
      </c>
      <c r="AN23" s="2">
        <f t="shared" si="11"/>
        <v>-7.0358571796331771E-6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uniform_250!K24</f>
        <v>8.6330172633340219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0.96969318389892578</v>
      </c>
      <c r="W24" s="2">
        <f t="shared" si="0"/>
        <v>6.074012609547097E-7</v>
      </c>
      <c r="X24" s="2">
        <f t="shared" si="8"/>
        <v>0.96969413757324219</v>
      </c>
      <c r="Y24" s="2">
        <f t="shared" si="1"/>
        <v>-3.6423462168588827E-7</v>
      </c>
      <c r="Z24" s="2">
        <f t="shared" si="3"/>
        <v>0.96969366073608398</v>
      </c>
      <c r="AA24" s="2">
        <f t="shared" si="2"/>
        <v>1.2158331530454092E-7</v>
      </c>
      <c r="AB24" s="2">
        <f t="shared" si="4"/>
        <v>7.3849859027032208E-14</v>
      </c>
      <c r="AC24" s="2">
        <f t="shared" si="5"/>
        <v>-4.4284852853265528E-14</v>
      </c>
      <c r="AD24" s="2">
        <f t="shared" si="6"/>
        <v>9.5367431640625E-7</v>
      </c>
      <c r="AF24" s="2">
        <v>20</v>
      </c>
      <c r="AG24" s="2">
        <f t="shared" si="13"/>
        <v>1783.9879989624023</v>
      </c>
      <c r="AH24" s="2">
        <v>-4.3743350124714198E-4</v>
      </c>
      <c r="AI24" s="2">
        <f t="shared" si="14"/>
        <v>1784.0061187744141</v>
      </c>
      <c r="AJ24" s="2">
        <v>1.6084404051298407E-2</v>
      </c>
      <c r="AK24" s="2">
        <f t="shared" si="9"/>
        <v>1783.9970588684082</v>
      </c>
      <c r="AL24" s="2">
        <v>7.8235992468762561E-3</v>
      </c>
      <c r="AM24" s="2">
        <f t="shared" si="10"/>
        <v>-3.4223044109155837E-6</v>
      </c>
      <c r="AN24" s="2">
        <f t="shared" si="11"/>
        <v>1.2583793142219161E-4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uniform_250!K25</f>
        <v>23.828511081606546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2884.0940048241246</v>
      </c>
      <c r="P25" s="6" t="s">
        <v>19</v>
      </c>
      <c r="U25" s="2">
        <v>21</v>
      </c>
      <c r="V25" s="2">
        <f t="shared" si="7"/>
        <v>0.96969366073608398</v>
      </c>
      <c r="W25" s="2">
        <f t="shared" si="0"/>
        <v>1.2158331530454092E-7</v>
      </c>
      <c r="X25" s="2">
        <f t="shared" si="8"/>
        <v>0.96969413757324219</v>
      </c>
      <c r="Y25" s="2">
        <f t="shared" si="1"/>
        <v>-3.6423462168588827E-7</v>
      </c>
      <c r="Z25" s="2">
        <f t="shared" si="3"/>
        <v>0.96969389915466309</v>
      </c>
      <c r="AA25" s="2">
        <f t="shared" si="2"/>
        <v>-1.213256543008967E-7</v>
      </c>
      <c r="AB25" s="2">
        <f t="shared" si="4"/>
        <v>-1.4751175281395656E-14</v>
      </c>
      <c r="AC25" s="2">
        <f t="shared" si="5"/>
        <v>4.4191003795079971E-14</v>
      </c>
      <c r="AD25" s="2">
        <f t="shared" si="6"/>
        <v>4.76837158203125E-7</v>
      </c>
      <c r="AF25" s="2">
        <v>21</v>
      </c>
      <c r="AG25" s="2">
        <f t="shared" si="13"/>
        <v>1783.9879989624023</v>
      </c>
      <c r="AH25" s="2">
        <v>-4.3743350124714198E-4</v>
      </c>
      <c r="AI25" s="2">
        <f t="shared" si="14"/>
        <v>1783.9970588684082</v>
      </c>
      <c r="AJ25" s="2">
        <v>7.8235992468762561E-3</v>
      </c>
      <c r="AK25" s="2">
        <f t="shared" si="9"/>
        <v>1783.9925289154053</v>
      </c>
      <c r="AL25" s="2">
        <v>3.6930832388861745E-3</v>
      </c>
      <c r="AM25" s="2">
        <f t="shared" si="10"/>
        <v>-1.6154783315831145E-6</v>
      </c>
      <c r="AN25" s="2">
        <f t="shared" si="11"/>
        <v>2.8893203246401198E-5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2185.7178078021057</v>
      </c>
      <c r="H26" s="6" t="s">
        <v>21</v>
      </c>
      <c r="J26" s="14" t="s">
        <v>65</v>
      </c>
      <c r="K26" s="6">
        <f>uniform_250!K26</f>
        <v>46.872717209553379</v>
      </c>
      <c r="L26" s="6" t="s">
        <v>7</v>
      </c>
      <c r="N26" s="6" t="s">
        <v>32</v>
      </c>
      <c r="O26" s="17">
        <f>Z34</f>
        <v>0.96969378041103482</v>
      </c>
      <c r="U26" s="2">
        <v>22</v>
      </c>
      <c r="V26" s="2">
        <f t="shared" si="7"/>
        <v>0.96969366073608398</v>
      </c>
      <c r="W26" s="2">
        <f t="shared" si="0"/>
        <v>1.2158331530454092E-7</v>
      </c>
      <c r="X26" s="2">
        <f t="shared" si="8"/>
        <v>0.96969389915466309</v>
      </c>
      <c r="Y26" s="2">
        <f t="shared" si="1"/>
        <v>-1.213256543008967E-7</v>
      </c>
      <c r="Z26" s="2">
        <f t="shared" si="3"/>
        <v>0.96969377994537354</v>
      </c>
      <c r="AA26" s="2">
        <f t="shared" si="2"/>
        <v>1.2883027977750316E-10</v>
      </c>
      <c r="AB26" s="2">
        <f t="shared" si="4"/>
        <v>1.5663612526960389E-17</v>
      </c>
      <c r="AC26" s="2">
        <f t="shared" si="5"/>
        <v>-1.5630417987773152E-17</v>
      </c>
      <c r="AD26" s="2">
        <f t="shared" si="6"/>
        <v>2.384185791015625E-7</v>
      </c>
      <c r="AF26" s="2">
        <v>22</v>
      </c>
      <c r="AG26" s="2">
        <f t="shared" si="13"/>
        <v>1783.9879989624023</v>
      </c>
      <c r="AH26" s="2">
        <v>-4.3743350124714198E-4</v>
      </c>
      <c r="AI26" s="2">
        <f t="shared" si="14"/>
        <v>1783.9925289154053</v>
      </c>
      <c r="AJ26" s="2">
        <v>3.6930832388861745E-3</v>
      </c>
      <c r="AK26" s="2">
        <f t="shared" si="9"/>
        <v>1783.9902639389038</v>
      </c>
      <c r="AL26" s="2">
        <v>1.6279374676742009E-3</v>
      </c>
      <c r="AM26" s="2">
        <f t="shared" si="10"/>
        <v>-7.1211438629613174E-7</v>
      </c>
      <c r="AN26" s="2">
        <f t="shared" si="11"/>
        <v>6.0121085758223952E-6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28.690415319137006</v>
      </c>
      <c r="H27" t="s">
        <v>97</v>
      </c>
      <c r="J27" s="14" t="s">
        <v>66</v>
      </c>
      <c r="K27" s="6">
        <f>uniform_250!K27</f>
        <v>7.8282529536978558</v>
      </c>
      <c r="L27" s="6" t="s">
        <v>7</v>
      </c>
      <c r="N27" s="6" t="s">
        <v>33</v>
      </c>
      <c r="O27" s="6">
        <f xml:space="preserve"> O21 * $C$10 * O26 - $C$7 * SIN(O19/180*PI())</f>
        <v>1.2919103532506</v>
      </c>
      <c r="P27" s="6" t="s">
        <v>10</v>
      </c>
      <c r="U27" s="2">
        <v>23</v>
      </c>
      <c r="V27" s="2">
        <f t="shared" si="7"/>
        <v>0.96969377994537354</v>
      </c>
      <c r="W27" s="2">
        <f t="shared" si="0"/>
        <v>1.2883027977750316E-10</v>
      </c>
      <c r="X27" s="2">
        <f t="shared" si="8"/>
        <v>0.96969389915466309</v>
      </c>
      <c r="Y27" s="2">
        <f t="shared" si="1"/>
        <v>-1.213256543008967E-7</v>
      </c>
      <c r="Z27" s="2">
        <f t="shared" si="3"/>
        <v>0.96969383955001831</v>
      </c>
      <c r="AA27" s="2">
        <f t="shared" si="2"/>
        <v>-6.059841206607075E-8</v>
      </c>
      <c r="AB27" s="2">
        <f t="shared" si="4"/>
        <v>-7.8069103805443184E-18</v>
      </c>
      <c r="AC27" s="2">
        <f t="shared" si="5"/>
        <v>7.3521419935113879E-15</v>
      </c>
      <c r="AD27" s="2">
        <f t="shared" si="6"/>
        <v>1.1920928955078125E-7</v>
      </c>
      <c r="AF27" s="2">
        <v>23</v>
      </c>
      <c r="AG27" s="2">
        <f t="shared" si="13"/>
        <v>1783.9879989624023</v>
      </c>
      <c r="AH27" s="2">
        <v>-4.3743350124714198E-4</v>
      </c>
      <c r="AI27" s="2">
        <f t="shared" si="14"/>
        <v>1783.9902639389038</v>
      </c>
      <c r="AJ27" s="2">
        <v>1.6279374676742009E-3</v>
      </c>
      <c r="AK27" s="2">
        <f t="shared" si="9"/>
        <v>1783.9891314506531</v>
      </c>
      <c r="AL27" s="2">
        <v>5.9525200617827068E-4</v>
      </c>
      <c r="AM27" s="2">
        <f t="shared" si="10"/>
        <v>-2.6038316918694633E-7</v>
      </c>
      <c r="AN27" s="2">
        <f t="shared" si="11"/>
        <v>9.6903304356584179E-7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7.7725782244852111</v>
      </c>
      <c r="H28" s="6" t="s">
        <v>172</v>
      </c>
      <c r="J28" s="14" t="s">
        <v>67</v>
      </c>
      <c r="K28" s="6">
        <f>uniform_250!K28</f>
        <v>13.991855883448771</v>
      </c>
      <c r="L28" s="6" t="s">
        <v>7</v>
      </c>
      <c r="N28" s="6" t="s">
        <v>34</v>
      </c>
      <c r="O28" s="6">
        <f xml:space="preserve"> 1/$C$31 - O25 * SQRT( (2*$C$71*PI()*$C$10^2) / O20^3 )</f>
        <v>1.1296495866779481</v>
      </c>
      <c r="U28" s="2">
        <v>24</v>
      </c>
      <c r="V28" s="2">
        <f t="shared" si="7"/>
        <v>0.96969377994537354</v>
      </c>
      <c r="W28" s="2">
        <f t="shared" si="0"/>
        <v>1.2883027977750316E-10</v>
      </c>
      <c r="X28" s="2">
        <f t="shared" si="8"/>
        <v>0.96969383955001831</v>
      </c>
      <c r="Y28" s="2">
        <f t="shared" si="1"/>
        <v>-6.059841206607075E-8</v>
      </c>
      <c r="Z28" s="2">
        <f t="shared" si="3"/>
        <v>0.96969380974769592</v>
      </c>
      <c r="AA28" s="2">
        <f t="shared" si="2"/>
        <v>-3.0234790893146624E-8</v>
      </c>
      <c r="AB28" s="2">
        <f t="shared" si="4"/>
        <v>-3.8951565697783843E-18</v>
      </c>
      <c r="AC28" s="2">
        <f t="shared" si="5"/>
        <v>1.8321803172743823E-15</v>
      </c>
      <c r="AD28" s="2">
        <f t="shared" si="6"/>
        <v>5.9604644775390625E-8</v>
      </c>
      <c r="AF28" s="2">
        <v>24</v>
      </c>
      <c r="AG28" s="2">
        <f t="shared" si="13"/>
        <v>1783.9879989624023</v>
      </c>
      <c r="AH28" s="2">
        <v>-4.3743350124714198E-4</v>
      </c>
      <c r="AI28" s="2">
        <f t="shared" si="14"/>
        <v>1783.9891314506531</v>
      </c>
      <c r="AJ28" s="2">
        <v>5.9525200617827068E-4</v>
      </c>
      <c r="AK28" s="2">
        <f t="shared" si="9"/>
        <v>1783.9885652065277</v>
      </c>
      <c r="AL28" s="2">
        <v>7.8909258263593074E-5</v>
      </c>
      <c r="AM28" s="2">
        <f t="shared" si="10"/>
        <v>-3.4517553123058487E-8</v>
      </c>
      <c r="AN28" s="2">
        <f t="shared" si="11"/>
        <v>4.6970894287443063E-8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229.52332255309605</v>
      </c>
      <c r="H29" s="22" t="s">
        <v>97</v>
      </c>
      <c r="J29" s="14" t="s">
        <v>68</v>
      </c>
      <c r="K29" s="6">
        <f>uniform_250!K29</f>
        <v>36.444881753275084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0.96969377994537354</v>
      </c>
      <c r="W29" s="2">
        <f t="shared" si="0"/>
        <v>1.2883027977750316E-10</v>
      </c>
      <c r="X29" s="2">
        <f t="shared" si="8"/>
        <v>0.96969380974769592</v>
      </c>
      <c r="Y29" s="2">
        <f t="shared" si="1"/>
        <v>-3.0234790893146624E-8</v>
      </c>
      <c r="Z29" s="2">
        <f t="shared" si="3"/>
        <v>0.96969379484653473</v>
      </c>
      <c r="AA29" s="2">
        <f t="shared" si="2"/>
        <v>-1.5052980417706863E-8</v>
      </c>
      <c r="AB29" s="2">
        <f t="shared" si="4"/>
        <v>-1.9392796786984516E-18</v>
      </c>
      <c r="AC29" s="2">
        <f t="shared" si="5"/>
        <v>4.5512371524799786E-16</v>
      </c>
      <c r="AD29" s="2">
        <f t="shared" si="6"/>
        <v>2.9802322387695312E-8</v>
      </c>
      <c r="AF29" s="2">
        <v>25</v>
      </c>
      <c r="AG29" s="2">
        <f t="shared" si="13"/>
        <v>1783.9879989624023</v>
      </c>
      <c r="AH29" s="2">
        <v>-4.3743350124714198E-4</v>
      </c>
      <c r="AI29" s="2">
        <f t="shared" si="14"/>
        <v>1783.9885652065277</v>
      </c>
      <c r="AJ29" s="2">
        <v>7.8909258263593074E-5</v>
      </c>
      <c r="AK29" s="2">
        <f t="shared" si="9"/>
        <v>1783.988282084465</v>
      </c>
      <c r="AL29" s="2">
        <v>-1.792621201275324E-4</v>
      </c>
      <c r="AM29" s="2">
        <f t="shared" si="10"/>
        <v>7.8415256848372258E-8</v>
      </c>
      <c r="AN29" s="2">
        <f t="shared" si="11"/>
        <v>-1.41454409340227E-8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-4.557550453228032E-4</v>
      </c>
      <c r="L30" s="9" t="s">
        <v>7</v>
      </c>
      <c r="N30" s="6" t="s">
        <v>36</v>
      </c>
      <c r="O30" s="6">
        <f xml:space="preserve"> 1/$C$77 * LN( EXP($C$77 * O28) + EXP($C$77 * O29) )</f>
        <v>1.1644591858849132</v>
      </c>
      <c r="U30" s="2">
        <v>26</v>
      </c>
      <c r="V30" s="2">
        <f>IF(AB29&gt;0, Z29, V29)</f>
        <v>0.96969377994537354</v>
      </c>
      <c r="W30" s="2">
        <f t="shared" si="0"/>
        <v>1.2883027977750316E-10</v>
      </c>
      <c r="X30" s="2">
        <f t="shared" si="8"/>
        <v>0.96969379484653473</v>
      </c>
      <c r="Y30" s="2">
        <f t="shared" si="1"/>
        <v>-1.5052980417706863E-8</v>
      </c>
      <c r="Z30" s="2">
        <f t="shared" si="3"/>
        <v>0.96969378739595413</v>
      </c>
      <c r="AA30" s="2">
        <f t="shared" si="2"/>
        <v>-7.4620750689646798E-9</v>
      </c>
      <c r="AB30" s="2">
        <f t="shared" si="4"/>
        <v>-9.6134121885545092E-19</v>
      </c>
      <c r="AC30" s="2">
        <f t="shared" si="5"/>
        <v>1.1232646988858391E-16</v>
      </c>
      <c r="AD30" s="2">
        <f t="shared" si="6"/>
        <v>1.4901161193847656E-8</v>
      </c>
      <c r="AF30" s="2">
        <v>26</v>
      </c>
      <c r="AG30" s="2">
        <f t="shared" si="13"/>
        <v>1783.988282084465</v>
      </c>
      <c r="AH30" s="2">
        <v>-1.792621201275324E-4</v>
      </c>
      <c r="AI30" s="2">
        <f t="shared" si="14"/>
        <v>1783.9885652065277</v>
      </c>
      <c r="AJ30" s="2">
        <v>7.8909258263593074E-5</v>
      </c>
      <c r="AK30" s="2">
        <f t="shared" si="9"/>
        <v>1783.9884236454964</v>
      </c>
      <c r="AL30" s="2">
        <v>-5.006392348150257E-5</v>
      </c>
      <c r="AM30" s="2">
        <f t="shared" si="10"/>
        <v>8.9745650651967046E-9</v>
      </c>
      <c r="AN30" s="2">
        <f t="shared" si="11"/>
        <v>-3.950507067690648E-9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0.96969377994537354</v>
      </c>
      <c r="W31" s="2">
        <f t="shared" si="0"/>
        <v>1.2883027977750316E-10</v>
      </c>
      <c r="X31" s="2">
        <f t="shared" si="8"/>
        <v>0.96969378739595413</v>
      </c>
      <c r="Y31" s="2">
        <f t="shared" si="1"/>
        <v>-7.4620750689646798E-9</v>
      </c>
      <c r="Z31" s="2">
        <f t="shared" si="3"/>
        <v>0.96969378367066383</v>
      </c>
      <c r="AA31" s="2">
        <f t="shared" si="2"/>
        <v>-3.6666224501047395E-9</v>
      </c>
      <c r="AB31" s="2">
        <f t="shared" si="4"/>
        <v>-4.7237199608546773E-19</v>
      </c>
      <c r="AC31" s="2">
        <f t="shared" si="5"/>
        <v>2.7360611972232767E-17</v>
      </c>
      <c r="AD31" s="2">
        <f t="shared" si="6"/>
        <v>7.4505805969238281E-9</v>
      </c>
      <c r="AF31" s="2">
        <v>27</v>
      </c>
      <c r="AG31" s="2">
        <f t="shared" si="13"/>
        <v>1783.9884236454964</v>
      </c>
      <c r="AH31" s="2">
        <v>-5.006392348150257E-5</v>
      </c>
      <c r="AI31" s="2">
        <f t="shared" si="14"/>
        <v>1783.9885652065277</v>
      </c>
      <c r="AJ31" s="2">
        <v>7.8909258263593074E-5</v>
      </c>
      <c r="AK31" s="2">
        <f t="shared" si="9"/>
        <v>1783.988494426012</v>
      </c>
      <c r="AL31" s="2">
        <v>1.4310160395325511E-5</v>
      </c>
      <c r="AM31" s="2">
        <f t="shared" si="10"/>
        <v>-7.1642277503960494E-10</v>
      </c>
      <c r="AN31" s="2">
        <f t="shared" si="11"/>
        <v>1.1292041424281819E-9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0.96969377994537354</v>
      </c>
      <c r="W32" s="2">
        <f t="shared" si="0"/>
        <v>1.2883027977750316E-10</v>
      </c>
      <c r="X32" s="2">
        <f t="shared" si="8"/>
        <v>0.96969378367066383</v>
      </c>
      <c r="Y32" s="2">
        <f t="shared" si="1"/>
        <v>-3.6666224501047395E-9</v>
      </c>
      <c r="Z32" s="2">
        <f t="shared" si="3"/>
        <v>0.96969378180801868</v>
      </c>
      <c r="AA32" s="2">
        <f t="shared" si="2"/>
        <v>-1.7688961406747694E-9</v>
      </c>
      <c r="AB32" s="2">
        <f t="shared" si="4"/>
        <v>-2.2788738470047614E-19</v>
      </c>
      <c r="AC32" s="2">
        <f t="shared" si="5"/>
        <v>6.485874301301741E-18</v>
      </c>
      <c r="AD32" s="2">
        <f t="shared" si="6"/>
        <v>3.7252902984619141E-9</v>
      </c>
      <c r="AF32" s="2">
        <v>28</v>
      </c>
      <c r="AG32" s="2">
        <f t="shared" si="13"/>
        <v>1783.9884236454964</v>
      </c>
      <c r="AH32" s="2">
        <v>-5.006392348150257E-5</v>
      </c>
      <c r="AI32" s="2">
        <f t="shared" si="14"/>
        <v>1783.988494426012</v>
      </c>
      <c r="AJ32" s="2">
        <v>1.4310160395325511E-5</v>
      </c>
      <c r="AK32" s="2">
        <f t="shared" si="9"/>
        <v>1783.9884590357542</v>
      </c>
      <c r="AL32" s="2">
        <v>-1.7764374433681951E-5</v>
      </c>
      <c r="AM32" s="2">
        <f t="shared" si="10"/>
        <v>8.8935428234461374E-10</v>
      </c>
      <c r="AN32" s="2">
        <f t="shared" si="11"/>
        <v>-2.542110474686085E-10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105.81442691039099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0.96969377994537354</v>
      </c>
      <c r="W33" s="2">
        <f t="shared" si="0"/>
        <v>1.2883027977750316E-10</v>
      </c>
      <c r="X33" s="2">
        <f t="shared" si="8"/>
        <v>0.96969378180801868</v>
      </c>
      <c r="Y33" s="2">
        <f t="shared" si="1"/>
        <v>-1.7688961406747694E-9</v>
      </c>
      <c r="Z33" s="2">
        <f t="shared" si="3"/>
        <v>0.96969378087669611</v>
      </c>
      <c r="AA33" s="2">
        <f t="shared" si="2"/>
        <v>-8.2003293044863312E-10</v>
      </c>
      <c r="AB33" s="2">
        <f t="shared" si="4"/>
        <v>-1.056450718564632E-19</v>
      </c>
      <c r="AC33" s="2">
        <f t="shared" si="5"/>
        <v>1.4505530858968087E-18</v>
      </c>
      <c r="AD33" s="2">
        <f t="shared" si="6"/>
        <v>1.862645149230957E-9</v>
      </c>
      <c r="AF33" s="2">
        <v>29</v>
      </c>
      <c r="AG33" s="2">
        <f t="shared" si="13"/>
        <v>1783.9884590357542</v>
      </c>
      <c r="AH33" s="2">
        <v>-1.7764374433681951E-5</v>
      </c>
      <c r="AI33" s="2">
        <f t="shared" si="14"/>
        <v>1783.988494426012</v>
      </c>
      <c r="AJ33" s="2">
        <v>1.4310160395325511E-5</v>
      </c>
      <c r="AK33" s="2">
        <f t="shared" si="9"/>
        <v>1783.9884767308831</v>
      </c>
      <c r="AL33" s="2">
        <v>-1.8396142422716366E-6</v>
      </c>
      <c r="AM33" s="2">
        <f t="shared" si="10"/>
        <v>3.2679596213247456E-11</v>
      </c>
      <c r="AN33" s="2">
        <f t="shared" si="11"/>
        <v>-2.6325174872432323E-11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33.630000000000003</v>
      </c>
      <c r="L34" s="6" t="s">
        <v>59</v>
      </c>
      <c r="U34" s="2">
        <v>30</v>
      </c>
      <c r="V34" s="2">
        <f t="shared" si="7"/>
        <v>0.96969377994537354</v>
      </c>
      <c r="W34" s="2">
        <f t="shared" si="0"/>
        <v>1.2883027977750316E-10</v>
      </c>
      <c r="X34" s="2">
        <f t="shared" si="8"/>
        <v>0.96969378087669611</v>
      </c>
      <c r="Y34" s="2">
        <f t="shared" si="1"/>
        <v>-8.2003293044863312E-10</v>
      </c>
      <c r="Z34" s="2">
        <f t="shared" si="3"/>
        <v>0.96969378041103482</v>
      </c>
      <c r="AA34" s="2">
        <f t="shared" si="2"/>
        <v>-3.4560132533556498E-10</v>
      </c>
      <c r="AB34" s="2">
        <f t="shared" si="4"/>
        <v>-4.4523915434456729E-20</v>
      </c>
      <c r="AC34" s="2">
        <f t="shared" si="5"/>
        <v>2.8340446758185479E-19</v>
      </c>
      <c r="AD34" s="2">
        <f t="shared" si="6"/>
        <v>9.3132257461547852E-10</v>
      </c>
      <c r="AF34" s="2">
        <v>30</v>
      </c>
      <c r="AG34" s="2">
        <f t="shared" si="13"/>
        <v>1783.9884767308831</v>
      </c>
      <c r="AH34" s="2">
        <v>-1.8396142422716366E-6</v>
      </c>
      <c r="AI34" s="2">
        <f t="shared" si="14"/>
        <v>1783.988494426012</v>
      </c>
      <c r="AJ34" s="2">
        <v>1.4310160395325511E-5</v>
      </c>
      <c r="AK34" s="2">
        <f t="shared" si="9"/>
        <v>1783.9884855784476</v>
      </c>
      <c r="AL34" s="2">
        <v>6.2352730765269371E-6</v>
      </c>
      <c r="AM34" s="2">
        <f t="shared" si="10"/>
        <v>-1.1470497156031838E-11</v>
      </c>
      <c r="AN34" s="2">
        <f t="shared" si="11"/>
        <v>8.9227757833755228E-11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14.85</v>
      </c>
      <c r="L35" s="6" t="s">
        <v>59</v>
      </c>
      <c r="AF35" s="2">
        <v>31</v>
      </c>
      <c r="AG35" s="2">
        <f t="shared" si="13"/>
        <v>1783.9884767308831</v>
      </c>
      <c r="AH35" s="2">
        <v>-1.8396142422716366E-6</v>
      </c>
      <c r="AI35" s="2">
        <f t="shared" si="14"/>
        <v>1783.9884855784476</v>
      </c>
      <c r="AJ35" s="2">
        <v>6.2352730765269371E-6</v>
      </c>
      <c r="AK35" s="2">
        <f t="shared" si="9"/>
        <v>1783.9884811546654</v>
      </c>
      <c r="AL35" s="2">
        <v>2.1978294171276502E-6</v>
      </c>
      <c r="AM35" s="2">
        <f t="shared" si="10"/>
        <v>-4.043158297831595E-12</v>
      </c>
      <c r="AN35" s="2">
        <f t="shared" si="11"/>
        <v>1.3704066591414929E-11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19.329999999999998</v>
      </c>
      <c r="L36" s="6" t="s">
        <v>59</v>
      </c>
      <c r="AF36" s="2">
        <v>32</v>
      </c>
      <c r="AG36" s="2">
        <f t="shared" si="13"/>
        <v>1783.9884767308831</v>
      </c>
      <c r="AH36" s="2">
        <v>-1.8396142422716366E-6</v>
      </c>
      <c r="AI36" s="2">
        <f t="shared" si="14"/>
        <v>1783.9884811546654</v>
      </c>
      <c r="AJ36" s="2">
        <v>2.1978294171276502E-6</v>
      </c>
      <c r="AK36" s="2">
        <f t="shared" si="9"/>
        <v>1783.9884789427742</v>
      </c>
      <c r="AL36" s="2">
        <v>1.7910770111484453E-7</v>
      </c>
      <c r="AM36" s="2">
        <f t="shared" si="10"/>
        <v>-3.2948907787139949E-13</v>
      </c>
      <c r="AN36" s="2">
        <f t="shared" si="11"/>
        <v>3.9364817434431214E-13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26.3</v>
      </c>
      <c r="L37" s="6" t="s">
        <v>59</v>
      </c>
      <c r="AF37" s="2">
        <v>33</v>
      </c>
      <c r="AG37" s="2">
        <f t="shared" si="13"/>
        <v>1783.9884767308831</v>
      </c>
      <c r="AH37" s="2">
        <v>-1.8396142422716366E-6</v>
      </c>
      <c r="AI37" s="2">
        <f t="shared" si="14"/>
        <v>1783.9884789427742</v>
      </c>
      <c r="AJ37" s="2">
        <v>1.7910770111484453E-7</v>
      </c>
      <c r="AK37" s="2">
        <f t="shared" si="9"/>
        <v>1783.9884778368287</v>
      </c>
      <c r="AL37" s="2">
        <v>-8.3025315689155832E-7</v>
      </c>
      <c r="AM37" s="2">
        <f t="shared" si="10"/>
        <v>1.5273455321086983E-12</v>
      </c>
      <c r="AN37" s="2">
        <f t="shared" si="11"/>
        <v>-1.4870473427418935E-13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5.89</v>
      </c>
      <c r="L38" s="6" t="s">
        <v>59</v>
      </c>
      <c r="AF38" s="2">
        <v>34</v>
      </c>
      <c r="AG38" s="2">
        <f t="shared" si="13"/>
        <v>1783.9884778368287</v>
      </c>
      <c r="AH38" s="2">
        <v>-8.3025315689155832E-7</v>
      </c>
      <c r="AI38" s="2">
        <f t="shared" si="14"/>
        <v>1783.9884789427742</v>
      </c>
      <c r="AJ38" s="2">
        <v>1.7910770111484453E-7</v>
      </c>
      <c r="AK38" s="2">
        <f t="shared" si="9"/>
        <v>1783.9884783898015</v>
      </c>
      <c r="AL38" s="2">
        <v>-3.2557295526203234E-7</v>
      </c>
      <c r="AM38" s="2">
        <f t="shared" si="10"/>
        <v>2.7030797390481643E-13</v>
      </c>
      <c r="AN38" s="2">
        <f t="shared" si="11"/>
        <v>-5.8312623562148738E-14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1783.9884783898015</v>
      </c>
      <c r="AH39" s="2">
        <v>-3.2557295526203234E-7</v>
      </c>
      <c r="AI39" s="2">
        <f t="shared" si="14"/>
        <v>1783.9884789427742</v>
      </c>
      <c r="AJ39" s="2">
        <v>1.7910770111484453E-7</v>
      </c>
      <c r="AK39" s="2">
        <f t="shared" si="9"/>
        <v>1783.9884786662878</v>
      </c>
      <c r="AL39" s="2">
        <v>-7.3232513386756182E-8</v>
      </c>
      <c r="AM39" s="2">
        <f t="shared" si="10"/>
        <v>2.3842525804592555E-14</v>
      </c>
      <c r="AN39" s="2">
        <f t="shared" si="11"/>
        <v>-1.3116507119563977E-14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1783.9884786662878</v>
      </c>
      <c r="AH40" s="2">
        <v>-7.3232513386756182E-8</v>
      </c>
      <c r="AI40" s="2">
        <f t="shared" si="14"/>
        <v>1783.9884789427742</v>
      </c>
      <c r="AJ40" s="2">
        <v>1.7910770111484453E-7</v>
      </c>
      <c r="AK40" s="2">
        <f t="shared" si="9"/>
        <v>1783.988478804531</v>
      </c>
      <c r="AL40" s="2">
        <v>5.2937593864044175E-8</v>
      </c>
      <c r="AM40" s="2">
        <f t="shared" si="10"/>
        <v>-3.8767530513112769E-15</v>
      </c>
      <c r="AN40" s="2">
        <f t="shared" si="11"/>
        <v>9.4815307395402518E-15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1783.9884786662878</v>
      </c>
      <c r="AH41" s="2">
        <v>-7.3232513386756182E-8</v>
      </c>
      <c r="AI41" s="2">
        <f t="shared" si="14"/>
        <v>1783.988478804531</v>
      </c>
      <c r="AJ41" s="2">
        <v>5.2937593864044175E-8</v>
      </c>
      <c r="AK41" s="2">
        <f t="shared" si="9"/>
        <v>1783.9884787354094</v>
      </c>
      <c r="AL41" s="2">
        <v>-1.0147459761356004E-8</v>
      </c>
      <c r="AM41" s="2">
        <f t="shared" si="10"/>
        <v>7.4312398281507322E-16</v>
      </c>
      <c r="AN41" s="2">
        <f t="shared" si="11"/>
        <v>-5.3718210359839474E-16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1783.9884787354094</v>
      </c>
      <c r="AH42" s="2">
        <v>-1.0147459761356004E-8</v>
      </c>
      <c r="AI42" s="2">
        <f t="shared" si="14"/>
        <v>1783.988478804531</v>
      </c>
      <c r="AJ42" s="2">
        <v>5.2937593864044175E-8</v>
      </c>
      <c r="AK42" s="2">
        <f t="shared" si="9"/>
        <v>1783.9884787699702</v>
      </c>
      <c r="AL42" s="2">
        <v>2.1394953364506364E-8</v>
      </c>
      <c r="AM42" s="2">
        <f t="shared" si="10"/>
        <v>-2.1710442836241657E-16</v>
      </c>
      <c r="AN42" s="2">
        <f t="shared" si="11"/>
        <v>1.1325973519504034E-15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264.83999999999997</v>
      </c>
      <c r="L43" s="6" t="s">
        <v>7</v>
      </c>
      <c r="AF43" s="2">
        <v>39</v>
      </c>
      <c r="AG43" s="2">
        <f t="shared" si="13"/>
        <v>1783.9884787354094</v>
      </c>
      <c r="AH43" s="2">
        <v>-1.0147459761356004E-8</v>
      </c>
      <c r="AI43" s="2">
        <f t="shared" si="14"/>
        <v>1783.9884787699702</v>
      </c>
      <c r="AJ43" s="2">
        <v>2.1394953364506364E-8</v>
      </c>
      <c r="AK43" s="2">
        <f t="shared" si="9"/>
        <v>1783.9884787526898</v>
      </c>
      <c r="AL43" s="2">
        <v>5.6238604884129018E-9</v>
      </c>
      <c r="AM43" s="2">
        <f t="shared" si="10"/>
        <v>-5.7067898009649842E-17</v>
      </c>
      <c r="AN43" s="2">
        <f t="shared" si="11"/>
        <v>1.2032223287808402E-16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344.82</v>
      </c>
      <c r="L44" s="6" t="s">
        <v>7</v>
      </c>
      <c r="AF44" s="2">
        <v>40</v>
      </c>
      <c r="AG44" s="2">
        <f t="shared" si="13"/>
        <v>1783.9884787354094</v>
      </c>
      <c r="AH44" s="2">
        <v>-1.0147459761356004E-8</v>
      </c>
      <c r="AI44" s="2">
        <f t="shared" si="14"/>
        <v>1783.9884787526898</v>
      </c>
      <c r="AJ44" s="2">
        <v>5.6238604884129018E-9</v>
      </c>
      <c r="AK44" s="5">
        <f t="shared" si="9"/>
        <v>1783.9884787440496</v>
      </c>
      <c r="AL44" s="2">
        <v>-2.2619133233092725E-9</v>
      </c>
      <c r="AM44" s="2">
        <f t="shared" si="10"/>
        <v>2.2952674431955876E-17</v>
      </c>
      <c r="AN44" s="2">
        <f t="shared" si="11"/>
        <v>-1.2720684967173735E-17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469.19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105.14</v>
      </c>
      <c r="L46" s="6" t="s">
        <v>7</v>
      </c>
    </row>
    <row r="47" spans="2:41" x14ac:dyDescent="0.2">
      <c r="J47" s="9" t="s">
        <v>60</v>
      </c>
      <c r="K47" s="9">
        <f>SUM(K42:K46)</f>
        <v>1783.99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35" priority="1" operator="containsText" text="FALSE">
      <formula>NOT(ISERROR(SEARCH("FALSE",K31)))</formula>
    </cfRule>
    <cfRule type="containsText" dxfId="34" priority="2" operator="containsText" text="TRUE">
      <formula>NOT(ISERROR(SEARCH("TRUE",K31)))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NOT(ISERROR(SEARCH("YES",K31)))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D9D-F2B2-6B44-A3B6-9B79311720B3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372.50194816668244</v>
      </c>
      <c r="L4" s="6" t="s">
        <v>97</v>
      </c>
      <c r="N4" s="6" t="s">
        <v>131</v>
      </c>
      <c r="O4" s="6">
        <f xml:space="preserve"> $C$5 * $C$74</f>
        <v>16887.023109988171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1.1638948045046746</v>
      </c>
      <c r="X4" s="3">
        <v>1</v>
      </c>
      <c r="Y4" s="2">
        <f t="shared" ref="Y4:Y34" si="1" xml:space="preserve"> $O$22 * TAN($O$19/180*PI()) + $O$23 / (2 * SQRT($O$22^2 + X4^2)) - X4</f>
        <v>-3.1070903014225437E-2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0.48620385788638298</v>
      </c>
      <c r="AB4" s="2">
        <f>W4*AA4</f>
        <v>0.56589014412409033</v>
      </c>
      <c r="AC4" s="2">
        <f>Y4*AA4</f>
        <v>-1.5106792913530053E-2</v>
      </c>
      <c r="AD4" s="2">
        <f>X4-V4</f>
        <v>1</v>
      </c>
      <c r="AF4" s="2">
        <v>0</v>
      </c>
      <c r="AH4" s="2">
        <f>K30</f>
        <v>-3.724742289250571E-4</v>
      </c>
      <c r="AJ4" s="2">
        <f>K30</f>
        <v>-3.724742289250571E-4</v>
      </c>
      <c r="AL4" s="2">
        <f>K30</f>
        <v>-3.724742289250571E-4</v>
      </c>
    </row>
    <row r="5" spans="2:41" x14ac:dyDescent="0.2">
      <c r="B5" s="9" t="s">
        <v>38</v>
      </c>
      <c r="C5" s="9">
        <v>1723.06827630984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46.562743520835305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0.48620385788638298</v>
      </c>
      <c r="X5" s="2">
        <f>IF(AC4&gt;0, Z4, X4)</f>
        <v>1</v>
      </c>
      <c r="Y5" s="2">
        <f t="shared" si="1"/>
        <v>-3.1070903014225437E-2</v>
      </c>
      <c r="Z5" s="2">
        <f t="shared" ref="Z5:Z34" si="3" xml:space="preserve"> (V5 + X5)/2</f>
        <v>0.75</v>
      </c>
      <c r="AA5" s="2">
        <f t="shared" si="2"/>
        <v>0.22474416053466562</v>
      </c>
      <c r="AB5" s="2">
        <f t="shared" ref="AB5:AB34" si="4">W5*AA5</f>
        <v>0.10927147788939101</v>
      </c>
      <c r="AC5" s="2">
        <f t="shared" ref="AC5:AC34" si="5">Y5*AA5</f>
        <v>-6.9830040149861071E-3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-1162.9479276241043</v>
      </c>
      <c r="AI5" s="3">
        <v>10000</v>
      </c>
      <c r="AJ5" s="2">
        <f t="dataTable" ref="AJ5:AJ44" dt2D="0" dtr="0" r1="C5"/>
        <v>7527.4231199364967</v>
      </c>
      <c r="AK5" s="2">
        <f>(AG5+AI5)/2</f>
        <v>5250</v>
      </c>
      <c r="AL5" s="2">
        <f t="dataTable" ref="AL5:AL44" dt2D="0" dtr="0" r1="C5" ca="1"/>
        <v>3118.6967800062589</v>
      </c>
      <c r="AM5" s="2">
        <f>AH5*AL5</f>
        <v>-3626881.9571962459</v>
      </c>
      <c r="AN5" s="2">
        <f>AJ5*AL5</f>
        <v>23475750.245890621</v>
      </c>
      <c r="AO5" s="2">
        <f>AI5-AG5</f>
        <v>9500</v>
      </c>
    </row>
    <row r="6" spans="2:41" x14ac:dyDescent="0.2">
      <c r="B6" s="6" t="s">
        <v>168</v>
      </c>
      <c r="C6" s="16">
        <v>408.59567620629298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156.85332549815297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0.18818929106153318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0.22474416053466562</v>
      </c>
      <c r="X6" s="2">
        <f t="shared" ref="X6:X34" si="8">IF(AC5&gt;0, Z5, X5)</f>
        <v>1</v>
      </c>
      <c r="Y6" s="2">
        <f t="shared" si="1"/>
        <v>-3.1070903014225437E-2</v>
      </c>
      <c r="Z6" s="2">
        <f t="shared" si="3"/>
        <v>0.875</v>
      </c>
      <c r="AA6" s="2">
        <f t="shared" si="2"/>
        <v>9.6426929812230555E-2</v>
      </c>
      <c r="AB6" s="2">
        <f t="shared" si="4"/>
        <v>2.1671389393584879E-2</v>
      </c>
      <c r="AC6" s="2">
        <f t="shared" si="5"/>
        <v>-2.9960717841553391E-3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-1162.9479276241043</v>
      </c>
      <c r="AI6" s="2">
        <f>IF(AN5&gt;0,AK5,AI5)</f>
        <v>5250</v>
      </c>
      <c r="AJ6" s="2">
        <v>3118.6967800062589</v>
      </c>
      <c r="AK6" s="2">
        <f t="shared" ref="AK6:AK44" si="9">(AG6+AI6)/2</f>
        <v>2875</v>
      </c>
      <c r="AL6" s="2">
        <v>1055.6106736348918</v>
      </c>
      <c r="AM6" s="2">
        <f t="shared" ref="AM6:AM44" si="10">AH6*AL6</f>
        <v>-1227620.245281582</v>
      </c>
      <c r="AN6" s="2">
        <f t="shared" ref="AN6:AN44" si="11">AJ6*AL6</f>
        <v>3292129.6088053747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2111.0798167695457</v>
      </c>
      <c r="H7" s="6" t="s">
        <v>21</v>
      </c>
      <c r="J7" s="6" t="s">
        <v>133</v>
      </c>
      <c r="K7" s="6">
        <f>K6/$C$28</f>
        <v>156.85332549815297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9.6426929812230555E-2</v>
      </c>
      <c r="X7" s="2">
        <f t="shared" si="8"/>
        <v>1</v>
      </c>
      <c r="Y7" s="2">
        <f t="shared" si="1"/>
        <v>-3.1070903014225437E-2</v>
      </c>
      <c r="Z7" s="2">
        <f t="shared" si="3"/>
        <v>0.9375</v>
      </c>
      <c r="AA7" s="2">
        <f t="shared" si="2"/>
        <v>3.2595731773437331E-2</v>
      </c>
      <c r="AB7" s="2">
        <f t="shared" si="4"/>
        <v>3.143106339895535E-3</v>
      </c>
      <c r="AC7" s="2">
        <f t="shared" si="5"/>
        <v>-1.0127788206101779E-3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-1162.9479276241043</v>
      </c>
      <c r="AI7" s="2">
        <f t="shared" ref="AI7:AI44" si="14">IF(AN6&gt;0,AK6,AI6)</f>
        <v>2875</v>
      </c>
      <c r="AJ7" s="2">
        <v>1055.6106736348918</v>
      </c>
      <c r="AK7" s="2">
        <f t="shared" si="9"/>
        <v>1687.5</v>
      </c>
      <c r="AL7" s="2">
        <v>-33.183740198047644</v>
      </c>
      <c r="AM7" s="2">
        <f t="shared" si="10"/>
        <v>38590.961894136191</v>
      </c>
      <c r="AN7" s="2">
        <f t="shared" si="11"/>
        <v>-35029.110344186309</v>
      </c>
      <c r="AO7" s="2">
        <f t="shared" si="12"/>
        <v>2375</v>
      </c>
    </row>
    <row r="8" spans="2:41" x14ac:dyDescent="0.2">
      <c r="B8" s="6" t="s">
        <v>91</v>
      </c>
      <c r="C8" s="16">
        <v>1.85796418243856</v>
      </c>
      <c r="D8" s="6" t="s">
        <v>8</v>
      </c>
      <c r="F8" t="s">
        <v>93</v>
      </c>
      <c r="G8" s="6">
        <f>G10/$C$21</f>
        <v>31.041829013890204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3.2595731773437331E-2</v>
      </c>
      <c r="X8" s="2">
        <f t="shared" si="8"/>
        <v>1</v>
      </c>
      <c r="Y8" s="2">
        <f t="shared" si="1"/>
        <v>-3.1070903014225437E-2</v>
      </c>
      <c r="Z8" s="2">
        <f t="shared" si="3"/>
        <v>0.96875</v>
      </c>
      <c r="AA8" s="2">
        <f t="shared" si="2"/>
        <v>7.4380463218437498E-4</v>
      </c>
      <c r="AB8" s="2">
        <f t="shared" si="4"/>
        <v>2.4244856282522099E-5</v>
      </c>
      <c r="AC8" s="2">
        <f t="shared" si="5"/>
        <v>-2.311068158813234E-5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-33.183740198047644</v>
      </c>
      <c r="AI8" s="2">
        <f t="shared" si="14"/>
        <v>2875</v>
      </c>
      <c r="AJ8" s="2">
        <v>1055.6106736348918</v>
      </c>
      <c r="AK8" s="2">
        <f t="shared" si="9"/>
        <v>2281.25</v>
      </c>
      <c r="AL8" s="2">
        <v>516.0813400595257</v>
      </c>
      <c r="AM8" s="2">
        <f t="shared" si="10"/>
        <v>-17125.50910959558</v>
      </c>
      <c r="AN8" s="2">
        <f t="shared" si="11"/>
        <v>544780.97103063355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6.9384936835504405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7.4380463218437498E-4</v>
      </c>
      <c r="X9" s="2">
        <f t="shared" si="8"/>
        <v>1</v>
      </c>
      <c r="Y9" s="2">
        <f t="shared" si="1"/>
        <v>-3.1070903014225437E-2</v>
      </c>
      <c r="Z9" s="2">
        <f t="shared" si="3"/>
        <v>0.984375</v>
      </c>
      <c r="AA9" s="2">
        <f t="shared" si="2"/>
        <v>-1.5167983273750019E-2</v>
      </c>
      <c r="AB9" s="2">
        <f t="shared" si="4"/>
        <v>-1.1282016219910385E-5</v>
      </c>
      <c r="AC9" s="2">
        <f t="shared" si="5"/>
        <v>4.7128293722008047E-4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-33.183740198047644</v>
      </c>
      <c r="AI9" s="2">
        <f t="shared" si="14"/>
        <v>2281.25</v>
      </c>
      <c r="AJ9" s="2">
        <v>516.0813400595257</v>
      </c>
      <c r="AK9" s="2">
        <f t="shared" si="9"/>
        <v>1984.375</v>
      </c>
      <c r="AL9" s="2">
        <v>242.68418916523433</v>
      </c>
      <c r="AM9" s="2">
        <f t="shared" si="10"/>
        <v>-8053.1690834329847</v>
      </c>
      <c r="AN9" s="2">
        <f t="shared" si="11"/>
        <v>125244.78155565356</v>
      </c>
      <c r="AO9" s="2">
        <f t="shared" si="12"/>
        <v>593.75</v>
      </c>
    </row>
    <row r="10" spans="2:41" x14ac:dyDescent="0.2">
      <c r="B10" s="6" t="s">
        <v>134</v>
      </c>
      <c r="C10" s="16">
        <v>1.6411331894660399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248.33463211112164</v>
      </c>
      <c r="H10" s="22" t="s">
        <v>97</v>
      </c>
      <c r="J10" s="6" t="s">
        <v>92</v>
      </c>
      <c r="K10" s="6">
        <f xml:space="preserve"> $C$18 * (G10*G6 + G20*G13 + G29*G25 + G33*G32)/3600</f>
        <v>97.065425129261229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7.4380463218437498E-4</v>
      </c>
      <c r="X10" s="2">
        <f t="shared" si="8"/>
        <v>0.984375</v>
      </c>
      <c r="Y10" s="2">
        <f t="shared" si="1"/>
        <v>-1.5167983273750019E-2</v>
      </c>
      <c r="Z10" s="2">
        <f t="shared" si="3"/>
        <v>0.9765625</v>
      </c>
      <c r="AA10" s="2">
        <f t="shared" si="2"/>
        <v>-7.2132240638240752E-3</v>
      </c>
      <c r="AB10" s="2">
        <f t="shared" si="4"/>
        <v>-5.3652294716561487E-6</v>
      </c>
      <c r="AC10" s="2">
        <f t="shared" si="5"/>
        <v>1.0941006194989472E-4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-33.183740198047644</v>
      </c>
      <c r="AI10" s="2">
        <f t="shared" si="14"/>
        <v>1984.375</v>
      </c>
      <c r="AJ10" s="2">
        <v>242.68418916523433</v>
      </c>
      <c r="AK10" s="2">
        <f t="shared" si="9"/>
        <v>1835.9375</v>
      </c>
      <c r="AL10" s="2">
        <v>105.06208674093341</v>
      </c>
      <c r="AM10" s="2">
        <f t="shared" si="10"/>
        <v>-3486.3529910758803</v>
      </c>
      <c r="AN10" s="2">
        <f t="shared" si="11"/>
        <v>25496.907332730942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0.86129524703967497</v>
      </c>
      <c r="U11" s="2">
        <v>7</v>
      </c>
      <c r="V11" s="2">
        <f t="shared" si="7"/>
        <v>0.96875</v>
      </c>
      <c r="W11" s="2">
        <f t="shared" si="0"/>
        <v>7.4380463218437498E-4</v>
      </c>
      <c r="X11" s="2">
        <f t="shared" si="8"/>
        <v>0.9765625</v>
      </c>
      <c r="Y11" s="2">
        <f t="shared" si="1"/>
        <v>-7.2132240638240752E-3</v>
      </c>
      <c r="Z11" s="2">
        <f t="shared" si="3"/>
        <v>0.97265625</v>
      </c>
      <c r="AA11" s="2">
        <f t="shared" si="2"/>
        <v>-3.2349967698515059E-3</v>
      </c>
      <c r="AB11" s="2">
        <f t="shared" si="4"/>
        <v>-2.4062055825170404E-6</v>
      </c>
      <c r="AC11" s="2">
        <f t="shared" si="5"/>
        <v>2.3334756546686037E-5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-33.183740198047644</v>
      </c>
      <c r="AI11" s="2">
        <f t="shared" si="14"/>
        <v>1835.9375</v>
      </c>
      <c r="AJ11" s="2">
        <v>105.06208674093341</v>
      </c>
      <c r="AK11" s="2">
        <f t="shared" si="9"/>
        <v>1761.71875</v>
      </c>
      <c r="AL11" s="2">
        <v>36.01757406200818</v>
      </c>
      <c r="AM11" s="2">
        <f t="shared" si="10"/>
        <v>-1195.197820237619</v>
      </c>
      <c r="AN11" s="2">
        <f t="shared" si="11"/>
        <v>3784.0814903006967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0.2482512725932938</v>
      </c>
      <c r="U12" s="2">
        <v>8</v>
      </c>
      <c r="V12" s="2">
        <f t="shared" si="7"/>
        <v>0.96875</v>
      </c>
      <c r="W12" s="2">
        <f t="shared" si="0"/>
        <v>7.4380463218437498E-4</v>
      </c>
      <c r="X12" s="2">
        <f t="shared" si="8"/>
        <v>0.97265625</v>
      </c>
      <c r="Y12" s="2">
        <f t="shared" si="1"/>
        <v>-3.2349967698515059E-3</v>
      </c>
      <c r="Z12" s="2">
        <f t="shared" si="3"/>
        <v>0.970703125</v>
      </c>
      <c r="AA12" s="2">
        <f t="shared" si="2"/>
        <v>-1.2456682591971413E-3</v>
      </c>
      <c r="AB12" s="2">
        <f t="shared" si="4"/>
        <v>-9.2653382135588038E-7</v>
      </c>
      <c r="AC12" s="2">
        <f t="shared" si="5"/>
        <v>4.0297327948093001E-6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-33.183740198047644</v>
      </c>
      <c r="AI12" s="2">
        <f t="shared" si="14"/>
        <v>1761.71875</v>
      </c>
      <c r="AJ12" s="2">
        <v>36.01757406200818</v>
      </c>
      <c r="AK12" s="2">
        <f t="shared" si="9"/>
        <v>1724.609375</v>
      </c>
      <c r="AL12" s="2">
        <v>1.4365757531368217</v>
      </c>
      <c r="AM12" s="2">
        <f t="shared" si="10"/>
        <v>-47.670956566906924</v>
      </c>
      <c r="AN12" s="2">
        <f t="shared" si="11"/>
        <v>51.741973584290655</v>
      </c>
      <c r="AO12" s="2">
        <f t="shared" si="12"/>
        <v>74.21875</v>
      </c>
    </row>
    <row r="13" spans="2:41" x14ac:dyDescent="0.2">
      <c r="B13" s="6" t="s">
        <v>136</v>
      </c>
      <c r="C13" s="16">
        <v>6.2566371517699704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2.1890804674095751E-2</v>
      </c>
      <c r="U13" s="2">
        <v>9</v>
      </c>
      <c r="V13" s="2">
        <f t="shared" si="7"/>
        <v>0.96875</v>
      </c>
      <c r="W13" s="2">
        <f t="shared" si="0"/>
        <v>7.4380463218437498E-4</v>
      </c>
      <c r="X13" s="2">
        <f t="shared" si="8"/>
        <v>0.970703125</v>
      </c>
      <c r="Y13" s="2">
        <f t="shared" si="1"/>
        <v>-1.2456682591971413E-3</v>
      </c>
      <c r="Z13" s="2">
        <f t="shared" si="3"/>
        <v>0.9697265625</v>
      </c>
      <c r="AA13" s="2">
        <f t="shared" si="2"/>
        <v>-2.5094991482343953E-4</v>
      </c>
      <c r="AB13" s="2">
        <f t="shared" si="4"/>
        <v>-1.8665770909194866E-7</v>
      </c>
      <c r="AC13" s="2">
        <f t="shared" si="5"/>
        <v>3.1260034354378484E-7</v>
      </c>
      <c r="AD13" s="2">
        <f t="shared" si="6"/>
        <v>1.953125E-3</v>
      </c>
      <c r="AF13" s="2">
        <v>9</v>
      </c>
      <c r="AG13" s="2">
        <f t="shared" si="13"/>
        <v>1687.5</v>
      </c>
      <c r="AH13" s="2">
        <v>-33.183740198047644</v>
      </c>
      <c r="AI13" s="2">
        <f t="shared" si="14"/>
        <v>1724.609375</v>
      </c>
      <c r="AJ13" s="2">
        <v>1.4365757531368217</v>
      </c>
      <c r="AK13" s="2">
        <f t="shared" si="9"/>
        <v>1706.0546875</v>
      </c>
      <c r="AL13" s="2">
        <v>-15.868659853699683</v>
      </c>
      <c r="AM13" s="2">
        <f t="shared" si="10"/>
        <v>526.58148587635901</v>
      </c>
      <c r="AN13" s="2">
        <f t="shared" si="11"/>
        <v>-22.796531980600669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70.220871169893925</v>
      </c>
      <c r="H14" s="6" t="s">
        <v>10</v>
      </c>
      <c r="J14" s="9" t="s">
        <v>75</v>
      </c>
      <c r="K14" s="17">
        <f>C5</f>
        <v>1723.06827630984</v>
      </c>
      <c r="L14" s="6" t="s">
        <v>7</v>
      </c>
      <c r="N14" s="6" t="s">
        <v>40</v>
      </c>
      <c r="O14" s="6">
        <f xml:space="preserve"> O5 * O13 * $C$12</f>
        <v>1489.0982050807752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7.4380463218437498E-4</v>
      </c>
      <c r="X14" s="2">
        <f t="shared" si="8"/>
        <v>0.9697265625</v>
      </c>
      <c r="Y14" s="2">
        <f t="shared" si="1"/>
        <v>-2.5094991482343953E-4</v>
      </c>
      <c r="Z14" s="2">
        <f t="shared" si="3"/>
        <v>0.96923828125</v>
      </c>
      <c r="AA14" s="2">
        <f t="shared" si="2"/>
        <v>2.4642282661224701E-4</v>
      </c>
      <c r="AB14" s="2">
        <f t="shared" si="4"/>
        <v>1.8329043991015641E-7</v>
      </c>
      <c r="AC14" s="2">
        <f t="shared" si="5"/>
        <v>-6.1839787348894603E-8</v>
      </c>
      <c r="AD14" s="2">
        <f t="shared" si="6"/>
        <v>9.765625E-4</v>
      </c>
      <c r="AF14" s="2">
        <v>10</v>
      </c>
      <c r="AG14" s="2">
        <f t="shared" si="13"/>
        <v>1706.0546875</v>
      </c>
      <c r="AH14" s="2">
        <v>-15.868659853699683</v>
      </c>
      <c r="AI14" s="2">
        <f t="shared" si="14"/>
        <v>1724.609375</v>
      </c>
      <c r="AJ14" s="2">
        <v>1.4365757531368217</v>
      </c>
      <c r="AK14" s="2">
        <f t="shared" si="9"/>
        <v>1715.33203125</v>
      </c>
      <c r="AL14" s="2">
        <v>-7.214812486522078</v>
      </c>
      <c r="AM14" s="2">
        <f t="shared" si="10"/>
        <v>114.48940525684408</v>
      </c>
      <c r="AN14" s="2">
        <f t="shared" si="11"/>
        <v>-10.364624681566399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0.21104983583591769</v>
      </c>
      <c r="H15" s="6" t="s">
        <v>120</v>
      </c>
      <c r="J15" s="10" t="s">
        <v>53</v>
      </c>
      <c r="K15" s="6">
        <f xml:space="preserve"> 1000 * K10 / ($C$60 * $C$61 * $C$62)</f>
        <v>203.91896035559083</v>
      </c>
      <c r="L15" s="6" t="s">
        <v>7</v>
      </c>
      <c r="N15" s="6" t="s">
        <v>140</v>
      </c>
      <c r="O15" s="6">
        <f>O4/O14</f>
        <v>11.340436146098332</v>
      </c>
      <c r="U15" s="2">
        <v>11</v>
      </c>
      <c r="V15" s="2">
        <f t="shared" si="7"/>
        <v>0.96923828125</v>
      </c>
      <c r="W15" s="2">
        <f t="shared" si="0"/>
        <v>2.4642282661224701E-4</v>
      </c>
      <c r="X15" s="2">
        <f t="shared" si="8"/>
        <v>0.9697265625</v>
      </c>
      <c r="Y15" s="2">
        <f t="shared" si="1"/>
        <v>-2.5094991482343953E-4</v>
      </c>
      <c r="Z15" s="2">
        <f t="shared" si="3"/>
        <v>0.969482421875</v>
      </c>
      <c r="AA15" s="2">
        <f t="shared" si="2"/>
        <v>-2.2646762792843944E-6</v>
      </c>
      <c r="AB15" s="2">
        <f t="shared" si="4"/>
        <v>-5.5806793010296703E-10</v>
      </c>
      <c r="AC15" s="2">
        <f t="shared" si="5"/>
        <v>5.6832031938908269E-10</v>
      </c>
      <c r="AD15" s="2">
        <f t="shared" si="6"/>
        <v>4.8828125E-4</v>
      </c>
      <c r="AF15" s="2">
        <v>11</v>
      </c>
      <c r="AG15" s="2">
        <f t="shared" si="13"/>
        <v>1715.33203125</v>
      </c>
      <c r="AH15" s="2">
        <v>-7.214812486522078</v>
      </c>
      <c r="AI15" s="2">
        <f t="shared" si="14"/>
        <v>1724.609375</v>
      </c>
      <c r="AJ15" s="2">
        <v>1.4365757531368217</v>
      </c>
      <c r="AK15" s="2">
        <f t="shared" si="9"/>
        <v>1719.970703125</v>
      </c>
      <c r="AL15" s="2">
        <v>-2.8888110513978518</v>
      </c>
      <c r="AM15" s="2">
        <f t="shared" si="10"/>
        <v>20.842230044828192</v>
      </c>
      <c r="AN15" s="2">
        <f t="shared" si="11"/>
        <v>-4.1499959118318426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1489.0982050807752</v>
      </c>
      <c r="H16" s="6" t="s">
        <v>21</v>
      </c>
      <c r="J16" s="11" t="s">
        <v>123</v>
      </c>
      <c r="K16" s="6">
        <f>uniform_250!K16</f>
        <v>161.44187427558631</v>
      </c>
      <c r="L16" s="6" t="s">
        <v>7</v>
      </c>
      <c r="N16" s="6" t="s">
        <v>111</v>
      </c>
      <c r="O16" s="6">
        <f>(O13*$C$12)/(0.3048^2)/($C$5*2.20462/1000)^(2/3)</f>
        <v>2.9035472796134867</v>
      </c>
      <c r="U16" s="2">
        <v>12</v>
      </c>
      <c r="V16" s="2">
        <f t="shared" si="7"/>
        <v>0.96923828125</v>
      </c>
      <c r="W16" s="2">
        <f t="shared" si="0"/>
        <v>2.4642282661224701E-4</v>
      </c>
      <c r="X16" s="2">
        <f t="shared" si="8"/>
        <v>0.969482421875</v>
      </c>
      <c r="Y16" s="2">
        <f t="shared" si="1"/>
        <v>-2.2646762792843944E-6</v>
      </c>
      <c r="Z16" s="2">
        <f t="shared" si="3"/>
        <v>0.9693603515625</v>
      </c>
      <c r="AA16" s="2">
        <f t="shared" si="2"/>
        <v>1.2207879201775462E-4</v>
      </c>
      <c r="AB16" s="2">
        <f t="shared" si="4"/>
        <v>3.0083000998423714E-8</v>
      </c>
      <c r="AC16" s="2">
        <f t="shared" si="5"/>
        <v>-2.7646894448630195E-10</v>
      </c>
      <c r="AD16" s="2">
        <f t="shared" si="6"/>
        <v>2.44140625E-4</v>
      </c>
      <c r="AF16" s="2">
        <v>12</v>
      </c>
      <c r="AG16" s="2">
        <f t="shared" si="13"/>
        <v>1719.970703125</v>
      </c>
      <c r="AH16" s="2">
        <v>-2.8888110513978518</v>
      </c>
      <c r="AI16" s="2">
        <f t="shared" si="14"/>
        <v>1724.609375</v>
      </c>
      <c r="AJ16" s="2">
        <v>1.4365757531368217</v>
      </c>
      <c r="AK16" s="2">
        <f t="shared" si="9"/>
        <v>1722.2900390625</v>
      </c>
      <c r="AL16" s="2">
        <v>-0.72604087874583456</v>
      </c>
      <c r="AM16" s="2">
        <f t="shared" si="10"/>
        <v>2.0973949142875745</v>
      </c>
      <c r="AN16" s="2">
        <f t="shared" si="11"/>
        <v>-1.0430127221924173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104.56888366543531</v>
      </c>
      <c r="H17" s="6" t="s">
        <v>97</v>
      </c>
      <c r="J17" s="11" t="s">
        <v>124</v>
      </c>
      <c r="K17" s="6">
        <f>uniform_250!K17</f>
        <v>0</v>
      </c>
      <c r="L17" s="6" t="s">
        <v>7</v>
      </c>
      <c r="U17" s="2">
        <v>13</v>
      </c>
      <c r="V17" s="2">
        <f t="shared" si="7"/>
        <v>0.9693603515625</v>
      </c>
      <c r="W17" s="2">
        <f t="shared" si="0"/>
        <v>1.2207879201775462E-4</v>
      </c>
      <c r="X17" s="2">
        <f t="shared" si="8"/>
        <v>0.969482421875</v>
      </c>
      <c r="Y17" s="2">
        <f t="shared" si="1"/>
        <v>-2.2646762792843944E-6</v>
      </c>
      <c r="Z17" s="2">
        <f t="shared" si="3"/>
        <v>0.96942138671875</v>
      </c>
      <c r="AA17" s="2">
        <f t="shared" si="2"/>
        <v>5.9906987095237341E-5</v>
      </c>
      <c r="AB17" s="2">
        <f t="shared" si="4"/>
        <v>7.3133726180097894E-9</v>
      </c>
      <c r="AC17" s="2">
        <f t="shared" si="5"/>
        <v>-1.3566993263798034E-10</v>
      </c>
      <c r="AD17" s="2">
        <f t="shared" si="6"/>
        <v>1.220703125E-4</v>
      </c>
      <c r="AF17" s="2">
        <v>13</v>
      </c>
      <c r="AG17" s="2">
        <f t="shared" si="13"/>
        <v>1722.2900390625</v>
      </c>
      <c r="AH17" s="2">
        <v>-0.72604087874583456</v>
      </c>
      <c r="AI17" s="2">
        <f t="shared" si="14"/>
        <v>1724.609375</v>
      </c>
      <c r="AJ17" s="2">
        <v>1.4365757531368217</v>
      </c>
      <c r="AK17" s="2">
        <f t="shared" si="9"/>
        <v>1723.44970703125</v>
      </c>
      <c r="AL17" s="2">
        <v>0.35528664975277024</v>
      </c>
      <c r="AM17" s="2">
        <f t="shared" si="10"/>
        <v>-0.25795263139316488</v>
      </c>
      <c r="AN17" s="2">
        <f t="shared" si="11"/>
        <v>0.51039618644804408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1.4530155342156561</v>
      </c>
      <c r="H18" s="6" t="s">
        <v>172</v>
      </c>
      <c r="J18" s="12" t="s">
        <v>54</v>
      </c>
      <c r="K18" s="6">
        <f>uniform_250!K18</f>
        <v>119.27906567027154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0.96942138671875</v>
      </c>
      <c r="W18" s="2">
        <f t="shared" si="0"/>
        <v>5.9906987095237341E-5</v>
      </c>
      <c r="X18" s="2">
        <f t="shared" si="8"/>
        <v>0.969482421875</v>
      </c>
      <c r="Y18" s="2">
        <f t="shared" si="1"/>
        <v>-2.2646762792843944E-6</v>
      </c>
      <c r="Z18" s="2">
        <f t="shared" si="3"/>
        <v>0.969451904296875</v>
      </c>
      <c r="AA18" s="2">
        <f t="shared" si="2"/>
        <v>2.8821137716183998E-5</v>
      </c>
      <c r="AB18" s="2">
        <f t="shared" si="4"/>
        <v>1.726587525233493E-9</v>
      </c>
      <c r="AC18" s="2">
        <f t="shared" si="5"/>
        <v>-6.5270546927830699E-11</v>
      </c>
      <c r="AD18" s="2">
        <f t="shared" si="6"/>
        <v>6.103515625E-5</v>
      </c>
      <c r="AF18" s="2">
        <v>14</v>
      </c>
      <c r="AG18" s="2">
        <f t="shared" si="13"/>
        <v>1722.2900390625</v>
      </c>
      <c r="AH18" s="2">
        <v>-0.72604087874583456</v>
      </c>
      <c r="AI18" s="2">
        <f t="shared" si="14"/>
        <v>1723.44970703125</v>
      </c>
      <c r="AJ18" s="2">
        <v>0.35528664975277024</v>
      </c>
      <c r="AK18" s="2">
        <f t="shared" si="9"/>
        <v>1722.869873046875</v>
      </c>
      <c r="AL18" s="2">
        <v>-0.18537220205735139</v>
      </c>
      <c r="AM18" s="2">
        <f t="shared" si="10"/>
        <v>0.1345877964767698</v>
      </c>
      <c r="AN18" s="2">
        <f t="shared" si="11"/>
        <v>-6.5860268626249954E-2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4.163399952894109E-2</v>
      </c>
      <c r="J19" s="12" t="s">
        <v>73</v>
      </c>
      <c r="K19" s="6">
        <f>uniform_250!K19</f>
        <v>64.102734544032742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0.969451904296875</v>
      </c>
      <c r="W19" s="2">
        <f t="shared" si="0"/>
        <v>2.8821137716183998E-5</v>
      </c>
      <c r="X19" s="2">
        <f t="shared" si="8"/>
        <v>0.969482421875</v>
      </c>
      <c r="Y19" s="2">
        <f t="shared" si="1"/>
        <v>-2.2646762792843944E-6</v>
      </c>
      <c r="Z19" s="2">
        <f t="shared" si="3"/>
        <v>0.9694671630859375</v>
      </c>
      <c r="AA19" s="2">
        <f t="shared" si="2"/>
        <v>1.327822629570985E-5</v>
      </c>
      <c r="AB19" s="2">
        <f t="shared" si="4"/>
        <v>3.8269358869530928E-10</v>
      </c>
      <c r="AC19" s="2">
        <f t="shared" si="5"/>
        <v>-3.0070884122864386E-11</v>
      </c>
      <c r="AD19" s="2">
        <f t="shared" si="6"/>
        <v>3.0517578125E-5</v>
      </c>
      <c r="AF19" s="2">
        <v>15</v>
      </c>
      <c r="AG19" s="2">
        <f t="shared" si="13"/>
        <v>1722.869873046875</v>
      </c>
      <c r="AH19" s="2">
        <v>-0.18537220205735139</v>
      </c>
      <c r="AI19" s="2">
        <f t="shared" si="14"/>
        <v>1723.44970703125</v>
      </c>
      <c r="AJ19" s="2">
        <v>0.35528664975277024</v>
      </c>
      <c r="AK19" s="2">
        <f t="shared" si="9"/>
        <v>1723.1597900390625</v>
      </c>
      <c r="AL19" s="2">
        <v>8.4958408303009492E-2</v>
      </c>
      <c r="AM19" s="2">
        <f t="shared" si="10"/>
        <v>-1.5748927230416435E-2</v>
      </c>
      <c r="AN19" s="2">
        <f t="shared" si="11"/>
        <v>3.018458825430418E-2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104.56888366543531</v>
      </c>
      <c r="H20" s="22" t="s">
        <v>97</v>
      </c>
      <c r="J20" s="13" t="s">
        <v>61</v>
      </c>
      <c r="K20" s="6">
        <f>uniform_250!K20</f>
        <v>214.71464184538445</v>
      </c>
      <c r="L20" s="6" t="s">
        <v>7</v>
      </c>
      <c r="N20" s="6" t="s">
        <v>20</v>
      </c>
      <c r="O20" s="6">
        <f xml:space="preserve"> O14 / $C$28</f>
        <v>1489.0982050807752</v>
      </c>
      <c r="P20" s="6" t="s">
        <v>21</v>
      </c>
      <c r="U20" s="2">
        <v>16</v>
      </c>
      <c r="V20" s="2">
        <f t="shared" si="7"/>
        <v>0.9694671630859375</v>
      </c>
      <c r="W20" s="2">
        <f t="shared" si="0"/>
        <v>1.327822629570985E-5</v>
      </c>
      <c r="X20" s="2">
        <f t="shared" si="8"/>
        <v>0.969482421875</v>
      </c>
      <c r="Y20" s="2">
        <f t="shared" si="1"/>
        <v>-2.2646762792843944E-6</v>
      </c>
      <c r="Z20" s="2">
        <f t="shared" si="3"/>
        <v>0.96947479248046875</v>
      </c>
      <c r="AA20" s="2">
        <f t="shared" si="2"/>
        <v>5.5067739025416174E-6</v>
      </c>
      <c r="AB20" s="2">
        <f t="shared" si="4"/>
        <v>7.3120190037256856E-11</v>
      </c>
      <c r="AC20" s="2">
        <f t="shared" si="5"/>
        <v>-1.2471060232468354E-11</v>
      </c>
      <c r="AD20" s="2">
        <f t="shared" si="6"/>
        <v>1.52587890625E-5</v>
      </c>
      <c r="AF20" s="2">
        <v>16</v>
      </c>
      <c r="AG20" s="2">
        <f t="shared" si="13"/>
        <v>1722.869873046875</v>
      </c>
      <c r="AH20" s="2">
        <v>-0.18537220205735139</v>
      </c>
      <c r="AI20" s="2">
        <f t="shared" si="14"/>
        <v>1723.1597900390625</v>
      </c>
      <c r="AJ20" s="2">
        <v>8.4958408303009492E-2</v>
      </c>
      <c r="AK20" s="2">
        <f t="shared" si="9"/>
        <v>1723.0148315429688</v>
      </c>
      <c r="AL20" s="2">
        <v>-5.0206688018079149E-2</v>
      </c>
      <c r="AM20" s="2">
        <f t="shared" si="10"/>
        <v>9.3069243159177705E-3</v>
      </c>
      <c r="AN20" s="2">
        <f t="shared" si="11"/>
        <v>-4.2654803001817825E-3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uniform_250!K21</f>
        <v>56.841914526510628</v>
      </c>
      <c r="L21" s="6" t="s">
        <v>7</v>
      </c>
      <c r="N21" s="6" t="s">
        <v>27</v>
      </c>
      <c r="O21" s="6">
        <f>$C$6*2*PI()/60</f>
        <v>42.788039155274795</v>
      </c>
      <c r="P21" s="6" t="s">
        <v>28</v>
      </c>
      <c r="U21" s="2">
        <v>17</v>
      </c>
      <c r="V21" s="2">
        <f t="shared" si="7"/>
        <v>0.96947479248046875</v>
      </c>
      <c r="W21" s="2">
        <f t="shared" si="0"/>
        <v>5.5067739025416174E-6</v>
      </c>
      <c r="X21" s="2">
        <f t="shared" si="8"/>
        <v>0.969482421875</v>
      </c>
      <c r="Y21" s="2">
        <f t="shared" si="1"/>
        <v>-2.2646762792843944E-6</v>
      </c>
      <c r="Z21" s="2">
        <f t="shared" si="3"/>
        <v>0.96947860717773438</v>
      </c>
      <c r="AA21" s="2">
        <f t="shared" si="2"/>
        <v>1.6210485352941006E-6</v>
      </c>
      <c r="AB21" s="2">
        <f t="shared" si="4"/>
        <v>8.9267477689108675E-12</v>
      </c>
      <c r="AC21" s="2">
        <f t="shared" si="5"/>
        <v>-3.6711501654492614E-12</v>
      </c>
      <c r="AD21" s="2">
        <f t="shared" si="6"/>
        <v>7.62939453125E-6</v>
      </c>
      <c r="AF21" s="2">
        <v>17</v>
      </c>
      <c r="AG21" s="2">
        <f t="shared" si="13"/>
        <v>1723.0148315429688</v>
      </c>
      <c r="AH21" s="2">
        <v>-5.0206688018079149E-2</v>
      </c>
      <c r="AI21" s="2">
        <f t="shared" si="14"/>
        <v>1723.1597900390625</v>
      </c>
      <c r="AJ21" s="2">
        <v>8.4958408303009492E-2</v>
      </c>
      <c r="AK21" s="2">
        <f t="shared" si="9"/>
        <v>1723.0873107910156</v>
      </c>
      <c r="AL21" s="2">
        <v>1.7375934170786422E-2</v>
      </c>
      <c r="AM21" s="2">
        <f t="shared" si="10"/>
        <v>-8.7238810593535476E-4</v>
      </c>
      <c r="AN21" s="2">
        <f t="shared" si="11"/>
        <v>1.4762317099278875E-3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>uniform_250!K22</f>
        <v>140.48578964379911</v>
      </c>
      <c r="L22" s="6" t="s">
        <v>7</v>
      </c>
      <c r="N22" s="6" t="s">
        <v>29</v>
      </c>
      <c r="O22" s="6">
        <f xml:space="preserve"> $C$7 * COS(O19/180*PI()) / (O21 * $C$10)</f>
        <v>8.3227612935007786E-2</v>
      </c>
      <c r="U22" s="2">
        <v>18</v>
      </c>
      <c r="V22" s="2">
        <f t="shared" si="7"/>
        <v>0.96947860717773438</v>
      </c>
      <c r="W22" s="2">
        <f t="shared" si="0"/>
        <v>1.6210485352941006E-6</v>
      </c>
      <c r="X22" s="2">
        <f t="shared" si="8"/>
        <v>0.969482421875</v>
      </c>
      <c r="Y22" s="2">
        <f t="shared" si="1"/>
        <v>-2.2646762792843944E-6</v>
      </c>
      <c r="Z22" s="2">
        <f t="shared" si="3"/>
        <v>0.96948051452636719</v>
      </c>
      <c r="AA22" s="2">
        <f t="shared" si="2"/>
        <v>-3.2181394105101901E-7</v>
      </c>
      <c r="AB22" s="2">
        <f t="shared" si="4"/>
        <v>-5.2167601777797643E-13</v>
      </c>
      <c r="AC22" s="2">
        <f t="shared" si="5"/>
        <v>7.2880439864126921E-13</v>
      </c>
      <c r="AD22" s="2">
        <f t="shared" si="6"/>
        <v>3.814697265625E-6</v>
      </c>
      <c r="AF22" s="2">
        <v>18</v>
      </c>
      <c r="AG22" s="2">
        <f t="shared" si="13"/>
        <v>1723.0148315429688</v>
      </c>
      <c r="AH22" s="2">
        <v>-5.0206688018079149E-2</v>
      </c>
      <c r="AI22" s="2">
        <f t="shared" si="14"/>
        <v>1723.0873107910156</v>
      </c>
      <c r="AJ22" s="2">
        <v>1.7375934170786422E-2</v>
      </c>
      <c r="AK22" s="2">
        <f t="shared" si="9"/>
        <v>1723.0510711669922</v>
      </c>
      <c r="AL22" s="2">
        <v>-1.6415358416452364E-2</v>
      </c>
      <c r="AM22" s="2">
        <f t="shared" si="10"/>
        <v>8.2416077871977356E-4</v>
      </c>
      <c r="AN22" s="2">
        <f t="shared" si="11"/>
        <v>-2.8523218723414112E-4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uniform_250!K23</f>
        <v>24.684431777977931</v>
      </c>
      <c r="L23" s="6" t="s">
        <v>7</v>
      </c>
      <c r="N23" s="6" t="s">
        <v>30</v>
      </c>
      <c r="O23" s="6">
        <f xml:space="preserve"> O20 / ( $C$71 * PI() * $C$10^2 * O21^2 * $C$10^2)</f>
        <v>3.5388187203422163E-2</v>
      </c>
      <c r="U23" s="2">
        <v>19</v>
      </c>
      <c r="V23" s="2">
        <f t="shared" si="7"/>
        <v>0.96947860717773438</v>
      </c>
      <c r="W23" s="2">
        <f t="shared" si="0"/>
        <v>1.6210485352941006E-6</v>
      </c>
      <c r="X23" s="2">
        <f t="shared" si="8"/>
        <v>0.96948051452636719</v>
      </c>
      <c r="Y23" s="2">
        <f t="shared" si="1"/>
        <v>-3.2181394105101901E-7</v>
      </c>
      <c r="Z23" s="2">
        <f t="shared" si="3"/>
        <v>0.96947956085205078</v>
      </c>
      <c r="AA23" s="2">
        <f t="shared" si="2"/>
        <v>6.4961727974655048E-7</v>
      </c>
      <c r="AB23" s="2">
        <f t="shared" si="4"/>
        <v>1.0530611398348837E-12</v>
      </c>
      <c r="AC23" s="2">
        <f t="shared" si="5"/>
        <v>-2.0905589697007973E-13</v>
      </c>
      <c r="AD23" s="2">
        <f t="shared" si="6"/>
        <v>1.9073486328125E-6</v>
      </c>
      <c r="AF23" s="2">
        <v>19</v>
      </c>
      <c r="AG23" s="2">
        <f t="shared" si="13"/>
        <v>1723.0510711669922</v>
      </c>
      <c r="AH23" s="2">
        <v>-1.6415358416452364E-2</v>
      </c>
      <c r="AI23" s="2">
        <f t="shared" si="14"/>
        <v>1723.0873107910156</v>
      </c>
      <c r="AJ23" s="2">
        <v>1.7375934170786422E-2</v>
      </c>
      <c r="AK23" s="2">
        <f t="shared" si="9"/>
        <v>1723.0691909790039</v>
      </c>
      <c r="AL23" s="2">
        <v>4.8029250388026412E-4</v>
      </c>
      <c r="AM23" s="2">
        <f t="shared" si="10"/>
        <v>-7.8841735959298735E-6</v>
      </c>
      <c r="AN23" s="2">
        <f t="shared" si="11"/>
        <v>8.3455309301456517E-6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uniform_250!K24</f>
        <v>8.6330172633340219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0.96947956085205078</v>
      </c>
      <c r="W24" s="2">
        <f t="shared" si="0"/>
        <v>6.4961727974655048E-7</v>
      </c>
      <c r="X24" s="2">
        <f t="shared" si="8"/>
        <v>0.96948051452636719</v>
      </c>
      <c r="Y24" s="2">
        <f t="shared" si="1"/>
        <v>-3.2181394105101901E-7</v>
      </c>
      <c r="Z24" s="2">
        <f t="shared" si="3"/>
        <v>0.96948003768920898</v>
      </c>
      <c r="AA24" s="2">
        <f t="shared" si="2"/>
        <v>1.6390166501789594E-7</v>
      </c>
      <c r="AB24" s="2">
        <f t="shared" si="4"/>
        <v>1.0647335377485591E-13</v>
      </c>
      <c r="AC24" s="2">
        <f t="shared" si="5"/>
        <v>-5.2745840764233028E-14</v>
      </c>
      <c r="AD24" s="2">
        <f t="shared" si="6"/>
        <v>9.5367431640625E-7</v>
      </c>
      <c r="AF24" s="2">
        <v>20</v>
      </c>
      <c r="AG24" s="2">
        <f t="shared" si="13"/>
        <v>1723.0510711669922</v>
      </c>
      <c r="AH24" s="2">
        <v>-1.6415358416452364E-2</v>
      </c>
      <c r="AI24" s="2">
        <f t="shared" si="14"/>
        <v>1723.0691909790039</v>
      </c>
      <c r="AJ24" s="2">
        <v>4.8029250388026412E-4</v>
      </c>
      <c r="AK24" s="2">
        <f t="shared" si="9"/>
        <v>1723.060131072998</v>
      </c>
      <c r="AL24" s="2">
        <v>-7.9674445400996774E-3</v>
      </c>
      <c r="AM24" s="2">
        <f t="shared" si="10"/>
        <v>1.3078845778894267E-4</v>
      </c>
      <c r="AN24" s="2">
        <f t="shared" si="11"/>
        <v>-3.8267038876916138E-6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uniform_250!K25</f>
        <v>23.828511081606546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2884.0940048241246</v>
      </c>
      <c r="P25" s="6" t="s">
        <v>19</v>
      </c>
      <c r="U25" s="2">
        <v>21</v>
      </c>
      <c r="V25" s="2">
        <f t="shared" si="7"/>
        <v>0.96948003768920898</v>
      </c>
      <c r="W25" s="2">
        <f t="shared" si="0"/>
        <v>1.6390166501789594E-7</v>
      </c>
      <c r="X25" s="2">
        <f t="shared" si="8"/>
        <v>0.96948051452636719</v>
      </c>
      <c r="Y25" s="2">
        <f t="shared" si="1"/>
        <v>-3.2181394105101901E-7</v>
      </c>
      <c r="Z25" s="2">
        <f t="shared" si="3"/>
        <v>0.96948027610778809</v>
      </c>
      <c r="AA25" s="2">
        <f t="shared" si="2"/>
        <v>-7.8956139071273412E-8</v>
      </c>
      <c r="AB25" s="2">
        <f t="shared" si="4"/>
        <v>-1.294104265716626E-14</v>
      </c>
      <c r="AC25" s="2">
        <f t="shared" si="5"/>
        <v>2.5409186284698841E-14</v>
      </c>
      <c r="AD25" s="2">
        <f t="shared" si="6"/>
        <v>4.76837158203125E-7</v>
      </c>
      <c r="AF25" s="2">
        <v>21</v>
      </c>
      <c r="AG25" s="2">
        <f t="shared" si="13"/>
        <v>1723.060131072998</v>
      </c>
      <c r="AH25" s="2">
        <v>-7.9674445400996774E-3</v>
      </c>
      <c r="AI25" s="2">
        <f t="shared" si="14"/>
        <v>1723.0691909790039</v>
      </c>
      <c r="AJ25" s="2">
        <v>4.8029250388026412E-4</v>
      </c>
      <c r="AK25" s="2">
        <f t="shared" si="9"/>
        <v>1723.064661026001</v>
      </c>
      <c r="AL25" s="2">
        <v>-3.7435757287767046E-3</v>
      </c>
      <c r="AM25" s="2">
        <f t="shared" si="10"/>
        <v>2.9826732000691627E-5</v>
      </c>
      <c r="AN25" s="2">
        <f t="shared" si="11"/>
        <v>-1.798011360239548E-6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2111.0798167695457</v>
      </c>
      <c r="H26" s="6" t="s">
        <v>21</v>
      </c>
      <c r="J26" s="14" t="s">
        <v>65</v>
      </c>
      <c r="K26" s="6">
        <f>uniform_250!K26</f>
        <v>46.872717209553379</v>
      </c>
      <c r="L26" s="6" t="s">
        <v>7</v>
      </c>
      <c r="N26" s="6" t="s">
        <v>32</v>
      </c>
      <c r="O26" s="17">
        <f>Z34</f>
        <v>0.96948019834235311</v>
      </c>
      <c r="U26" s="2">
        <v>22</v>
      </c>
      <c r="V26" s="2">
        <f t="shared" si="7"/>
        <v>0.96948003768920898</v>
      </c>
      <c r="W26" s="2">
        <f t="shared" si="0"/>
        <v>1.6390166501789594E-7</v>
      </c>
      <c r="X26" s="2">
        <f t="shared" si="8"/>
        <v>0.96948027610778809</v>
      </c>
      <c r="Y26" s="2">
        <f t="shared" si="1"/>
        <v>-7.8956139071273412E-8</v>
      </c>
      <c r="Z26" s="2">
        <f t="shared" si="3"/>
        <v>0.96948015689849854</v>
      </c>
      <c r="AA26" s="2">
        <f t="shared" si="2"/>
        <v>4.2472762640244355E-8</v>
      </c>
      <c r="AB26" s="2">
        <f t="shared" si="4"/>
        <v>6.9613565146459354E-15</v>
      </c>
      <c r="AC26" s="2">
        <f t="shared" si="5"/>
        <v>-3.3534853537643188E-15</v>
      </c>
      <c r="AD26" s="2">
        <f t="shared" si="6"/>
        <v>2.384185791015625E-7</v>
      </c>
      <c r="AF26" s="2">
        <v>22</v>
      </c>
      <c r="AG26" s="2">
        <f t="shared" si="13"/>
        <v>1723.064661026001</v>
      </c>
      <c r="AH26" s="2">
        <v>-3.7435757287767046E-3</v>
      </c>
      <c r="AI26" s="2">
        <f t="shared" si="14"/>
        <v>1723.0691909790039</v>
      </c>
      <c r="AJ26" s="2">
        <v>4.8029250388026412E-4</v>
      </c>
      <c r="AK26" s="2">
        <f t="shared" si="9"/>
        <v>1723.0669260025024</v>
      </c>
      <c r="AL26" s="2">
        <v>-1.6315542804932193E-3</v>
      </c>
      <c r="AM26" s="2">
        <f t="shared" si="10"/>
        <v>6.1078470046361557E-6</v>
      </c>
      <c r="AN26" s="2">
        <f t="shared" si="11"/>
        <v>-7.8362329059465101E-7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27.233451084535385</v>
      </c>
      <c r="H27" t="s">
        <v>97</v>
      </c>
      <c r="J27" s="14" t="s">
        <v>66</v>
      </c>
      <c r="K27" s="6">
        <f>uniform_250!K27</f>
        <v>7.8282529536978558</v>
      </c>
      <c r="L27" s="6" t="s">
        <v>7</v>
      </c>
      <c r="N27" s="6" t="s">
        <v>33</v>
      </c>
      <c r="O27" s="6">
        <f xml:space="preserve"> O21 * $C$10 * O26 - $C$7 * SIN(O19/180*PI())</f>
        <v>1.2769124343215026</v>
      </c>
      <c r="P27" s="6" t="s">
        <v>10</v>
      </c>
      <c r="U27" s="2">
        <v>23</v>
      </c>
      <c r="V27" s="2">
        <f t="shared" si="7"/>
        <v>0.96948015689849854</v>
      </c>
      <c r="W27" s="2">
        <f t="shared" si="0"/>
        <v>4.2472762640244355E-8</v>
      </c>
      <c r="X27" s="2">
        <f t="shared" si="8"/>
        <v>0.96948027610778809</v>
      </c>
      <c r="Y27" s="2">
        <f t="shared" si="1"/>
        <v>-7.8956139071273412E-8</v>
      </c>
      <c r="Z27" s="2">
        <f t="shared" si="3"/>
        <v>0.96948021650314331</v>
      </c>
      <c r="AA27" s="2">
        <f t="shared" si="2"/>
        <v>-1.824168827102568E-8</v>
      </c>
      <c r="AB27" s="2">
        <f t="shared" si="4"/>
        <v>-7.7477489609260319E-16</v>
      </c>
      <c r="AC27" s="2">
        <f t="shared" si="5"/>
        <v>1.4402932760219206E-15</v>
      </c>
      <c r="AD27" s="2">
        <f t="shared" si="6"/>
        <v>1.1920928955078125E-7</v>
      </c>
      <c r="AF27" s="2">
        <v>23</v>
      </c>
      <c r="AG27" s="2">
        <f t="shared" si="13"/>
        <v>1723.0669260025024</v>
      </c>
      <c r="AH27" s="2">
        <v>-1.6315542804932193E-3</v>
      </c>
      <c r="AI27" s="2">
        <f t="shared" si="14"/>
        <v>1723.0691909790039</v>
      </c>
      <c r="AJ27" s="2">
        <v>4.8029250388026412E-4</v>
      </c>
      <c r="AK27" s="2">
        <f t="shared" si="9"/>
        <v>1723.0680584907532</v>
      </c>
      <c r="AL27" s="2">
        <v>-5.7554361046641134E-4</v>
      </c>
      <c r="AM27" s="2">
        <f t="shared" si="10"/>
        <v>9.3903064126699538E-7</v>
      </c>
      <c r="AN27" s="2">
        <f t="shared" si="11"/>
        <v>-2.7642928176320007E-7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7.9087859217753094</v>
      </c>
      <c r="H28" s="6" t="s">
        <v>172</v>
      </c>
      <c r="J28" s="14" t="s">
        <v>67</v>
      </c>
      <c r="K28" s="6">
        <f>uniform_250!K28</f>
        <v>13.991855883448771</v>
      </c>
      <c r="L28" s="6" t="s">
        <v>7</v>
      </c>
      <c r="N28" s="6" t="s">
        <v>34</v>
      </c>
      <c r="O28" s="6">
        <f xml:space="preserve"> 1/$C$31 - O25 * SQRT( (2*$C$71*PI()*$C$10^2) / O20^3 )</f>
        <v>1.1259825414142977</v>
      </c>
      <c r="U28" s="2">
        <v>24</v>
      </c>
      <c r="V28" s="2">
        <f t="shared" si="7"/>
        <v>0.96948015689849854</v>
      </c>
      <c r="W28" s="2">
        <f t="shared" si="0"/>
        <v>4.2472762640244355E-8</v>
      </c>
      <c r="X28" s="2">
        <f t="shared" si="8"/>
        <v>0.96948021650314331</v>
      </c>
      <c r="Y28" s="2">
        <f t="shared" si="1"/>
        <v>-1.824168827102568E-8</v>
      </c>
      <c r="Z28" s="2">
        <f t="shared" si="3"/>
        <v>0.96948018670082092</v>
      </c>
      <c r="AA28" s="2">
        <f t="shared" si="2"/>
        <v>1.2115537240120489E-8</v>
      </c>
      <c r="AB28" s="2">
        <f t="shared" si="4"/>
        <v>5.1458033745867869E-16</v>
      </c>
      <c r="AC28" s="2">
        <f t="shared" si="5"/>
        <v>-2.2100785357028075E-16</v>
      </c>
      <c r="AD28" s="2">
        <f t="shared" si="6"/>
        <v>5.9604644775390625E-8</v>
      </c>
      <c r="AF28" s="2">
        <v>24</v>
      </c>
      <c r="AG28" s="2">
        <f t="shared" si="13"/>
        <v>1723.0680584907532</v>
      </c>
      <c r="AH28" s="2">
        <v>-5.7554361046641134E-4</v>
      </c>
      <c r="AI28" s="2">
        <f t="shared" si="14"/>
        <v>1723.0691909790039</v>
      </c>
      <c r="AJ28" s="2">
        <v>4.8029250388026412E-4</v>
      </c>
      <c r="AK28" s="2">
        <f t="shared" si="9"/>
        <v>1723.0686247348785</v>
      </c>
      <c r="AL28" s="2">
        <v>-4.7712808509459137E-5</v>
      </c>
      <c r="AM28" s="2">
        <f t="shared" si="10"/>
        <v>2.7460802075026625E-8</v>
      </c>
      <c r="AN28" s="2">
        <f t="shared" si="11"/>
        <v>-2.2916104266167701E-8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217.86760867628308</v>
      </c>
      <c r="H29" s="22" t="s">
        <v>97</v>
      </c>
      <c r="J29" s="14" t="s">
        <v>68</v>
      </c>
      <c r="K29" s="6">
        <f>uniform_250!K29</f>
        <v>36.444881753275084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0.96948018670082092</v>
      </c>
      <c r="W29" s="2">
        <f t="shared" si="0"/>
        <v>1.2115537240120489E-8</v>
      </c>
      <c r="X29" s="2">
        <f t="shared" si="8"/>
        <v>0.96948021650314331</v>
      </c>
      <c r="Y29" s="2">
        <f t="shared" si="1"/>
        <v>-1.824168827102568E-8</v>
      </c>
      <c r="Z29" s="2">
        <f t="shared" si="3"/>
        <v>0.96948020160198212</v>
      </c>
      <c r="AA29" s="2">
        <f t="shared" si="2"/>
        <v>-3.0630755709637469E-9</v>
      </c>
      <c r="AB29" s="2">
        <f t="shared" si="4"/>
        <v>-3.7110806149314604E-17</v>
      </c>
      <c r="AC29" s="2">
        <f t="shared" si="5"/>
        <v>5.5875669716114671E-17</v>
      </c>
      <c r="AD29" s="2">
        <f t="shared" si="6"/>
        <v>2.9802322387695312E-8</v>
      </c>
      <c r="AF29" s="2">
        <v>25</v>
      </c>
      <c r="AG29" s="2">
        <f t="shared" si="13"/>
        <v>1723.0686247348785</v>
      </c>
      <c r="AH29" s="2">
        <v>-4.7712808509459137E-5</v>
      </c>
      <c r="AI29" s="2">
        <f t="shared" si="14"/>
        <v>1723.0691909790039</v>
      </c>
      <c r="AJ29" s="2">
        <v>4.8029250388026412E-4</v>
      </c>
      <c r="AK29" s="2">
        <f t="shared" si="9"/>
        <v>1723.0689078569412</v>
      </c>
      <c r="AL29" s="2">
        <v>2.1628984882227087E-4</v>
      </c>
      <c r="AM29" s="2">
        <f t="shared" si="10"/>
        <v>-1.0319796139396876E-8</v>
      </c>
      <c r="AN29" s="2">
        <f t="shared" si="11"/>
        <v>1.0388239305473228E-7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-3.724742289250571E-4</v>
      </c>
      <c r="L30" s="9" t="s">
        <v>7</v>
      </c>
      <c r="N30" s="6" t="s">
        <v>36</v>
      </c>
      <c r="O30" s="6">
        <f xml:space="preserve"> 1/$C$77 * LN( EXP($C$77 * O28) + EXP($C$77 * O29) )</f>
        <v>1.1632140867542886</v>
      </c>
      <c r="U30" s="2">
        <v>26</v>
      </c>
      <c r="V30" s="2">
        <f>IF(AB29&gt;0, Z29, V29)</f>
        <v>0.96948018670082092</v>
      </c>
      <c r="W30" s="2">
        <f t="shared" si="0"/>
        <v>1.2115537240120489E-8</v>
      </c>
      <c r="X30" s="2">
        <f t="shared" si="8"/>
        <v>0.96948020160198212</v>
      </c>
      <c r="Y30" s="2">
        <f t="shared" si="1"/>
        <v>-3.0630755709637469E-9</v>
      </c>
      <c r="Z30" s="2">
        <f t="shared" si="3"/>
        <v>0.96948019415140152</v>
      </c>
      <c r="AA30" s="2">
        <f t="shared" si="2"/>
        <v>4.5262308345783708E-9</v>
      </c>
      <c r="AB30" s="2">
        <f t="shared" si="4"/>
        <v>5.4837718233715891E-17</v>
      </c>
      <c r="AC30" s="2">
        <f t="shared" si="5"/>
        <v>-1.386418709793986E-17</v>
      </c>
      <c r="AD30" s="2">
        <f t="shared" si="6"/>
        <v>1.4901161193847656E-8</v>
      </c>
      <c r="AF30" s="2">
        <v>26</v>
      </c>
      <c r="AG30" s="2">
        <f t="shared" si="13"/>
        <v>1723.0686247348785</v>
      </c>
      <c r="AH30" s="2">
        <v>-4.7712808509459137E-5</v>
      </c>
      <c r="AI30" s="2">
        <f t="shared" si="14"/>
        <v>1723.0689078569412</v>
      </c>
      <c r="AJ30" s="2">
        <v>2.1628984882227087E-4</v>
      </c>
      <c r="AK30" s="2">
        <f t="shared" si="9"/>
        <v>1723.0687662959099</v>
      </c>
      <c r="AL30" s="2">
        <v>8.4375780261325417E-5</v>
      </c>
      <c r="AM30" s="2">
        <f t="shared" si="10"/>
        <v>-4.0258054464448215E-9</v>
      </c>
      <c r="AN30" s="2">
        <f t="shared" si="11"/>
        <v>1.8249624756983221E-8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0.96948019415140152</v>
      </c>
      <c r="W31" s="2">
        <f t="shared" si="0"/>
        <v>4.5262308345783708E-9</v>
      </c>
      <c r="X31" s="2">
        <f t="shared" si="8"/>
        <v>0.96948020160198212</v>
      </c>
      <c r="Y31" s="2">
        <f t="shared" si="1"/>
        <v>-3.0630755709637469E-9</v>
      </c>
      <c r="Z31" s="2">
        <f t="shared" si="3"/>
        <v>0.96948019787669182</v>
      </c>
      <c r="AA31" s="2">
        <f t="shared" si="2"/>
        <v>7.3157768731846318E-10</v>
      </c>
      <c r="AB31" s="2">
        <f t="shared" si="4"/>
        <v>3.311289486230362E-18</v>
      </c>
      <c r="AC31" s="2">
        <f t="shared" si="5"/>
        <v>-2.2408777422873391E-18</v>
      </c>
      <c r="AD31" s="2">
        <f t="shared" si="6"/>
        <v>7.4505805969238281E-9</v>
      </c>
      <c r="AF31" s="2">
        <v>27</v>
      </c>
      <c r="AG31" s="2">
        <f t="shared" si="13"/>
        <v>1723.0686247348785</v>
      </c>
      <c r="AH31" s="2">
        <v>-4.7712808509459137E-5</v>
      </c>
      <c r="AI31" s="2">
        <f t="shared" si="14"/>
        <v>1723.0687662959099</v>
      </c>
      <c r="AJ31" s="2">
        <v>8.4375780261325417E-5</v>
      </c>
      <c r="AK31" s="2">
        <f t="shared" si="9"/>
        <v>1723.0686955153942</v>
      </c>
      <c r="AL31" s="2">
        <v>1.8331485989619978E-5</v>
      </c>
      <c r="AM31" s="2">
        <f t="shared" si="10"/>
        <v>-8.7464668071657102E-10</v>
      </c>
      <c r="AN31" s="2">
        <f t="shared" si="11"/>
        <v>1.5467334337237408E-9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0.96948019787669182</v>
      </c>
      <c r="W32" s="2">
        <f t="shared" si="0"/>
        <v>7.3157768731846318E-10</v>
      </c>
      <c r="X32" s="2">
        <f t="shared" si="8"/>
        <v>0.96948020160198212</v>
      </c>
      <c r="Y32" s="2">
        <f t="shared" si="1"/>
        <v>-3.0630755709637469E-9</v>
      </c>
      <c r="Z32" s="2">
        <f t="shared" si="3"/>
        <v>0.96948019973933697</v>
      </c>
      <c r="AA32" s="2">
        <f t="shared" si="2"/>
        <v>-1.1657489418226419E-9</v>
      </c>
      <c r="AB32" s="2">
        <f t="shared" si="4"/>
        <v>-8.5283591485255402E-19</v>
      </c>
      <c r="AC32" s="2">
        <f t="shared" si="5"/>
        <v>3.5707771055737726E-18</v>
      </c>
      <c r="AD32" s="2">
        <f t="shared" si="6"/>
        <v>3.7252902984619141E-9</v>
      </c>
      <c r="AF32" s="2">
        <v>28</v>
      </c>
      <c r="AG32" s="2">
        <f t="shared" si="13"/>
        <v>1723.0686247348785</v>
      </c>
      <c r="AH32" s="2">
        <v>-4.7712808509459137E-5</v>
      </c>
      <c r="AI32" s="2">
        <f t="shared" si="14"/>
        <v>1723.0686955153942</v>
      </c>
      <c r="AJ32" s="2">
        <v>1.8331485989619978E-5</v>
      </c>
      <c r="AK32" s="2">
        <f t="shared" si="9"/>
        <v>1723.0686601251364</v>
      </c>
      <c r="AL32" s="2">
        <v>-1.4690661373606417E-5</v>
      </c>
      <c r="AM32" s="2">
        <f t="shared" si="10"/>
        <v>7.0093271299619092E-10</v>
      </c>
      <c r="AN32" s="2">
        <f t="shared" si="11"/>
        <v>-2.6930165314851742E-10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104.56888366543531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0.96948019787669182</v>
      </c>
      <c r="W33" s="2">
        <f t="shared" si="0"/>
        <v>7.3157768731846318E-10</v>
      </c>
      <c r="X33" s="2">
        <f t="shared" si="8"/>
        <v>0.96948019973933697</v>
      </c>
      <c r="Y33" s="2">
        <f t="shared" si="1"/>
        <v>-1.1657489418226419E-9</v>
      </c>
      <c r="Z33" s="2">
        <f t="shared" si="3"/>
        <v>0.96948019880801439</v>
      </c>
      <c r="AA33" s="2">
        <f t="shared" si="2"/>
        <v>-2.1708568276324058E-10</v>
      </c>
      <c r="AB33" s="2">
        <f t="shared" si="4"/>
        <v>-1.5881504174588111E-19</v>
      </c>
      <c r="AC33" s="2">
        <f t="shared" si="5"/>
        <v>2.5306740496609344E-19</v>
      </c>
      <c r="AD33" s="2">
        <f t="shared" si="6"/>
        <v>1.862645149230957E-9</v>
      </c>
      <c r="AF33" s="2">
        <v>29</v>
      </c>
      <c r="AG33" s="2">
        <f t="shared" si="13"/>
        <v>1723.0686601251364</v>
      </c>
      <c r="AH33" s="2">
        <v>-1.4690661373606417E-5</v>
      </c>
      <c r="AI33" s="2">
        <f t="shared" si="14"/>
        <v>1723.0686955153942</v>
      </c>
      <c r="AJ33" s="2">
        <v>1.8331485989619978E-5</v>
      </c>
      <c r="AK33" s="2">
        <f t="shared" si="9"/>
        <v>1723.0686778202653</v>
      </c>
      <c r="AL33" s="2">
        <v>1.8204123080067802E-6</v>
      </c>
      <c r="AM33" s="2">
        <f t="shared" si="10"/>
        <v>-2.6743060777272914E-11</v>
      </c>
      <c r="AN33" s="2">
        <f t="shared" si="11"/>
        <v>3.3370862719558059E-11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34.82</v>
      </c>
      <c r="L34" s="6" t="s">
        <v>59</v>
      </c>
      <c r="U34" s="2">
        <v>30</v>
      </c>
      <c r="V34" s="2">
        <f t="shared" si="7"/>
        <v>0.96948019787669182</v>
      </c>
      <c r="W34" s="2">
        <f t="shared" si="0"/>
        <v>7.3157768731846318E-10</v>
      </c>
      <c r="X34" s="2">
        <f t="shared" si="8"/>
        <v>0.96948019880801439</v>
      </c>
      <c r="Y34" s="2">
        <f t="shared" si="1"/>
        <v>-2.1708568276324058E-10</v>
      </c>
      <c r="Z34" s="2">
        <f t="shared" si="3"/>
        <v>0.96948019834235311</v>
      </c>
      <c r="AA34" s="2">
        <f t="shared" si="2"/>
        <v>2.572460022776113E-10</v>
      </c>
      <c r="AB34" s="2">
        <f t="shared" si="4"/>
        <v>1.8819543541817498E-19</v>
      </c>
      <c r="AC34" s="2">
        <f t="shared" si="5"/>
        <v>-5.5844424042549391E-20</v>
      </c>
      <c r="AD34" s="2">
        <f t="shared" si="6"/>
        <v>9.3132257461547852E-10</v>
      </c>
      <c r="AF34" s="2">
        <v>30</v>
      </c>
      <c r="AG34" s="2">
        <f t="shared" si="13"/>
        <v>1723.0686601251364</v>
      </c>
      <c r="AH34" s="2">
        <v>-1.4690661373606417E-5</v>
      </c>
      <c r="AI34" s="2">
        <f t="shared" si="14"/>
        <v>1723.0686778202653</v>
      </c>
      <c r="AJ34" s="2">
        <v>1.8204123080067802E-6</v>
      </c>
      <c r="AK34" s="2">
        <f t="shared" si="9"/>
        <v>1723.0686689727008</v>
      </c>
      <c r="AL34" s="2">
        <v>-6.4351245327998186E-6</v>
      </c>
      <c r="AM34" s="2">
        <f t="shared" si="10"/>
        <v>9.4536235408349337E-11</v>
      </c>
      <c r="AN34" s="2">
        <f t="shared" si="11"/>
        <v>-1.1714579903065171E-11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11.83</v>
      </c>
      <c r="L35" s="6" t="s">
        <v>59</v>
      </c>
      <c r="AF35" s="2">
        <v>31</v>
      </c>
      <c r="AG35" s="2">
        <f t="shared" si="13"/>
        <v>1723.0686689727008</v>
      </c>
      <c r="AH35" s="2">
        <v>-6.4351245327998186E-6</v>
      </c>
      <c r="AI35" s="2">
        <f t="shared" si="14"/>
        <v>1723.0686778202653</v>
      </c>
      <c r="AJ35" s="2">
        <v>1.8204123080067802E-6</v>
      </c>
      <c r="AK35" s="2">
        <f t="shared" si="9"/>
        <v>1723.0686733964831</v>
      </c>
      <c r="AL35" s="2">
        <v>-2.3073559987096814E-6</v>
      </c>
      <c r="AM35" s="2">
        <f t="shared" si="10"/>
        <v>1.4848123193199498E-11</v>
      </c>
      <c r="AN35" s="2">
        <f t="shared" si="11"/>
        <v>-4.2003392590043806E-12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20.010000000000002</v>
      </c>
      <c r="L36" s="6" t="s">
        <v>59</v>
      </c>
      <c r="AF36" s="2">
        <v>32</v>
      </c>
      <c r="AG36" s="2">
        <f t="shared" si="13"/>
        <v>1723.0686733964831</v>
      </c>
      <c r="AH36" s="2">
        <v>-2.3073559987096814E-6</v>
      </c>
      <c r="AI36" s="2">
        <f t="shared" si="14"/>
        <v>1723.0686778202653</v>
      </c>
      <c r="AJ36" s="2">
        <v>1.8204123080067802E-6</v>
      </c>
      <c r="AK36" s="2">
        <f t="shared" si="9"/>
        <v>1723.0686756083742</v>
      </c>
      <c r="AL36" s="2">
        <v>-2.4347195903828833E-7</v>
      </c>
      <c r="AM36" s="2">
        <f t="shared" si="10"/>
        <v>5.6177648520459243E-13</v>
      </c>
      <c r="AN36" s="2">
        <f t="shared" si="11"/>
        <v>-4.4321935088782272E-13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27.23</v>
      </c>
      <c r="L37" s="6" t="s">
        <v>59</v>
      </c>
      <c r="AF37" s="2">
        <v>33</v>
      </c>
      <c r="AG37" s="2">
        <f t="shared" si="13"/>
        <v>1723.0686756083742</v>
      </c>
      <c r="AH37" s="2">
        <v>-2.4347195903828833E-7</v>
      </c>
      <c r="AI37" s="2">
        <f t="shared" si="14"/>
        <v>1723.0686778202653</v>
      </c>
      <c r="AJ37" s="2">
        <v>1.8204123080067802E-6</v>
      </c>
      <c r="AK37" s="2">
        <f t="shared" si="9"/>
        <v>1723.0686767143197</v>
      </c>
      <c r="AL37" s="2">
        <v>7.8847028817108367E-7</v>
      </c>
      <c r="AM37" s="2">
        <f t="shared" si="10"/>
        <v>-1.9197040570449748E-13</v>
      </c>
      <c r="AN37" s="2">
        <f t="shared" si="11"/>
        <v>1.4353410170842935E-12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6.1</v>
      </c>
      <c r="L38" s="6" t="s">
        <v>59</v>
      </c>
      <c r="AF38" s="2">
        <v>34</v>
      </c>
      <c r="AG38" s="2">
        <f t="shared" si="13"/>
        <v>1723.0686756083742</v>
      </c>
      <c r="AH38" s="2">
        <v>-2.4347195903828833E-7</v>
      </c>
      <c r="AI38" s="2">
        <f t="shared" si="14"/>
        <v>1723.0686767143197</v>
      </c>
      <c r="AJ38" s="2">
        <v>7.8847028817108367E-7</v>
      </c>
      <c r="AK38" s="2">
        <f t="shared" si="9"/>
        <v>1723.068676161347</v>
      </c>
      <c r="AL38" s="2">
        <v>2.7249916456639767E-7</v>
      </c>
      <c r="AM38" s="2">
        <f t="shared" si="10"/>
        <v>-6.6345905433277764E-14</v>
      </c>
      <c r="AN38" s="2">
        <f t="shared" si="11"/>
        <v>2.1485749481204712E-13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99.99</v>
      </c>
      <c r="L39" s="9" t="s">
        <v>59</v>
      </c>
      <c r="AF39" s="2">
        <v>35</v>
      </c>
      <c r="AG39" s="2">
        <f t="shared" si="13"/>
        <v>1723.0686756083742</v>
      </c>
      <c r="AH39" s="2">
        <v>-2.4347195903828833E-7</v>
      </c>
      <c r="AI39" s="2">
        <f t="shared" si="14"/>
        <v>1723.068676161347</v>
      </c>
      <c r="AJ39" s="2">
        <v>2.7249916456639767E-7</v>
      </c>
      <c r="AK39" s="2">
        <f t="shared" si="9"/>
        <v>1723.0686758848606</v>
      </c>
      <c r="AL39" s="2">
        <v>1.4513716450892389E-8</v>
      </c>
      <c r="AM39" s="2">
        <f t="shared" si="10"/>
        <v>-3.5336829772250032E-15</v>
      </c>
      <c r="AN39" s="2">
        <f t="shared" si="11"/>
        <v>3.9549756076217581E-15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1723.0686756083742</v>
      </c>
      <c r="AH40" s="2">
        <v>-2.4347195903828833E-7</v>
      </c>
      <c r="AI40" s="2">
        <f t="shared" si="14"/>
        <v>1723.0686758848606</v>
      </c>
      <c r="AJ40" s="2">
        <v>1.4513716450892389E-8</v>
      </c>
      <c r="AK40" s="2">
        <f t="shared" si="9"/>
        <v>1723.0686757466174</v>
      </c>
      <c r="AL40" s="2">
        <v>-1.1447923498053569E-7</v>
      </c>
      <c r="AM40" s="2">
        <f t="shared" si="10"/>
        <v>2.7872483609915571E-14</v>
      </c>
      <c r="AN40" s="2">
        <f t="shared" si="11"/>
        <v>-1.6615191560225763E-15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1723.0686757466174</v>
      </c>
      <c r="AH41" s="2">
        <v>-1.1447923498053569E-7</v>
      </c>
      <c r="AI41" s="2">
        <f t="shared" si="14"/>
        <v>1723.0686758848606</v>
      </c>
      <c r="AJ41" s="2">
        <v>1.4513716450892389E-8</v>
      </c>
      <c r="AK41" s="2">
        <f t="shared" si="9"/>
        <v>1723.068675815739</v>
      </c>
      <c r="AL41" s="2">
        <v>-4.9982645577983931E-8</v>
      </c>
      <c r="AM41" s="2">
        <f t="shared" si="10"/>
        <v>5.7219750280708557E-15</v>
      </c>
      <c r="AN41" s="2">
        <f t="shared" si="11"/>
        <v>-7.2543394538430909E-16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1723.068675815739</v>
      </c>
      <c r="AH42" s="2">
        <v>-4.9982645577983931E-8</v>
      </c>
      <c r="AI42" s="2">
        <f t="shared" si="14"/>
        <v>1723.0686758848606</v>
      </c>
      <c r="AJ42" s="2">
        <v>1.4513716450892389E-8</v>
      </c>
      <c r="AK42" s="2">
        <f t="shared" si="9"/>
        <v>1723.0686758502998</v>
      </c>
      <c r="AL42" s="2">
        <v>-1.7734464563545771E-8</v>
      </c>
      <c r="AM42" s="2">
        <f t="shared" si="10"/>
        <v>8.8641545679502375E-16</v>
      </c>
      <c r="AN42" s="2">
        <f t="shared" si="11"/>
        <v>-2.5739299008370236E-16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203.92</v>
      </c>
      <c r="L43" s="6" t="s">
        <v>7</v>
      </c>
      <c r="AF43" s="2">
        <v>39</v>
      </c>
      <c r="AG43" s="2">
        <f t="shared" si="13"/>
        <v>1723.0686758502998</v>
      </c>
      <c r="AH43" s="2">
        <v>-1.7734464563545771E-8</v>
      </c>
      <c r="AI43" s="2">
        <f t="shared" si="14"/>
        <v>1723.0686758848606</v>
      </c>
      <c r="AJ43" s="2">
        <v>1.4513716450892389E-8</v>
      </c>
      <c r="AK43" s="2">
        <f t="shared" si="9"/>
        <v>1723.0686758675802</v>
      </c>
      <c r="AL43" s="2">
        <v>-1.6104877431644127E-9</v>
      </c>
      <c r="AM43" s="2">
        <f t="shared" si="10"/>
        <v>2.856113781117408E-17</v>
      </c>
      <c r="AN43" s="2">
        <f t="shared" si="11"/>
        <v>-2.3374162451925893E-17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344.82</v>
      </c>
      <c r="L44" s="6" t="s">
        <v>7</v>
      </c>
      <c r="AF44" s="2">
        <v>40</v>
      </c>
      <c r="AG44" s="2">
        <f t="shared" si="13"/>
        <v>1723.0686758675802</v>
      </c>
      <c r="AH44" s="2">
        <v>-1.6104877431644127E-9</v>
      </c>
      <c r="AI44" s="2">
        <f t="shared" si="14"/>
        <v>1723.0686758848606</v>
      </c>
      <c r="AJ44" s="2">
        <v>1.4513716450892389E-8</v>
      </c>
      <c r="AK44" s="5">
        <f t="shared" si="9"/>
        <v>1723.0686758762204</v>
      </c>
      <c r="AL44" s="2">
        <v>6.4515006670262665E-9</v>
      </c>
      <c r="AM44" s="2">
        <f t="shared" si="10"/>
        <v>-1.0390062749262835E-17</v>
      </c>
      <c r="AN44" s="2">
        <f t="shared" si="11"/>
        <v>9.3635251363962343E-17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469.19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105.14</v>
      </c>
      <c r="L46" s="6" t="s">
        <v>7</v>
      </c>
    </row>
    <row r="47" spans="2:41" x14ac:dyDescent="0.2">
      <c r="J47" s="9" t="s">
        <v>60</v>
      </c>
      <c r="K47" s="9">
        <f>SUM(K42:K46)</f>
        <v>1723.0700000000002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29" priority="1" operator="containsText" text="FALSE">
      <formula>NOT(ISERROR(SEARCH("FALSE",K31)))</formula>
    </cfRule>
    <cfRule type="containsText" dxfId="28" priority="2" operator="containsText" text="TRUE">
      <formula>NOT(ISERROR(SEARCH("TRUE",K31)))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NOT(ISERROR(SEARCH("YES",K31)))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8DE5-F646-D64D-A5A6-5B909971DE1C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530.80055791353789</v>
      </c>
      <c r="L4" s="6" t="s">
        <v>97</v>
      </c>
      <c r="N4" s="6" t="s">
        <v>131</v>
      </c>
      <c r="O4" s="6">
        <f xml:space="preserve"> $C$5 * $C$74</f>
        <v>21447.604940141133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1.1863582234911985</v>
      </c>
      <c r="X4" s="3">
        <v>1</v>
      </c>
      <c r="Y4" s="2">
        <f t="shared" ref="Y4:Y34" si="1" xml:space="preserve"> $O$22 * TAN($O$19/180*PI()) + $O$23 / (2 * SQRT($O$22^2 + X4^2)) - X4</f>
        <v>-2.9207842657813177E-2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0.48989219279573071</v>
      </c>
      <c r="AB4" s="2">
        <f>W4*AA4</f>
        <v>0.58118763154735076</v>
      </c>
      <c r="AC4" s="2">
        <f>Y4*AA4</f>
        <v>-1.430869408646878E-2</v>
      </c>
      <c r="AD4" s="2">
        <f>X4-V4</f>
        <v>1</v>
      </c>
      <c r="AF4" s="2">
        <v>0</v>
      </c>
      <c r="AH4" s="2">
        <f>K30</f>
        <v>1.2338115247530368E-2</v>
      </c>
      <c r="AJ4" s="2">
        <f>K30</f>
        <v>1.2338115247530368E-2</v>
      </c>
      <c r="AL4" s="2">
        <f>K30</f>
        <v>1.2338115247530368E-2</v>
      </c>
    </row>
    <row r="5" spans="2:41" x14ac:dyDescent="0.2">
      <c r="B5" s="9" t="s">
        <v>38</v>
      </c>
      <c r="C5" s="9">
        <v>2188.4074791918301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66.350069739192236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0.48989219279573071</v>
      </c>
      <c r="X5" s="2">
        <f>IF(AC4&gt;0, Z4, X4)</f>
        <v>1</v>
      </c>
      <c r="Y5" s="2">
        <f t="shared" si="1"/>
        <v>-2.9207842657813177E-2</v>
      </c>
      <c r="Z5" s="2">
        <f t="shared" ref="Z5:Z34" si="3" xml:space="preserve"> (V5 + X5)/2</f>
        <v>0.75</v>
      </c>
      <c r="AA5" s="2">
        <f t="shared" si="2"/>
        <v>0.22722164834401326</v>
      </c>
      <c r="AB5" s="2">
        <f t="shared" ref="AB5:AB34" si="4">W5*AA5</f>
        <v>0.11131411155790907</v>
      </c>
      <c r="AC5" s="2">
        <f t="shared" ref="AC5:AC34" si="5">Y5*AA5</f>
        <v>-6.6366541532808954E-3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-887.4138141686899</v>
      </c>
      <c r="AI5" s="3">
        <v>10000</v>
      </c>
      <c r="AJ5" s="2">
        <f t="dataTable" ref="AJ5:AJ44" dt2D="0" dtr="0" r1="C5" ca="1"/>
        <v>2845.5564358858301</v>
      </c>
      <c r="AK5" s="2">
        <f>(AG5+AI5)/2</f>
        <v>5250</v>
      </c>
      <c r="AL5" s="2">
        <f t="dataTable" ref="AL5:AL44" dt2D="0" dtr="0" r1="C5" ca="1"/>
        <v>916.94291995199455</v>
      </c>
      <c r="AM5" s="2">
        <f>AH5*AL5</f>
        <v>-813707.81396957522</v>
      </c>
      <c r="AN5" s="2">
        <f>AJ5*AL5</f>
        <v>2609212.8272093437</v>
      </c>
      <c r="AO5" s="2">
        <f>AI5-AG5</f>
        <v>9500</v>
      </c>
    </row>
    <row r="6" spans="2:41" x14ac:dyDescent="0.2">
      <c r="B6" s="6" t="s">
        <v>168</v>
      </c>
      <c r="C6" s="16">
        <v>408.50973725072402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173.46577683192601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0.22070493391079538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0.22722164834401326</v>
      </c>
      <c r="X6" s="2">
        <f t="shared" ref="X6:X34" si="8">IF(AC5&gt;0, Z5, X5)</f>
        <v>1</v>
      </c>
      <c r="Y6" s="2">
        <f t="shared" si="1"/>
        <v>-2.9207842657813177E-2</v>
      </c>
      <c r="Z6" s="2">
        <f t="shared" si="3"/>
        <v>0.875</v>
      </c>
      <c r="AA6" s="2">
        <f t="shared" si="2"/>
        <v>9.8553914550976729E-2</v>
      </c>
      <c r="AB6" s="2">
        <f t="shared" si="4"/>
        <v>2.2393582915027965E-2</v>
      </c>
      <c r="AC6" s="2">
        <f t="shared" si="5"/>
        <v>-2.878547229516493E-3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-887.4138141686899</v>
      </c>
      <c r="AI6" s="2">
        <f>IF(AN5&gt;0,AK5,AI5)</f>
        <v>5250</v>
      </c>
      <c r="AJ6" s="2">
        <v>916.94291995199455</v>
      </c>
      <c r="AK6" s="2">
        <f t="shared" ref="AK6:AK44" si="9">(AG6+AI6)/2</f>
        <v>2875</v>
      </c>
      <c r="AL6" s="2">
        <v>284.55577344165704</v>
      </c>
      <c r="AM6" s="2">
        <f t="shared" ref="AM6:AM44" si="10">AH6*AL6</f>
        <v>-252518.72425358248</v>
      </c>
      <c r="AN6" s="2">
        <f t="shared" ref="AN6:AN44" si="11">AJ6*AL6</f>
        <v>260921.40178879123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2681.2070790853832</v>
      </c>
      <c r="H7" s="6" t="s">
        <v>21</v>
      </c>
      <c r="J7" s="6" t="s">
        <v>133</v>
      </c>
      <c r="K7" s="6">
        <f>K6/$C$28</f>
        <v>173.46577683192601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9.8553914550976729E-2</v>
      </c>
      <c r="X7" s="2">
        <f t="shared" si="8"/>
        <v>1</v>
      </c>
      <c r="Y7" s="2">
        <f t="shared" si="1"/>
        <v>-2.9207842657813177E-2</v>
      </c>
      <c r="Z7" s="2">
        <f t="shared" si="3"/>
        <v>0.9375</v>
      </c>
      <c r="AA7" s="2">
        <f t="shared" si="2"/>
        <v>3.4582060333402831E-2</v>
      </c>
      <c r="AB7" s="2">
        <f t="shared" si="4"/>
        <v>3.4081974190949046E-3</v>
      </c>
      <c r="AC7" s="2">
        <f t="shared" si="5"/>
        <v>-1.0100673770010321E-3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-887.4138141686899</v>
      </c>
      <c r="AI7" s="2">
        <f t="shared" ref="AI7:AI44" si="14">IF(AN6&gt;0,AK6,AI6)</f>
        <v>2875</v>
      </c>
      <c r="AJ7" s="2">
        <v>284.55577344165704</v>
      </c>
      <c r="AK7" s="2">
        <f t="shared" si="9"/>
        <v>1687.5</v>
      </c>
      <c r="AL7" s="2">
        <v>-236.37827126080697</v>
      </c>
      <c r="AM7" s="2">
        <f t="shared" si="10"/>
        <v>209765.34328615392</v>
      </c>
      <c r="AN7" s="2">
        <f t="shared" si="11"/>
        <v>-67262.801803420734</v>
      </c>
      <c r="AO7" s="2">
        <f t="shared" si="12"/>
        <v>2375</v>
      </c>
    </row>
    <row r="8" spans="2:41" x14ac:dyDescent="0.2">
      <c r="B8" s="6" t="s">
        <v>91</v>
      </c>
      <c r="C8" s="16">
        <v>1.83663204595837</v>
      </c>
      <c r="D8" s="6" t="s">
        <v>8</v>
      </c>
      <c r="F8" t="s">
        <v>93</v>
      </c>
      <c r="G8" s="6">
        <f>G10/$C$21</f>
        <v>44.233379826128157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3.4582060333402831E-2</v>
      </c>
      <c r="X8" s="2">
        <f t="shared" si="8"/>
        <v>1</v>
      </c>
      <c r="Y8" s="2">
        <f t="shared" si="1"/>
        <v>-2.9207842657813177E-2</v>
      </c>
      <c r="Z8" s="2">
        <f t="shared" si="3"/>
        <v>0.96875</v>
      </c>
      <c r="AA8" s="2">
        <f t="shared" si="2"/>
        <v>2.6665327593484722E-3</v>
      </c>
      <c r="AB8" s="2">
        <f t="shared" si="4"/>
        <v>9.2214196764783999E-5</v>
      </c>
      <c r="AC8" s="2">
        <f t="shared" si="5"/>
        <v>-7.7883669276954589E-5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-236.37827126080697</v>
      </c>
      <c r="AI8" s="2">
        <f t="shared" si="14"/>
        <v>2875</v>
      </c>
      <c r="AJ8" s="2">
        <v>284.55577344165704</v>
      </c>
      <c r="AK8" s="2">
        <f t="shared" si="9"/>
        <v>2281.25</v>
      </c>
      <c r="AL8" s="2">
        <v>41.160732703229087</v>
      </c>
      <c r="AM8" s="2">
        <f t="shared" si="10"/>
        <v>-9729.5028402174539</v>
      </c>
      <c r="AN8" s="2">
        <f t="shared" si="11"/>
        <v>11712.52412979266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6.1842648238558366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2.6665327593484722E-3</v>
      </c>
      <c r="X9" s="2">
        <f t="shared" si="8"/>
        <v>1</v>
      </c>
      <c r="Y9" s="2">
        <f t="shared" si="1"/>
        <v>-2.9207842657813177E-2</v>
      </c>
      <c r="Z9" s="2">
        <f t="shared" si="3"/>
        <v>0.984375</v>
      </c>
      <c r="AA9" s="2">
        <f t="shared" si="2"/>
        <v>-1.3275557543125927E-2</v>
      </c>
      <c r="AB9" s="2">
        <f t="shared" si="4"/>
        <v>-3.5399709087361003E-5</v>
      </c>
      <c r="AC9" s="2">
        <f t="shared" si="5"/>
        <v>3.877503959143669E-4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-236.37827126080697</v>
      </c>
      <c r="AI9" s="2">
        <f t="shared" si="14"/>
        <v>2281.25</v>
      </c>
      <c r="AJ9" s="2">
        <v>41.160732703229087</v>
      </c>
      <c r="AK9" s="2">
        <f t="shared" si="9"/>
        <v>1984.375</v>
      </c>
      <c r="AL9" s="2">
        <v>-93.350436607391885</v>
      </c>
      <c r="AM9" s="2">
        <f t="shared" si="10"/>
        <v>22066.014826696843</v>
      </c>
      <c r="AN9" s="2">
        <f t="shared" si="11"/>
        <v>-3842.3723689265889</v>
      </c>
      <c r="AO9" s="2">
        <f t="shared" si="12"/>
        <v>593.75</v>
      </c>
    </row>
    <row r="10" spans="2:41" x14ac:dyDescent="0.2">
      <c r="B10" s="6" t="s">
        <v>134</v>
      </c>
      <c r="C10" s="16">
        <v>1.64147857522817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353.86703860902526</v>
      </c>
      <c r="H10" s="22" t="s">
        <v>97</v>
      </c>
      <c r="J10" s="6" t="s">
        <v>92</v>
      </c>
      <c r="K10" s="6">
        <f xml:space="preserve"> $C$18 * (G10*G6 + G20*G13 + G29*G25 + G33*G32)/3600</f>
        <v>114.12669926856536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2.6665327593484722E-3</v>
      </c>
      <c r="X10" s="2">
        <f t="shared" si="8"/>
        <v>0.984375</v>
      </c>
      <c r="Y10" s="2">
        <f t="shared" si="1"/>
        <v>-1.3275557543125927E-2</v>
      </c>
      <c r="Z10" s="2">
        <f t="shared" si="3"/>
        <v>0.9765625</v>
      </c>
      <c r="AA10" s="2">
        <f t="shared" si="2"/>
        <v>-5.3057670334109019E-3</v>
      </c>
      <c r="AB10" s="2">
        <f t="shared" si="4"/>
        <v>-1.4148001608061329E-5</v>
      </c>
      <c r="AC10" s="2">
        <f t="shared" si="5"/>
        <v>7.0437015562466968E-5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-93.350436607391885</v>
      </c>
      <c r="AI10" s="2">
        <f t="shared" si="14"/>
        <v>2281.25</v>
      </c>
      <c r="AJ10" s="2">
        <v>41.160732703229087</v>
      </c>
      <c r="AK10" s="2">
        <f t="shared" si="9"/>
        <v>2132.8125</v>
      </c>
      <c r="AL10" s="2">
        <v>-25.027641311183288</v>
      </c>
      <c r="AM10" s="2">
        <f t="shared" si="10"/>
        <v>2336.341243652158</v>
      </c>
      <c r="AN10" s="2">
        <f t="shared" si="11"/>
        <v>-1030.1560542019092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0.86501610464432066</v>
      </c>
      <c r="U11" s="2">
        <v>7</v>
      </c>
      <c r="V11" s="2">
        <f t="shared" si="7"/>
        <v>0.96875</v>
      </c>
      <c r="W11" s="2">
        <f t="shared" si="0"/>
        <v>2.6665327593484722E-3</v>
      </c>
      <c r="X11" s="2">
        <f t="shared" si="8"/>
        <v>0.9765625</v>
      </c>
      <c r="Y11" s="2">
        <f t="shared" si="1"/>
        <v>-5.3057670334109019E-3</v>
      </c>
      <c r="Z11" s="2">
        <f t="shared" si="3"/>
        <v>0.97265625</v>
      </c>
      <c r="AA11" s="2">
        <f t="shared" si="2"/>
        <v>-1.3199345215791913E-3</v>
      </c>
      <c r="AB11" s="2">
        <f t="shared" si="4"/>
        <v>-3.5196486419858666E-6</v>
      </c>
      <c r="AC11" s="2">
        <f t="shared" si="5"/>
        <v>7.0032650708558642E-6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-25.027641311183288</v>
      </c>
      <c r="AI11" s="2">
        <f t="shared" si="14"/>
        <v>2281.25</v>
      </c>
      <c r="AJ11" s="2">
        <v>41.160732703229087</v>
      </c>
      <c r="AK11" s="2">
        <f t="shared" si="9"/>
        <v>2207.03125</v>
      </c>
      <c r="AL11" s="2">
        <v>8.3335071374665404</v>
      </c>
      <c r="AM11" s="2">
        <f t="shared" si="10"/>
        <v>-208.56802750069838</v>
      </c>
      <c r="AN11" s="2">
        <f t="shared" si="11"/>
        <v>343.01325976571206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0.31529507514672789</v>
      </c>
      <c r="U12" s="2">
        <v>8</v>
      </c>
      <c r="V12" s="2">
        <f t="shared" si="7"/>
        <v>0.96875</v>
      </c>
      <c r="W12" s="2">
        <f t="shared" si="0"/>
        <v>2.6665327593484722E-3</v>
      </c>
      <c r="X12" s="2">
        <f t="shared" si="8"/>
        <v>0.97265625</v>
      </c>
      <c r="Y12" s="2">
        <f t="shared" si="1"/>
        <v>-1.3199345215791913E-3</v>
      </c>
      <c r="Z12" s="2">
        <f t="shared" si="3"/>
        <v>0.970703125</v>
      </c>
      <c r="AA12" s="2">
        <f t="shared" si="2"/>
        <v>6.7321930078989567E-4</v>
      </c>
      <c r="AB12" s="2">
        <f t="shared" si="4"/>
        <v>1.7951613197819295E-6</v>
      </c>
      <c r="AC12" s="2">
        <f t="shared" si="5"/>
        <v>-8.8860539570598866E-7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-25.027641311183288</v>
      </c>
      <c r="AI12" s="2">
        <f t="shared" si="14"/>
        <v>2207.03125</v>
      </c>
      <c r="AJ12" s="2">
        <v>8.3335071374665404</v>
      </c>
      <c r="AK12" s="2">
        <f t="shared" si="9"/>
        <v>2169.921875</v>
      </c>
      <c r="AL12" s="2">
        <v>-8.2803407884725857</v>
      </c>
      <c r="AM12" s="2">
        <f t="shared" si="10"/>
        <v>207.23739918825248</v>
      </c>
      <c r="AN12" s="2">
        <f t="shared" si="11"/>
        <v>-69.004279061391614</v>
      </c>
      <c r="AO12" s="2">
        <f t="shared" si="12"/>
        <v>74.21875</v>
      </c>
    </row>
    <row r="13" spans="2:41" x14ac:dyDescent="0.2">
      <c r="B13" s="6" t="s">
        <v>136</v>
      </c>
      <c r="C13" s="16">
        <v>6.1341865022686601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2.4214009335459089E-2</v>
      </c>
      <c r="U13" s="2">
        <v>9</v>
      </c>
      <c r="V13" s="2">
        <f t="shared" si="7"/>
        <v>0.970703125</v>
      </c>
      <c r="W13" s="2">
        <f t="shared" si="0"/>
        <v>6.7321930078989567E-4</v>
      </c>
      <c r="X13" s="2">
        <f t="shared" si="8"/>
        <v>0.97265625</v>
      </c>
      <c r="Y13" s="2">
        <f t="shared" si="1"/>
        <v>-1.3199345215791913E-3</v>
      </c>
      <c r="Z13" s="2">
        <f t="shared" si="3"/>
        <v>0.9716796875</v>
      </c>
      <c r="AA13" s="2">
        <f t="shared" si="2"/>
        <v>-3.2337750563260492E-4</v>
      </c>
      <c r="AB13" s="2">
        <f t="shared" si="4"/>
        <v>-2.1770397823316284E-7</v>
      </c>
      <c r="AC13" s="2">
        <f t="shared" si="5"/>
        <v>4.2683713318664462E-7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-8.2803407884725857</v>
      </c>
      <c r="AI13" s="2">
        <f t="shared" si="14"/>
        <v>2207.03125</v>
      </c>
      <c r="AJ13" s="2">
        <v>8.3335071374665404</v>
      </c>
      <c r="AK13" s="2">
        <f t="shared" si="9"/>
        <v>2188.4765625</v>
      </c>
      <c r="AL13" s="2">
        <v>4.3267094491966418E-2</v>
      </c>
      <c r="AM13" s="2">
        <f t="shared" si="10"/>
        <v>-0.35826628732052707</v>
      </c>
      <c r="AN13" s="2">
        <f t="shared" si="11"/>
        <v>0.3605666407662414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70.22087705249325</v>
      </c>
      <c r="H14" s="6" t="s">
        <v>10</v>
      </c>
      <c r="J14" s="9" t="s">
        <v>75</v>
      </c>
      <c r="K14" s="17">
        <f>C5</f>
        <v>2188.4074791918301</v>
      </c>
      <c r="L14" s="6" t="s">
        <v>7</v>
      </c>
      <c r="N14" s="6" t="s">
        <v>40</v>
      </c>
      <c r="O14" s="6">
        <f xml:space="preserve"> O5 * O13 * $C$12</f>
        <v>1647.1316781657172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6.7321930078989567E-4</v>
      </c>
      <c r="X14" s="2">
        <f t="shared" si="8"/>
        <v>0.9716796875</v>
      </c>
      <c r="Y14" s="2">
        <f t="shared" si="1"/>
        <v>-3.2337750563260492E-4</v>
      </c>
      <c r="Z14" s="2">
        <f t="shared" si="3"/>
        <v>0.97119140625</v>
      </c>
      <c r="AA14" s="2">
        <f t="shared" si="2"/>
        <v>1.7491591637663895E-4</v>
      </c>
      <c r="AB14" s="2">
        <f t="shared" si="4"/>
        <v>1.1775677092010473E-7</v>
      </c>
      <c r="AC14" s="2">
        <f t="shared" si="5"/>
        <v>-5.6563872733318815E-8</v>
      </c>
      <c r="AD14" s="2">
        <f t="shared" si="6"/>
        <v>9.765625E-4</v>
      </c>
      <c r="AF14" s="2">
        <v>10</v>
      </c>
      <c r="AG14" s="2">
        <f t="shared" si="13"/>
        <v>2169.921875</v>
      </c>
      <c r="AH14" s="2">
        <v>-8.2803407884725857</v>
      </c>
      <c r="AI14" s="2">
        <f t="shared" si="14"/>
        <v>2188.4765625</v>
      </c>
      <c r="AJ14" s="2">
        <v>4.3267094491966418E-2</v>
      </c>
      <c r="AK14" s="2">
        <f t="shared" si="9"/>
        <v>2179.19921875</v>
      </c>
      <c r="AL14" s="2">
        <v>-4.1143662697159016</v>
      </c>
      <c r="AM14" s="2">
        <f t="shared" si="10"/>
        <v>34.068354841844382</v>
      </c>
      <c r="AN14" s="2">
        <f t="shared" si="11"/>
        <v>-0.1780166741663573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0.21104985351615438</v>
      </c>
      <c r="H15" s="6" t="s">
        <v>120</v>
      </c>
      <c r="J15" s="10" t="s">
        <v>53</v>
      </c>
      <c r="K15" s="6">
        <f xml:space="preserve"> 1000 * K10 / ($C$60 * $C$61 * $C$62)</f>
        <v>671.33352510920804</v>
      </c>
      <c r="L15" s="6" t="s">
        <v>7</v>
      </c>
      <c r="N15" s="6" t="s">
        <v>140</v>
      </c>
      <c r="O15" s="6">
        <f>O4/O14</f>
        <v>13.021184173948781</v>
      </c>
      <c r="U15" s="2">
        <v>11</v>
      </c>
      <c r="V15" s="2">
        <f t="shared" si="7"/>
        <v>0.97119140625</v>
      </c>
      <c r="W15" s="2">
        <f t="shared" si="0"/>
        <v>1.7491591637663895E-4</v>
      </c>
      <c r="X15" s="2">
        <f t="shared" si="8"/>
        <v>0.9716796875</v>
      </c>
      <c r="Y15" s="2">
        <f t="shared" si="1"/>
        <v>-3.2337750563260492E-4</v>
      </c>
      <c r="Z15" s="2">
        <f t="shared" si="3"/>
        <v>0.971435546875</v>
      </c>
      <c r="AA15" s="2">
        <f t="shared" si="2"/>
        <v>-7.4232039003252481E-5</v>
      </c>
      <c r="AB15" s="2">
        <f t="shared" si="4"/>
        <v>-1.2984365126760311E-8</v>
      </c>
      <c r="AC15" s="2">
        <f t="shared" si="5"/>
        <v>2.4004971610894028E-8</v>
      </c>
      <c r="AD15" s="2">
        <f t="shared" si="6"/>
        <v>4.8828125E-4</v>
      </c>
      <c r="AF15" s="2">
        <v>11</v>
      </c>
      <c r="AG15" s="2">
        <f t="shared" si="13"/>
        <v>2179.19921875</v>
      </c>
      <c r="AH15" s="2">
        <v>-4.1143662697159016</v>
      </c>
      <c r="AI15" s="2">
        <f t="shared" si="14"/>
        <v>2188.4765625</v>
      </c>
      <c r="AJ15" s="2">
        <v>4.3267094491966418E-2</v>
      </c>
      <c r="AK15" s="2">
        <f t="shared" si="9"/>
        <v>2183.837890625</v>
      </c>
      <c r="AL15" s="2">
        <v>-2.0345068359633842</v>
      </c>
      <c r="AM15" s="2">
        <f t="shared" si="10"/>
        <v>8.3707063013941703</v>
      </c>
      <c r="AN15" s="2">
        <f t="shared" si="11"/>
        <v>-8.8027199516179364E-2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1647.1316781657172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161.65759116245079</v>
      </c>
      <c r="L16" s="6" t="s">
        <v>7</v>
      </c>
      <c r="N16" s="6" t="s">
        <v>111</v>
      </c>
      <c r="O16" s="6">
        <f>(O13*$C$12)/(0.3048^2)/($C$5*2.20462/1000)^(2/3)</f>
        <v>2.738525227366607</v>
      </c>
      <c r="U16" s="2">
        <v>12</v>
      </c>
      <c r="V16" s="2">
        <f t="shared" si="7"/>
        <v>0.97119140625</v>
      </c>
      <c r="W16" s="2">
        <f t="shared" si="0"/>
        <v>1.7491591637663895E-4</v>
      </c>
      <c r="X16" s="2">
        <f t="shared" si="8"/>
        <v>0.971435546875</v>
      </c>
      <c r="Y16" s="2">
        <f t="shared" si="1"/>
        <v>-7.4232039003252481E-5</v>
      </c>
      <c r="Z16" s="2">
        <f t="shared" si="3"/>
        <v>0.9713134765625</v>
      </c>
      <c r="AA16" s="2">
        <f t="shared" si="2"/>
        <v>5.0341627477301643E-5</v>
      </c>
      <c r="AB16" s="2">
        <f t="shared" si="4"/>
        <v>8.8055519020836041E-9</v>
      </c>
      <c r="AC16" s="2">
        <f t="shared" si="5"/>
        <v>-3.7369616543822623E-9</v>
      </c>
      <c r="AD16" s="2">
        <f t="shared" si="6"/>
        <v>2.44140625E-4</v>
      </c>
      <c r="AF16" s="2">
        <v>12</v>
      </c>
      <c r="AG16" s="2">
        <f t="shared" si="13"/>
        <v>2183.837890625</v>
      </c>
      <c r="AH16" s="2">
        <v>-2.0345068359633842</v>
      </c>
      <c r="AI16" s="2">
        <f t="shared" si="14"/>
        <v>2188.4765625</v>
      </c>
      <c r="AJ16" s="2">
        <v>4.3267094491966418E-2</v>
      </c>
      <c r="AK16" s="2">
        <f t="shared" si="9"/>
        <v>2186.1572265625</v>
      </c>
      <c r="AL16" s="2">
        <v>-0.99535962573690995</v>
      </c>
      <c r="AM16" s="2">
        <f t="shared" si="10"/>
        <v>2.0250659628036991</v>
      </c>
      <c r="AN16" s="2">
        <f t="shared" si="11"/>
        <v>-4.3066318980247209E-2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115.643851221284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0.9713134765625</v>
      </c>
      <c r="W17" s="2">
        <f t="shared" si="0"/>
        <v>5.0341627477301643E-5</v>
      </c>
      <c r="X17" s="2">
        <f t="shared" si="8"/>
        <v>0.971435546875</v>
      </c>
      <c r="Y17" s="2">
        <f t="shared" si="1"/>
        <v>-7.4232039003252481E-5</v>
      </c>
      <c r="Z17" s="2">
        <f t="shared" si="3"/>
        <v>0.97137451171875</v>
      </c>
      <c r="AA17" s="2">
        <f t="shared" si="2"/>
        <v>-1.1945283550862662E-5</v>
      </c>
      <c r="AB17" s="2">
        <f t="shared" si="4"/>
        <v>-6.0134501462826712E-10</v>
      </c>
      <c r="AC17" s="2">
        <f t="shared" si="5"/>
        <v>8.8672275445254745E-10</v>
      </c>
      <c r="AD17" s="2">
        <f t="shared" si="6"/>
        <v>1.220703125E-4</v>
      </c>
      <c r="AF17" s="2">
        <v>13</v>
      </c>
      <c r="AG17" s="2">
        <f t="shared" si="13"/>
        <v>2186.1572265625</v>
      </c>
      <c r="AH17" s="2">
        <v>-0.99535962573690995</v>
      </c>
      <c r="AI17" s="2">
        <f t="shared" si="14"/>
        <v>2188.4765625</v>
      </c>
      <c r="AJ17" s="2">
        <v>4.3267094491966418E-2</v>
      </c>
      <c r="AK17" s="2">
        <f t="shared" si="9"/>
        <v>2187.31689453125</v>
      </c>
      <c r="AL17" s="2">
        <v>-0.4759813529992698</v>
      </c>
      <c r="AM17" s="2">
        <f t="shared" si="10"/>
        <v>0.4737726213791012</v>
      </c>
      <c r="AN17" s="2">
        <f t="shared" si="11"/>
        <v>-2.0594330176633431E-2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1.4532996279976511</v>
      </c>
      <c r="H18" s="6" t="s">
        <v>172</v>
      </c>
      <c r="J18" s="12" t="s">
        <v>54</v>
      </c>
      <c r="K18" s="6">
        <f xml:space="preserve"> $C$78 * (0.2138 * K4 + 0.2138 * K6)</f>
        <v>120.45771389486413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0.9713134765625</v>
      </c>
      <c r="W18" s="2">
        <f t="shared" si="0"/>
        <v>5.0341627477301643E-5</v>
      </c>
      <c r="X18" s="2">
        <f t="shared" si="8"/>
        <v>0.97137451171875</v>
      </c>
      <c r="Y18" s="2">
        <f t="shared" si="1"/>
        <v>-1.1945283550862662E-5</v>
      </c>
      <c r="Z18" s="2">
        <f t="shared" si="3"/>
        <v>0.971343994140625</v>
      </c>
      <c r="AA18" s="2">
        <f t="shared" si="2"/>
        <v>1.9198152514388056E-5</v>
      </c>
      <c r="AB18" s="2">
        <f t="shared" si="4"/>
        <v>9.6646624213174543E-10</v>
      </c>
      <c r="AC18" s="2">
        <f t="shared" si="5"/>
        <v>-2.293273754370723E-10</v>
      </c>
      <c r="AD18" s="2">
        <f t="shared" si="6"/>
        <v>6.103515625E-5</v>
      </c>
      <c r="AF18" s="2">
        <v>14</v>
      </c>
      <c r="AG18" s="2">
        <f t="shared" si="13"/>
        <v>2187.31689453125</v>
      </c>
      <c r="AH18" s="2">
        <v>-0.4759813529992698</v>
      </c>
      <c r="AI18" s="2">
        <f t="shared" si="14"/>
        <v>2188.4765625</v>
      </c>
      <c r="AJ18" s="2">
        <v>4.3267094491966418E-2</v>
      </c>
      <c r="AK18" s="2">
        <f t="shared" si="9"/>
        <v>2187.896728515625</v>
      </c>
      <c r="AL18" s="2">
        <v>-0.2163407520176861</v>
      </c>
      <c r="AM18" s="2">
        <f t="shared" si="10"/>
        <v>0.10297416385425774</v>
      </c>
      <c r="AN18" s="2">
        <f t="shared" si="11"/>
        <v>-9.3604357600122982E-3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4.6033103930606729E-2</v>
      </c>
      <c r="J19" s="12" t="s">
        <v>73</v>
      </c>
      <c r="K19" s="6">
        <f xml:space="preserve"> $C$78 * (0.1149 * K4 + 0.1149 * K6)</f>
        <v>64.736161489803052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0.971343994140625</v>
      </c>
      <c r="W19" s="2">
        <f t="shared" si="0"/>
        <v>1.9198152514388056E-5</v>
      </c>
      <c r="X19" s="2">
        <f t="shared" si="8"/>
        <v>0.97137451171875</v>
      </c>
      <c r="Y19" s="2">
        <f t="shared" si="1"/>
        <v>-1.1945283550862662E-5</v>
      </c>
      <c r="Z19" s="2">
        <f t="shared" si="3"/>
        <v>0.9713592529296875</v>
      </c>
      <c r="AA19" s="2">
        <f t="shared" si="2"/>
        <v>3.6264296198185164E-6</v>
      </c>
      <c r="AB19" s="2">
        <f t="shared" si="4"/>
        <v>6.9620748923970173E-11</v>
      </c>
      <c r="AC19" s="2">
        <f t="shared" si="5"/>
        <v>-4.3318730085979262E-11</v>
      </c>
      <c r="AD19" s="2">
        <f t="shared" si="6"/>
        <v>3.0517578125E-5</v>
      </c>
      <c r="AF19" s="2">
        <v>15</v>
      </c>
      <c r="AG19" s="2">
        <f t="shared" si="13"/>
        <v>2187.896728515625</v>
      </c>
      <c r="AH19" s="2">
        <v>-0.2163407520176861</v>
      </c>
      <c r="AI19" s="2">
        <f t="shared" si="14"/>
        <v>2188.4765625</v>
      </c>
      <c r="AJ19" s="2">
        <v>4.3267094491966418E-2</v>
      </c>
      <c r="AK19" s="2">
        <f t="shared" si="9"/>
        <v>2188.1866455078125</v>
      </c>
      <c r="AL19" s="2">
        <v>-8.653310708632489E-2</v>
      </c>
      <c r="AM19" s="2">
        <f t="shared" si="10"/>
        <v>1.8720637461482489E-2</v>
      </c>
      <c r="AN19" s="2">
        <f t="shared" si="11"/>
        <v>-3.7440361209874679E-3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115.643851221284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214.74545949452238</v>
      </c>
      <c r="L20" s="6" t="s">
        <v>7</v>
      </c>
      <c r="N20" s="6" t="s">
        <v>20</v>
      </c>
      <c r="O20" s="6">
        <f xml:space="preserve"> O14 / $C$28</f>
        <v>1647.1316781657172</v>
      </c>
      <c r="P20" s="6" t="s">
        <v>21</v>
      </c>
      <c r="U20" s="2">
        <v>16</v>
      </c>
      <c r="V20" s="2">
        <f t="shared" si="7"/>
        <v>0.9713592529296875</v>
      </c>
      <c r="W20" s="2">
        <f t="shared" si="0"/>
        <v>3.6264296198185164E-6</v>
      </c>
      <c r="X20" s="2">
        <f t="shared" si="8"/>
        <v>0.97137451171875</v>
      </c>
      <c r="Y20" s="2">
        <f t="shared" si="1"/>
        <v>-1.1945283550862662E-5</v>
      </c>
      <c r="Z20" s="2">
        <f t="shared" si="3"/>
        <v>0.97136688232421875</v>
      </c>
      <c r="AA20" s="2">
        <f t="shared" si="2"/>
        <v>-4.1594281809942402E-6</v>
      </c>
      <c r="AB20" s="2">
        <f t="shared" si="4"/>
        <v>-1.5083873557065366E-11</v>
      </c>
      <c r="AC20" s="2">
        <f t="shared" si="5"/>
        <v>4.9685549031425103E-11</v>
      </c>
      <c r="AD20" s="2">
        <f t="shared" si="6"/>
        <v>1.52587890625E-5</v>
      </c>
      <c r="AF20" s="2">
        <v>16</v>
      </c>
      <c r="AG20" s="2">
        <f t="shared" si="13"/>
        <v>2188.1866455078125</v>
      </c>
      <c r="AH20" s="2">
        <v>-8.653310708632489E-2</v>
      </c>
      <c r="AI20" s="2">
        <f t="shared" si="14"/>
        <v>2188.4765625</v>
      </c>
      <c r="AJ20" s="2">
        <v>4.3267094491966418E-2</v>
      </c>
      <c r="AK20" s="2">
        <f t="shared" si="9"/>
        <v>2188.3316040039062</v>
      </c>
      <c r="AL20" s="2">
        <v>-2.1632299482007511E-2</v>
      </c>
      <c r="AM20" s="2">
        <f t="shared" si="10"/>
        <v>1.8719100876000063E-3</v>
      </c>
      <c r="AN20" s="2">
        <f t="shared" si="11"/>
        <v>-9.3596674576653521E-4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56.898594458987588</v>
      </c>
      <c r="L21" s="6" t="s">
        <v>7</v>
      </c>
      <c r="N21" s="6" t="s">
        <v>27</v>
      </c>
      <c r="O21" s="6">
        <f>$C$6*2*PI()/60</f>
        <v>42.779039648892379</v>
      </c>
      <c r="P21" s="6" t="s">
        <v>28</v>
      </c>
      <c r="U21" s="2">
        <v>17</v>
      </c>
      <c r="V21" s="2">
        <f t="shared" si="7"/>
        <v>0.9713592529296875</v>
      </c>
      <c r="W21" s="2">
        <f t="shared" si="0"/>
        <v>3.6264296198185164E-6</v>
      </c>
      <c r="X21" s="2">
        <f t="shared" si="8"/>
        <v>0.97136688232421875</v>
      </c>
      <c r="Y21" s="2">
        <f t="shared" si="1"/>
        <v>-4.1594281809942402E-6</v>
      </c>
      <c r="Z21" s="2">
        <f t="shared" si="3"/>
        <v>0.97136306762695312</v>
      </c>
      <c r="AA21" s="2">
        <f t="shared" si="2"/>
        <v>-2.6649958440039256E-7</v>
      </c>
      <c r="AB21" s="2">
        <f t="shared" si="4"/>
        <v>-9.6644198653890822E-13</v>
      </c>
      <c r="AC21" s="2">
        <f t="shared" si="5"/>
        <v>1.1084858815782458E-12</v>
      </c>
      <c r="AD21" s="2">
        <f t="shared" si="6"/>
        <v>7.62939453125E-6</v>
      </c>
      <c r="AF21" s="2">
        <v>17</v>
      </c>
      <c r="AG21" s="2">
        <f t="shared" si="13"/>
        <v>2188.3316040039062</v>
      </c>
      <c r="AH21" s="2">
        <v>-2.1632299482007511E-2</v>
      </c>
      <c r="AI21" s="2">
        <f t="shared" si="14"/>
        <v>2188.4765625</v>
      </c>
      <c r="AJ21" s="2">
        <v>4.3267094491966418E-2</v>
      </c>
      <c r="AK21" s="2">
        <f t="shared" si="9"/>
        <v>2188.4040832519531</v>
      </c>
      <c r="AL21" s="2">
        <v>1.0817648737656782E-2</v>
      </c>
      <c r="AM21" s="2">
        <f t="shared" si="10"/>
        <v>-2.34010617184152E-4</v>
      </c>
      <c r="AN21" s="2">
        <f t="shared" si="11"/>
        <v>4.6804823011309724E-4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135.8652644837907</v>
      </c>
      <c r="L22" s="6" t="s">
        <v>7</v>
      </c>
      <c r="N22" s="6" t="s">
        <v>29</v>
      </c>
      <c r="O22" s="6">
        <f xml:space="preserve"> $C$7 * COS(O19/180*PI()) / (O21 * $C$10)</f>
        <v>8.3227605962797796E-2</v>
      </c>
      <c r="U22" s="2">
        <v>18</v>
      </c>
      <c r="V22" s="2">
        <f t="shared" si="7"/>
        <v>0.9713592529296875</v>
      </c>
      <c r="W22" s="2">
        <f t="shared" si="0"/>
        <v>3.6264296198185164E-6</v>
      </c>
      <c r="X22" s="2">
        <f t="shared" si="8"/>
        <v>0.97136306762695312</v>
      </c>
      <c r="Y22" s="2">
        <f t="shared" si="1"/>
        <v>-2.6649958440039256E-7</v>
      </c>
      <c r="Z22" s="2">
        <f t="shared" si="3"/>
        <v>0.97136116027832031</v>
      </c>
      <c r="AA22" s="2">
        <f t="shared" si="2"/>
        <v>1.6799649417142959E-6</v>
      </c>
      <c r="AB22" s="2">
        <f t="shared" si="4"/>
        <v>6.0922746248894103E-12</v>
      </c>
      <c r="AC22" s="2">
        <f t="shared" si="5"/>
        <v>-4.4770995877408958E-13</v>
      </c>
      <c r="AD22" s="2">
        <f t="shared" si="6"/>
        <v>3.814697265625E-6</v>
      </c>
      <c r="AF22" s="2">
        <v>18</v>
      </c>
      <c r="AG22" s="2">
        <f t="shared" si="13"/>
        <v>2188.3316040039062</v>
      </c>
      <c r="AH22" s="2">
        <v>-2.1632299482007511E-2</v>
      </c>
      <c r="AI22" s="2">
        <f t="shared" si="14"/>
        <v>2188.4040832519531</v>
      </c>
      <c r="AJ22" s="2">
        <v>4.3267094491966418E-2</v>
      </c>
      <c r="AK22" s="2">
        <f t="shared" si="9"/>
        <v>2188.3678436279297</v>
      </c>
      <c r="AL22" s="2">
        <v>-5.4072625639491889E-3</v>
      </c>
      <c r="AM22" s="2">
        <f t="shared" si="10"/>
        <v>1.1697152316119664E-4</v>
      </c>
      <c r="AN22" s="2">
        <f t="shared" si="11"/>
        <v>-2.3395654029726215E-4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24.706263245083321</v>
      </c>
      <c r="L23" s="6" t="s">
        <v>7</v>
      </c>
      <c r="N23" s="6" t="s">
        <v>30</v>
      </c>
      <c r="O23" s="6">
        <f xml:space="preserve"> O20 / ( $C$71 * PI() * $C$10^2 * O21^2 * $C$10^2)</f>
        <v>3.9127350672099409E-2</v>
      </c>
      <c r="U23" s="2">
        <v>19</v>
      </c>
      <c r="V23" s="2">
        <f t="shared" si="7"/>
        <v>0.97136116027832031</v>
      </c>
      <c r="W23" s="2">
        <f t="shared" si="0"/>
        <v>1.6799649417142959E-6</v>
      </c>
      <c r="X23" s="2">
        <f t="shared" si="8"/>
        <v>0.97136306762695312</v>
      </c>
      <c r="Y23" s="2">
        <f t="shared" si="1"/>
        <v>-2.6649958440039256E-7</v>
      </c>
      <c r="Z23" s="2">
        <f t="shared" si="3"/>
        <v>0.97136211395263672</v>
      </c>
      <c r="AA23" s="2">
        <f t="shared" si="2"/>
        <v>7.0673265961662679E-7</v>
      </c>
      <c r="AB23" s="2">
        <f t="shared" si="4"/>
        <v>1.1872860913204357E-12</v>
      </c>
      <c r="AC23" s="2">
        <f t="shared" si="5"/>
        <v>-1.8834396007001513E-13</v>
      </c>
      <c r="AD23" s="2">
        <f t="shared" si="6"/>
        <v>1.9073486328125E-6</v>
      </c>
      <c r="AF23" s="2">
        <v>19</v>
      </c>
      <c r="AG23" s="2">
        <f t="shared" si="13"/>
        <v>2188.3678436279297</v>
      </c>
      <c r="AH23" s="2">
        <v>-5.4072625639491889E-3</v>
      </c>
      <c r="AI23" s="2">
        <f t="shared" si="14"/>
        <v>2188.4040832519531</v>
      </c>
      <c r="AJ23" s="2">
        <v>4.3267094491966418E-2</v>
      </c>
      <c r="AK23" s="2">
        <f t="shared" si="9"/>
        <v>2188.3859634399414</v>
      </c>
      <c r="AL23" s="2">
        <v>-1.3519765320779698E-2</v>
      </c>
      <c r="AM23" s="2">
        <f t="shared" si="10"/>
        <v>7.3104920892430559E-5</v>
      </c>
      <c r="AN23" s="2">
        <f t="shared" si="11"/>
        <v>-5.8496096364338583E-4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8.6378971818796231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0.97136211395263672</v>
      </c>
      <c r="W24" s="2">
        <f t="shared" si="0"/>
        <v>7.0673265961662679E-7</v>
      </c>
      <c r="X24" s="2">
        <f t="shared" si="8"/>
        <v>0.97136306762695312</v>
      </c>
      <c r="Y24" s="2">
        <f t="shared" si="1"/>
        <v>-2.6649958440039256E-7</v>
      </c>
      <c r="Z24" s="2">
        <f t="shared" si="3"/>
        <v>0.97136259078979492</v>
      </c>
      <c r="AA24" s="2">
        <f t="shared" si="2"/>
        <v>2.2011653288966926E-7</v>
      </c>
      <c r="AB24" s="2">
        <f t="shared" si="4"/>
        <v>1.5556354271470667E-13</v>
      </c>
      <c r="AC24" s="2">
        <f t="shared" si="5"/>
        <v>-5.86609645347522E-14</v>
      </c>
      <c r="AD24" s="2">
        <f t="shared" si="6"/>
        <v>9.5367431640625E-7</v>
      </c>
      <c r="AF24" s="2">
        <v>20</v>
      </c>
      <c r="AG24" s="2">
        <f t="shared" si="13"/>
        <v>2188.3859634399414</v>
      </c>
      <c r="AH24" s="2">
        <v>2.7052087889387622E-3</v>
      </c>
      <c r="AI24" s="2">
        <f t="shared" si="14"/>
        <v>2188.4040832519531</v>
      </c>
      <c r="AJ24" s="2">
        <v>4.3267094491966418E-2</v>
      </c>
      <c r="AK24" s="2">
        <f t="shared" si="9"/>
        <v>2188.3950233459473</v>
      </c>
      <c r="AL24" s="2">
        <v>-1.7576028476014471E-2</v>
      </c>
      <c r="AM24" s="2">
        <f t="shared" si="10"/>
        <v>-4.7546826707952307E-5</v>
      </c>
      <c r="AN24" s="2">
        <f t="shared" si="11"/>
        <v>-7.6046368486521062E-4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24.107899786771409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2885.3087904033873</v>
      </c>
      <c r="P25" s="6" t="s">
        <v>19</v>
      </c>
      <c r="U25" s="2">
        <v>21</v>
      </c>
      <c r="V25" s="2">
        <f t="shared" si="7"/>
        <v>0.97136259078979492</v>
      </c>
      <c r="W25" s="2">
        <f t="shared" si="0"/>
        <v>2.2011653288966926E-7</v>
      </c>
      <c r="X25" s="2">
        <f t="shared" si="8"/>
        <v>0.97136306762695312</v>
      </c>
      <c r="Y25" s="2">
        <f t="shared" si="1"/>
        <v>-2.6649958440039256E-7</v>
      </c>
      <c r="Z25" s="2">
        <f t="shared" si="3"/>
        <v>0.97136282920837402</v>
      </c>
      <c r="AA25" s="2">
        <f t="shared" si="2"/>
        <v>-2.3191527032118131E-8</v>
      </c>
      <c r="AB25" s="2">
        <f t="shared" si="4"/>
        <v>-5.1048385227268845E-15</v>
      </c>
      <c r="AC25" s="2">
        <f t="shared" si="5"/>
        <v>6.1805323156699518E-15</v>
      </c>
      <c r="AD25" s="2">
        <f t="shared" si="6"/>
        <v>4.76837158203125E-7</v>
      </c>
      <c r="AF25" s="2">
        <v>21</v>
      </c>
      <c r="AG25" s="2">
        <f t="shared" si="13"/>
        <v>2188.3859634399414</v>
      </c>
      <c r="AH25" s="2">
        <v>6.7614326883358444E-3</v>
      </c>
      <c r="AI25" s="2">
        <f t="shared" si="14"/>
        <v>2188.4040832519531</v>
      </c>
      <c r="AJ25" s="2">
        <v>4.3267094491966418E-2</v>
      </c>
      <c r="AK25" s="2">
        <f t="shared" si="9"/>
        <v>2188.3950233459473</v>
      </c>
      <c r="AL25" s="2">
        <v>-1.9603864870532561E-2</v>
      </c>
      <c r="AM25" s="2">
        <f t="shared" si="10"/>
        <v>-1.3255021275333759E-4</v>
      </c>
      <c r="AN25" s="2">
        <f t="shared" si="11"/>
        <v>-8.4820227376107332E-4</v>
      </c>
      <c r="AO25" s="2">
        <f t="shared" si="12"/>
        <v>1.811981201171875E-2</v>
      </c>
    </row>
    <row r="26" spans="2:41" x14ac:dyDescent="0.2">
      <c r="F26" s="6" t="s">
        <v>20</v>
      </c>
      <c r="G26" s="6">
        <f xml:space="preserve"> $C$5 * $C$68 / $C$21</f>
        <v>2681.2070790853832</v>
      </c>
      <c r="H26" s="6" t="s">
        <v>21</v>
      </c>
      <c r="J26" s="14" t="s">
        <v>65</v>
      </c>
      <c r="K26" s="6">
        <f xml:space="preserve"> $C$80 * (0.0268 * $C$5)</f>
        <v>46.919456353872846</v>
      </c>
      <c r="L26" s="6" t="s">
        <v>7</v>
      </c>
      <c r="N26" s="6" t="s">
        <v>32</v>
      </c>
      <c r="O26" s="17">
        <f>Z34</f>
        <v>0.97136280639097095</v>
      </c>
      <c r="U26" s="2">
        <v>22</v>
      </c>
      <c r="V26" s="2">
        <f t="shared" si="7"/>
        <v>0.97136259078979492</v>
      </c>
      <c r="W26" s="2">
        <f t="shared" si="0"/>
        <v>2.2011653288966926E-7</v>
      </c>
      <c r="X26" s="2">
        <f t="shared" si="8"/>
        <v>0.97136282920837402</v>
      </c>
      <c r="Y26" s="2">
        <f t="shared" si="1"/>
        <v>-2.3191527032118131E-8</v>
      </c>
      <c r="Z26" s="2">
        <f t="shared" si="3"/>
        <v>0.97136270999908447</v>
      </c>
      <c r="AA26" s="2">
        <f t="shared" si="2"/>
        <v>9.8462502595708656E-8</v>
      </c>
      <c r="AB26" s="2">
        <f t="shared" si="4"/>
        <v>2.167322469100745E-14</v>
      </c>
      <c r="AC26" s="2">
        <f t="shared" si="5"/>
        <v>-2.2834957905983791E-15</v>
      </c>
      <c r="AD26" s="2">
        <f t="shared" si="6"/>
        <v>2.384185791015625E-7</v>
      </c>
      <c r="AF26" s="2">
        <v>22</v>
      </c>
      <c r="AG26" s="2">
        <f t="shared" si="13"/>
        <v>2188.3859634399414</v>
      </c>
      <c r="AH26" s="2">
        <v>8.7898398260222166E-3</v>
      </c>
      <c r="AI26" s="2">
        <f t="shared" si="14"/>
        <v>2188.4040832519531</v>
      </c>
      <c r="AJ26" s="2">
        <v>4.3267094491966418E-2</v>
      </c>
      <c r="AK26" s="2">
        <f t="shared" si="9"/>
        <v>2188.3950233459473</v>
      </c>
      <c r="AL26" s="2">
        <v>-2.0617783804482315E-2</v>
      </c>
      <c r="AM26" s="2">
        <f t="shared" si="10"/>
        <v>-1.8122701720895451E-4</v>
      </c>
      <c r="AN26" s="2">
        <f t="shared" si="11"/>
        <v>-8.9207160008347123E-4</v>
      </c>
      <c r="AO26" s="2">
        <f t="shared" si="12"/>
        <v>1.811981201171875E-2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39.432690943476587</v>
      </c>
      <c r="H27" t="s">
        <v>97</v>
      </c>
      <c r="J27" s="14" t="s">
        <v>66</v>
      </c>
      <c r="K27" s="6">
        <f xml:space="preserve"> $C$80 * (11.5 * ($C$5*2.20462/1000)^0.4 * 0.453592)</f>
        <v>7.8313743980822554</v>
      </c>
      <c r="L27" s="6" t="s">
        <v>7</v>
      </c>
      <c r="N27" s="6" t="s">
        <v>33</v>
      </c>
      <c r="O27" s="6">
        <f xml:space="preserve"> O21 * $C$10 * O26 - $C$7 * SIN(O19/180*PI())</f>
        <v>1.4091165257050875</v>
      </c>
      <c r="P27" s="6" t="s">
        <v>10</v>
      </c>
      <c r="U27" s="2">
        <v>23</v>
      </c>
      <c r="V27" s="2">
        <f t="shared" si="7"/>
        <v>0.97136270999908447</v>
      </c>
      <c r="W27" s="2">
        <f t="shared" si="0"/>
        <v>9.8462502595708656E-8</v>
      </c>
      <c r="X27" s="2">
        <f t="shared" si="8"/>
        <v>0.97136282920837402</v>
      </c>
      <c r="Y27" s="2">
        <f t="shared" si="1"/>
        <v>-2.3191527032118131E-8</v>
      </c>
      <c r="Z27" s="2">
        <f t="shared" si="3"/>
        <v>0.97136276960372925</v>
      </c>
      <c r="AA27" s="2">
        <f t="shared" si="2"/>
        <v>3.7635487726284111E-8</v>
      </c>
      <c r="AB27" s="2">
        <f t="shared" si="4"/>
        <v>3.7056843079400104E-15</v>
      </c>
      <c r="AC27" s="2">
        <f t="shared" si="5"/>
        <v>-8.7282443097106809E-16</v>
      </c>
      <c r="AD27" s="2">
        <f t="shared" si="6"/>
        <v>1.1920928955078125E-7</v>
      </c>
      <c r="AF27" s="2">
        <v>23</v>
      </c>
      <c r="AG27" s="2">
        <f t="shared" si="13"/>
        <v>2188.3859634399414</v>
      </c>
      <c r="AH27" s="2">
        <v>9.8037445275167556E-3</v>
      </c>
      <c r="AI27" s="2">
        <f t="shared" si="14"/>
        <v>2188.4040832519531</v>
      </c>
      <c r="AJ27" s="2">
        <v>4.3267094491966418E-2</v>
      </c>
      <c r="AK27" s="2">
        <f t="shared" si="9"/>
        <v>2188.3950233459473</v>
      </c>
      <c r="AL27" s="2">
        <v>-2.1125041582081394E-2</v>
      </c>
      <c r="AM27" s="2">
        <f t="shared" si="10"/>
        <v>-2.0710451080389438E-4</v>
      </c>
      <c r="AN27" s="2">
        <f t="shared" si="11"/>
        <v>-9.1401917027863545E-4</v>
      </c>
      <c r="AO27" s="2">
        <f t="shared" si="12"/>
        <v>1.811981201171875E-2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6.9371612323158667</v>
      </c>
      <c r="H28" s="6" t="s">
        <v>172</v>
      </c>
      <c r="J28" s="14" t="s">
        <v>67</v>
      </c>
      <c r="K28" s="6">
        <f xml:space="preserve"> $C$80 * (8 * ($C$5/1000))</f>
        <v>14.005807866827713</v>
      </c>
      <c r="L28" s="6" t="s">
        <v>7</v>
      </c>
      <c r="N28" s="6" t="s">
        <v>34</v>
      </c>
      <c r="O28" s="6">
        <f xml:space="preserve"> 1/$C$31 - O25 * SQRT( (2*$C$71*PI()*$C$10^2) / O20^3 )</f>
        <v>1.1549835828195172</v>
      </c>
      <c r="U28" s="2">
        <v>24</v>
      </c>
      <c r="V28" s="2">
        <f t="shared" si="7"/>
        <v>0.97136276960372925</v>
      </c>
      <c r="W28" s="2">
        <f t="shared" si="0"/>
        <v>3.7635487726284111E-8</v>
      </c>
      <c r="X28" s="2">
        <f t="shared" si="8"/>
        <v>0.97136282920837402</v>
      </c>
      <c r="Y28" s="2">
        <f t="shared" si="1"/>
        <v>-2.3191527032118131E-8</v>
      </c>
      <c r="Z28" s="2">
        <f t="shared" si="3"/>
        <v>0.97136279940605164</v>
      </c>
      <c r="AA28" s="2">
        <f t="shared" si="2"/>
        <v>7.2219803470829902E-9</v>
      </c>
      <c r="AB28" s="2">
        <f t="shared" si="4"/>
        <v>2.7180275271210694E-16</v>
      </c>
      <c r="AC28" s="2">
        <f t="shared" si="5"/>
        <v>-1.6748875244480105E-16</v>
      </c>
      <c r="AD28" s="2">
        <f t="shared" si="6"/>
        <v>5.9604644775390625E-8</v>
      </c>
      <c r="AF28" s="2">
        <v>24</v>
      </c>
      <c r="AG28" s="2">
        <f t="shared" si="13"/>
        <v>2188.3859634399414</v>
      </c>
      <c r="AH28" s="2">
        <v>1.0310398561841794E-2</v>
      </c>
      <c r="AI28" s="2">
        <f t="shared" si="14"/>
        <v>2188.4040832519531</v>
      </c>
      <c r="AJ28" s="2">
        <v>4.3267094491966418E-2</v>
      </c>
      <c r="AK28" s="2">
        <f t="shared" si="9"/>
        <v>2188.3950233459473</v>
      </c>
      <c r="AL28" s="2">
        <v>-2.1378372389790457E-2</v>
      </c>
      <c r="AM28" s="2">
        <f t="shared" si="10"/>
        <v>-2.2041953994221384E-4</v>
      </c>
      <c r="AN28" s="2">
        <f t="shared" si="11"/>
        <v>-9.2498005827350966E-4</v>
      </c>
      <c r="AO28" s="2">
        <f t="shared" si="12"/>
        <v>1.811981201171875E-2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315.46152754781269</v>
      </c>
      <c r="H29" s="22" t="s">
        <v>97</v>
      </c>
      <c r="J29" s="14" t="s">
        <v>68</v>
      </c>
      <c r="K29" s="6">
        <f xml:space="preserve"> $C$80 * (13 * ($C$5*2.20462/1000)^1.3 * 0.453592)</f>
        <v>36.492132150438337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0.97136279940605164</v>
      </c>
      <c r="W29" s="2">
        <f t="shared" si="0"/>
        <v>7.2219803470829902E-9</v>
      </c>
      <c r="X29" s="2">
        <f t="shared" si="8"/>
        <v>0.97136282920837402</v>
      </c>
      <c r="Y29" s="2">
        <f t="shared" si="1"/>
        <v>-2.3191527032118131E-8</v>
      </c>
      <c r="Z29" s="2">
        <f t="shared" si="3"/>
        <v>0.97136281430721283</v>
      </c>
      <c r="AA29" s="2">
        <f t="shared" si="2"/>
        <v>-7.9847732870064192E-9</v>
      </c>
      <c r="AB29" s="2">
        <f t="shared" si="4"/>
        <v>-5.7665875754673608E-17</v>
      </c>
      <c r="AC29" s="2">
        <f t="shared" si="5"/>
        <v>1.8517908553094411E-16</v>
      </c>
      <c r="AD29" s="2">
        <f t="shared" si="6"/>
        <v>2.9802322387695312E-8</v>
      </c>
      <c r="AF29" s="2">
        <v>25</v>
      </c>
      <c r="AG29" s="2">
        <f t="shared" si="13"/>
        <v>2188.3859634399414</v>
      </c>
      <c r="AH29" s="2">
        <v>1.0564321796891818E-2</v>
      </c>
      <c r="AI29" s="2">
        <f t="shared" si="14"/>
        <v>2188.4040832519531</v>
      </c>
      <c r="AJ29" s="2">
        <v>4.3267094491966418E-2</v>
      </c>
      <c r="AK29" s="2">
        <f t="shared" si="9"/>
        <v>2188.3950233459473</v>
      </c>
      <c r="AL29" s="2">
        <v>-2.1505335932488379E-2</v>
      </c>
      <c r="AM29" s="2">
        <f t="shared" si="10"/>
        <v>-2.2718928914106781E-4</v>
      </c>
      <c r="AN29" s="2">
        <f t="shared" si="11"/>
        <v>-9.3047340187245536E-4</v>
      </c>
      <c r="AO29" s="2">
        <f t="shared" si="12"/>
        <v>1.811981201171875E-2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1.2338115247530368E-2</v>
      </c>
      <c r="L30" s="9" t="s">
        <v>7</v>
      </c>
      <c r="N30" s="6" t="s">
        <v>36</v>
      </c>
      <c r="O30" s="6">
        <f xml:space="preserve"> 1/$C$77 * LN( EXP($C$77 * O28) + EXP($C$77 * O29) )</f>
        <v>1.1756897461819458</v>
      </c>
      <c r="U30" s="2">
        <v>26</v>
      </c>
      <c r="V30" s="2">
        <f>IF(AB29&gt;0, Z29, V29)</f>
        <v>0.97136279940605164</v>
      </c>
      <c r="W30" s="2">
        <f t="shared" si="0"/>
        <v>7.2219803470829902E-9</v>
      </c>
      <c r="X30" s="2">
        <f t="shared" si="8"/>
        <v>0.97136281430721283</v>
      </c>
      <c r="Y30" s="2">
        <f t="shared" si="1"/>
        <v>-7.9847732870064192E-9</v>
      </c>
      <c r="Z30" s="2">
        <f t="shared" si="3"/>
        <v>0.97136280685663223</v>
      </c>
      <c r="AA30" s="2">
        <f t="shared" si="2"/>
        <v>-3.813964699617145E-10</v>
      </c>
      <c r="AB30" s="2">
        <f t="shared" si="4"/>
        <v>-2.7544378105103301E-18</v>
      </c>
      <c r="AC30" s="2">
        <f t="shared" si="5"/>
        <v>3.0453643451088441E-18</v>
      </c>
      <c r="AD30" s="2">
        <f t="shared" si="6"/>
        <v>1.4901161193847656E-8</v>
      </c>
      <c r="AF30" s="2">
        <v>26</v>
      </c>
      <c r="AG30" s="2">
        <f t="shared" si="13"/>
        <v>2188.3859634399414</v>
      </c>
      <c r="AH30" s="2">
        <v>1.0690687138776411E-2</v>
      </c>
      <c r="AI30" s="2">
        <f t="shared" si="14"/>
        <v>2188.4040832519531</v>
      </c>
      <c r="AJ30" s="2">
        <v>4.3267094491966418E-2</v>
      </c>
      <c r="AK30" s="2">
        <f t="shared" si="9"/>
        <v>2188.3950233459473</v>
      </c>
      <c r="AL30" s="2">
        <v>-2.1568519579886924E-2</v>
      </c>
      <c r="AM30" s="2">
        <f t="shared" si="10"/>
        <v>-2.3058229487514436E-4</v>
      </c>
      <c r="AN30" s="2">
        <f t="shared" si="11"/>
        <v>-9.3320717471479539E-4</v>
      </c>
      <c r="AO30" s="2">
        <f t="shared" si="12"/>
        <v>1.811981201171875E-2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0.97136279940605164</v>
      </c>
      <c r="W31" s="2">
        <f t="shared" si="0"/>
        <v>7.2219803470829902E-9</v>
      </c>
      <c r="X31" s="2">
        <f t="shared" si="8"/>
        <v>0.97136280685663223</v>
      </c>
      <c r="Y31" s="2">
        <f t="shared" si="1"/>
        <v>-3.813964699617145E-10</v>
      </c>
      <c r="Z31" s="2">
        <f t="shared" si="3"/>
        <v>0.97136280313134193</v>
      </c>
      <c r="AA31" s="2">
        <f t="shared" si="2"/>
        <v>3.4202919385606378E-9</v>
      </c>
      <c r="AB31" s="2">
        <f t="shared" si="4"/>
        <v>2.4701281161571309E-17</v>
      </c>
      <c r="AC31" s="2">
        <f t="shared" si="5"/>
        <v>-1.3044872716055366E-18</v>
      </c>
      <c r="AD31" s="2">
        <f t="shared" si="6"/>
        <v>7.4505805969238281E-9</v>
      </c>
      <c r="AF31" s="2">
        <v>27</v>
      </c>
      <c r="AG31" s="2">
        <f t="shared" si="13"/>
        <v>2188.3859634399414</v>
      </c>
      <c r="AH31" s="2">
        <v>1.0754466071375646E-2</v>
      </c>
      <c r="AI31" s="2">
        <f t="shared" si="14"/>
        <v>2188.4040832519531</v>
      </c>
      <c r="AJ31" s="2">
        <v>4.3267094491966418E-2</v>
      </c>
      <c r="AK31" s="2">
        <f t="shared" si="9"/>
        <v>2188.3950233459473</v>
      </c>
      <c r="AL31" s="2">
        <v>-2.160040953049247E-2</v>
      </c>
      <c r="AM31" s="2">
        <f t="shared" si="10"/>
        <v>-2.3230087142350043E-4</v>
      </c>
      <c r="AN31" s="2">
        <f t="shared" si="11"/>
        <v>-9.3458696022098969E-4</v>
      </c>
      <c r="AO31" s="2">
        <f t="shared" si="12"/>
        <v>1.811981201171875E-2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0.97136280313134193</v>
      </c>
      <c r="W32" s="2">
        <f t="shared" si="0"/>
        <v>3.4202919385606378E-9</v>
      </c>
      <c r="X32" s="2">
        <f t="shared" si="8"/>
        <v>0.97136280685663223</v>
      </c>
      <c r="Y32" s="2">
        <f t="shared" si="1"/>
        <v>-3.813964699617145E-10</v>
      </c>
      <c r="Z32" s="2">
        <f t="shared" si="3"/>
        <v>0.97136280499398708</v>
      </c>
      <c r="AA32" s="2">
        <f t="shared" si="2"/>
        <v>1.5194476787883104E-9</v>
      </c>
      <c r="AB32" s="2">
        <f t="shared" si="4"/>
        <v>5.1969546468243317E-18</v>
      </c>
      <c r="AC32" s="2">
        <f t="shared" si="5"/>
        <v>-5.7951198098138267E-19</v>
      </c>
      <c r="AD32" s="2">
        <f t="shared" si="6"/>
        <v>3.7252902984619141E-9</v>
      </c>
      <c r="AF32" s="2">
        <v>28</v>
      </c>
      <c r="AG32" s="2">
        <f t="shared" si="13"/>
        <v>2188.3859634399414</v>
      </c>
      <c r="AH32" s="2">
        <v>1.0785759272721407E-2</v>
      </c>
      <c r="AI32" s="2">
        <f t="shared" si="14"/>
        <v>2188.4040832519531</v>
      </c>
      <c r="AJ32" s="2">
        <v>4.3267094491966418E-2</v>
      </c>
      <c r="AK32" s="2">
        <f t="shared" si="9"/>
        <v>2188.3950233459473</v>
      </c>
      <c r="AL32" s="2">
        <v>-2.1616354505795243E-2</v>
      </c>
      <c r="AM32" s="2">
        <f t="shared" si="10"/>
        <v>-2.3314879605331422E-4</v>
      </c>
      <c r="AN32" s="2">
        <f t="shared" si="11"/>
        <v>-9.3527685297408684E-4</v>
      </c>
      <c r="AO32" s="2">
        <f t="shared" si="12"/>
        <v>1.811981201171875E-2</v>
      </c>
    </row>
    <row r="33" spans="2:41" x14ac:dyDescent="0.2">
      <c r="F33" s="23" t="s">
        <v>128</v>
      </c>
      <c r="G33" s="22">
        <f xml:space="preserve"> G20</f>
        <v>115.643851221284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0.97136280499398708</v>
      </c>
      <c r="W33" s="2">
        <f t="shared" si="0"/>
        <v>1.5194476787883104E-9</v>
      </c>
      <c r="X33" s="2">
        <f t="shared" si="8"/>
        <v>0.97136280685663223</v>
      </c>
      <c r="Y33" s="2">
        <f t="shared" si="1"/>
        <v>-3.813964699617145E-10</v>
      </c>
      <c r="Z33" s="2">
        <f t="shared" si="3"/>
        <v>0.97136280592530966</v>
      </c>
      <c r="AA33" s="2">
        <f t="shared" si="2"/>
        <v>5.6902560441329797E-10</v>
      </c>
      <c r="AB33" s="2">
        <f t="shared" si="4"/>
        <v>8.6460463379690098E-19</v>
      </c>
      <c r="AC33" s="2">
        <f t="shared" si="5"/>
        <v>-2.1702435684106284E-19</v>
      </c>
      <c r="AD33" s="2">
        <f t="shared" si="6"/>
        <v>1.862645149230957E-9</v>
      </c>
      <c r="AF33" s="2">
        <v>29</v>
      </c>
      <c r="AG33" s="2">
        <f t="shared" si="13"/>
        <v>2188.3859634399414</v>
      </c>
      <c r="AH33" s="2">
        <v>1.0801704004961721E-2</v>
      </c>
      <c r="AI33" s="2">
        <f t="shared" si="14"/>
        <v>2188.4040832519531</v>
      </c>
      <c r="AJ33" s="2">
        <v>4.3267094491966418E-2</v>
      </c>
      <c r="AK33" s="2">
        <f t="shared" si="9"/>
        <v>2188.3950233459473</v>
      </c>
      <c r="AL33" s="2">
        <v>-2.1624326994015064E-2</v>
      </c>
      <c r="AM33" s="2">
        <f t="shared" si="10"/>
        <v>-2.3357957949585436E-4</v>
      </c>
      <c r="AN33" s="2">
        <f t="shared" si="11"/>
        <v>-9.3562179937522994E-4</v>
      </c>
      <c r="AO33" s="2">
        <f t="shared" si="12"/>
        <v>1.811981201171875E-2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27.42</v>
      </c>
      <c r="L34" s="6" t="s">
        <v>59</v>
      </c>
      <c r="U34" s="2">
        <v>30</v>
      </c>
      <c r="V34" s="2">
        <f t="shared" si="7"/>
        <v>0.97136280592530966</v>
      </c>
      <c r="W34" s="2">
        <f t="shared" si="0"/>
        <v>5.6902560441329797E-10</v>
      </c>
      <c r="X34" s="2">
        <f t="shared" si="8"/>
        <v>0.97136280685663223</v>
      </c>
      <c r="Y34" s="2">
        <f t="shared" si="1"/>
        <v>-3.813964699617145E-10</v>
      </c>
      <c r="Z34" s="2">
        <f t="shared" si="3"/>
        <v>0.97136280639097095</v>
      </c>
      <c r="AA34" s="2">
        <f t="shared" si="2"/>
        <v>9.3814511714640503E-11</v>
      </c>
      <c r="AB34" s="2">
        <f t="shared" si="4"/>
        <v>5.3382859231161735E-20</v>
      </c>
      <c r="AC34" s="2">
        <f t="shared" si="5"/>
        <v>-3.57805235991458E-20</v>
      </c>
      <c r="AD34" s="2">
        <f t="shared" si="6"/>
        <v>9.3132257461547852E-10</v>
      </c>
      <c r="AF34" s="2">
        <v>30</v>
      </c>
      <c r="AG34" s="2">
        <f t="shared" si="13"/>
        <v>2188.3859634399414</v>
      </c>
      <c r="AH34" s="2">
        <v>1.0809676371309251E-2</v>
      </c>
      <c r="AI34" s="2">
        <f t="shared" si="14"/>
        <v>2188.4040832519531</v>
      </c>
      <c r="AJ34" s="2">
        <v>4.3267094491966418E-2</v>
      </c>
      <c r="AK34" s="2">
        <f t="shared" si="9"/>
        <v>2188.3950233459473</v>
      </c>
      <c r="AL34" s="2">
        <v>-2.1628313238124974E-2</v>
      </c>
      <c r="AM34" s="2">
        <f t="shared" si="10"/>
        <v>-2.3379506656143461E-4</v>
      </c>
      <c r="AN34" s="2">
        <f t="shared" si="11"/>
        <v>-9.3579427257580144E-4</v>
      </c>
      <c r="AO34" s="2">
        <f t="shared" si="12"/>
        <v>1.811981201171875E-2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30.68</v>
      </c>
      <c r="L35" s="6" t="s">
        <v>59</v>
      </c>
      <c r="AF35" s="2">
        <v>31</v>
      </c>
      <c r="AG35" s="2">
        <f t="shared" si="13"/>
        <v>2188.3859634399414</v>
      </c>
      <c r="AH35" s="2">
        <v>1.0813662554483017E-2</v>
      </c>
      <c r="AI35" s="2">
        <f t="shared" si="14"/>
        <v>2188.4040832519531</v>
      </c>
      <c r="AJ35" s="2">
        <v>4.3267094491966418E-2</v>
      </c>
      <c r="AK35" s="2">
        <f t="shared" si="9"/>
        <v>2188.3950233459473</v>
      </c>
      <c r="AL35" s="2">
        <v>-2.1630306360066243E-2</v>
      </c>
      <c r="AM35" s="2">
        <f t="shared" si="10"/>
        <v>-2.3390283392784418E-4</v>
      </c>
      <c r="AN35" s="2">
        <f t="shared" si="11"/>
        <v>-9.3588050917116827E-4</v>
      </c>
      <c r="AO35" s="2">
        <f t="shared" si="12"/>
        <v>1.811981201171875E-2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15.85</v>
      </c>
      <c r="L36" s="6" t="s">
        <v>59</v>
      </c>
      <c r="AF36" s="2">
        <v>32</v>
      </c>
      <c r="AG36" s="2">
        <f t="shared" si="13"/>
        <v>2188.3859634399414</v>
      </c>
      <c r="AH36" s="2">
        <v>1.0815655646638334E-2</v>
      </c>
      <c r="AI36" s="2">
        <f t="shared" si="14"/>
        <v>2188.4040832519531</v>
      </c>
      <c r="AJ36" s="2">
        <v>4.3267094491966418E-2</v>
      </c>
      <c r="AK36" s="2">
        <f t="shared" si="9"/>
        <v>2188.3950233459473</v>
      </c>
      <c r="AL36" s="2">
        <v>-2.1631302921150564E-2</v>
      </c>
      <c r="AM36" s="2">
        <f t="shared" si="10"/>
        <v>-2.3395672358328637E-4</v>
      </c>
      <c r="AN36" s="2">
        <f t="shared" si="11"/>
        <v>-9.3592362747377061E-4</v>
      </c>
      <c r="AO36" s="2">
        <f t="shared" si="12"/>
        <v>1.811981201171875E-2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21.25</v>
      </c>
      <c r="L37" s="6" t="s">
        <v>59</v>
      </c>
      <c r="AF37" s="2">
        <v>33</v>
      </c>
      <c r="AG37" s="2">
        <f t="shared" si="13"/>
        <v>2188.3859634399414</v>
      </c>
      <c r="AH37" s="2">
        <v>1.0816652191806497E-2</v>
      </c>
      <c r="AI37" s="2">
        <f t="shared" si="14"/>
        <v>2188.4040832519531</v>
      </c>
      <c r="AJ37" s="2">
        <v>4.3267094491966418E-2</v>
      </c>
      <c r="AK37" s="2">
        <f t="shared" si="9"/>
        <v>2188.3950233459473</v>
      </c>
      <c r="AL37" s="2">
        <v>-2.163180120146535E-2</v>
      </c>
      <c r="AM37" s="2">
        <f t="shared" si="10"/>
        <v>-2.3398366987855261E-4</v>
      </c>
      <c r="AN37" s="2">
        <f t="shared" si="11"/>
        <v>-9.3594518661523399E-4</v>
      </c>
      <c r="AO37" s="2">
        <f t="shared" si="12"/>
        <v>1.811981201171875E-2</v>
      </c>
    </row>
    <row r="38" spans="2:41" x14ac:dyDescent="0.2">
      <c r="J38" s="14" t="s">
        <v>71</v>
      </c>
      <c r="K38" s="6">
        <f>ROUND(SUM(K26:K29)/$C$5*100, 2)</f>
        <v>4.8099999999999996</v>
      </c>
      <c r="L38" s="6" t="s">
        <v>59</v>
      </c>
      <c r="AF38" s="2">
        <v>34</v>
      </c>
      <c r="AG38" s="2">
        <f t="shared" si="13"/>
        <v>2188.3859634399414</v>
      </c>
      <c r="AH38" s="2">
        <v>1.0817150464617953E-2</v>
      </c>
      <c r="AI38" s="2">
        <f t="shared" si="14"/>
        <v>2188.4040832519531</v>
      </c>
      <c r="AJ38" s="2">
        <v>4.3267094491966418E-2</v>
      </c>
      <c r="AK38" s="2">
        <f t="shared" si="9"/>
        <v>2188.3950233459473</v>
      </c>
      <c r="AL38" s="2">
        <v>-2.1632050341622744E-2</v>
      </c>
      <c r="AM38" s="2">
        <f t="shared" si="10"/>
        <v>-2.3399714340352341E-4</v>
      </c>
      <c r="AN38" s="2">
        <f t="shared" si="11"/>
        <v>-9.3595596618596569E-4</v>
      </c>
      <c r="AO38" s="2">
        <f t="shared" si="12"/>
        <v>1.811981201171875E-2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2188.3859634399414</v>
      </c>
      <c r="AH39" s="2">
        <v>1.0817399601592115E-2</v>
      </c>
      <c r="AI39" s="2">
        <f t="shared" si="14"/>
        <v>2188.4040832519531</v>
      </c>
      <c r="AJ39" s="2">
        <v>4.3267094491966418E-2</v>
      </c>
      <c r="AK39" s="2">
        <f t="shared" si="9"/>
        <v>2188.3950233459473</v>
      </c>
      <c r="AL39" s="2">
        <v>-2.1632174911474067E-2</v>
      </c>
      <c r="AM39" s="2">
        <f t="shared" si="10"/>
        <v>-2.3400388026895052E-4</v>
      </c>
      <c r="AN39" s="2">
        <f t="shared" si="11"/>
        <v>-9.359613559614937E-4</v>
      </c>
      <c r="AO39" s="2">
        <f t="shared" si="12"/>
        <v>1.811981201171875E-2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2188.3859634399414</v>
      </c>
      <c r="AH40" s="2">
        <v>1.0817524170079196E-2</v>
      </c>
      <c r="AI40" s="2">
        <f t="shared" si="14"/>
        <v>2188.4040832519531</v>
      </c>
      <c r="AJ40" s="2">
        <v>4.3267094491966418E-2</v>
      </c>
      <c r="AK40" s="2">
        <f t="shared" si="9"/>
        <v>2188.3950233459473</v>
      </c>
      <c r="AL40" s="2">
        <v>-2.1632237196854476E-2</v>
      </c>
      <c r="AM40" s="2">
        <f t="shared" si="10"/>
        <v>-2.3400724872985951E-4</v>
      </c>
      <c r="AN40" s="2">
        <f t="shared" si="11"/>
        <v>-9.3596405086893337E-4</v>
      </c>
      <c r="AO40" s="2">
        <f t="shared" si="12"/>
        <v>1.811981201171875E-2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2188.3859634399414</v>
      </c>
      <c r="AH41" s="2">
        <v>1.0817586453413242E-2</v>
      </c>
      <c r="AI41" s="2">
        <f t="shared" si="14"/>
        <v>2188.4040832519531</v>
      </c>
      <c r="AJ41" s="2">
        <v>4.3267094491966418E-2</v>
      </c>
      <c r="AK41" s="2">
        <f t="shared" si="9"/>
        <v>2188.3950233459473</v>
      </c>
      <c r="AL41" s="2">
        <v>-2.1632268339089933E-2</v>
      </c>
      <c r="AM41" s="2">
        <f t="shared" si="10"/>
        <v>-2.3400893294153941E-4</v>
      </c>
      <c r="AN41" s="2">
        <f t="shared" si="11"/>
        <v>-9.359653983029776E-4</v>
      </c>
      <c r="AO41" s="2">
        <f t="shared" si="12"/>
        <v>1.811981201171875E-2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2188.3859634399414</v>
      </c>
      <c r="AH42" s="2">
        <v>1.0817617595648699E-2</v>
      </c>
      <c r="AI42" s="2">
        <f t="shared" si="14"/>
        <v>2188.4040832519531</v>
      </c>
      <c r="AJ42" s="2">
        <v>4.3267094491966418E-2</v>
      </c>
      <c r="AK42" s="2">
        <f t="shared" si="9"/>
        <v>2188.3950233459473</v>
      </c>
      <c r="AL42" s="2">
        <v>-2.1632283910321348E-2</v>
      </c>
      <c r="AM42" s="2">
        <f t="shared" si="10"/>
        <v>-2.3400977506236046E-4</v>
      </c>
      <c r="AN42" s="2">
        <f t="shared" si="11"/>
        <v>-9.3596607202491857E-4</v>
      </c>
      <c r="AO42" s="2">
        <f t="shared" si="12"/>
        <v>1.811981201171875E-2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671.33</v>
      </c>
      <c r="L43" s="6" t="s">
        <v>7</v>
      </c>
      <c r="AF43" s="2">
        <v>39</v>
      </c>
      <c r="AG43" s="2">
        <f t="shared" si="13"/>
        <v>2188.3859634399414</v>
      </c>
      <c r="AH43" s="2">
        <v>1.081763316665274E-2</v>
      </c>
      <c r="AI43" s="2">
        <f t="shared" si="14"/>
        <v>2188.4040832519531</v>
      </c>
      <c r="AJ43" s="2">
        <v>4.3267094491966418E-2</v>
      </c>
      <c r="AK43" s="2">
        <f t="shared" si="9"/>
        <v>2188.3950233459473</v>
      </c>
      <c r="AL43" s="2">
        <v>-2.163229169650549E-2</v>
      </c>
      <c r="AM43" s="2">
        <f t="shared" si="10"/>
        <v>-2.3401019612682446E-4</v>
      </c>
      <c r="AN43" s="2">
        <f t="shared" si="11"/>
        <v>-9.3596640891048359E-4</v>
      </c>
      <c r="AO43" s="2">
        <f t="shared" si="12"/>
        <v>1.811981201171875E-2</v>
      </c>
    </row>
    <row r="44" spans="2:41" x14ac:dyDescent="0.2">
      <c r="J44" s="18" t="s">
        <v>74</v>
      </c>
      <c r="K44" s="6">
        <f>ROUND(SUM(K16:K19), 2)</f>
        <v>346.85</v>
      </c>
      <c r="L44" s="6" t="s">
        <v>7</v>
      </c>
      <c r="AF44" s="2">
        <v>40</v>
      </c>
      <c r="AG44" s="2">
        <f t="shared" si="13"/>
        <v>2188.3859634399414</v>
      </c>
      <c r="AH44" s="2">
        <v>1.0817640952382135E-2</v>
      </c>
      <c r="AI44" s="2">
        <f t="shared" si="14"/>
        <v>2188.4040832519531</v>
      </c>
      <c r="AJ44" s="2">
        <v>4.3267094491966418E-2</v>
      </c>
      <c r="AK44" s="5">
        <f t="shared" si="9"/>
        <v>2188.3950233459473</v>
      </c>
      <c r="AL44" s="2">
        <v>-2.1632295589142814E-2</v>
      </c>
      <c r="AM44" s="2">
        <f t="shared" si="10"/>
        <v>-2.3401040665914672E-4</v>
      </c>
      <c r="AN44" s="2">
        <f t="shared" si="11"/>
        <v>-9.3596657733359043E-4</v>
      </c>
      <c r="AO44" s="2">
        <f t="shared" si="12"/>
        <v>1.811981201171875E-2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464.96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105.25</v>
      </c>
      <c r="L46" s="6" t="s">
        <v>7</v>
      </c>
    </row>
    <row r="47" spans="2:41" x14ac:dyDescent="0.2">
      <c r="J47" s="9" t="s">
        <v>60</v>
      </c>
      <c r="K47" s="9">
        <f>SUM(K42:K46)</f>
        <v>2188.39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23" priority="1" operator="containsText" text="FALSE">
      <formula>NOT(ISERROR(SEARCH("FALSE",K31)))</formula>
    </cfRule>
    <cfRule type="containsText" dxfId="22" priority="2" operator="containsText" text="TRUE">
      <formula>NOT(ISERROR(SEARCH("TRUE",K31)))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NOT(ISERROR(SEARCH("YES",K31)))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E12-39D0-AD44-9469-F28D414ECCB8}">
  <dimension ref="B1:AO81"/>
  <sheetViews>
    <sheetView zoomScale="88" workbookViewId="0">
      <selection activeCell="K16" sqref="K16:K2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432.06024744848514</v>
      </c>
      <c r="L4" s="6" t="s">
        <v>97</v>
      </c>
      <c r="N4" s="6" t="s">
        <v>131</v>
      </c>
      <c r="O4" s="6">
        <f xml:space="preserve"> $C$5 * $C$74</f>
        <v>18592.449720214983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1.171970686474308</v>
      </c>
      <c r="X4" s="3">
        <v>1</v>
      </c>
      <c r="Y4" s="2">
        <f t="shared" ref="Y4:Y34" si="1" xml:space="preserve"> $O$22 * TAN($O$19/180*PI()) + $O$23 / (2 * SQRT($O$22^2 + X4^2)) - X4</f>
        <v>-3.0401157106025201E-2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0.48752981624351621</v>
      </c>
      <c r="AB4" s="2">
        <f>W4*AA4</f>
        <v>0.57137065341960691</v>
      </c>
      <c r="AC4" s="2">
        <f>Y4*AA4</f>
        <v>-1.4821470537490734E-2</v>
      </c>
      <c r="AD4" s="2">
        <f>X4-V4</f>
        <v>1</v>
      </c>
      <c r="AF4" s="2">
        <v>0</v>
      </c>
      <c r="AH4" s="2">
        <f>K30</f>
        <v>-3.3654219896561699E-4</v>
      </c>
      <c r="AJ4" s="2">
        <f>K30</f>
        <v>-3.3654219896561699E-4</v>
      </c>
      <c r="AL4" s="2">
        <f>K30</f>
        <v>-3.3654219896561699E-4</v>
      </c>
    </row>
    <row r="5" spans="2:41" x14ac:dyDescent="0.2">
      <c r="B5" s="9" t="s">
        <v>38</v>
      </c>
      <c r="C5" s="9">
        <v>1897.0815686774199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54.007530931060643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0.48752981624351621</v>
      </c>
      <c r="X5" s="2">
        <f>IF(AC4&gt;0, Z4, X4)</f>
        <v>1</v>
      </c>
      <c r="Y5" s="2">
        <f t="shared" si="1"/>
        <v>-3.0401157106025201E-2</v>
      </c>
      <c r="Z5" s="2">
        <f t="shared" ref="Z5:Z34" si="3" xml:space="preserve"> (V5 + X5)/2</f>
        <v>0.75</v>
      </c>
      <c r="AA5" s="2">
        <f t="shared" si="2"/>
        <v>0.22563480194155217</v>
      </c>
      <c r="AB5" s="2">
        <f t="shared" ref="AB5:AB34" si="4">W5*AA5</f>
        <v>0.11000369352870711</v>
      </c>
      <c r="AC5" s="2">
        <f t="shared" ref="AC5:AC34" si="5">Y5*AA5</f>
        <v>-6.8595590624120073E-3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-1268.8985920433065</v>
      </c>
      <c r="AI5" s="3">
        <v>10000</v>
      </c>
      <c r="AJ5" s="2">
        <f t="dataTable" ref="AJ5:AJ44" dt2D="0" dtr="0" r1="C5"/>
        <v>6794.3491430483646</v>
      </c>
      <c r="AK5" s="2">
        <f>(AG5+AI5)/2</f>
        <v>5250</v>
      </c>
      <c r="AL5" s="2">
        <f t="dataTable" ref="AL5:AL44" dt2D="0" dtr="0" r1="C5" ca="1"/>
        <v>2650.0970949823886</v>
      </c>
      <c r="AM5" s="2">
        <f>AH5*AL5</f>
        <v>-3362704.4726012098</v>
      </c>
      <c r="AN5" s="2">
        <f>AJ5*AL5</f>
        <v>18005684.926288553</v>
      </c>
      <c r="AO5" s="2">
        <f>AI5-AG5</f>
        <v>9500</v>
      </c>
    </row>
    <row r="6" spans="2:41" x14ac:dyDescent="0.2">
      <c r="B6" s="6" t="s">
        <v>168</v>
      </c>
      <c r="C6" s="16">
        <v>408.50973725072402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162.8569025714971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0.20065527662961941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0.22563480194155217</v>
      </c>
      <c r="X6" s="2">
        <f t="shared" ref="X6:X34" si="8">IF(AC5&gt;0, Z5, X5)</f>
        <v>1</v>
      </c>
      <c r="Y6" s="2">
        <f t="shared" si="1"/>
        <v>-3.0401157106025201E-2</v>
      </c>
      <c r="Z6" s="2">
        <f t="shared" si="3"/>
        <v>0.875</v>
      </c>
      <c r="AA6" s="2">
        <f t="shared" si="2"/>
        <v>9.7191560327885562E-2</v>
      </c>
      <c r="AB6" s="2">
        <f t="shared" si="4"/>
        <v>2.1929798464972877E-2</v>
      </c>
      <c r="AC6" s="2">
        <f t="shared" si="5"/>
        <v>-2.9547358949077751E-3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-1268.8985920433065</v>
      </c>
      <c r="AI6" s="2">
        <f>IF(AN5&gt;0,AK5,AI5)</f>
        <v>5250</v>
      </c>
      <c r="AJ6" s="2">
        <v>2650.0970949823886</v>
      </c>
      <c r="AK6" s="2">
        <f t="shared" ref="AK6:AK44" si="9">(AG6+AI6)/2</f>
        <v>2875</v>
      </c>
      <c r="AL6" s="2">
        <v>828.68650240267561</v>
      </c>
      <c r="AM6" s="2">
        <f t="shared" ref="AM6:AM44" si="10">AH6*AL6</f>
        <v>-1051519.1361440471</v>
      </c>
      <c r="AN6" s="2">
        <f t="shared" ref="AN6:AN44" si="11">AJ6*AL6</f>
        <v>2196099.6926684468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2324.2785358322362</v>
      </c>
      <c r="H7" s="6" t="s">
        <v>21</v>
      </c>
      <c r="J7" s="6" t="s">
        <v>133</v>
      </c>
      <c r="K7" s="6">
        <f>K6/$C$28</f>
        <v>162.8569025714971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9.7191560327885562E-2</v>
      </c>
      <c r="X7" s="2">
        <f t="shared" si="8"/>
        <v>1</v>
      </c>
      <c r="Y7" s="2">
        <f t="shared" si="1"/>
        <v>-3.0401157106025201E-2</v>
      </c>
      <c r="Z7" s="2">
        <f t="shared" si="3"/>
        <v>0.9375</v>
      </c>
      <c r="AA7" s="2">
        <f t="shared" si="2"/>
        <v>3.3309794371800261E-2</v>
      </c>
      <c r="AB7" s="2">
        <f t="shared" si="4"/>
        <v>3.2374308891962881E-3</v>
      </c>
      <c r="AC7" s="2">
        <f t="shared" si="5"/>
        <v>-1.0126562918664937E-3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-1268.8985920433065</v>
      </c>
      <c r="AI7" s="2">
        <f t="shared" ref="AI7:AI44" si="14">IF(AN6&gt;0,AK6,AI6)</f>
        <v>2875</v>
      </c>
      <c r="AJ7" s="2">
        <v>828.68650240267561</v>
      </c>
      <c r="AK7" s="2">
        <f t="shared" si="9"/>
        <v>1687.5</v>
      </c>
      <c r="AL7" s="2">
        <v>-183.74238917975799</v>
      </c>
      <c r="AM7" s="2">
        <f t="shared" si="10"/>
        <v>233150.4589288682</v>
      </c>
      <c r="AN7" s="2">
        <f t="shared" si="11"/>
        <v>-152264.83783248489</v>
      </c>
      <c r="AO7" s="2">
        <f t="shared" si="12"/>
        <v>2375</v>
      </c>
    </row>
    <row r="8" spans="2:41" x14ac:dyDescent="0.2">
      <c r="B8" s="6" t="s">
        <v>91</v>
      </c>
      <c r="C8" s="16">
        <v>1.83663204595837</v>
      </c>
      <c r="D8" s="6" t="s">
        <v>8</v>
      </c>
      <c r="F8" t="s">
        <v>93</v>
      </c>
      <c r="G8" s="6">
        <f>G10/$C$21</f>
        <v>36.005020620707093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3.3309794371800261E-2</v>
      </c>
      <c r="X8" s="2">
        <f t="shared" si="8"/>
        <v>1</v>
      </c>
      <c r="Y8" s="2">
        <f t="shared" si="1"/>
        <v>-3.0401157106025201E-2</v>
      </c>
      <c r="Z8" s="2">
        <f t="shared" si="3"/>
        <v>0.96875</v>
      </c>
      <c r="AA8" s="2">
        <f t="shared" si="2"/>
        <v>1.4350019611903964E-3</v>
      </c>
      <c r="AB8" s="2">
        <f t="shared" si="4"/>
        <v>4.7799620250382204E-5</v>
      </c>
      <c r="AC8" s="2">
        <f t="shared" si="5"/>
        <v>-4.3625720069603516E-5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-183.74238917975799</v>
      </c>
      <c r="AI8" s="2">
        <f t="shared" si="14"/>
        <v>2875</v>
      </c>
      <c r="AJ8" s="2">
        <v>828.68650240267561</v>
      </c>
      <c r="AK8" s="2">
        <f t="shared" si="9"/>
        <v>2281.25</v>
      </c>
      <c r="AL8" s="2">
        <v>331.11623343932752</v>
      </c>
      <c r="AM8" s="2">
        <f t="shared" si="10"/>
        <v>-60840.087828344513</v>
      </c>
      <c r="AN8" s="2">
        <f t="shared" si="11"/>
        <v>274391.55337758421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6.5861702617189177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1.4350019611903964E-3</v>
      </c>
      <c r="X9" s="2">
        <f t="shared" si="8"/>
        <v>1</v>
      </c>
      <c r="Y9" s="2">
        <f t="shared" si="1"/>
        <v>-3.0401157106025201E-2</v>
      </c>
      <c r="Z9" s="2">
        <f t="shared" si="3"/>
        <v>0.984375</v>
      </c>
      <c r="AA9" s="2">
        <f t="shared" si="2"/>
        <v>-1.4487680091646471E-2</v>
      </c>
      <c r="AB9" s="2">
        <f t="shared" si="4"/>
        <v>-2.0789849344611746E-5</v>
      </c>
      <c r="AC9" s="2">
        <f t="shared" si="5"/>
        <v>4.4044223856797796E-4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-183.74238917975799</v>
      </c>
      <c r="AI9" s="2">
        <f t="shared" si="14"/>
        <v>2281.25</v>
      </c>
      <c r="AJ9" s="2">
        <v>331.11623343932752</v>
      </c>
      <c r="AK9" s="2">
        <f t="shared" si="9"/>
        <v>1984.375</v>
      </c>
      <c r="AL9" s="2">
        <v>75.880352346021255</v>
      </c>
      <c r="AM9" s="2">
        <f t="shared" si="10"/>
        <v>-13942.4372318598</v>
      </c>
      <c r="AN9" s="2">
        <f t="shared" si="11"/>
        <v>25125.216460863598</v>
      </c>
      <c r="AO9" s="2">
        <f t="shared" si="12"/>
        <v>593.75</v>
      </c>
    </row>
    <row r="10" spans="2:41" x14ac:dyDescent="0.2">
      <c r="B10" s="6" t="s">
        <v>134</v>
      </c>
      <c r="C10" s="16">
        <v>1.64147857522817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288.04016496565674</v>
      </c>
      <c r="H10" s="22" t="s">
        <v>97</v>
      </c>
      <c r="J10" s="6" t="s">
        <v>92</v>
      </c>
      <c r="K10" s="6">
        <f xml:space="preserve"> $C$18 * (G10*G6 + G20*G13 + G29*G25 + G33*G32)/3600</f>
        <v>103.36551867661052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1.4350019611903964E-3</v>
      </c>
      <c r="X10" s="2">
        <f t="shared" si="8"/>
        <v>0.984375</v>
      </c>
      <c r="Y10" s="2">
        <f t="shared" si="1"/>
        <v>-1.4487680091646471E-2</v>
      </c>
      <c r="Z10" s="2">
        <f t="shared" si="3"/>
        <v>0.9765625</v>
      </c>
      <c r="AA10" s="2">
        <f t="shared" si="2"/>
        <v>-6.5275169134970668E-3</v>
      </c>
      <c r="AB10" s="2">
        <f t="shared" si="4"/>
        <v>-9.3669995725717743E-6</v>
      </c>
      <c r="AC10" s="2">
        <f t="shared" si="5"/>
        <v>9.4568576835557069E-5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-183.74238917975799</v>
      </c>
      <c r="AI10" s="2">
        <f t="shared" si="14"/>
        <v>1984.375</v>
      </c>
      <c r="AJ10" s="2">
        <v>75.880352346021255</v>
      </c>
      <c r="AK10" s="2">
        <f t="shared" si="9"/>
        <v>1835.9375</v>
      </c>
      <c r="AL10" s="2">
        <v>-53.377352308348918</v>
      </c>
      <c r="AM10" s="2">
        <f t="shared" si="10"/>
        <v>9807.6822412257006</v>
      </c>
      <c r="AN10" s="2">
        <f t="shared" si="11"/>
        <v>-4050.2923004552267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0.86501610464432066</v>
      </c>
      <c r="U11" s="2">
        <v>7</v>
      </c>
      <c r="V11" s="2">
        <f t="shared" si="7"/>
        <v>0.96875</v>
      </c>
      <c r="W11" s="2">
        <f t="shared" si="0"/>
        <v>1.4350019611903964E-3</v>
      </c>
      <c r="X11" s="2">
        <f t="shared" si="8"/>
        <v>0.9765625</v>
      </c>
      <c r="Y11" s="2">
        <f t="shared" si="1"/>
        <v>-6.5275169134970668E-3</v>
      </c>
      <c r="Z11" s="2">
        <f t="shared" si="3"/>
        <v>0.97265625</v>
      </c>
      <c r="AA11" s="2">
        <f t="shared" si="2"/>
        <v>-2.5465554344417107E-3</v>
      </c>
      <c r="AB11" s="2">
        <f t="shared" si="4"/>
        <v>-3.6543120427039167E-6</v>
      </c>
      <c r="AC11" s="2">
        <f t="shared" si="5"/>
        <v>1.6622683669476138E-5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-53.377352308348918</v>
      </c>
      <c r="AI11" s="2">
        <f t="shared" si="14"/>
        <v>1984.375</v>
      </c>
      <c r="AJ11" s="2">
        <v>75.880352346021255</v>
      </c>
      <c r="AK11" s="2">
        <f t="shared" si="9"/>
        <v>1910.15625</v>
      </c>
      <c r="AL11" s="2">
        <v>11.389182282757247</v>
      </c>
      <c r="AM11" s="2">
        <f t="shared" si="10"/>
        <v>-607.92439521073914</v>
      </c>
      <c r="AN11" s="2">
        <f t="shared" si="11"/>
        <v>864.21516454868254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0.273322258968202</v>
      </c>
      <c r="U12" s="2">
        <v>8</v>
      </c>
      <c r="V12" s="2">
        <f t="shared" si="7"/>
        <v>0.96875</v>
      </c>
      <c r="W12" s="2">
        <f t="shared" si="0"/>
        <v>1.4350019611903964E-3</v>
      </c>
      <c r="X12" s="2">
        <f t="shared" si="8"/>
        <v>0.97265625</v>
      </c>
      <c r="Y12" s="2">
        <f t="shared" si="1"/>
        <v>-2.5465554344417107E-3</v>
      </c>
      <c r="Z12" s="2">
        <f t="shared" si="3"/>
        <v>0.970703125</v>
      </c>
      <c r="AA12" s="2">
        <f t="shared" si="2"/>
        <v>-5.5585166926830354E-4</v>
      </c>
      <c r="AB12" s="2">
        <f t="shared" si="4"/>
        <v>-7.9764823553097113E-7</v>
      </c>
      <c r="AC12" s="2">
        <f t="shared" si="5"/>
        <v>1.4155070891186948E-6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-53.377352308348918</v>
      </c>
      <c r="AI12" s="2">
        <f t="shared" si="14"/>
        <v>1910.15625</v>
      </c>
      <c r="AJ12" s="2">
        <v>11.389182282757247</v>
      </c>
      <c r="AK12" s="2">
        <f t="shared" si="9"/>
        <v>1873.046875</v>
      </c>
      <c r="AL12" s="2">
        <v>-20.959577651114387</v>
      </c>
      <c r="AM12" s="2">
        <f t="shared" si="10"/>
        <v>1118.7667605177289</v>
      </c>
      <c r="AN12" s="2">
        <f t="shared" si="11"/>
        <v>-238.71245043814673</v>
      </c>
      <c r="AO12" s="2">
        <f t="shared" si="12"/>
        <v>74.21875</v>
      </c>
    </row>
    <row r="13" spans="2:41" x14ac:dyDescent="0.2">
      <c r="B13" s="6" t="s">
        <v>136</v>
      </c>
      <c r="C13" s="16">
        <v>6.1341865022686601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2.2731934562933161E-2</v>
      </c>
      <c r="U13" s="2">
        <v>9</v>
      </c>
      <c r="V13" s="2">
        <f t="shared" si="7"/>
        <v>0.96875</v>
      </c>
      <c r="W13" s="2">
        <f t="shared" si="0"/>
        <v>1.4350019611903964E-3</v>
      </c>
      <c r="X13" s="2">
        <f t="shared" si="8"/>
        <v>0.970703125</v>
      </c>
      <c r="Y13" s="2">
        <f t="shared" si="1"/>
        <v>-5.5585166926830354E-4</v>
      </c>
      <c r="Z13" s="2">
        <f t="shared" si="3"/>
        <v>0.9697265625</v>
      </c>
      <c r="AA13" s="2">
        <f t="shared" si="2"/>
        <v>4.3955635703329943E-4</v>
      </c>
      <c r="AB13" s="2">
        <f t="shared" si="4"/>
        <v>6.3076423439649075E-7</v>
      </c>
      <c r="AC13" s="2">
        <f t="shared" si="5"/>
        <v>-2.4432813479445388E-7</v>
      </c>
      <c r="AD13" s="2">
        <f t="shared" si="6"/>
        <v>1.953125E-3</v>
      </c>
      <c r="AF13" s="2">
        <v>9</v>
      </c>
      <c r="AG13" s="2">
        <f t="shared" si="13"/>
        <v>1873.046875</v>
      </c>
      <c r="AH13" s="2">
        <v>-20.959577651114387</v>
      </c>
      <c r="AI13" s="2">
        <f t="shared" si="14"/>
        <v>1910.15625</v>
      </c>
      <c r="AJ13" s="2">
        <v>11.389182282757247</v>
      </c>
      <c r="AK13" s="2">
        <f t="shared" si="9"/>
        <v>1891.6015625</v>
      </c>
      <c r="AL13" s="2">
        <v>-4.7765818996438156</v>
      </c>
      <c r="AM13" s="2">
        <f t="shared" si="10"/>
        <v>100.11513923249203</v>
      </c>
      <c r="AN13" s="2">
        <f t="shared" si="11"/>
        <v>-54.4013619435623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70.22087705249325</v>
      </c>
      <c r="H14" s="6" t="s">
        <v>10</v>
      </c>
      <c r="J14" s="9" t="s">
        <v>75</v>
      </c>
      <c r="K14" s="17">
        <f>C5</f>
        <v>1897.0815686774199</v>
      </c>
      <c r="L14" s="6" t="s">
        <v>7</v>
      </c>
      <c r="N14" s="6" t="s">
        <v>40</v>
      </c>
      <c r="O14" s="6">
        <f xml:space="preserve"> O5 * O13 * $C$12</f>
        <v>1546.3151519383632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4.3955635703329943E-4</v>
      </c>
      <c r="X14" s="2">
        <f t="shared" si="8"/>
        <v>0.970703125</v>
      </c>
      <c r="Y14" s="2">
        <f t="shared" si="1"/>
        <v>-5.5585166926830354E-4</v>
      </c>
      <c r="Z14" s="2">
        <f t="shared" si="3"/>
        <v>0.97021484375</v>
      </c>
      <c r="AA14" s="2">
        <f t="shared" si="2"/>
        <v>-5.8152346361306506E-5</v>
      </c>
      <c r="AB14" s="2">
        <f t="shared" si="4"/>
        <v>-2.5561233519514534E-8</v>
      </c>
      <c r="AC14" s="2">
        <f t="shared" si="5"/>
        <v>3.232407879680078E-8</v>
      </c>
      <c r="AD14" s="2">
        <f t="shared" si="6"/>
        <v>9.765625E-4</v>
      </c>
      <c r="AF14" s="2">
        <v>10</v>
      </c>
      <c r="AG14" s="2">
        <f t="shared" si="13"/>
        <v>1891.6015625</v>
      </c>
      <c r="AH14" s="2">
        <v>-4.7765818996438156</v>
      </c>
      <c r="AI14" s="2">
        <f t="shared" si="14"/>
        <v>1910.15625</v>
      </c>
      <c r="AJ14" s="2">
        <v>-4.7765818996438156</v>
      </c>
      <c r="AK14" s="2">
        <f t="shared" si="9"/>
        <v>1900.87890625</v>
      </c>
      <c r="AL14" s="2">
        <v>-4.7765818996438156</v>
      </c>
      <c r="AM14" s="2">
        <f t="shared" si="10"/>
        <v>22.815734644004923</v>
      </c>
      <c r="AN14" s="2">
        <f t="shared" si="11"/>
        <v>22.815734644004923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0.21104985351615438</v>
      </c>
      <c r="H15" s="6" t="s">
        <v>120</v>
      </c>
      <c r="J15" s="10" t="s">
        <v>53</v>
      </c>
      <c r="K15" s="6">
        <f xml:space="preserve"> 1000 * K10 / ($C$60 * $C$61 * $C$62)</f>
        <v>380.02028925224454</v>
      </c>
      <c r="L15" s="6" t="s">
        <v>7</v>
      </c>
      <c r="N15" s="6" t="s">
        <v>140</v>
      </c>
      <c r="O15" s="6">
        <f>O4/O14</f>
        <v>12.023713081326701</v>
      </c>
      <c r="U15" s="2">
        <v>11</v>
      </c>
      <c r="V15" s="2">
        <f t="shared" si="7"/>
        <v>0.9697265625</v>
      </c>
      <c r="W15" s="2">
        <f t="shared" si="0"/>
        <v>4.3955635703329943E-4</v>
      </c>
      <c r="X15" s="2">
        <f t="shared" si="8"/>
        <v>0.97021484375</v>
      </c>
      <c r="Y15" s="2">
        <f t="shared" si="1"/>
        <v>-5.8152346361306506E-5</v>
      </c>
      <c r="Z15" s="2">
        <f t="shared" si="3"/>
        <v>0.969970703125</v>
      </c>
      <c r="AA15" s="2">
        <f t="shared" si="2"/>
        <v>1.9070083190264597E-4</v>
      </c>
      <c r="AB15" s="2">
        <f t="shared" si="4"/>
        <v>8.3823762954346668E-8</v>
      </c>
      <c r="AC15" s="2">
        <f t="shared" si="5"/>
        <v>-1.1089700828191959E-8</v>
      </c>
      <c r="AD15" s="2">
        <f t="shared" si="6"/>
        <v>4.8828125E-4</v>
      </c>
      <c r="AF15" s="2">
        <v>11</v>
      </c>
      <c r="AG15" s="2">
        <f t="shared" si="13"/>
        <v>1900.87890625</v>
      </c>
      <c r="AH15" s="2">
        <v>-4.7765818996438156</v>
      </c>
      <c r="AI15" s="2">
        <f t="shared" si="14"/>
        <v>1900.87890625</v>
      </c>
      <c r="AJ15" s="2">
        <v>-4.7765818996438156</v>
      </c>
      <c r="AK15" s="2">
        <f t="shared" si="9"/>
        <v>1900.87890625</v>
      </c>
      <c r="AL15" s="2">
        <v>-4.7765818996438156</v>
      </c>
      <c r="AM15" s="2">
        <f t="shared" si="10"/>
        <v>22.815734644004923</v>
      </c>
      <c r="AN15" s="2">
        <f t="shared" si="11"/>
        <v>22.815734644004923</v>
      </c>
      <c r="AO15" s="2">
        <f t="shared" si="12"/>
        <v>0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1546.3151519383632</v>
      </c>
      <c r="H16" s="6" t="s">
        <v>21</v>
      </c>
      <c r="J16" s="11" t="s">
        <v>123</v>
      </c>
      <c r="K16" s="6">
        <f>linear_250!K16</f>
        <v>161.65759116245079</v>
      </c>
      <c r="L16" s="6" t="s">
        <v>7</v>
      </c>
      <c r="N16" s="6" t="s">
        <v>111</v>
      </c>
      <c r="O16" s="6">
        <f>(O13*$C$12)/(0.3048^2)/($C$5*2.20462/1000)^(2/3)</f>
        <v>2.8277948217615987</v>
      </c>
      <c r="U16" s="2">
        <v>12</v>
      </c>
      <c r="V16" s="2">
        <f t="shared" si="7"/>
        <v>0.969970703125</v>
      </c>
      <c r="W16" s="2">
        <f t="shared" si="0"/>
        <v>1.9070083190264597E-4</v>
      </c>
      <c r="X16" s="2">
        <f t="shared" si="8"/>
        <v>0.97021484375</v>
      </c>
      <c r="Y16" s="2">
        <f t="shared" si="1"/>
        <v>-5.8152346361306506E-5</v>
      </c>
      <c r="Z16" s="2">
        <f t="shared" si="3"/>
        <v>0.9700927734375</v>
      </c>
      <c r="AA16" s="2">
        <f t="shared" si="2"/>
        <v>6.6273949521411524E-5</v>
      </c>
      <c r="AB16" s="2">
        <f t="shared" si="4"/>
        <v>1.2638497307207144E-8</v>
      </c>
      <c r="AC16" s="2">
        <f t="shared" si="5"/>
        <v>-3.8539856673008668E-9</v>
      </c>
      <c r="AD16" s="2">
        <f t="shared" si="6"/>
        <v>2.44140625E-4</v>
      </c>
      <c r="AF16" s="2">
        <v>12</v>
      </c>
      <c r="AG16" s="2">
        <f t="shared" si="13"/>
        <v>1900.87890625</v>
      </c>
      <c r="AH16" s="2">
        <v>-4.7765818996438156</v>
      </c>
      <c r="AI16" s="2">
        <f t="shared" si="14"/>
        <v>1900.87890625</v>
      </c>
      <c r="AJ16" s="2">
        <v>-4.7765818996438156</v>
      </c>
      <c r="AK16" s="2">
        <f t="shared" si="9"/>
        <v>1900.87890625</v>
      </c>
      <c r="AL16" s="2">
        <v>-4.7765818996438156</v>
      </c>
      <c r="AM16" s="2">
        <f t="shared" si="10"/>
        <v>22.815734644004923</v>
      </c>
      <c r="AN16" s="2">
        <f t="shared" si="11"/>
        <v>22.815734644004923</v>
      </c>
      <c r="AO16" s="2">
        <f t="shared" si="12"/>
        <v>0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108.57126838099806</v>
      </c>
      <c r="H17" s="6" t="s">
        <v>97</v>
      </c>
      <c r="J17" s="11" t="s">
        <v>124</v>
      </c>
      <c r="K17" s="6">
        <f>linear_250!K17</f>
        <v>0</v>
      </c>
      <c r="L17" s="6" t="s">
        <v>7</v>
      </c>
      <c r="U17" s="2">
        <v>13</v>
      </c>
      <c r="V17" s="2">
        <f t="shared" si="7"/>
        <v>0.9700927734375</v>
      </c>
      <c r="W17" s="2">
        <f t="shared" si="0"/>
        <v>6.6273949521411524E-5</v>
      </c>
      <c r="X17" s="2">
        <f t="shared" si="8"/>
        <v>0.97021484375</v>
      </c>
      <c r="Y17" s="2">
        <f t="shared" si="1"/>
        <v>-5.8152346361306506E-5</v>
      </c>
      <c r="Z17" s="2">
        <f t="shared" si="3"/>
        <v>0.97015380859375</v>
      </c>
      <c r="AA17" s="2">
        <f t="shared" si="2"/>
        <v>4.0607282814075774E-6</v>
      </c>
      <c r="AB17" s="2">
        <f t="shared" si="4"/>
        <v>2.6912050114217394E-10</v>
      </c>
      <c r="AC17" s="2">
        <f t="shared" si="5"/>
        <v>-2.3614087749956635E-10</v>
      </c>
      <c r="AD17" s="2">
        <f t="shared" si="6"/>
        <v>1.220703125E-4</v>
      </c>
      <c r="AF17" s="2">
        <v>13</v>
      </c>
      <c r="AG17" s="2">
        <f t="shared" si="13"/>
        <v>1900.87890625</v>
      </c>
      <c r="AH17" s="2">
        <v>-4.7765818996438156</v>
      </c>
      <c r="AI17" s="2">
        <f t="shared" si="14"/>
        <v>1900.87890625</v>
      </c>
      <c r="AJ17" s="2">
        <v>-4.7765818996438156</v>
      </c>
      <c r="AK17" s="2">
        <f t="shared" si="9"/>
        <v>1900.87890625</v>
      </c>
      <c r="AL17" s="2">
        <v>-4.7765818996438156</v>
      </c>
      <c r="AM17" s="2">
        <f t="shared" si="10"/>
        <v>22.815734644004923</v>
      </c>
      <c r="AN17" s="2">
        <f t="shared" si="11"/>
        <v>22.815734644004923</v>
      </c>
      <c r="AO17" s="2">
        <f t="shared" si="12"/>
        <v>0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1.4532237565769048</v>
      </c>
      <c r="H18" s="6" t="s">
        <v>172</v>
      </c>
      <c r="J18" s="12" t="s">
        <v>54</v>
      </c>
      <c r="K18" s="6">
        <f>linear_250!K18</f>
        <v>120.45771389486413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0.97015380859375</v>
      </c>
      <c r="W18" s="2">
        <f t="shared" si="0"/>
        <v>4.0607282814075774E-6</v>
      </c>
      <c r="X18" s="2">
        <f t="shared" si="8"/>
        <v>0.97021484375</v>
      </c>
      <c r="Y18" s="2">
        <f t="shared" si="1"/>
        <v>-5.8152346361306506E-5</v>
      </c>
      <c r="Z18" s="2">
        <f t="shared" si="3"/>
        <v>0.970184326171875</v>
      </c>
      <c r="AA18" s="2">
        <f t="shared" si="2"/>
        <v>-2.7045827362903729E-5</v>
      </c>
      <c r="AB18" s="2">
        <f t="shared" si="4"/>
        <v>-1.0982575606661009E-10</v>
      </c>
      <c r="AC18" s="2">
        <f t="shared" si="5"/>
        <v>1.5727783204356787E-9</v>
      </c>
      <c r="AD18" s="2">
        <f t="shared" si="6"/>
        <v>6.103515625E-5</v>
      </c>
      <c r="AF18" s="2">
        <v>14</v>
      </c>
      <c r="AG18" s="2">
        <f t="shared" si="13"/>
        <v>1900.87890625</v>
      </c>
      <c r="AH18" s="2">
        <v>-4.7765818996438156</v>
      </c>
      <c r="AI18" s="2">
        <f t="shared" si="14"/>
        <v>1900.87890625</v>
      </c>
      <c r="AJ18" s="2">
        <v>-4.7765818996438156</v>
      </c>
      <c r="AK18" s="2">
        <f t="shared" si="9"/>
        <v>1900.87890625</v>
      </c>
      <c r="AL18" s="2">
        <v>-4.7765818996438156</v>
      </c>
      <c r="AM18" s="2">
        <f t="shared" si="10"/>
        <v>22.815734644004923</v>
      </c>
      <c r="AN18" s="2">
        <f t="shared" si="11"/>
        <v>22.815734644004923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4.3215540713733423E-2</v>
      </c>
      <c r="J19" s="12" t="s">
        <v>73</v>
      </c>
      <c r="K19" s="6">
        <f>linear_250!K19</f>
        <v>64.736161489803052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0.97015380859375</v>
      </c>
      <c r="W19" s="2">
        <f t="shared" si="0"/>
        <v>4.0607282814075774E-6</v>
      </c>
      <c r="X19" s="2">
        <f t="shared" si="8"/>
        <v>0.970184326171875</v>
      </c>
      <c r="Y19" s="2">
        <f t="shared" si="1"/>
        <v>-2.7045827362903729E-5</v>
      </c>
      <c r="Z19" s="2">
        <f t="shared" si="3"/>
        <v>0.9701690673828125</v>
      </c>
      <c r="AA19" s="2">
        <f t="shared" si="2"/>
        <v>-1.1492554121694809E-5</v>
      </c>
      <c r="AB19" s="2">
        <f t="shared" si="4"/>
        <v>-4.6668139547573329E-11</v>
      </c>
      <c r="AC19" s="2">
        <f t="shared" si="5"/>
        <v>3.1082563473418551E-10</v>
      </c>
      <c r="AD19" s="2">
        <f t="shared" si="6"/>
        <v>3.0517578125E-5</v>
      </c>
      <c r="AF19" s="2">
        <v>15</v>
      </c>
      <c r="AG19" s="2">
        <f t="shared" si="13"/>
        <v>1900.87890625</v>
      </c>
      <c r="AH19" s="2">
        <v>-4.7765818996438156</v>
      </c>
      <c r="AI19" s="2">
        <f t="shared" si="14"/>
        <v>1900.87890625</v>
      </c>
      <c r="AJ19" s="2">
        <v>-4.7765818996438156</v>
      </c>
      <c r="AK19" s="2">
        <f t="shared" si="9"/>
        <v>1900.87890625</v>
      </c>
      <c r="AL19" s="2">
        <v>-4.7765818996438156</v>
      </c>
      <c r="AM19" s="2">
        <f t="shared" si="10"/>
        <v>22.815734644004923</v>
      </c>
      <c r="AN19" s="2">
        <f t="shared" si="11"/>
        <v>22.815734644004923</v>
      </c>
      <c r="AO19" s="2">
        <f t="shared" si="12"/>
        <v>0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108.57126838099806</v>
      </c>
      <c r="H20" s="22" t="s">
        <v>97</v>
      </c>
      <c r="J20" s="13" t="s">
        <v>61</v>
      </c>
      <c r="K20" s="6">
        <f>linear_250!K20</f>
        <v>214.74545949452238</v>
      </c>
      <c r="L20" s="6" t="s">
        <v>7</v>
      </c>
      <c r="N20" s="6" t="s">
        <v>20</v>
      </c>
      <c r="O20" s="6">
        <f xml:space="preserve"> O14 / $C$28</f>
        <v>1546.3151519383632</v>
      </c>
      <c r="P20" s="6" t="s">
        <v>21</v>
      </c>
      <c r="U20" s="2">
        <v>16</v>
      </c>
      <c r="V20" s="2">
        <f t="shared" si="7"/>
        <v>0.97015380859375</v>
      </c>
      <c r="W20" s="2">
        <f t="shared" si="0"/>
        <v>4.0607282814075774E-6</v>
      </c>
      <c r="X20" s="2">
        <f t="shared" si="8"/>
        <v>0.9701690673828125</v>
      </c>
      <c r="Y20" s="2">
        <f t="shared" si="1"/>
        <v>-1.1492554121694809E-5</v>
      </c>
      <c r="Z20" s="2">
        <f t="shared" si="3"/>
        <v>0.97016143798828125</v>
      </c>
      <c r="AA20" s="2">
        <f t="shared" si="2"/>
        <v>-3.7159140654496881E-6</v>
      </c>
      <c r="AB20" s="2">
        <f t="shared" si="4"/>
        <v>-1.5089317336851756E-11</v>
      </c>
      <c r="AC20" s="2">
        <f t="shared" si="5"/>
        <v>4.2705343508747529E-11</v>
      </c>
      <c r="AD20" s="2">
        <f t="shared" si="6"/>
        <v>1.52587890625E-5</v>
      </c>
      <c r="AF20" s="2">
        <v>16</v>
      </c>
      <c r="AG20" s="2">
        <f t="shared" si="13"/>
        <v>1900.87890625</v>
      </c>
      <c r="AH20" s="2">
        <v>-4.7765818996438156</v>
      </c>
      <c r="AI20" s="2">
        <f t="shared" si="14"/>
        <v>1900.87890625</v>
      </c>
      <c r="AJ20" s="2">
        <v>-4.7765818996438156</v>
      </c>
      <c r="AK20" s="2">
        <f t="shared" si="9"/>
        <v>1900.87890625</v>
      </c>
      <c r="AL20" s="2">
        <v>-4.7765818996438156</v>
      </c>
      <c r="AM20" s="2">
        <f t="shared" si="10"/>
        <v>22.815734644004923</v>
      </c>
      <c r="AN20" s="2">
        <f t="shared" si="11"/>
        <v>22.815734644004923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linear_250!K21</f>
        <v>56.898594458987588</v>
      </c>
      <c r="L21" s="6" t="s">
        <v>7</v>
      </c>
      <c r="N21" s="6" t="s">
        <v>27</v>
      </c>
      <c r="O21" s="6">
        <f>$C$6*2*PI()/60</f>
        <v>42.779039648892379</v>
      </c>
      <c r="P21" s="6" t="s">
        <v>28</v>
      </c>
      <c r="U21" s="2">
        <v>17</v>
      </c>
      <c r="V21" s="2">
        <f t="shared" si="7"/>
        <v>0.97015380859375</v>
      </c>
      <c r="W21" s="2">
        <f t="shared" si="0"/>
        <v>4.0607282814075774E-6</v>
      </c>
      <c r="X21" s="2">
        <f t="shared" si="8"/>
        <v>0.97016143798828125</v>
      </c>
      <c r="Y21" s="2">
        <f t="shared" si="1"/>
        <v>-3.7159140654496881E-6</v>
      </c>
      <c r="Z21" s="2">
        <f t="shared" si="3"/>
        <v>0.97015762329101562</v>
      </c>
      <c r="AA21" s="2">
        <f t="shared" si="2"/>
        <v>1.7240682170793775E-7</v>
      </c>
      <c r="AB21" s="2">
        <f t="shared" si="4"/>
        <v>7.0009725681701671E-13</v>
      </c>
      <c r="AC21" s="2">
        <f t="shared" si="5"/>
        <v>-6.4064893376400251E-13</v>
      </c>
      <c r="AD21" s="2">
        <f t="shared" si="6"/>
        <v>7.62939453125E-6</v>
      </c>
      <c r="AF21" s="2">
        <v>17</v>
      </c>
      <c r="AG21" s="2">
        <f t="shared" si="13"/>
        <v>1900.87890625</v>
      </c>
      <c r="AH21" s="2">
        <v>-4.7765818996438156</v>
      </c>
      <c r="AI21" s="2">
        <f t="shared" si="14"/>
        <v>1900.87890625</v>
      </c>
      <c r="AJ21" s="2">
        <v>-4.7765818996438156</v>
      </c>
      <c r="AK21" s="2">
        <f t="shared" si="9"/>
        <v>1900.87890625</v>
      </c>
      <c r="AL21" s="2">
        <v>-4.7765818996438156</v>
      </c>
      <c r="AM21" s="2">
        <f t="shared" si="10"/>
        <v>22.815734644004923</v>
      </c>
      <c r="AN21" s="2">
        <f t="shared" si="11"/>
        <v>22.815734644004923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>linear_250!K22</f>
        <v>135.8652644837907</v>
      </c>
      <c r="L22" s="6" t="s">
        <v>7</v>
      </c>
      <c r="N22" s="6" t="s">
        <v>29</v>
      </c>
      <c r="O22" s="6">
        <f xml:space="preserve"> $C$7 * COS(O19/180*PI()) / (O21 * $C$10)</f>
        <v>8.3227605962797796E-2</v>
      </c>
      <c r="U22" s="2">
        <v>18</v>
      </c>
      <c r="V22" s="2">
        <f t="shared" si="7"/>
        <v>0.97015762329101562</v>
      </c>
      <c r="W22" s="2">
        <f t="shared" si="0"/>
        <v>1.7240682170793775E-7</v>
      </c>
      <c r="X22" s="2">
        <f t="shared" si="8"/>
        <v>0.97016143798828125</v>
      </c>
      <c r="Y22" s="2">
        <f t="shared" si="1"/>
        <v>-3.7159140654496881E-6</v>
      </c>
      <c r="Z22" s="2">
        <f t="shared" si="3"/>
        <v>0.97015953063964844</v>
      </c>
      <c r="AA22" s="2">
        <f t="shared" si="2"/>
        <v>-1.7717536934247491E-6</v>
      </c>
      <c r="AB22" s="2">
        <f t="shared" si="4"/>
        <v>-3.054624231326609E-13</v>
      </c>
      <c r="AC22" s="2">
        <f t="shared" si="5"/>
        <v>6.5836844699094593E-12</v>
      </c>
      <c r="AD22" s="2">
        <f t="shared" si="6"/>
        <v>3.814697265625E-6</v>
      </c>
      <c r="AF22" s="2">
        <v>18</v>
      </c>
      <c r="AG22" s="2">
        <f t="shared" si="13"/>
        <v>1900.87890625</v>
      </c>
      <c r="AH22" s="2">
        <v>-4.7765818996438156</v>
      </c>
      <c r="AI22" s="2">
        <f t="shared" si="14"/>
        <v>1900.87890625</v>
      </c>
      <c r="AJ22" s="2">
        <v>-4.7765818996438156</v>
      </c>
      <c r="AK22" s="2">
        <f t="shared" si="9"/>
        <v>1900.87890625</v>
      </c>
      <c r="AL22" s="2">
        <v>-4.7765818996438156</v>
      </c>
      <c r="AM22" s="2">
        <f t="shared" si="10"/>
        <v>22.815734644004923</v>
      </c>
      <c r="AN22" s="2">
        <f t="shared" si="11"/>
        <v>22.815734644004923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linear_250!K23</f>
        <v>24.706263245083321</v>
      </c>
      <c r="L23" s="6" t="s">
        <v>7</v>
      </c>
      <c r="N23" s="6" t="s">
        <v>30</v>
      </c>
      <c r="O23" s="6">
        <f xml:space="preserve"> O20 / ( $C$71 * PI() * $C$10^2 * O21^2 * $C$10^2)</f>
        <v>3.6732470148865541E-2</v>
      </c>
      <c r="U23" s="2">
        <v>19</v>
      </c>
      <c r="V23" s="2">
        <f t="shared" si="7"/>
        <v>0.97015762329101562</v>
      </c>
      <c r="W23" s="2">
        <f t="shared" si="0"/>
        <v>1.7240682170793775E-7</v>
      </c>
      <c r="X23" s="2">
        <f t="shared" si="8"/>
        <v>0.97015953063964844</v>
      </c>
      <c r="Y23" s="2">
        <f t="shared" si="1"/>
        <v>-1.7717536934247491E-6</v>
      </c>
      <c r="Z23" s="2">
        <f t="shared" si="3"/>
        <v>0.97015857696533203</v>
      </c>
      <c r="AA23" s="2">
        <f t="shared" si="2"/>
        <v>-7.9967345378850752E-7</v>
      </c>
      <c r="AB23" s="2">
        <f t="shared" si="4"/>
        <v>-1.3786915857188602E-13</v>
      </c>
      <c r="AC23" s="2">
        <f t="shared" si="5"/>
        <v>1.4168243952835136E-12</v>
      </c>
      <c r="AD23" s="2">
        <f t="shared" si="6"/>
        <v>1.9073486328125E-6</v>
      </c>
      <c r="AF23" s="2">
        <v>19</v>
      </c>
      <c r="AG23" s="2">
        <f t="shared" si="13"/>
        <v>1900.87890625</v>
      </c>
      <c r="AH23" s="2">
        <v>-4.7765818996438156</v>
      </c>
      <c r="AI23" s="2">
        <f t="shared" si="14"/>
        <v>1900.87890625</v>
      </c>
      <c r="AJ23" s="2">
        <v>-4.7765818996438156</v>
      </c>
      <c r="AK23" s="2">
        <f t="shared" si="9"/>
        <v>1900.87890625</v>
      </c>
      <c r="AL23" s="2">
        <v>-4.7765818996438156</v>
      </c>
      <c r="AM23" s="2">
        <f t="shared" si="10"/>
        <v>22.815734644004923</v>
      </c>
      <c r="AN23" s="2">
        <f t="shared" si="11"/>
        <v>22.815734644004923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linear_250!K24</f>
        <v>8.6378971818796231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0.97015762329101562</v>
      </c>
      <c r="W24" s="2">
        <f t="shared" si="0"/>
        <v>1.7240682170793775E-7</v>
      </c>
      <c r="X24" s="2">
        <f t="shared" si="8"/>
        <v>0.97015857696533203</v>
      </c>
      <c r="Y24" s="2">
        <f t="shared" si="1"/>
        <v>-7.9967345378850752E-7</v>
      </c>
      <c r="Z24" s="2">
        <f t="shared" si="3"/>
        <v>0.97015810012817383</v>
      </c>
      <c r="AA24" s="2">
        <f t="shared" si="2"/>
        <v>-3.1363332053668813E-7</v>
      </c>
      <c r="AB24" s="2">
        <f t="shared" si="4"/>
        <v>-5.4072523975437285E-14</v>
      </c>
      <c r="AC24" s="2">
        <f t="shared" si="5"/>
        <v>2.5080424065673142E-13</v>
      </c>
      <c r="AD24" s="2">
        <f t="shared" si="6"/>
        <v>9.5367431640625E-7</v>
      </c>
      <c r="AF24" s="2">
        <v>20</v>
      </c>
      <c r="AG24" s="2">
        <f t="shared" si="13"/>
        <v>1900.87890625</v>
      </c>
      <c r="AH24" s="2">
        <v>-4.7765818996438156</v>
      </c>
      <c r="AI24" s="2">
        <f t="shared" si="14"/>
        <v>1900.87890625</v>
      </c>
      <c r="AJ24" s="2">
        <v>-4.7765818996438156</v>
      </c>
      <c r="AK24" s="2">
        <f t="shared" si="9"/>
        <v>1900.87890625</v>
      </c>
      <c r="AL24" s="2">
        <v>-4.7765818996438156</v>
      </c>
      <c r="AM24" s="2">
        <f t="shared" si="10"/>
        <v>22.815734644004923</v>
      </c>
      <c r="AN24" s="2">
        <f t="shared" si="11"/>
        <v>22.815734644004923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linear_250!K25</f>
        <v>24.107899786771409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2885.3087904033873</v>
      </c>
      <c r="P25" s="6" t="s">
        <v>19</v>
      </c>
      <c r="U25" s="2">
        <v>21</v>
      </c>
      <c r="V25" s="2">
        <f t="shared" si="7"/>
        <v>0.97015762329101562</v>
      </c>
      <c r="W25" s="2">
        <f t="shared" si="0"/>
        <v>1.7240682170793775E-7</v>
      </c>
      <c r="X25" s="2">
        <f t="shared" si="8"/>
        <v>0.97015810012817383</v>
      </c>
      <c r="Y25" s="2">
        <f t="shared" si="1"/>
        <v>-3.1363332053668813E-7</v>
      </c>
      <c r="Z25" s="2">
        <f t="shared" si="3"/>
        <v>0.97015786170959473</v>
      </c>
      <c r="AA25" s="2">
        <f t="shared" si="2"/>
        <v>-7.0613250580109366E-8</v>
      </c>
      <c r="AB25" s="2">
        <f t="shared" si="4"/>
        <v>-1.2174206102982847E-14</v>
      </c>
      <c r="AC25" s="2">
        <f t="shared" si="5"/>
        <v>2.2146668253328921E-14</v>
      </c>
      <c r="AD25" s="2">
        <f t="shared" si="6"/>
        <v>4.76837158203125E-7</v>
      </c>
      <c r="AF25" s="2">
        <v>21</v>
      </c>
      <c r="AG25" s="2">
        <f t="shared" si="13"/>
        <v>1900.87890625</v>
      </c>
      <c r="AH25" s="2">
        <v>-4.7765818996438156</v>
      </c>
      <c r="AI25" s="2">
        <f t="shared" si="14"/>
        <v>1900.87890625</v>
      </c>
      <c r="AJ25" s="2">
        <v>-4.7765818996438156</v>
      </c>
      <c r="AK25" s="2">
        <f t="shared" si="9"/>
        <v>1900.87890625</v>
      </c>
      <c r="AL25" s="2">
        <v>-4.7765818996438156</v>
      </c>
      <c r="AM25" s="2">
        <f t="shared" si="10"/>
        <v>22.815734644004923</v>
      </c>
      <c r="AN25" s="2">
        <f t="shared" si="11"/>
        <v>22.815734644004923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2324.2785358322362</v>
      </c>
      <c r="H26" s="6" t="s">
        <v>21</v>
      </c>
      <c r="J26" s="14" t="s">
        <v>65</v>
      </c>
      <c r="K26" s="6">
        <f>linear_250!K26</f>
        <v>46.919456353872846</v>
      </c>
      <c r="L26" s="6" t="s">
        <v>7</v>
      </c>
      <c r="N26" s="6" t="s">
        <v>32</v>
      </c>
      <c r="O26" s="17">
        <f>Z34</f>
        <v>0.97015779232606292</v>
      </c>
      <c r="U26" s="2">
        <v>22</v>
      </c>
      <c r="V26" s="2">
        <f t="shared" si="7"/>
        <v>0.97015762329101562</v>
      </c>
      <c r="W26" s="2">
        <f t="shared" si="0"/>
        <v>1.7240682170793775E-7</v>
      </c>
      <c r="X26" s="2">
        <f t="shared" si="8"/>
        <v>0.97015786170959473</v>
      </c>
      <c r="Y26" s="2">
        <f t="shared" si="1"/>
        <v>-7.0613250580109366E-8</v>
      </c>
      <c r="Z26" s="2">
        <f t="shared" si="3"/>
        <v>0.97015774250030518</v>
      </c>
      <c r="AA26" s="2">
        <f t="shared" si="2"/>
        <v>5.0896785230847286E-8</v>
      </c>
      <c r="AB26" s="2">
        <f t="shared" si="4"/>
        <v>8.7749529768018867E-15</v>
      </c>
      <c r="AC26" s="2">
        <f t="shared" si="5"/>
        <v>-3.5939874492278285E-15</v>
      </c>
      <c r="AD26" s="2">
        <f t="shared" si="6"/>
        <v>2.384185791015625E-7</v>
      </c>
      <c r="AF26" s="2">
        <v>22</v>
      </c>
      <c r="AG26" s="2">
        <f t="shared" si="13"/>
        <v>1900.87890625</v>
      </c>
      <c r="AH26" s="2">
        <v>-4.7765818996438156</v>
      </c>
      <c r="AI26" s="2">
        <f t="shared" si="14"/>
        <v>1900.87890625</v>
      </c>
      <c r="AJ26" s="2">
        <v>-4.7765818996438156</v>
      </c>
      <c r="AK26" s="2">
        <f t="shared" si="9"/>
        <v>1900.87890625</v>
      </c>
      <c r="AL26" s="2">
        <v>-4.7765818996438156</v>
      </c>
      <c r="AM26" s="2">
        <f t="shared" si="10"/>
        <v>22.815734644004923</v>
      </c>
      <c r="AN26" s="2">
        <f t="shared" si="11"/>
        <v>22.815734644004923</v>
      </c>
      <c r="AO26" s="2">
        <f t="shared" si="12"/>
        <v>0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31.826811821302588</v>
      </c>
      <c r="H27" t="s">
        <v>97</v>
      </c>
      <c r="J27" s="14" t="s">
        <v>66</v>
      </c>
      <c r="K27" s="6">
        <f>linear_250!K27</f>
        <v>7.8313743980822554</v>
      </c>
      <c r="L27" s="6" t="s">
        <v>7</v>
      </c>
      <c r="N27" s="6" t="s">
        <v>33</v>
      </c>
      <c r="O27" s="6">
        <f xml:space="preserve"> O21 * $C$10 * O26 - $C$7 * SIN(O19/180*PI())</f>
        <v>1.3244993812066497</v>
      </c>
      <c r="P27" s="6" t="s">
        <v>10</v>
      </c>
      <c r="U27" s="2">
        <v>23</v>
      </c>
      <c r="V27" s="2">
        <f t="shared" si="7"/>
        <v>0.97015774250030518</v>
      </c>
      <c r="W27" s="2">
        <f t="shared" si="0"/>
        <v>5.0896785230847286E-8</v>
      </c>
      <c r="X27" s="2">
        <f t="shared" si="8"/>
        <v>0.97015786170959473</v>
      </c>
      <c r="Y27" s="2">
        <f t="shared" si="1"/>
        <v>-7.0613250580109366E-8</v>
      </c>
      <c r="Z27" s="2">
        <f t="shared" si="3"/>
        <v>0.97015780210494995</v>
      </c>
      <c r="AA27" s="2">
        <f t="shared" si="2"/>
        <v>-9.85823267463104E-9</v>
      </c>
      <c r="AB27" s="2">
        <f t="shared" si="4"/>
        <v>-5.017523511964173E-16</v>
      </c>
      <c r="AC27" s="2">
        <f t="shared" si="5"/>
        <v>6.9612185413074334E-16</v>
      </c>
      <c r="AD27" s="2">
        <f t="shared" si="6"/>
        <v>1.1920928955078125E-7</v>
      </c>
      <c r="AF27" s="2">
        <v>23</v>
      </c>
      <c r="AG27" s="2">
        <f t="shared" si="13"/>
        <v>1900.87890625</v>
      </c>
      <c r="AH27" s="2">
        <v>-4.7765818996438156</v>
      </c>
      <c r="AI27" s="2">
        <f t="shared" si="14"/>
        <v>1900.87890625</v>
      </c>
      <c r="AJ27" s="2">
        <v>-4.7765818996438156</v>
      </c>
      <c r="AK27" s="2">
        <f t="shared" si="9"/>
        <v>1900.87890625</v>
      </c>
      <c r="AL27" s="2">
        <v>-4.7765818996438156</v>
      </c>
      <c r="AM27" s="2">
        <f t="shared" si="10"/>
        <v>22.815734644004923</v>
      </c>
      <c r="AN27" s="2">
        <f t="shared" si="11"/>
        <v>22.815734644004923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7.4507995779192733</v>
      </c>
      <c r="H28" s="6" t="s">
        <v>172</v>
      </c>
      <c r="J28" s="14" t="s">
        <v>67</v>
      </c>
      <c r="K28" s="6">
        <f>linear_250!K28</f>
        <v>14.005807866827713</v>
      </c>
      <c r="L28" s="6" t="s">
        <v>7</v>
      </c>
      <c r="N28" s="6" t="s">
        <v>34</v>
      </c>
      <c r="O28" s="6">
        <f xml:space="preserve"> 1/$C$31 - O25 * SQRT( (2*$C$71*PI()*$C$10^2) / O20^3 )</f>
        <v>1.1372602543907013</v>
      </c>
      <c r="U28" s="2">
        <v>24</v>
      </c>
      <c r="V28" s="2">
        <f t="shared" si="7"/>
        <v>0.97015774250030518</v>
      </c>
      <c r="W28" s="2">
        <f t="shared" si="0"/>
        <v>5.0896785230847286E-8</v>
      </c>
      <c r="X28" s="2">
        <f t="shared" si="8"/>
        <v>0.97015780210494995</v>
      </c>
      <c r="Y28" s="2">
        <f t="shared" si="1"/>
        <v>-9.85823267463104E-9</v>
      </c>
      <c r="Z28" s="2">
        <f t="shared" si="3"/>
        <v>0.97015777230262756</v>
      </c>
      <c r="AA28" s="2">
        <f t="shared" si="2"/>
        <v>2.0519276278108123E-8</v>
      </c>
      <c r="AB28" s="2">
        <f t="shared" si="4"/>
        <v>1.0443651978192886E-15</v>
      </c>
      <c r="AC28" s="2">
        <f t="shared" si="5"/>
        <v>-2.0228379986462709E-16</v>
      </c>
      <c r="AD28" s="2">
        <f t="shared" si="6"/>
        <v>5.9604644775390625E-8</v>
      </c>
      <c r="AF28" s="2">
        <v>24</v>
      </c>
      <c r="AG28" s="2">
        <f t="shared" si="13"/>
        <v>1900.87890625</v>
      </c>
      <c r="AH28" s="2">
        <v>-4.7765818996438156</v>
      </c>
      <c r="AI28" s="2">
        <f t="shared" si="14"/>
        <v>1900.87890625</v>
      </c>
      <c r="AJ28" s="2">
        <v>-4.7765818996438156</v>
      </c>
      <c r="AK28" s="2">
        <f t="shared" si="9"/>
        <v>1900.87890625</v>
      </c>
      <c r="AL28" s="2">
        <v>-4.7765818996438156</v>
      </c>
      <c r="AM28" s="2">
        <f t="shared" si="10"/>
        <v>22.815734644004923</v>
      </c>
      <c r="AN28" s="2">
        <f t="shared" si="11"/>
        <v>22.815734644004923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254.6144945704207</v>
      </c>
      <c r="H29" s="22" t="s">
        <v>97</v>
      </c>
      <c r="J29" s="14" t="s">
        <v>68</v>
      </c>
      <c r="K29" s="6">
        <f>linear_250!K29</f>
        <v>36.492132150438337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0.97015777230262756</v>
      </c>
      <c r="W29" s="2">
        <f t="shared" si="0"/>
        <v>2.0519276278108123E-8</v>
      </c>
      <c r="X29" s="2">
        <f t="shared" si="8"/>
        <v>0.97015780210494995</v>
      </c>
      <c r="Y29" s="2">
        <f t="shared" si="1"/>
        <v>-9.85823267463104E-9</v>
      </c>
      <c r="Z29" s="2">
        <f t="shared" si="3"/>
        <v>0.97015778720378876</v>
      </c>
      <c r="AA29" s="2">
        <f t="shared" si="2"/>
        <v>5.3305218017385414E-9</v>
      </c>
      <c r="AB29" s="2">
        <f t="shared" si="4"/>
        <v>1.0937844955635182E-16</v>
      </c>
      <c r="AC29" s="2">
        <f t="shared" si="5"/>
        <v>-5.2549524198732011E-17</v>
      </c>
      <c r="AD29" s="2">
        <f t="shared" si="6"/>
        <v>2.9802322387695312E-8</v>
      </c>
      <c r="AF29" s="2">
        <v>25</v>
      </c>
      <c r="AG29" s="2">
        <f t="shared" si="13"/>
        <v>1900.87890625</v>
      </c>
      <c r="AH29" s="2">
        <v>-4.7765818996438156</v>
      </c>
      <c r="AI29" s="2">
        <f t="shared" si="14"/>
        <v>1900.87890625</v>
      </c>
      <c r="AJ29" s="2">
        <v>-4.7765818996438156</v>
      </c>
      <c r="AK29" s="2">
        <f t="shared" si="9"/>
        <v>1900.87890625</v>
      </c>
      <c r="AL29" s="2">
        <v>-4.7765818996438156</v>
      </c>
      <c r="AM29" s="2">
        <f t="shared" si="10"/>
        <v>22.815734644004923</v>
      </c>
      <c r="AN29" s="2">
        <f t="shared" si="11"/>
        <v>22.815734644004923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-3.3654219896561699E-4</v>
      </c>
      <c r="L30" s="9" t="s">
        <v>7</v>
      </c>
      <c r="N30" s="6" t="s">
        <v>36</v>
      </c>
      <c r="O30" s="6">
        <f xml:space="preserve"> 1/$C$77 * LN( EXP($C$77 * O28) + EXP($C$77 * O29) )</f>
        <v>1.1673399937897351</v>
      </c>
      <c r="U30" s="2">
        <v>26</v>
      </c>
      <c r="V30" s="2">
        <f>IF(AB29&gt;0, Z29, V29)</f>
        <v>0.97015778720378876</v>
      </c>
      <c r="W30" s="2">
        <f t="shared" si="0"/>
        <v>5.3305218017385414E-9</v>
      </c>
      <c r="X30" s="2">
        <f t="shared" si="8"/>
        <v>0.97015780210494995</v>
      </c>
      <c r="Y30" s="2">
        <f t="shared" si="1"/>
        <v>-9.85823267463104E-9</v>
      </c>
      <c r="Z30" s="2">
        <f t="shared" si="3"/>
        <v>0.97015779465436935</v>
      </c>
      <c r="AA30" s="2">
        <f t="shared" si="2"/>
        <v>-2.2638554364462493E-9</v>
      </c>
      <c r="AB30" s="2">
        <f t="shared" si="4"/>
        <v>-1.2067530759961053E-17</v>
      </c>
      <c r="AC30" s="2">
        <f t="shared" si="5"/>
        <v>2.2317613634215529E-17</v>
      </c>
      <c r="AD30" s="2">
        <f t="shared" si="6"/>
        <v>1.4901161193847656E-8</v>
      </c>
      <c r="AF30" s="2">
        <v>26</v>
      </c>
      <c r="AG30" s="2">
        <f t="shared" si="13"/>
        <v>1900.87890625</v>
      </c>
      <c r="AH30" s="2">
        <v>-4.7765818996438156</v>
      </c>
      <c r="AI30" s="2">
        <f t="shared" si="14"/>
        <v>1900.87890625</v>
      </c>
      <c r="AJ30" s="2">
        <v>-4.7765818996438156</v>
      </c>
      <c r="AK30" s="2">
        <f t="shared" si="9"/>
        <v>1900.87890625</v>
      </c>
      <c r="AL30" s="2">
        <v>-4.7765818996438156</v>
      </c>
      <c r="AM30" s="2">
        <f t="shared" si="10"/>
        <v>22.815734644004923</v>
      </c>
      <c r="AN30" s="2">
        <f t="shared" si="11"/>
        <v>22.815734644004923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0.97015778720378876</v>
      </c>
      <c r="W31" s="2">
        <f t="shared" si="0"/>
        <v>5.3305218017385414E-9</v>
      </c>
      <c r="X31" s="2">
        <f t="shared" si="8"/>
        <v>0.97015779465436935</v>
      </c>
      <c r="Y31" s="2">
        <f t="shared" si="1"/>
        <v>-2.2638554364462493E-9</v>
      </c>
      <c r="Z31" s="2">
        <f t="shared" si="3"/>
        <v>0.97015779092907906</v>
      </c>
      <c r="AA31" s="2">
        <f t="shared" si="2"/>
        <v>1.5333331271349948E-9</v>
      </c>
      <c r="AB31" s="2">
        <f t="shared" si="4"/>
        <v>8.1734656635210245E-18</v>
      </c>
      <c r="AC31" s="2">
        <f t="shared" si="5"/>
        <v>-3.471244535747686E-18</v>
      </c>
      <c r="AD31" s="2">
        <f t="shared" si="6"/>
        <v>7.4505805969238281E-9</v>
      </c>
      <c r="AF31" s="2">
        <v>27</v>
      </c>
      <c r="AG31" s="2">
        <f t="shared" si="13"/>
        <v>1900.87890625</v>
      </c>
      <c r="AH31" s="2">
        <v>-4.7765818996438156</v>
      </c>
      <c r="AI31" s="2">
        <f t="shared" si="14"/>
        <v>1900.87890625</v>
      </c>
      <c r="AJ31" s="2">
        <v>-4.7765818996438156</v>
      </c>
      <c r="AK31" s="2">
        <f t="shared" si="9"/>
        <v>1900.87890625</v>
      </c>
      <c r="AL31" s="2">
        <v>-4.7765818996438156</v>
      </c>
      <c r="AM31" s="2">
        <f t="shared" si="10"/>
        <v>22.815734644004923</v>
      </c>
      <c r="AN31" s="2">
        <f t="shared" si="11"/>
        <v>22.815734644004923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0.97015779092907906</v>
      </c>
      <c r="W32" s="2">
        <f t="shared" si="0"/>
        <v>1.5333331271349948E-9</v>
      </c>
      <c r="X32" s="2">
        <f t="shared" si="8"/>
        <v>0.97015779465436935</v>
      </c>
      <c r="Y32" s="2">
        <f t="shared" si="1"/>
        <v>-2.2638554364462493E-9</v>
      </c>
      <c r="Z32" s="2">
        <f t="shared" si="3"/>
        <v>0.97015779279172421</v>
      </c>
      <c r="AA32" s="2">
        <f t="shared" si="2"/>
        <v>-3.6526115465562725E-10</v>
      </c>
      <c r="AB32" s="2">
        <f t="shared" si="4"/>
        <v>-5.600670284890519E-19</v>
      </c>
      <c r="AC32" s="2">
        <f t="shared" si="5"/>
        <v>8.26898450689776E-19</v>
      </c>
      <c r="AD32" s="2">
        <f t="shared" si="6"/>
        <v>3.7252902984619141E-9</v>
      </c>
      <c r="AF32" s="2">
        <v>28</v>
      </c>
      <c r="AG32" s="2">
        <f t="shared" si="13"/>
        <v>1900.87890625</v>
      </c>
      <c r="AH32" s="2">
        <v>-4.7765818996438156</v>
      </c>
      <c r="AI32" s="2">
        <f t="shared" si="14"/>
        <v>1900.87890625</v>
      </c>
      <c r="AJ32" s="2">
        <v>-4.7765818996438156</v>
      </c>
      <c r="AK32" s="2">
        <f t="shared" si="9"/>
        <v>1900.87890625</v>
      </c>
      <c r="AL32" s="2">
        <v>-4.7765818996438156</v>
      </c>
      <c r="AM32" s="2">
        <f t="shared" si="10"/>
        <v>22.815734644004923</v>
      </c>
      <c r="AN32" s="2">
        <f t="shared" si="11"/>
        <v>22.815734644004923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108.57126838099806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0.97015779092907906</v>
      </c>
      <c r="W33" s="2">
        <f t="shared" si="0"/>
        <v>1.5333331271349948E-9</v>
      </c>
      <c r="X33" s="2">
        <f t="shared" si="8"/>
        <v>0.97015779279172421</v>
      </c>
      <c r="Y33" s="2">
        <f t="shared" si="1"/>
        <v>-3.6526115465562725E-10</v>
      </c>
      <c r="Z33" s="2">
        <f t="shared" si="3"/>
        <v>0.97015779186040163</v>
      </c>
      <c r="AA33" s="2">
        <f t="shared" si="2"/>
        <v>5.8403604175083501E-10</v>
      </c>
      <c r="AB33" s="2">
        <f t="shared" si="4"/>
        <v>8.9552181025735224E-19</v>
      </c>
      <c r="AC33" s="2">
        <f t="shared" si="5"/>
        <v>-2.1332567897041212E-19</v>
      </c>
      <c r="AD33" s="2">
        <f t="shared" si="6"/>
        <v>1.862645149230957E-9</v>
      </c>
      <c r="AF33" s="2">
        <v>29</v>
      </c>
      <c r="AG33" s="2">
        <f t="shared" si="13"/>
        <v>1900.87890625</v>
      </c>
      <c r="AH33" s="2">
        <v>-4.7765818996438156</v>
      </c>
      <c r="AI33" s="2">
        <f t="shared" si="14"/>
        <v>1900.87890625</v>
      </c>
      <c r="AJ33" s="2">
        <v>-4.7765818996438156</v>
      </c>
      <c r="AK33" s="2">
        <f t="shared" si="9"/>
        <v>1900.87890625</v>
      </c>
      <c r="AL33" s="2">
        <v>-4.7765818996438156</v>
      </c>
      <c r="AM33" s="2">
        <f t="shared" si="10"/>
        <v>22.815734644004923</v>
      </c>
      <c r="AN33" s="2">
        <f t="shared" si="11"/>
        <v>22.815734644004923</v>
      </c>
      <c r="AO33" s="2">
        <f t="shared" si="12"/>
        <v>0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31.63</v>
      </c>
      <c r="L34" s="6" t="s">
        <v>59</v>
      </c>
      <c r="U34" s="2">
        <v>30</v>
      </c>
      <c r="V34" s="2">
        <f t="shared" si="7"/>
        <v>0.97015779186040163</v>
      </c>
      <c r="W34" s="2">
        <f t="shared" si="0"/>
        <v>5.8403604175083501E-10</v>
      </c>
      <c r="X34" s="2">
        <f t="shared" si="8"/>
        <v>0.97015779279172421</v>
      </c>
      <c r="Y34" s="2">
        <f t="shared" si="1"/>
        <v>-3.6526115465562725E-10</v>
      </c>
      <c r="Z34" s="2">
        <f t="shared" si="3"/>
        <v>0.97015779232606292</v>
      </c>
      <c r="AA34" s="2">
        <f t="shared" si="2"/>
        <v>1.0938738803645265E-10</v>
      </c>
      <c r="AB34" s="2">
        <f t="shared" si="4"/>
        <v>6.3886177126272449E-20</v>
      </c>
      <c r="AC34" s="2">
        <f t="shared" si="5"/>
        <v>-3.9954963658957841E-20</v>
      </c>
      <c r="AD34" s="2">
        <f t="shared" si="6"/>
        <v>9.3132257461547852E-10</v>
      </c>
      <c r="AF34" s="2">
        <v>30</v>
      </c>
      <c r="AG34" s="2">
        <f t="shared" si="13"/>
        <v>1900.87890625</v>
      </c>
      <c r="AH34" s="2">
        <v>-4.7765818996438156</v>
      </c>
      <c r="AI34" s="2">
        <f t="shared" si="14"/>
        <v>1900.87890625</v>
      </c>
      <c r="AJ34" s="2">
        <v>-4.7765818996438156</v>
      </c>
      <c r="AK34" s="2">
        <f t="shared" si="9"/>
        <v>1900.87890625</v>
      </c>
      <c r="AL34" s="2">
        <v>-4.7765818996438156</v>
      </c>
      <c r="AM34" s="2">
        <f t="shared" si="10"/>
        <v>22.815734644004923</v>
      </c>
      <c r="AN34" s="2">
        <f t="shared" si="11"/>
        <v>22.815734644004923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20.03</v>
      </c>
      <c r="L35" s="6" t="s">
        <v>59</v>
      </c>
      <c r="AF35" s="2">
        <v>31</v>
      </c>
      <c r="AG35" s="2">
        <f t="shared" si="13"/>
        <v>1900.87890625</v>
      </c>
      <c r="AH35" s="2">
        <v>-4.7765818996438156</v>
      </c>
      <c r="AI35" s="2">
        <f t="shared" si="14"/>
        <v>1900.87890625</v>
      </c>
      <c r="AJ35" s="2">
        <v>-4.7765818996438156</v>
      </c>
      <c r="AK35" s="2">
        <f t="shared" si="9"/>
        <v>1900.87890625</v>
      </c>
      <c r="AL35" s="2">
        <v>-4.7765818996438156</v>
      </c>
      <c r="AM35" s="2">
        <f t="shared" si="10"/>
        <v>22.815734644004923</v>
      </c>
      <c r="AN35" s="2">
        <f t="shared" si="11"/>
        <v>22.815734644004923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18.28</v>
      </c>
      <c r="L36" s="6" t="s">
        <v>59</v>
      </c>
      <c r="AF36" s="2">
        <v>32</v>
      </c>
      <c r="AG36" s="2">
        <f t="shared" si="13"/>
        <v>1900.87890625</v>
      </c>
      <c r="AH36" s="2">
        <v>-4.7765818996438156</v>
      </c>
      <c r="AI36" s="2">
        <f t="shared" si="14"/>
        <v>1900.87890625</v>
      </c>
      <c r="AJ36" s="2">
        <v>-4.7765818996438156</v>
      </c>
      <c r="AK36" s="2">
        <f t="shared" si="9"/>
        <v>1900.87890625</v>
      </c>
      <c r="AL36" s="2">
        <v>-4.7765818996438156</v>
      </c>
      <c r="AM36" s="2">
        <f t="shared" si="10"/>
        <v>22.815734644004923</v>
      </c>
      <c r="AN36" s="2">
        <f t="shared" si="11"/>
        <v>22.815734644004923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24.51</v>
      </c>
      <c r="L37" s="6" t="s">
        <v>59</v>
      </c>
      <c r="AF37" s="2">
        <v>33</v>
      </c>
      <c r="AG37" s="2">
        <f t="shared" si="13"/>
        <v>1900.87890625</v>
      </c>
      <c r="AH37" s="2">
        <v>-4.7765818996438156</v>
      </c>
      <c r="AI37" s="2">
        <f t="shared" si="14"/>
        <v>1900.87890625</v>
      </c>
      <c r="AJ37" s="2">
        <v>-4.7765818996438156</v>
      </c>
      <c r="AK37" s="2">
        <f t="shared" si="9"/>
        <v>1900.87890625</v>
      </c>
      <c r="AL37" s="2">
        <v>-4.7765818996438156</v>
      </c>
      <c r="AM37" s="2">
        <f t="shared" si="10"/>
        <v>22.815734644004923</v>
      </c>
      <c r="AN37" s="2">
        <f t="shared" si="11"/>
        <v>22.815734644004923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5.55</v>
      </c>
      <c r="L38" s="6" t="s">
        <v>59</v>
      </c>
      <c r="AF38" s="2">
        <v>34</v>
      </c>
      <c r="AG38" s="2">
        <f t="shared" si="13"/>
        <v>1900.87890625</v>
      </c>
      <c r="AH38" s="2">
        <v>-4.7765818996438156</v>
      </c>
      <c r="AI38" s="2">
        <f t="shared" si="14"/>
        <v>1900.87890625</v>
      </c>
      <c r="AJ38" s="2">
        <v>-4.7765818996438156</v>
      </c>
      <c r="AK38" s="2">
        <f t="shared" si="9"/>
        <v>1900.87890625</v>
      </c>
      <c r="AL38" s="2">
        <v>-4.7765818996438156</v>
      </c>
      <c r="AM38" s="2">
        <f t="shared" si="10"/>
        <v>22.815734644004923</v>
      </c>
      <c r="AN38" s="2">
        <f t="shared" si="11"/>
        <v>22.815734644004923</v>
      </c>
      <c r="AO38" s="2">
        <f t="shared" si="12"/>
        <v>0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1900.87890625</v>
      </c>
      <c r="AH39" s="2">
        <v>-4.7765818996438156</v>
      </c>
      <c r="AI39" s="2">
        <f t="shared" si="14"/>
        <v>1900.87890625</v>
      </c>
      <c r="AJ39" s="2">
        <v>-4.7765818996438156</v>
      </c>
      <c r="AK39" s="2">
        <f t="shared" si="9"/>
        <v>1900.87890625</v>
      </c>
      <c r="AL39" s="2">
        <v>-4.7765818996438156</v>
      </c>
      <c r="AM39" s="2">
        <f t="shared" si="10"/>
        <v>22.815734644004923</v>
      </c>
      <c r="AN39" s="2">
        <f t="shared" si="11"/>
        <v>22.815734644004923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1900.87890625</v>
      </c>
      <c r="AH40" s="2">
        <v>-4.7765818996438156</v>
      </c>
      <c r="AI40" s="2">
        <f t="shared" si="14"/>
        <v>1900.87890625</v>
      </c>
      <c r="AJ40" s="2">
        <v>-4.7765818996438156</v>
      </c>
      <c r="AK40" s="2">
        <f t="shared" si="9"/>
        <v>1900.87890625</v>
      </c>
      <c r="AL40" s="2">
        <v>-4.7765818996438156</v>
      </c>
      <c r="AM40" s="2">
        <f t="shared" si="10"/>
        <v>22.815734644004923</v>
      </c>
      <c r="AN40" s="2">
        <f t="shared" si="11"/>
        <v>22.815734644004923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1900.87890625</v>
      </c>
      <c r="AH41" s="2">
        <v>-4.7765818996438156</v>
      </c>
      <c r="AI41" s="2">
        <f t="shared" si="14"/>
        <v>1900.87890625</v>
      </c>
      <c r="AJ41" s="2">
        <v>-4.7765818996438156</v>
      </c>
      <c r="AK41" s="2">
        <f t="shared" si="9"/>
        <v>1900.87890625</v>
      </c>
      <c r="AL41" s="2">
        <v>-4.7765818996438156</v>
      </c>
      <c r="AM41" s="2">
        <f t="shared" si="10"/>
        <v>22.815734644004923</v>
      </c>
      <c r="AN41" s="2">
        <f t="shared" si="11"/>
        <v>22.815734644004923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1900.87890625</v>
      </c>
      <c r="AH42" s="2">
        <v>-4.7765818996438156</v>
      </c>
      <c r="AI42" s="2">
        <f t="shared" si="14"/>
        <v>1900.87890625</v>
      </c>
      <c r="AJ42" s="2">
        <v>-4.7765818996438156</v>
      </c>
      <c r="AK42" s="2">
        <f t="shared" si="9"/>
        <v>1900.87890625</v>
      </c>
      <c r="AL42" s="2">
        <v>-4.7765818996438156</v>
      </c>
      <c r="AM42" s="2">
        <f t="shared" si="10"/>
        <v>22.815734644004923</v>
      </c>
      <c r="AN42" s="2">
        <f t="shared" si="11"/>
        <v>22.815734644004923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380.02</v>
      </c>
      <c r="L43" s="6" t="s">
        <v>7</v>
      </c>
      <c r="AF43" s="2">
        <v>39</v>
      </c>
      <c r="AG43" s="2">
        <f t="shared" si="13"/>
        <v>1900.87890625</v>
      </c>
      <c r="AH43" s="2">
        <v>-4.7765818996438156</v>
      </c>
      <c r="AI43" s="2">
        <f t="shared" si="14"/>
        <v>1900.87890625</v>
      </c>
      <c r="AJ43" s="2">
        <v>-4.7765818996438156</v>
      </c>
      <c r="AK43" s="2">
        <f t="shared" si="9"/>
        <v>1900.87890625</v>
      </c>
      <c r="AL43" s="2">
        <v>-4.7765818996438156</v>
      </c>
      <c r="AM43" s="2">
        <f t="shared" si="10"/>
        <v>22.815734644004923</v>
      </c>
      <c r="AN43" s="2">
        <f t="shared" si="11"/>
        <v>22.815734644004923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346.85</v>
      </c>
      <c r="L44" s="6" t="s">
        <v>7</v>
      </c>
      <c r="AF44" s="2">
        <v>40</v>
      </c>
      <c r="AG44" s="2">
        <f t="shared" si="13"/>
        <v>1900.87890625</v>
      </c>
      <c r="AH44" s="2">
        <v>-4.7765818996438156</v>
      </c>
      <c r="AI44" s="2">
        <f t="shared" si="14"/>
        <v>1900.87890625</v>
      </c>
      <c r="AJ44" s="2">
        <v>-4.7765818996438156</v>
      </c>
      <c r="AK44" s="5">
        <f t="shared" si="9"/>
        <v>1900.87890625</v>
      </c>
      <c r="AL44" s="2">
        <v>-4.7765818996438156</v>
      </c>
      <c r="AM44" s="2">
        <f t="shared" si="10"/>
        <v>22.815734644004923</v>
      </c>
      <c r="AN44" s="2">
        <f t="shared" si="11"/>
        <v>22.815734644004923</v>
      </c>
      <c r="AO44" s="2">
        <f t="shared" si="12"/>
        <v>0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464.96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105.25</v>
      </c>
      <c r="L46" s="6" t="s">
        <v>7</v>
      </c>
    </row>
    <row r="47" spans="2:41" x14ac:dyDescent="0.2">
      <c r="J47" s="9" t="s">
        <v>60</v>
      </c>
      <c r="K47" s="9">
        <f>SUM(K42:K46)</f>
        <v>1897.08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70C4-DD4F-3640-84AC-BC633C6711FA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395.20702213307572</v>
      </c>
      <c r="L4" s="6" t="s">
        <v>97</v>
      </c>
      <c r="N4" s="6" t="s">
        <v>131</v>
      </c>
      <c r="O4" s="6">
        <f xml:space="preserve"> $C$5 * $C$74</f>
        <v>17474.500085339168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1.1668961810315199</v>
      </c>
      <c r="X4" s="3">
        <v>1</v>
      </c>
      <c r="Y4" s="2">
        <f t="shared" ref="Y4:Y34" si="1" xml:space="preserve"> $O$22 * TAN($O$19/180*PI()) + $O$23 / (2 * SQRT($O$22^2 + X4^2)) - X4</f>
        <v>-3.0822040865024491E-2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0.48669660256294989</v>
      </c>
      <c r="AB4" s="2">
        <f>W4*AA4</f>
        <v>0.56792440685172163</v>
      </c>
      <c r="AC4" s="2">
        <f>Y4*AA4</f>
        <v>-1.5000982573063825E-2</v>
      </c>
      <c r="AD4" s="2">
        <f>X4-V4</f>
        <v>1</v>
      </c>
      <c r="AF4" s="2">
        <v>0</v>
      </c>
      <c r="AH4" s="2">
        <f>K30</f>
        <v>-4.7529795119771734E-4</v>
      </c>
      <c r="AJ4" s="2">
        <f>K30</f>
        <v>-4.7529795119771734E-4</v>
      </c>
      <c r="AL4" s="2">
        <f>K30</f>
        <v>-4.7529795119771734E-4</v>
      </c>
    </row>
    <row r="5" spans="2:41" x14ac:dyDescent="0.2">
      <c r="B5" s="9" t="s">
        <v>38</v>
      </c>
      <c r="C5" s="9">
        <v>1783.0115198701001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49.400877766634466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0.48669660256294989</v>
      </c>
      <c r="X5" s="2">
        <f>IF(AC4&gt;0, Z4, X4)</f>
        <v>1</v>
      </c>
      <c r="Y5" s="2">
        <f t="shared" si="1"/>
        <v>-3.0822040865024491E-2</v>
      </c>
      <c r="Z5" s="2">
        <f t="shared" ref="Z5:Z34" si="3" xml:space="preserve"> (V5 + X5)/2</f>
        <v>0.75</v>
      </c>
      <c r="AA5" s="2">
        <f t="shared" si="2"/>
        <v>0.225075118884146</v>
      </c>
      <c r="AB5" s="2">
        <f t="shared" ref="AB5:AB34" si="4">W5*AA5</f>
        <v>0.1095432956823659</v>
      </c>
      <c r="AC5" s="2">
        <f t="shared" ref="AC5:AC34" si="5">Y5*AA5</f>
        <v>-6.9372745119473936E-3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-1200.2157803862337</v>
      </c>
      <c r="AI5" s="3">
        <v>10000</v>
      </c>
      <c r="AJ5" s="2">
        <f t="dataTable" ref="AJ5:AJ44" dt2D="0" dtr="0" r1="C5" ca="1"/>
        <v>7254.8734814986183</v>
      </c>
      <c r="AK5" s="2">
        <f>(AG5+AI5)/2</f>
        <v>5250</v>
      </c>
      <c r="AL5" s="2">
        <f t="dataTable" ref="AL5:AL44" dt2D="0" dtr="0" r1="C5" ca="1"/>
        <v>2945.4174465415445</v>
      </c>
      <c r="AM5" s="2">
        <f>AH5*AL5</f>
        <v>-3535136.4991640877</v>
      </c>
      <c r="AN5" s="2">
        <f>AJ5*AL5</f>
        <v>21368630.924857624</v>
      </c>
      <c r="AO5" s="2">
        <f>AI5-AG5</f>
        <v>9500</v>
      </c>
    </row>
    <row r="6" spans="2:41" x14ac:dyDescent="0.2">
      <c r="B6" s="6" t="s">
        <v>168</v>
      </c>
      <c r="C6" s="16">
        <v>408.50973725072402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159.12460872484689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0.19252893768191123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0.225075118884146</v>
      </c>
      <c r="X6" s="2">
        <f t="shared" ref="X6:X34" si="8">IF(AC5&gt;0, Z5, X5)</f>
        <v>1</v>
      </c>
      <c r="Y6" s="2">
        <f t="shared" si="1"/>
        <v>-3.0822040865024491E-2</v>
      </c>
      <c r="Z6" s="2">
        <f t="shared" si="3"/>
        <v>0.875</v>
      </c>
      <c r="AA6" s="2">
        <f t="shared" si="2"/>
        <v>9.6711055991947736E-2</v>
      </c>
      <c r="AB6" s="2">
        <f t="shared" si="4"/>
        <v>2.1767252424798936E-2</v>
      </c>
      <c r="AC6" s="2">
        <f t="shared" si="5"/>
        <v>-2.9808321198834847E-3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-1200.2157803862337</v>
      </c>
      <c r="AI6" s="2">
        <f>IF(AN5&gt;0,AK5,AI5)</f>
        <v>5250</v>
      </c>
      <c r="AJ6" s="2">
        <v>2945.4174465415445</v>
      </c>
      <c r="AK6" s="2">
        <f t="shared" ref="AK6:AK44" si="9">(AG6+AI6)/2</f>
        <v>2875</v>
      </c>
      <c r="AL6" s="2">
        <v>973.02792466538949</v>
      </c>
      <c r="AM6" s="2">
        <f t="shared" ref="AM6:AM44" si="10">AH6*AL6</f>
        <v>-1167843.469939868</v>
      </c>
      <c r="AN6" s="2">
        <f t="shared" ref="AN6:AN44" si="11">AJ6*AL6</f>
        <v>2865973.4252815498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2184.5214634945251</v>
      </c>
      <c r="H7" s="6" t="s">
        <v>21</v>
      </c>
      <c r="J7" s="6" t="s">
        <v>133</v>
      </c>
      <c r="K7" s="6">
        <f>K6/$C$28</f>
        <v>159.12460872484689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9.6711055991947736E-2</v>
      </c>
      <c r="X7" s="2">
        <f t="shared" si="8"/>
        <v>1</v>
      </c>
      <c r="Y7" s="2">
        <f t="shared" si="1"/>
        <v>-3.0822040865024491E-2</v>
      </c>
      <c r="Z7" s="2">
        <f t="shared" si="3"/>
        <v>0.9375</v>
      </c>
      <c r="AA7" s="2">
        <f t="shared" si="2"/>
        <v>3.2861064298039366E-2</v>
      </c>
      <c r="AB7" s="2">
        <f t="shared" si="4"/>
        <v>3.1780282292826799E-3</v>
      </c>
      <c r="AC7" s="2">
        <f t="shared" si="5"/>
        <v>-1.0128450666623667E-3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-1200.2157803862337</v>
      </c>
      <c r="AI7" s="2">
        <f t="shared" ref="AI7:AI44" si="14">IF(AN6&gt;0,AK6,AI6)</f>
        <v>2875</v>
      </c>
      <c r="AJ7" s="2">
        <v>973.02792466538949</v>
      </c>
      <c r="AK7" s="2">
        <f t="shared" si="9"/>
        <v>1687.5</v>
      </c>
      <c r="AL7" s="2">
        <v>-87.147632849108049</v>
      </c>
      <c r="AM7" s="2">
        <f t="shared" si="10"/>
        <v>104595.96416880519</v>
      </c>
      <c r="AN7" s="2">
        <f t="shared" si="11"/>
        <v>-84797.080330668934</v>
      </c>
      <c r="AO7" s="2">
        <f t="shared" si="12"/>
        <v>2375</v>
      </c>
    </row>
    <row r="8" spans="2:41" x14ac:dyDescent="0.2">
      <c r="B8" s="6" t="s">
        <v>91</v>
      </c>
      <c r="C8" s="16">
        <v>1.83663204595837</v>
      </c>
      <c r="D8" s="6" t="s">
        <v>8</v>
      </c>
      <c r="F8" t="s">
        <v>93</v>
      </c>
      <c r="G8" s="6">
        <f>G10/$C$21</f>
        <v>32.933918511089644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3.2861064298039366E-2</v>
      </c>
      <c r="X8" s="2">
        <f t="shared" si="8"/>
        <v>1</v>
      </c>
      <c r="Y8" s="2">
        <f t="shared" si="1"/>
        <v>-3.0822040865024491E-2</v>
      </c>
      <c r="Z8" s="2">
        <f t="shared" si="3"/>
        <v>0.96875</v>
      </c>
      <c r="AA8" s="2">
        <f t="shared" si="2"/>
        <v>1.0006392394209529E-3</v>
      </c>
      <c r="AB8" s="2">
        <f t="shared" si="4"/>
        <v>3.2882070385753142E-5</v>
      </c>
      <c r="AC8" s="2">
        <f t="shared" si="5"/>
        <v>-3.0841743528579639E-5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-87.147632849108049</v>
      </c>
      <c r="AI8" s="2">
        <f t="shared" si="14"/>
        <v>2875</v>
      </c>
      <c r="AJ8" s="2">
        <v>973.02792466538949</v>
      </c>
      <c r="AK8" s="2">
        <f t="shared" si="9"/>
        <v>2281.25</v>
      </c>
      <c r="AL8" s="2">
        <v>449.2268199647724</v>
      </c>
      <c r="AM8" s="2">
        <f t="shared" si="10"/>
        <v>-39149.053972262351</v>
      </c>
      <c r="AN8" s="2">
        <f t="shared" si="11"/>
        <v>437110.24033435504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6.7673829917540678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1.0006392394209529E-3</v>
      </c>
      <c r="X9" s="2">
        <f t="shared" si="8"/>
        <v>1</v>
      </c>
      <c r="Y9" s="2">
        <f t="shared" si="1"/>
        <v>-3.0822040865024491E-2</v>
      </c>
      <c r="Z9" s="2">
        <f t="shared" si="3"/>
        <v>0.984375</v>
      </c>
      <c r="AA9" s="2">
        <f t="shared" si="2"/>
        <v>-1.4915197495255716E-2</v>
      </c>
      <c r="AB9" s="2">
        <f t="shared" si="4"/>
        <v>-1.4924731877465982E-5</v>
      </c>
      <c r="AC9" s="2">
        <f t="shared" si="5"/>
        <v>4.5971682670868262E-4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-87.147632849108049</v>
      </c>
      <c r="AI9" s="2">
        <f t="shared" si="14"/>
        <v>2281.25</v>
      </c>
      <c r="AJ9" s="2">
        <v>449.2268199647724</v>
      </c>
      <c r="AK9" s="2">
        <f t="shared" si="9"/>
        <v>1984.375</v>
      </c>
      <c r="AL9" s="2">
        <v>182.63481553327711</v>
      </c>
      <c r="AM9" s="2">
        <f t="shared" si="10"/>
        <v>-15916.191849558609</v>
      </c>
      <c r="AN9" s="2">
        <f t="shared" si="11"/>
        <v>82044.457396866899</v>
      </c>
      <c r="AO9" s="2">
        <f t="shared" si="12"/>
        <v>593.75</v>
      </c>
    </row>
    <row r="10" spans="2:41" x14ac:dyDescent="0.2">
      <c r="B10" s="6" t="s">
        <v>134</v>
      </c>
      <c r="C10" s="16">
        <v>1.64147857522817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263.47134808871715</v>
      </c>
      <c r="H10" s="22" t="s">
        <v>97</v>
      </c>
      <c r="J10" s="6" t="s">
        <v>92</v>
      </c>
      <c r="K10" s="6">
        <f xml:space="preserve"> $C$18 * (G10*G6 + G20*G13 + G29*G25 + G33*G32)/3600</f>
        <v>99.465441821053133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1.0006392394209529E-3</v>
      </c>
      <c r="X10" s="2">
        <f t="shared" si="8"/>
        <v>0.984375</v>
      </c>
      <c r="Y10" s="2">
        <f t="shared" si="1"/>
        <v>-1.4915197495255716E-2</v>
      </c>
      <c r="Z10" s="2">
        <f t="shared" si="3"/>
        <v>0.9765625</v>
      </c>
      <c r="AA10" s="2">
        <f t="shared" si="2"/>
        <v>-6.9584298910931874E-3</v>
      </c>
      <c r="AB10" s="2">
        <f t="shared" si="4"/>
        <v>-6.9628779937875111E-6</v>
      </c>
      <c r="AC10" s="2">
        <f t="shared" si="5"/>
        <v>1.0378635608254562E-4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-87.147632849108049</v>
      </c>
      <c r="AI10" s="2">
        <f t="shared" si="14"/>
        <v>1984.375</v>
      </c>
      <c r="AJ10" s="2">
        <v>182.63481553327711</v>
      </c>
      <c r="AK10" s="2">
        <f t="shared" si="9"/>
        <v>1835.9375</v>
      </c>
      <c r="AL10" s="2">
        <v>48.146257602825926</v>
      </c>
      <c r="AM10" s="2">
        <f t="shared" si="10"/>
        <v>-4195.8323806296512</v>
      </c>
      <c r="AN10" s="2">
        <f t="shared" si="11"/>
        <v>8793.1828759097534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0.86501610464432066</v>
      </c>
      <c r="U11" s="2">
        <v>7</v>
      </c>
      <c r="V11" s="2">
        <f t="shared" si="7"/>
        <v>0.96875</v>
      </c>
      <c r="W11" s="2">
        <f t="shared" si="0"/>
        <v>1.0006392394209529E-3</v>
      </c>
      <c r="X11" s="2">
        <f t="shared" si="8"/>
        <v>0.9765625</v>
      </c>
      <c r="Y11" s="2">
        <f t="shared" si="1"/>
        <v>-6.9584298910931874E-3</v>
      </c>
      <c r="Z11" s="2">
        <f t="shared" si="3"/>
        <v>0.97265625</v>
      </c>
      <c r="AA11" s="2">
        <f t="shared" si="2"/>
        <v>-2.9791864324542061E-3</v>
      </c>
      <c r="AB11" s="2">
        <f t="shared" si="4"/>
        <v>-2.9810908458641988E-6</v>
      </c>
      <c r="AC11" s="2">
        <f t="shared" si="5"/>
        <v>2.0730459922728625E-5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-87.147632849108049</v>
      </c>
      <c r="AI11" s="2">
        <f t="shared" si="14"/>
        <v>1835.9375</v>
      </c>
      <c r="AJ11" s="2">
        <v>48.146257602825926</v>
      </c>
      <c r="AK11" s="2">
        <f t="shared" si="9"/>
        <v>1761.71875</v>
      </c>
      <c r="AL11" s="2">
        <v>-19.399463444450248</v>
      </c>
      <c r="AM11" s="2">
        <f t="shared" si="10"/>
        <v>1690.6173177266433</v>
      </c>
      <c r="AN11" s="2">
        <f t="shared" si="11"/>
        <v>-934.01156435310634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0.25688760273865158</v>
      </c>
      <c r="U12" s="2">
        <v>8</v>
      </c>
      <c r="V12" s="2">
        <f t="shared" si="7"/>
        <v>0.96875</v>
      </c>
      <c r="W12" s="2">
        <f t="shared" si="0"/>
        <v>1.0006392394209529E-3</v>
      </c>
      <c r="X12" s="2">
        <f t="shared" si="8"/>
        <v>0.97265625</v>
      </c>
      <c r="Y12" s="2">
        <f t="shared" si="1"/>
        <v>-2.9791864324542061E-3</v>
      </c>
      <c r="Z12" s="2">
        <f t="shared" si="3"/>
        <v>0.970703125</v>
      </c>
      <c r="AA12" s="2">
        <f t="shared" si="2"/>
        <v>-9.8934680605300418E-4</v>
      </c>
      <c r="AB12" s="2">
        <f t="shared" si="4"/>
        <v>-9.8997923553242713E-7</v>
      </c>
      <c r="AC12" s="2">
        <f t="shared" si="5"/>
        <v>2.9474485815850129E-6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-87.147632849108049</v>
      </c>
      <c r="AI12" s="2">
        <f t="shared" si="14"/>
        <v>1835.9375</v>
      </c>
      <c r="AJ12" s="2">
        <v>48.146257602825926</v>
      </c>
      <c r="AK12" s="2">
        <f t="shared" si="9"/>
        <v>1798.828125</v>
      </c>
      <c r="AL12" s="2">
        <v>-19.399463444450248</v>
      </c>
      <c r="AM12" s="2">
        <f t="shared" si="10"/>
        <v>1690.6173177266433</v>
      </c>
      <c r="AN12" s="2">
        <f t="shared" si="11"/>
        <v>-934.01156435310634</v>
      </c>
      <c r="AO12" s="2">
        <f t="shared" si="12"/>
        <v>74.21875</v>
      </c>
    </row>
    <row r="13" spans="2:41" x14ac:dyDescent="0.2">
      <c r="B13" s="6" t="s">
        <v>136</v>
      </c>
      <c r="C13" s="16">
        <v>6.1341865022686601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2.2209204613326615E-2</v>
      </c>
      <c r="U13" s="2">
        <v>9</v>
      </c>
      <c r="V13" s="2">
        <f t="shared" si="7"/>
        <v>0.96875</v>
      </c>
      <c r="W13" s="2">
        <f t="shared" si="0"/>
        <v>1.0006392394209529E-3</v>
      </c>
      <c r="X13" s="2">
        <f t="shared" si="8"/>
        <v>0.970703125</v>
      </c>
      <c r="Y13" s="2">
        <f t="shared" si="1"/>
        <v>-9.8934680605300418E-4</v>
      </c>
      <c r="Z13" s="2">
        <f t="shared" si="3"/>
        <v>0.9697265625</v>
      </c>
      <c r="AA13" s="2">
        <f t="shared" si="2"/>
        <v>5.6278598151715542E-6</v>
      </c>
      <c r="AB13" s="2">
        <f t="shared" si="4"/>
        <v>5.6314573650210088E-9</v>
      </c>
      <c r="AC13" s="2">
        <f t="shared" si="5"/>
        <v>-5.5679051330540274E-9</v>
      </c>
      <c r="AD13" s="2">
        <f t="shared" si="6"/>
        <v>1.953125E-3</v>
      </c>
      <c r="AF13" s="2">
        <v>9</v>
      </c>
      <c r="AG13" s="2">
        <f t="shared" si="13"/>
        <v>1798.828125</v>
      </c>
      <c r="AH13" s="2">
        <v>-87.147632849108049</v>
      </c>
      <c r="AI13" s="2">
        <f t="shared" si="14"/>
        <v>1835.9375</v>
      </c>
      <c r="AJ13" s="2">
        <v>48.146257602825926</v>
      </c>
      <c r="AK13" s="2">
        <f t="shared" si="9"/>
        <v>1817.3828125</v>
      </c>
      <c r="AL13" s="2">
        <v>-19.399463444450248</v>
      </c>
      <c r="AM13" s="2">
        <f t="shared" si="10"/>
        <v>1690.6173177266433</v>
      </c>
      <c r="AN13" s="2">
        <f t="shared" si="11"/>
        <v>-934.01156435310634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70.22087705249325</v>
      </c>
      <c r="H14" s="6" t="s">
        <v>10</v>
      </c>
      <c r="J14" s="9" t="s">
        <v>75</v>
      </c>
      <c r="K14" s="17">
        <f>C5</f>
        <v>1783.0115198701001</v>
      </c>
      <c r="L14" s="6" t="s">
        <v>7</v>
      </c>
      <c r="N14" s="6" t="s">
        <v>40</v>
      </c>
      <c r="O14" s="6">
        <f xml:space="preserve"> O5 * O13 * $C$12</f>
        <v>1510.7570150270153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5.6278598151715542E-6</v>
      </c>
      <c r="X14" s="2">
        <f t="shared" si="8"/>
        <v>0.970703125</v>
      </c>
      <c r="Y14" s="2">
        <f t="shared" si="1"/>
        <v>-9.8934680605300418E-4</v>
      </c>
      <c r="Z14" s="2">
        <f t="shared" si="3"/>
        <v>0.97021484375</v>
      </c>
      <c r="AA14" s="2">
        <f t="shared" si="2"/>
        <v>-4.9186405550871726E-4</v>
      </c>
      <c r="AB14" s="2">
        <f t="shared" si="4"/>
        <v>-2.7681419525248205E-9</v>
      </c>
      <c r="AC14" s="2">
        <f t="shared" si="5"/>
        <v>4.8662413232982701E-7</v>
      </c>
      <c r="AD14" s="2">
        <f t="shared" si="6"/>
        <v>9.765625E-4</v>
      </c>
      <c r="AF14" s="2">
        <v>10</v>
      </c>
      <c r="AG14" s="2">
        <f t="shared" si="13"/>
        <v>1817.3828125</v>
      </c>
      <c r="AH14" s="2">
        <v>-87.147632849108049</v>
      </c>
      <c r="AI14" s="2">
        <f t="shared" si="14"/>
        <v>1835.9375</v>
      </c>
      <c r="AJ14" s="2">
        <v>48.146257602825926</v>
      </c>
      <c r="AK14" s="2">
        <f t="shared" si="9"/>
        <v>1826.66015625</v>
      </c>
      <c r="AL14" s="2">
        <v>-19.399463444450248</v>
      </c>
      <c r="AM14" s="2">
        <f t="shared" si="10"/>
        <v>1690.6173177266433</v>
      </c>
      <c r="AN14" s="2">
        <f t="shared" si="11"/>
        <v>-934.01156435310634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0.21104985351615438</v>
      </c>
      <c r="H15" s="6" t="s">
        <v>120</v>
      </c>
      <c r="J15" s="10" t="s">
        <v>53</v>
      </c>
      <c r="K15" s="6">
        <f xml:space="preserve"> 1000 * K10 / ($C$60 * $C$61 * $C$62)</f>
        <v>265.95037920067682</v>
      </c>
      <c r="L15" s="6" t="s">
        <v>7</v>
      </c>
      <c r="N15" s="6" t="s">
        <v>140</v>
      </c>
      <c r="O15" s="6">
        <f>O4/O14</f>
        <v>11.566717818633919</v>
      </c>
      <c r="U15" s="2">
        <v>11</v>
      </c>
      <c r="V15" s="2">
        <f t="shared" si="7"/>
        <v>0.9697265625</v>
      </c>
      <c r="W15" s="2">
        <f t="shared" si="0"/>
        <v>5.6278598151715542E-6</v>
      </c>
      <c r="X15" s="2">
        <f t="shared" si="8"/>
        <v>0.97021484375</v>
      </c>
      <c r="Y15" s="2">
        <f t="shared" si="1"/>
        <v>-4.9186405550871726E-4</v>
      </c>
      <c r="Z15" s="2">
        <f t="shared" si="3"/>
        <v>0.969970703125</v>
      </c>
      <c r="AA15" s="2">
        <f t="shared" si="2"/>
        <v>-2.431192442965413E-4</v>
      </c>
      <c r="AB15" s="2">
        <f t="shared" si="4"/>
        <v>-1.3682410252713809E-9</v>
      </c>
      <c r="AC15" s="2">
        <f t="shared" si="5"/>
        <v>1.1958161747191139E-7</v>
      </c>
      <c r="AD15" s="2">
        <f t="shared" si="6"/>
        <v>4.8828125E-4</v>
      </c>
      <c r="AF15" s="2">
        <v>11</v>
      </c>
      <c r="AG15" s="2">
        <f t="shared" si="13"/>
        <v>1826.66015625</v>
      </c>
      <c r="AH15" s="2">
        <v>-87.147632849108049</v>
      </c>
      <c r="AI15" s="2">
        <f t="shared" si="14"/>
        <v>1835.9375</v>
      </c>
      <c r="AJ15" s="2">
        <v>48.146257602825926</v>
      </c>
      <c r="AK15" s="2">
        <f t="shared" si="9"/>
        <v>1831.298828125</v>
      </c>
      <c r="AL15" s="2">
        <v>-19.399463444450248</v>
      </c>
      <c r="AM15" s="2">
        <f t="shared" si="10"/>
        <v>1690.6173177266433</v>
      </c>
      <c r="AN15" s="2">
        <f t="shared" si="11"/>
        <v>-934.01156435310634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1510.7570150270153</v>
      </c>
      <c r="H16" s="6" t="s">
        <v>21</v>
      </c>
      <c r="J16" s="11" t="s">
        <v>123</v>
      </c>
      <c r="K16" s="6">
        <f>linear_250!K16</f>
        <v>161.65759116245079</v>
      </c>
      <c r="L16" s="6" t="s">
        <v>7</v>
      </c>
      <c r="N16" s="6" t="s">
        <v>111</v>
      </c>
      <c r="O16" s="6">
        <f>(O13*$C$12)/(0.3048^2)/($C$5*2.20462/1000)^(2/3)</f>
        <v>2.8793805936033459</v>
      </c>
      <c r="U16" s="2">
        <v>12</v>
      </c>
      <c r="V16" s="2">
        <f t="shared" si="7"/>
        <v>0.9697265625</v>
      </c>
      <c r="W16" s="2">
        <f t="shared" si="0"/>
        <v>5.6278598151715542E-6</v>
      </c>
      <c r="X16" s="2">
        <f t="shared" si="8"/>
        <v>0.969970703125</v>
      </c>
      <c r="Y16" s="2">
        <f t="shared" si="1"/>
        <v>-2.431192442965413E-4</v>
      </c>
      <c r="Z16" s="2">
        <f t="shared" si="3"/>
        <v>0.9698486328125</v>
      </c>
      <c r="AA16" s="2">
        <f t="shared" si="2"/>
        <v>-1.1874597895977779E-4</v>
      </c>
      <c r="AB16" s="2">
        <f t="shared" si="4"/>
        <v>-6.6828572320094023E-10</v>
      </c>
      <c r="AC16" s="2">
        <f t="shared" si="5"/>
        <v>2.8869432667954169E-8</v>
      </c>
      <c r="AD16" s="2">
        <f t="shared" si="6"/>
        <v>2.44140625E-4</v>
      </c>
      <c r="AF16" s="2">
        <v>12</v>
      </c>
      <c r="AG16" s="2">
        <f t="shared" si="13"/>
        <v>1831.298828125</v>
      </c>
      <c r="AH16" s="2">
        <v>-87.147632849108049</v>
      </c>
      <c r="AI16" s="2">
        <f t="shared" si="14"/>
        <v>1835.9375</v>
      </c>
      <c r="AJ16" s="2">
        <v>48.146257602825926</v>
      </c>
      <c r="AK16" s="2">
        <f t="shared" si="9"/>
        <v>1833.6181640625</v>
      </c>
      <c r="AL16" s="2">
        <v>-19.399463444450248</v>
      </c>
      <c r="AM16" s="2">
        <f t="shared" si="10"/>
        <v>1690.6173177266433</v>
      </c>
      <c r="AN16" s="2">
        <f t="shared" si="11"/>
        <v>-934.01156435310634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106.08307248323126</v>
      </c>
      <c r="H17" s="6" t="s">
        <v>97</v>
      </c>
      <c r="J17" s="11" t="s">
        <v>124</v>
      </c>
      <c r="K17" s="6">
        <f>linear_250!K17</f>
        <v>0</v>
      </c>
      <c r="L17" s="6" t="s">
        <v>7</v>
      </c>
      <c r="U17" s="2">
        <v>13</v>
      </c>
      <c r="V17" s="2">
        <f t="shared" si="7"/>
        <v>0.9697265625</v>
      </c>
      <c r="W17" s="2">
        <f t="shared" si="0"/>
        <v>5.6278598151715542E-6</v>
      </c>
      <c r="X17" s="2">
        <f t="shared" si="8"/>
        <v>0.9698486328125</v>
      </c>
      <c r="Y17" s="2">
        <f t="shared" si="1"/>
        <v>-1.1874597895977779E-4</v>
      </c>
      <c r="Z17" s="2">
        <f t="shared" si="3"/>
        <v>0.96978759765625</v>
      </c>
      <c r="AA17" s="2">
        <f t="shared" si="2"/>
        <v>-5.655913126534351E-5</v>
      </c>
      <c r="AB17" s="2">
        <f t="shared" si="4"/>
        <v>-3.1830686202923982E-10</v>
      </c>
      <c r="AC17" s="2">
        <f t="shared" si="5"/>
        <v>6.7161694112177906E-9</v>
      </c>
      <c r="AD17" s="2">
        <f t="shared" si="6"/>
        <v>1.220703125E-4</v>
      </c>
      <c r="AF17" s="2">
        <v>13</v>
      </c>
      <c r="AG17" s="2">
        <f t="shared" si="13"/>
        <v>1833.6181640625</v>
      </c>
      <c r="AH17" s="2">
        <v>-87.147632849108049</v>
      </c>
      <c r="AI17" s="2">
        <f t="shared" si="14"/>
        <v>1835.9375</v>
      </c>
      <c r="AJ17" s="2">
        <v>48.146257602825926</v>
      </c>
      <c r="AK17" s="2">
        <f t="shared" si="9"/>
        <v>1834.77783203125</v>
      </c>
      <c r="AL17" s="2">
        <v>-19.399463444450248</v>
      </c>
      <c r="AM17" s="2">
        <f t="shared" si="10"/>
        <v>1690.6173177266433</v>
      </c>
      <c r="AN17" s="2">
        <f t="shared" si="11"/>
        <v>-934.01156435310634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1.4531080835610724</v>
      </c>
      <c r="H18" s="6" t="s">
        <v>172</v>
      </c>
      <c r="J18" s="12" t="s">
        <v>54</v>
      </c>
      <c r="K18" s="6">
        <f>linear_250!K18</f>
        <v>120.45771389486413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0.9697265625</v>
      </c>
      <c r="W18" s="2">
        <f t="shared" si="0"/>
        <v>5.6278598151715542E-6</v>
      </c>
      <c r="X18" s="2">
        <f t="shared" si="8"/>
        <v>0.96978759765625</v>
      </c>
      <c r="Y18" s="2">
        <f t="shared" si="1"/>
        <v>-5.655913126534351E-5</v>
      </c>
      <c r="Z18" s="2">
        <f t="shared" si="3"/>
        <v>0.969757080078125</v>
      </c>
      <c r="AA18" s="2">
        <f t="shared" si="2"/>
        <v>-2.5465653650025288E-5</v>
      </c>
      <c r="AB18" s="2">
        <f t="shared" si="4"/>
        <v>-1.4331712884405414E-10</v>
      </c>
      <c r="AC18" s="2">
        <f t="shared" si="5"/>
        <v>1.4403152475495543E-9</v>
      </c>
      <c r="AD18" s="2">
        <f t="shared" si="6"/>
        <v>6.103515625E-5</v>
      </c>
      <c r="AF18" s="2">
        <v>14</v>
      </c>
      <c r="AG18" s="2">
        <f t="shared" si="13"/>
        <v>1834.77783203125</v>
      </c>
      <c r="AH18" s="2">
        <v>-87.147632849108049</v>
      </c>
      <c r="AI18" s="2">
        <f t="shared" si="14"/>
        <v>1835.9375</v>
      </c>
      <c r="AJ18" s="2">
        <v>48.146257602825926</v>
      </c>
      <c r="AK18" s="2">
        <f t="shared" si="9"/>
        <v>1835.357666015625</v>
      </c>
      <c r="AL18" s="2">
        <v>-19.399463444450248</v>
      </c>
      <c r="AM18" s="2">
        <f t="shared" si="10"/>
        <v>1690.6173177266433</v>
      </c>
      <c r="AN18" s="2">
        <f t="shared" si="11"/>
        <v>-934.01156435310634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4.2221782027820919E-2</v>
      </c>
      <c r="J19" s="12" t="s">
        <v>73</v>
      </c>
      <c r="K19" s="6">
        <f>linear_250!K19</f>
        <v>64.736161489803052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0.9697265625</v>
      </c>
      <c r="W19" s="2">
        <f t="shared" si="0"/>
        <v>5.6278598151715542E-6</v>
      </c>
      <c r="X19" s="2">
        <f t="shared" si="8"/>
        <v>0.969757080078125</v>
      </c>
      <c r="Y19" s="2">
        <f t="shared" si="1"/>
        <v>-2.5465653650025288E-5</v>
      </c>
      <c r="Z19" s="2">
        <f t="shared" si="3"/>
        <v>0.9697418212890625</v>
      </c>
      <c r="AA19" s="2">
        <f t="shared" si="2"/>
        <v>-9.9189013988976171E-6</v>
      </c>
      <c r="AB19" s="2">
        <f t="shared" si="4"/>
        <v>-5.5822186593504813E-11</v>
      </c>
      <c r="AC19" s="2">
        <f t="shared" si="5"/>
        <v>2.5259130761307806E-10</v>
      </c>
      <c r="AD19" s="2">
        <f t="shared" si="6"/>
        <v>3.0517578125E-5</v>
      </c>
      <c r="AF19" s="2">
        <v>15</v>
      </c>
      <c r="AG19" s="2">
        <f t="shared" si="13"/>
        <v>1835.357666015625</v>
      </c>
      <c r="AH19" s="2">
        <v>-87.147632849108049</v>
      </c>
      <c r="AI19" s="2">
        <f t="shared" si="14"/>
        <v>1835.9375</v>
      </c>
      <c r="AJ19" s="2">
        <v>48.146257602825926</v>
      </c>
      <c r="AK19" s="2">
        <f t="shared" si="9"/>
        <v>1835.6475830078125</v>
      </c>
      <c r="AL19" s="2">
        <v>-19.399463444450248</v>
      </c>
      <c r="AM19" s="2">
        <f t="shared" si="10"/>
        <v>1690.6173177266433</v>
      </c>
      <c r="AN19" s="2">
        <f t="shared" si="11"/>
        <v>-934.01156435310634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106.08307248323126</v>
      </c>
      <c r="H20" s="22" t="s">
        <v>97</v>
      </c>
      <c r="J20" s="13" t="s">
        <v>61</v>
      </c>
      <c r="K20" s="6">
        <f>linear_250!K20</f>
        <v>214.74545949452238</v>
      </c>
      <c r="L20" s="6" t="s">
        <v>7</v>
      </c>
      <c r="N20" s="6" t="s">
        <v>20</v>
      </c>
      <c r="O20" s="6">
        <f xml:space="preserve"> O14 / $C$28</f>
        <v>1510.7570150270153</v>
      </c>
      <c r="P20" s="6" t="s">
        <v>21</v>
      </c>
      <c r="U20" s="2">
        <v>16</v>
      </c>
      <c r="V20" s="2">
        <f t="shared" si="7"/>
        <v>0.9697265625</v>
      </c>
      <c r="W20" s="2">
        <f t="shared" si="0"/>
        <v>5.6278598151715542E-6</v>
      </c>
      <c r="X20" s="2">
        <f t="shared" si="8"/>
        <v>0.9697418212890625</v>
      </c>
      <c r="Y20" s="2">
        <f t="shared" si="1"/>
        <v>-9.9189013988976171E-6</v>
      </c>
      <c r="Z20" s="2">
        <f t="shared" si="3"/>
        <v>0.96973419189453125</v>
      </c>
      <c r="AA20" s="2">
        <f t="shared" si="2"/>
        <v>-2.1455219122445968E-6</v>
      </c>
      <c r="AB20" s="2">
        <f t="shared" si="4"/>
        <v>-1.2074696552491396E-11</v>
      </c>
      <c r="AC20" s="2">
        <f t="shared" si="5"/>
        <v>2.1281220296728423E-11</v>
      </c>
      <c r="AD20" s="2">
        <f t="shared" si="6"/>
        <v>1.52587890625E-5</v>
      </c>
      <c r="AF20" s="2">
        <v>16</v>
      </c>
      <c r="AG20" s="2">
        <f t="shared" si="13"/>
        <v>1835.6475830078125</v>
      </c>
      <c r="AH20" s="2">
        <v>-87.147632849108049</v>
      </c>
      <c r="AI20" s="2">
        <f t="shared" si="14"/>
        <v>1835.9375</v>
      </c>
      <c r="AJ20" s="2">
        <v>48.146257602825926</v>
      </c>
      <c r="AK20" s="2">
        <f t="shared" si="9"/>
        <v>1835.7925415039062</v>
      </c>
      <c r="AL20" s="2">
        <v>-19.399463444450248</v>
      </c>
      <c r="AM20" s="2">
        <f t="shared" si="10"/>
        <v>1690.6173177266433</v>
      </c>
      <c r="AN20" s="2">
        <f t="shared" si="11"/>
        <v>-934.01156435310634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linear_250!K21</f>
        <v>56.898594458987588</v>
      </c>
      <c r="L21" s="6" t="s">
        <v>7</v>
      </c>
      <c r="N21" s="6" t="s">
        <v>27</v>
      </c>
      <c r="O21" s="6">
        <f>$C$6*2*PI()/60</f>
        <v>42.779039648892379</v>
      </c>
      <c r="P21" s="6" t="s">
        <v>28</v>
      </c>
      <c r="U21" s="2">
        <v>17</v>
      </c>
      <c r="V21" s="2">
        <f t="shared" si="7"/>
        <v>0.9697265625</v>
      </c>
      <c r="W21" s="2">
        <f t="shared" si="0"/>
        <v>5.6278598151715542E-6</v>
      </c>
      <c r="X21" s="2">
        <f t="shared" si="8"/>
        <v>0.96973419189453125</v>
      </c>
      <c r="Y21" s="2">
        <f t="shared" si="1"/>
        <v>-2.1455219122445968E-6</v>
      </c>
      <c r="Z21" s="2">
        <f t="shared" si="3"/>
        <v>0.96973037719726562</v>
      </c>
      <c r="AA21" s="2">
        <f t="shared" si="2"/>
        <v>1.7411686713542096E-6</v>
      </c>
      <c r="AB21" s="2">
        <f t="shared" si="4"/>
        <v>9.7990531969500031E-12</v>
      </c>
      <c r="AC21" s="2">
        <f t="shared" si="5"/>
        <v>-3.735715537304268E-12</v>
      </c>
      <c r="AD21" s="2">
        <f t="shared" si="6"/>
        <v>7.62939453125E-6</v>
      </c>
      <c r="AF21" s="2">
        <v>17</v>
      </c>
      <c r="AG21" s="2">
        <f t="shared" si="13"/>
        <v>1835.7925415039062</v>
      </c>
      <c r="AH21" s="2">
        <v>-87.147632849108049</v>
      </c>
      <c r="AI21" s="2">
        <f t="shared" si="14"/>
        <v>1835.9375</v>
      </c>
      <c r="AJ21" s="2">
        <v>48.146257602825926</v>
      </c>
      <c r="AK21" s="2">
        <f t="shared" si="9"/>
        <v>1835.8650207519531</v>
      </c>
      <c r="AL21" s="2">
        <v>-19.399463444450248</v>
      </c>
      <c r="AM21" s="2">
        <f t="shared" si="10"/>
        <v>1690.6173177266433</v>
      </c>
      <c r="AN21" s="2">
        <f t="shared" si="11"/>
        <v>-934.01156435310634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>linear_250!K22</f>
        <v>135.8652644837907</v>
      </c>
      <c r="L22" s="6" t="s">
        <v>7</v>
      </c>
      <c r="N22" s="6" t="s">
        <v>29</v>
      </c>
      <c r="O22" s="6">
        <f xml:space="preserve"> $C$7 * COS(O19/180*PI()) / (O21 * $C$10)</f>
        <v>8.3227605962797796E-2</v>
      </c>
      <c r="U22" s="2">
        <v>18</v>
      </c>
      <c r="V22" s="2">
        <f t="shared" si="7"/>
        <v>0.96973037719726562</v>
      </c>
      <c r="W22" s="2">
        <f t="shared" si="0"/>
        <v>1.7411686713542096E-6</v>
      </c>
      <c r="X22" s="2">
        <f t="shared" si="8"/>
        <v>0.96973419189453125</v>
      </c>
      <c r="Y22" s="2">
        <f t="shared" si="1"/>
        <v>-2.1455219122445968E-6</v>
      </c>
      <c r="Z22" s="2">
        <f t="shared" si="3"/>
        <v>0.96973228454589844</v>
      </c>
      <c r="AA22" s="2">
        <f t="shared" si="2"/>
        <v>-2.0217669038924413E-7</v>
      </c>
      <c r="AB22" s="2">
        <f t="shared" si="4"/>
        <v>-3.5202371938383161E-13</v>
      </c>
      <c r="AC22" s="2">
        <f t="shared" si="5"/>
        <v>4.3377451937521487E-13</v>
      </c>
      <c r="AD22" s="2">
        <f t="shared" si="6"/>
        <v>3.814697265625E-6</v>
      </c>
      <c r="AF22" s="2">
        <v>18</v>
      </c>
      <c r="AG22" s="2">
        <f t="shared" si="13"/>
        <v>1835.8650207519531</v>
      </c>
      <c r="AH22" s="2">
        <v>-87.147632849108049</v>
      </c>
      <c r="AI22" s="2">
        <f t="shared" si="14"/>
        <v>1835.9375</v>
      </c>
      <c r="AJ22" s="2">
        <v>48.146257602825926</v>
      </c>
      <c r="AK22" s="2">
        <f t="shared" si="9"/>
        <v>1835.9012603759766</v>
      </c>
      <c r="AL22" s="2">
        <v>-19.399463444450248</v>
      </c>
      <c r="AM22" s="2">
        <f t="shared" si="10"/>
        <v>1690.6173177266433</v>
      </c>
      <c r="AN22" s="2">
        <f t="shared" si="11"/>
        <v>-934.01156435310634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linear_250!K23</f>
        <v>24.706263245083321</v>
      </c>
      <c r="L23" s="6" t="s">
        <v>7</v>
      </c>
      <c r="N23" s="6" t="s">
        <v>30</v>
      </c>
      <c r="O23" s="6">
        <f xml:space="preserve"> O20 / ( $C$71 * PI() * $C$10^2 * O21^2 * $C$10^2)</f>
        <v>3.5887792269968688E-2</v>
      </c>
      <c r="U23" s="2">
        <v>19</v>
      </c>
      <c r="V23" s="2">
        <f t="shared" si="7"/>
        <v>0.96973037719726562</v>
      </c>
      <c r="W23" s="2">
        <f t="shared" si="0"/>
        <v>1.7411686713542096E-6</v>
      </c>
      <c r="X23" s="2">
        <f t="shared" si="8"/>
        <v>0.96973228454589844</v>
      </c>
      <c r="Y23" s="2">
        <f t="shared" si="1"/>
        <v>-2.0217669038924413E-7</v>
      </c>
      <c r="Z23" s="2">
        <f t="shared" si="3"/>
        <v>0.96973133087158203</v>
      </c>
      <c r="AA23" s="2">
        <f t="shared" si="2"/>
        <v>7.6949597294095895E-7</v>
      </c>
      <c r="AB23" s="2">
        <f t="shared" si="4"/>
        <v>1.3398222808180243E-12</v>
      </c>
      <c r="AC23" s="2">
        <f t="shared" si="5"/>
        <v>-1.5557414907705444E-13</v>
      </c>
      <c r="AD23" s="2">
        <f t="shared" si="6"/>
        <v>1.9073486328125E-6</v>
      </c>
      <c r="AF23" s="2">
        <v>19</v>
      </c>
      <c r="AG23" s="2">
        <f t="shared" si="13"/>
        <v>1835.9012603759766</v>
      </c>
      <c r="AH23" s="2">
        <v>-87.147632849108049</v>
      </c>
      <c r="AI23" s="2">
        <f t="shared" si="14"/>
        <v>1835.9375</v>
      </c>
      <c r="AJ23" s="2">
        <v>48.146257602825926</v>
      </c>
      <c r="AK23" s="2">
        <f t="shared" si="9"/>
        <v>1835.9193801879883</v>
      </c>
      <c r="AL23" s="2">
        <v>-19.399463444450248</v>
      </c>
      <c r="AM23" s="2">
        <f t="shared" si="10"/>
        <v>1690.6173177266433</v>
      </c>
      <c r="AN23" s="2">
        <f t="shared" si="11"/>
        <v>-934.01156435310634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linear_250!K24</f>
        <v>8.6378971818796231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0.96973133087158203</v>
      </c>
      <c r="W24" s="2">
        <f t="shared" si="0"/>
        <v>7.6949597294095895E-7</v>
      </c>
      <c r="X24" s="2">
        <f t="shared" si="8"/>
        <v>0.96973228454589844</v>
      </c>
      <c r="Y24" s="2">
        <f t="shared" si="1"/>
        <v>-2.0217669038924413E-7</v>
      </c>
      <c r="Z24" s="2">
        <f t="shared" si="3"/>
        <v>0.96973180770874023</v>
      </c>
      <c r="AA24" s="2">
        <f t="shared" si="2"/>
        <v>2.8365963689047646E-7</v>
      </c>
      <c r="AB24" s="2">
        <f t="shared" si="4"/>
        <v>2.1827494827311632E-13</v>
      </c>
      <c r="AC24" s="2">
        <f t="shared" si="5"/>
        <v>-5.734936658353127E-14</v>
      </c>
      <c r="AD24" s="2">
        <f t="shared" si="6"/>
        <v>9.5367431640625E-7</v>
      </c>
      <c r="AF24" s="2">
        <v>20</v>
      </c>
      <c r="AG24" s="2">
        <f t="shared" si="13"/>
        <v>1835.9193801879883</v>
      </c>
      <c r="AH24" s="2">
        <v>-87.147632849108049</v>
      </c>
      <c r="AI24" s="2">
        <f t="shared" si="14"/>
        <v>1835.9375</v>
      </c>
      <c r="AJ24" s="2">
        <v>48.146257602825926</v>
      </c>
      <c r="AK24" s="2">
        <f t="shared" si="9"/>
        <v>1835.9284400939941</v>
      </c>
      <c r="AL24" s="2">
        <v>-19.399463444450248</v>
      </c>
      <c r="AM24" s="2">
        <f t="shared" si="10"/>
        <v>1690.6173177266433</v>
      </c>
      <c r="AN24" s="2">
        <f t="shared" si="11"/>
        <v>-934.01156435310634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linear_250!K25</f>
        <v>24.107899786771409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2885.3087904033873</v>
      </c>
      <c r="P25" s="6" t="s">
        <v>19</v>
      </c>
      <c r="U25" s="2">
        <v>21</v>
      </c>
      <c r="V25" s="2">
        <f t="shared" si="7"/>
        <v>0.96973180770874023</v>
      </c>
      <c r="W25" s="2">
        <f t="shared" si="0"/>
        <v>2.8365963689047646E-7</v>
      </c>
      <c r="X25" s="2">
        <f t="shared" si="8"/>
        <v>0.96973228454589844</v>
      </c>
      <c r="Y25" s="2">
        <f t="shared" si="1"/>
        <v>-2.0217669038924413E-7</v>
      </c>
      <c r="Z25" s="2">
        <f t="shared" si="3"/>
        <v>0.96973204612731934</v>
      </c>
      <c r="AA25" s="2">
        <f t="shared" si="2"/>
        <v>4.0741472084881991E-8</v>
      </c>
      <c r="AB25" s="2">
        <f t="shared" si="4"/>
        <v>1.1556711177981108E-14</v>
      </c>
      <c r="AC25" s="2">
        <f t="shared" si="5"/>
        <v>-8.2369759877072183E-15</v>
      </c>
      <c r="AD25" s="2">
        <f t="shared" si="6"/>
        <v>4.76837158203125E-7</v>
      </c>
      <c r="AF25" s="2">
        <v>21</v>
      </c>
      <c r="AG25" s="2">
        <f t="shared" si="13"/>
        <v>1835.9284400939941</v>
      </c>
      <c r="AH25" s="2">
        <v>-87.147632849108049</v>
      </c>
      <c r="AI25" s="2">
        <f t="shared" si="14"/>
        <v>1835.9375</v>
      </c>
      <c r="AJ25" s="2">
        <v>48.146257602825926</v>
      </c>
      <c r="AK25" s="2">
        <f t="shared" si="9"/>
        <v>1835.9329700469971</v>
      </c>
      <c r="AL25" s="2">
        <v>-19.399463444450248</v>
      </c>
      <c r="AM25" s="2">
        <f t="shared" si="10"/>
        <v>1690.6173177266433</v>
      </c>
      <c r="AN25" s="2">
        <f t="shared" si="11"/>
        <v>-934.01156435310634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2184.5214634945251</v>
      </c>
      <c r="H26" s="6" t="s">
        <v>21</v>
      </c>
      <c r="J26" s="14" t="s">
        <v>65</v>
      </c>
      <c r="K26" s="6">
        <f>linear_250!K26</f>
        <v>46.919456353872846</v>
      </c>
      <c r="L26" s="6" t="s">
        <v>7</v>
      </c>
      <c r="N26" s="6" t="s">
        <v>32</v>
      </c>
      <c r="O26" s="17">
        <f>Z34</f>
        <v>0.96973208570852876</v>
      </c>
      <c r="U26" s="2">
        <v>22</v>
      </c>
      <c r="V26" s="2">
        <f t="shared" si="7"/>
        <v>0.96973204612731934</v>
      </c>
      <c r="W26" s="2">
        <f t="shared" si="0"/>
        <v>4.0741472084881991E-8</v>
      </c>
      <c r="X26" s="2">
        <f t="shared" si="8"/>
        <v>0.96973228454589844</v>
      </c>
      <c r="Y26" s="2">
        <f t="shared" si="1"/>
        <v>-2.0217669038924413E-7</v>
      </c>
      <c r="Z26" s="2">
        <f t="shared" si="3"/>
        <v>0.96973216533660889</v>
      </c>
      <c r="AA26" s="2">
        <f t="shared" si="2"/>
        <v>-8.0717609485247976E-8</v>
      </c>
      <c r="AB26" s="2">
        <f t="shared" si="4"/>
        <v>-3.2885542336016362E-15</v>
      </c>
      <c r="AC26" s="2">
        <f t="shared" si="5"/>
        <v>1.6319219141858896E-14</v>
      </c>
      <c r="AD26" s="2">
        <f t="shared" si="6"/>
        <v>2.384185791015625E-7</v>
      </c>
      <c r="AF26" s="2">
        <v>22</v>
      </c>
      <c r="AG26" s="2">
        <f t="shared" si="13"/>
        <v>1835.9329700469971</v>
      </c>
      <c r="AH26" s="2">
        <v>-87.147632849108049</v>
      </c>
      <c r="AI26" s="2">
        <f t="shared" si="14"/>
        <v>1835.9375</v>
      </c>
      <c r="AJ26" s="2">
        <v>48.146257602825926</v>
      </c>
      <c r="AK26" s="2">
        <f t="shared" si="9"/>
        <v>1835.9352350234985</v>
      </c>
      <c r="AL26" s="2">
        <v>-19.399463444450248</v>
      </c>
      <c r="AM26" s="2">
        <f t="shared" si="10"/>
        <v>1690.6173177266433</v>
      </c>
      <c r="AN26" s="2">
        <f t="shared" si="11"/>
        <v>-934.01156435310634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28.999823393384183</v>
      </c>
      <c r="H27" t="s">
        <v>97</v>
      </c>
      <c r="J27" s="14" t="s">
        <v>66</v>
      </c>
      <c r="K27" s="6">
        <f>linear_250!K27</f>
        <v>7.8313743980822554</v>
      </c>
      <c r="L27" s="6" t="s">
        <v>7</v>
      </c>
      <c r="N27" s="6" t="s">
        <v>33</v>
      </c>
      <c r="O27" s="6">
        <f xml:space="preserve"> O21 * $C$10 * O26 - $C$7 * SIN(O19/180*PI())</f>
        <v>1.2946058891563581</v>
      </c>
      <c r="P27" s="6" t="s">
        <v>10</v>
      </c>
      <c r="U27" s="2">
        <v>23</v>
      </c>
      <c r="V27" s="2">
        <f t="shared" si="7"/>
        <v>0.96973204612731934</v>
      </c>
      <c r="W27" s="2">
        <f t="shared" si="0"/>
        <v>4.0741472084881991E-8</v>
      </c>
      <c r="X27" s="2">
        <f t="shared" si="8"/>
        <v>0.96973216533660889</v>
      </c>
      <c r="Y27" s="2">
        <f t="shared" si="1"/>
        <v>-8.0717609485247976E-8</v>
      </c>
      <c r="Z27" s="2">
        <f t="shared" si="3"/>
        <v>0.96973210573196411</v>
      </c>
      <c r="AA27" s="2">
        <f t="shared" si="2"/>
        <v>-1.9988068755694144E-8</v>
      </c>
      <c r="AB27" s="2">
        <f t="shared" si="4"/>
        <v>-8.143433452408149E-16</v>
      </c>
      <c r="AC27" s="2">
        <f t="shared" si="5"/>
        <v>1.6133891281864063E-15</v>
      </c>
      <c r="AD27" s="2">
        <f t="shared" si="6"/>
        <v>1.1920928955078125E-7</v>
      </c>
      <c r="AF27" s="2">
        <v>23</v>
      </c>
      <c r="AG27" s="2">
        <f t="shared" si="13"/>
        <v>1835.9352350234985</v>
      </c>
      <c r="AH27" s="2">
        <v>-87.147632849108049</v>
      </c>
      <c r="AI27" s="2">
        <f t="shared" si="14"/>
        <v>1835.9375</v>
      </c>
      <c r="AJ27" s="2">
        <v>48.146257602825926</v>
      </c>
      <c r="AK27" s="2">
        <f t="shared" si="9"/>
        <v>1835.9363675117493</v>
      </c>
      <c r="AL27" s="2">
        <v>-19.399463444450248</v>
      </c>
      <c r="AM27" s="2">
        <f t="shared" si="10"/>
        <v>1690.6173177266433</v>
      </c>
      <c r="AN27" s="2">
        <f t="shared" si="11"/>
        <v>-934.01156435310634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7.6854412856392766</v>
      </c>
      <c r="H28" s="6" t="s">
        <v>172</v>
      </c>
      <c r="J28" s="14" t="s">
        <v>67</v>
      </c>
      <c r="K28" s="6">
        <f>linear_250!K28</f>
        <v>14.005807866827713</v>
      </c>
      <c r="L28" s="6" t="s">
        <v>7</v>
      </c>
      <c r="N28" s="6" t="s">
        <v>34</v>
      </c>
      <c r="O28" s="6">
        <f xml:space="preserve"> 1/$C$31 - O25 * SQRT( (2*$C$71*PI()*$C$10^2) / O20^3 )</f>
        <v>1.1302973297371703</v>
      </c>
      <c r="U28" s="2">
        <v>24</v>
      </c>
      <c r="V28" s="2">
        <f t="shared" si="7"/>
        <v>0.96973204612731934</v>
      </c>
      <c r="W28" s="2">
        <f t="shared" si="0"/>
        <v>4.0741472084881991E-8</v>
      </c>
      <c r="X28" s="2">
        <f t="shared" si="8"/>
        <v>0.96973210573196411</v>
      </c>
      <c r="Y28" s="2">
        <f t="shared" si="1"/>
        <v>-1.9988068755694144E-8</v>
      </c>
      <c r="Z28" s="2">
        <f t="shared" si="3"/>
        <v>0.96973207592964172</v>
      </c>
      <c r="AA28" s="2">
        <f t="shared" si="2"/>
        <v>1.0376701720105075E-8</v>
      </c>
      <c r="AB28" s="2">
        <f t="shared" si="4"/>
        <v>4.2276210346280785E-16</v>
      </c>
      <c r="AC28" s="2">
        <f t="shared" si="5"/>
        <v>-2.0741022743878993E-16</v>
      </c>
      <c r="AD28" s="2">
        <f t="shared" si="6"/>
        <v>5.9604644775390625E-8</v>
      </c>
      <c r="AF28" s="2">
        <v>24</v>
      </c>
      <c r="AG28" s="2">
        <f t="shared" si="13"/>
        <v>1835.9363675117493</v>
      </c>
      <c r="AH28" s="2">
        <v>-87.147632849108049</v>
      </c>
      <c r="AI28" s="2">
        <f t="shared" si="14"/>
        <v>1835.9375</v>
      </c>
      <c r="AJ28" s="2">
        <v>48.146257602825926</v>
      </c>
      <c r="AK28" s="2">
        <f t="shared" si="9"/>
        <v>1835.9369337558746</v>
      </c>
      <c r="AL28" s="2">
        <v>-19.399463444450248</v>
      </c>
      <c r="AM28" s="2">
        <f t="shared" si="10"/>
        <v>1690.6173177266433</v>
      </c>
      <c r="AN28" s="2">
        <f t="shared" si="11"/>
        <v>-934.01156435310634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231.99858714707347</v>
      </c>
      <c r="H29" s="22" t="s">
        <v>97</v>
      </c>
      <c r="J29" s="14" t="s">
        <v>68</v>
      </c>
      <c r="K29" s="6">
        <f>linear_250!K29</f>
        <v>36.492132150438337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0.96973207592964172</v>
      </c>
      <c r="W29" s="2">
        <f t="shared" si="0"/>
        <v>1.0376701720105075E-8</v>
      </c>
      <c r="X29" s="2">
        <f t="shared" si="8"/>
        <v>0.96973210573196411</v>
      </c>
      <c r="Y29" s="2">
        <f t="shared" si="1"/>
        <v>-1.9988068755694144E-8</v>
      </c>
      <c r="Z29" s="2">
        <f t="shared" si="3"/>
        <v>0.96973209083080292</v>
      </c>
      <c r="AA29" s="2">
        <f t="shared" si="2"/>
        <v>-4.8056835177945345E-9</v>
      </c>
      <c r="AB29" s="2">
        <f t="shared" si="4"/>
        <v>-4.9867144425379153E-17</v>
      </c>
      <c r="AC29" s="2">
        <f t="shared" si="5"/>
        <v>9.6056332571783258E-17</v>
      </c>
      <c r="AD29" s="2">
        <f t="shared" si="6"/>
        <v>2.9802322387695312E-8</v>
      </c>
      <c r="AF29" s="2">
        <v>25</v>
      </c>
      <c r="AG29" s="2">
        <f t="shared" si="13"/>
        <v>1835.9369337558746</v>
      </c>
      <c r="AH29" s="2">
        <v>-87.147632849108049</v>
      </c>
      <c r="AI29" s="2">
        <f t="shared" si="14"/>
        <v>1835.9375</v>
      </c>
      <c r="AJ29" s="2">
        <v>48.146257602825926</v>
      </c>
      <c r="AK29" s="2">
        <f t="shared" si="9"/>
        <v>1835.9372168779373</v>
      </c>
      <c r="AL29" s="2">
        <v>-19.399463444450248</v>
      </c>
      <c r="AM29" s="2">
        <f t="shared" si="10"/>
        <v>1690.6173177266433</v>
      </c>
      <c r="AN29" s="2">
        <f t="shared" si="11"/>
        <v>-934.01156435310634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-4.7529795119771734E-4</v>
      </c>
      <c r="L30" s="9" t="s">
        <v>7</v>
      </c>
      <c r="N30" s="6" t="s">
        <v>36</v>
      </c>
      <c r="O30" s="6">
        <f xml:space="preserve"> 1/$C$77 * LN( EXP($C$77 * O28) + EXP($C$77 * O29) )</f>
        <v>1.1646885922471963</v>
      </c>
      <c r="U30" s="2">
        <v>26</v>
      </c>
      <c r="V30" s="2">
        <f>IF(AB29&gt;0, Z29, V29)</f>
        <v>0.96973207592964172</v>
      </c>
      <c r="W30" s="2">
        <f t="shared" si="0"/>
        <v>1.0376701720105075E-8</v>
      </c>
      <c r="X30" s="2">
        <f t="shared" si="8"/>
        <v>0.96973209083080292</v>
      </c>
      <c r="Y30" s="2">
        <f t="shared" si="1"/>
        <v>-4.8056835177945345E-9</v>
      </c>
      <c r="Z30" s="2">
        <f t="shared" si="3"/>
        <v>0.96973208338022232</v>
      </c>
      <c r="AA30" s="2">
        <f t="shared" si="2"/>
        <v>2.7855090456441189E-9</v>
      </c>
      <c r="AB30" s="2">
        <f t="shared" si="4"/>
        <v>2.8904396505303574E-17</v>
      </c>
      <c r="AC30" s="2">
        <f t="shared" si="5"/>
        <v>-1.3386274909319526E-17</v>
      </c>
      <c r="AD30" s="2">
        <f t="shared" si="6"/>
        <v>1.4901161193847656E-8</v>
      </c>
      <c r="AF30" s="2">
        <v>26</v>
      </c>
      <c r="AG30" s="2">
        <f t="shared" si="13"/>
        <v>1835.9372168779373</v>
      </c>
      <c r="AH30" s="2">
        <v>-87.147632849108049</v>
      </c>
      <c r="AI30" s="2">
        <f t="shared" si="14"/>
        <v>1835.9375</v>
      </c>
      <c r="AJ30" s="2">
        <v>48.146257602825926</v>
      </c>
      <c r="AK30" s="2">
        <f t="shared" si="9"/>
        <v>1835.9373584389687</v>
      </c>
      <c r="AL30" s="2">
        <v>-19.399463444450248</v>
      </c>
      <c r="AM30" s="2">
        <f t="shared" si="10"/>
        <v>1690.6173177266433</v>
      </c>
      <c r="AN30" s="2">
        <f t="shared" si="11"/>
        <v>-934.01156435310634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0.96973208338022232</v>
      </c>
      <c r="W31" s="2">
        <f t="shared" si="0"/>
        <v>2.7855090456441189E-9</v>
      </c>
      <c r="X31" s="2">
        <f t="shared" si="8"/>
        <v>0.96973209083080292</v>
      </c>
      <c r="Y31" s="2">
        <f t="shared" si="1"/>
        <v>-4.8056835177945345E-9</v>
      </c>
      <c r="Z31" s="2">
        <f t="shared" si="3"/>
        <v>0.96973208710551262</v>
      </c>
      <c r="AA31" s="2">
        <f t="shared" si="2"/>
        <v>-1.0100872360752078E-9</v>
      </c>
      <c r="AB31" s="2">
        <f t="shared" si="4"/>
        <v>-2.8136071329771579E-18</v>
      </c>
      <c r="AC31" s="2">
        <f t="shared" si="5"/>
        <v>4.854159581941263E-18</v>
      </c>
      <c r="AD31" s="2">
        <f t="shared" si="6"/>
        <v>7.4505805969238281E-9</v>
      </c>
      <c r="AF31" s="2">
        <v>27</v>
      </c>
      <c r="AG31" s="2">
        <f t="shared" si="13"/>
        <v>1835.9373584389687</v>
      </c>
      <c r="AH31" s="2">
        <v>-87.147632849108049</v>
      </c>
      <c r="AI31" s="2">
        <f t="shared" si="14"/>
        <v>1835.9375</v>
      </c>
      <c r="AJ31" s="2">
        <v>48.146257602825926</v>
      </c>
      <c r="AK31" s="2">
        <f t="shared" si="9"/>
        <v>1835.9374292194843</v>
      </c>
      <c r="AL31" s="2">
        <v>-19.399463444450248</v>
      </c>
      <c r="AM31" s="2">
        <f t="shared" si="10"/>
        <v>1690.6173177266433</v>
      </c>
      <c r="AN31" s="2">
        <f t="shared" si="11"/>
        <v>-934.01156435310634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0.96973208338022232</v>
      </c>
      <c r="W32" s="2">
        <f t="shared" si="0"/>
        <v>2.7855090456441189E-9</v>
      </c>
      <c r="X32" s="2">
        <f t="shared" si="8"/>
        <v>0.96973208710551262</v>
      </c>
      <c r="Y32" s="2">
        <f t="shared" si="1"/>
        <v>-1.0100872360752078E-9</v>
      </c>
      <c r="Z32" s="2">
        <f t="shared" si="3"/>
        <v>0.96973208524286747</v>
      </c>
      <c r="AA32" s="2">
        <f t="shared" si="2"/>
        <v>8.8771090478445558E-10</v>
      </c>
      <c r="AB32" s="2">
        <f t="shared" si="4"/>
        <v>2.4727267551940262E-18</v>
      </c>
      <c r="AC32" s="2">
        <f t="shared" si="5"/>
        <v>-8.9666545424755268E-19</v>
      </c>
      <c r="AD32" s="2">
        <f t="shared" si="6"/>
        <v>3.7252902984619141E-9</v>
      </c>
      <c r="AF32" s="2">
        <v>28</v>
      </c>
      <c r="AG32" s="2">
        <f t="shared" si="13"/>
        <v>1835.9374292194843</v>
      </c>
      <c r="AH32" s="2">
        <v>-87.147632849108049</v>
      </c>
      <c r="AI32" s="2">
        <f t="shared" si="14"/>
        <v>1835.9375</v>
      </c>
      <c r="AJ32" s="2">
        <v>48.146257602825926</v>
      </c>
      <c r="AK32" s="2">
        <f t="shared" si="9"/>
        <v>1835.9374646097422</v>
      </c>
      <c r="AL32" s="2">
        <v>-19.399463444450248</v>
      </c>
      <c r="AM32" s="2">
        <f t="shared" si="10"/>
        <v>1690.6173177266433</v>
      </c>
      <c r="AN32" s="2">
        <f t="shared" si="11"/>
        <v>-934.01156435310634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106.08307248323126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0.96973208524286747</v>
      </c>
      <c r="W33" s="2">
        <f t="shared" si="0"/>
        <v>8.8771090478445558E-10</v>
      </c>
      <c r="X33" s="2">
        <f t="shared" si="8"/>
        <v>0.96973208710551262</v>
      </c>
      <c r="Y33" s="2">
        <f t="shared" si="1"/>
        <v>-1.0100872360752078E-9</v>
      </c>
      <c r="Z33" s="2">
        <f t="shared" si="3"/>
        <v>0.96973208617419004</v>
      </c>
      <c r="AA33" s="2">
        <f t="shared" si="2"/>
        <v>-6.1188165645376102E-11</v>
      </c>
      <c r="AB33" s="2">
        <f t="shared" si="4"/>
        <v>-5.4317401887157961E-20</v>
      </c>
      <c r="AC33" s="2">
        <f t="shared" si="5"/>
        <v>6.180538511724993E-20</v>
      </c>
      <c r="AD33" s="2">
        <f t="shared" si="6"/>
        <v>1.862645149230957E-9</v>
      </c>
      <c r="AF33" s="2">
        <v>29</v>
      </c>
      <c r="AG33" s="2">
        <f t="shared" si="13"/>
        <v>1835.9374646097422</v>
      </c>
      <c r="AH33" s="2">
        <v>-87.147632849108049</v>
      </c>
      <c r="AI33" s="2">
        <f t="shared" si="14"/>
        <v>1835.9375</v>
      </c>
      <c r="AJ33" s="2">
        <v>48.146257602825926</v>
      </c>
      <c r="AK33" s="2">
        <f t="shared" si="9"/>
        <v>1835.9374823048711</v>
      </c>
      <c r="AL33" s="2">
        <v>-19.399463444450248</v>
      </c>
      <c r="AM33" s="2">
        <f t="shared" si="10"/>
        <v>1690.6173177266433</v>
      </c>
      <c r="AN33" s="2">
        <f t="shared" si="11"/>
        <v>-934.01156435310634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33.65</v>
      </c>
      <c r="L34" s="6" t="s">
        <v>59</v>
      </c>
      <c r="U34" s="2">
        <v>30</v>
      </c>
      <c r="V34" s="2">
        <f t="shared" si="7"/>
        <v>0.96973208524286747</v>
      </c>
      <c r="W34" s="2">
        <f t="shared" si="0"/>
        <v>8.8771090478445558E-10</v>
      </c>
      <c r="X34" s="2">
        <f t="shared" si="8"/>
        <v>0.96973208617419004</v>
      </c>
      <c r="Y34" s="2">
        <f t="shared" si="1"/>
        <v>-6.1188165645376102E-11</v>
      </c>
      <c r="Z34" s="2">
        <f t="shared" si="3"/>
        <v>0.96973208570852876</v>
      </c>
      <c r="AA34" s="2">
        <f t="shared" si="2"/>
        <v>4.1326142508069097E-10</v>
      </c>
      <c r="AB34" s="2">
        <f t="shared" si="4"/>
        <v>3.6685667357089368E-19</v>
      </c>
      <c r="AC34" s="2">
        <f t="shared" si="5"/>
        <v>-2.5286708532681505E-20</v>
      </c>
      <c r="AD34" s="2">
        <f t="shared" si="6"/>
        <v>9.3132257461547852E-10</v>
      </c>
      <c r="AF34" s="2">
        <v>30</v>
      </c>
      <c r="AG34" s="2">
        <f t="shared" si="13"/>
        <v>1835.9374823048711</v>
      </c>
      <c r="AH34" s="2">
        <v>-87.147632849108049</v>
      </c>
      <c r="AI34" s="2">
        <f t="shared" si="14"/>
        <v>1835.9375</v>
      </c>
      <c r="AJ34" s="2">
        <v>48.146257602825926</v>
      </c>
      <c r="AK34" s="2">
        <f t="shared" si="9"/>
        <v>1835.9374911524355</v>
      </c>
      <c r="AL34" s="2">
        <v>-19.399463444450248</v>
      </c>
      <c r="AM34" s="2">
        <f t="shared" si="10"/>
        <v>1690.6173177266433</v>
      </c>
      <c r="AN34" s="2">
        <f t="shared" si="11"/>
        <v>-934.01156435310634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14.92</v>
      </c>
      <c r="L35" s="6" t="s">
        <v>59</v>
      </c>
      <c r="AF35" s="2">
        <v>31</v>
      </c>
      <c r="AG35" s="2">
        <f t="shared" si="13"/>
        <v>1835.9374911524355</v>
      </c>
      <c r="AH35" s="2">
        <v>-87.147632849108049</v>
      </c>
      <c r="AI35" s="2">
        <f t="shared" si="14"/>
        <v>1835.9375</v>
      </c>
      <c r="AJ35" s="2">
        <v>48.146257602825926</v>
      </c>
      <c r="AK35" s="2">
        <f t="shared" si="9"/>
        <v>1835.9374955762178</v>
      </c>
      <c r="AL35" s="2">
        <v>-19.399463444450248</v>
      </c>
      <c r="AM35" s="2">
        <f t="shared" si="10"/>
        <v>1690.6173177266433</v>
      </c>
      <c r="AN35" s="2">
        <f t="shared" si="11"/>
        <v>-934.01156435310634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19.45</v>
      </c>
      <c r="L36" s="6" t="s">
        <v>59</v>
      </c>
      <c r="AF36" s="2">
        <v>32</v>
      </c>
      <c r="AG36" s="2">
        <f t="shared" si="13"/>
        <v>1835.9374955762178</v>
      </c>
      <c r="AH36" s="2">
        <v>-87.147632849108049</v>
      </c>
      <c r="AI36" s="2">
        <f t="shared" si="14"/>
        <v>1835.9375</v>
      </c>
      <c r="AJ36" s="2">
        <v>48.146257602825926</v>
      </c>
      <c r="AK36" s="2">
        <f t="shared" si="9"/>
        <v>1835.9374977881089</v>
      </c>
      <c r="AL36" s="2">
        <v>-19.399463444450248</v>
      </c>
      <c r="AM36" s="2">
        <f t="shared" si="10"/>
        <v>1690.6173177266433</v>
      </c>
      <c r="AN36" s="2">
        <f t="shared" si="11"/>
        <v>-934.01156435310634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26.08</v>
      </c>
      <c r="L37" s="6" t="s">
        <v>59</v>
      </c>
      <c r="AF37" s="2">
        <v>33</v>
      </c>
      <c r="AG37" s="2">
        <f t="shared" si="13"/>
        <v>1835.9374977881089</v>
      </c>
      <c r="AH37" s="2">
        <v>-87.147632849108049</v>
      </c>
      <c r="AI37" s="2">
        <f t="shared" si="14"/>
        <v>1835.9375</v>
      </c>
      <c r="AJ37" s="2">
        <v>48.146257602825926</v>
      </c>
      <c r="AK37" s="2">
        <f t="shared" si="9"/>
        <v>1835.9374988940544</v>
      </c>
      <c r="AL37" s="2">
        <v>-19.399463444450248</v>
      </c>
      <c r="AM37" s="2">
        <f t="shared" si="10"/>
        <v>1690.6173177266433</v>
      </c>
      <c r="AN37" s="2">
        <f t="shared" si="11"/>
        <v>-934.01156435310634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5.9</v>
      </c>
      <c r="L38" s="6" t="s">
        <v>59</v>
      </c>
      <c r="AF38" s="2">
        <v>34</v>
      </c>
      <c r="AG38" s="2">
        <f t="shared" si="13"/>
        <v>1835.9374988940544</v>
      </c>
      <c r="AH38" s="2">
        <v>-87.147632849108049</v>
      </c>
      <c r="AI38" s="2">
        <f t="shared" si="14"/>
        <v>1835.9375</v>
      </c>
      <c r="AJ38" s="2">
        <v>48.146257602825926</v>
      </c>
      <c r="AK38" s="2">
        <f t="shared" si="9"/>
        <v>1835.9374994470272</v>
      </c>
      <c r="AL38" s="2">
        <v>-19.399463444450248</v>
      </c>
      <c r="AM38" s="2">
        <f t="shared" si="10"/>
        <v>1690.6173177266433</v>
      </c>
      <c r="AN38" s="2">
        <f t="shared" si="11"/>
        <v>-934.01156435310634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1835.9374994470272</v>
      </c>
      <c r="AH39" s="2">
        <v>-87.147632849108049</v>
      </c>
      <c r="AI39" s="2">
        <f t="shared" si="14"/>
        <v>1835.9375</v>
      </c>
      <c r="AJ39" s="2">
        <v>48.146257602825926</v>
      </c>
      <c r="AK39" s="2">
        <f t="shared" si="9"/>
        <v>1835.9374997235136</v>
      </c>
      <c r="AL39" s="2">
        <v>-19.399463444450248</v>
      </c>
      <c r="AM39" s="2">
        <f t="shared" si="10"/>
        <v>1690.6173177266433</v>
      </c>
      <c r="AN39" s="2">
        <f t="shared" si="11"/>
        <v>-934.01156435310634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1835.9374997235136</v>
      </c>
      <c r="AH40" s="2">
        <v>-87.147632849108049</v>
      </c>
      <c r="AI40" s="2">
        <f t="shared" si="14"/>
        <v>1835.9375</v>
      </c>
      <c r="AJ40" s="2">
        <v>48.146257602825926</v>
      </c>
      <c r="AK40" s="2">
        <f t="shared" si="9"/>
        <v>1835.9374998617568</v>
      </c>
      <c r="AL40" s="2">
        <v>-19.399463444450248</v>
      </c>
      <c r="AM40" s="2">
        <f t="shared" si="10"/>
        <v>1690.6173177266433</v>
      </c>
      <c r="AN40" s="2">
        <f t="shared" si="11"/>
        <v>-934.01156435310634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1835.9374998617568</v>
      </c>
      <c r="AH41" s="2">
        <v>-87.147632849108049</v>
      </c>
      <c r="AI41" s="2">
        <f t="shared" si="14"/>
        <v>1835.9375</v>
      </c>
      <c r="AJ41" s="2">
        <v>48.146257602825926</v>
      </c>
      <c r="AK41" s="2">
        <f t="shared" si="9"/>
        <v>1835.9374999308784</v>
      </c>
      <c r="AL41" s="2">
        <v>-19.399463444450248</v>
      </c>
      <c r="AM41" s="2">
        <f t="shared" si="10"/>
        <v>1690.6173177266433</v>
      </c>
      <c r="AN41" s="2">
        <f t="shared" si="11"/>
        <v>-934.01156435310634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1835.9374999308784</v>
      </c>
      <c r="AH42" s="2">
        <v>-87.147632849108049</v>
      </c>
      <c r="AI42" s="2">
        <f t="shared" si="14"/>
        <v>1835.9375</v>
      </c>
      <c r="AJ42" s="2">
        <v>48.146257602825926</v>
      </c>
      <c r="AK42" s="2">
        <f t="shared" si="9"/>
        <v>1835.9374999654392</v>
      </c>
      <c r="AL42" s="2">
        <v>-19.399463444450248</v>
      </c>
      <c r="AM42" s="2">
        <f t="shared" si="10"/>
        <v>1690.6173177266433</v>
      </c>
      <c r="AN42" s="2">
        <f t="shared" si="11"/>
        <v>-934.01156435310634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265.95</v>
      </c>
      <c r="L43" s="6" t="s">
        <v>7</v>
      </c>
      <c r="AF43" s="2">
        <v>39</v>
      </c>
      <c r="AG43" s="2">
        <f t="shared" si="13"/>
        <v>1835.9374999654392</v>
      </c>
      <c r="AH43" s="2">
        <v>-87.147632849108049</v>
      </c>
      <c r="AI43" s="2">
        <f t="shared" si="14"/>
        <v>1835.9375</v>
      </c>
      <c r="AJ43" s="2">
        <v>48.146257602825926</v>
      </c>
      <c r="AK43" s="2">
        <f t="shared" si="9"/>
        <v>1835.9374999827196</v>
      </c>
      <c r="AL43" s="2">
        <v>-19.399463444450248</v>
      </c>
      <c r="AM43" s="2">
        <f t="shared" si="10"/>
        <v>1690.6173177266433</v>
      </c>
      <c r="AN43" s="2">
        <f t="shared" si="11"/>
        <v>-934.01156435310634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346.85</v>
      </c>
      <c r="L44" s="6" t="s">
        <v>7</v>
      </c>
      <c r="AF44" s="2">
        <v>40</v>
      </c>
      <c r="AG44" s="2">
        <f t="shared" si="13"/>
        <v>1835.9374999827196</v>
      </c>
      <c r="AH44" s="2">
        <v>-87.147632849108049</v>
      </c>
      <c r="AI44" s="2">
        <f t="shared" si="14"/>
        <v>1835.9375</v>
      </c>
      <c r="AJ44" s="2">
        <v>48.146257602825926</v>
      </c>
      <c r="AK44" s="5">
        <f t="shared" si="9"/>
        <v>1835.9374999913598</v>
      </c>
      <c r="AL44" s="2">
        <v>-19.399463444450248</v>
      </c>
      <c r="AM44" s="2">
        <f t="shared" si="10"/>
        <v>1690.6173177266433</v>
      </c>
      <c r="AN44" s="2">
        <f t="shared" si="11"/>
        <v>-934.01156435310634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464.96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105.25</v>
      </c>
      <c r="L46" s="6" t="s">
        <v>7</v>
      </c>
    </row>
    <row r="47" spans="2:41" x14ac:dyDescent="0.2">
      <c r="J47" s="9" t="s">
        <v>60</v>
      </c>
      <c r="K47" s="9">
        <f>SUM(K42:K46)</f>
        <v>1783.0100000000002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C0DB-BD57-AB47-BA24-1419F20343D5}">
  <dimension ref="B1:AO81"/>
  <sheetViews>
    <sheetView zoomScale="88" workbookViewId="0">
      <selection activeCell="F36" sqref="F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375.861487830893</v>
      </c>
      <c r="L4" s="6" t="s">
        <v>97</v>
      </c>
      <c r="N4" s="6" t="s">
        <v>131</v>
      </c>
      <c r="O4" s="6">
        <f xml:space="preserve"> $C$5 * $C$74</f>
        <v>16874.382658977811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1.1643019364259704</v>
      </c>
      <c r="X4" s="3">
        <v>1</v>
      </c>
      <c r="Y4" s="2">
        <f t="shared" ref="Y4:Y34" si="1" xml:space="preserve"> $O$22 * TAN($O$19/180*PI()) + $O$23 / (2 * SQRT($O$22^2 + X4^2)) - X4</f>
        <v>-3.1037209699437462E-2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0.48627063788117941</v>
      </c>
      <c r="AB4" s="2">
        <f>W4*AA4</f>
        <v>0.56616584531214897</v>
      </c>
      <c r="AC4" s="2">
        <f>Y4*AA4</f>
        <v>-1.5092483758597383E-2</v>
      </c>
      <c r="AD4" s="2">
        <f>X4-V4</f>
        <v>1</v>
      </c>
      <c r="AF4" s="2">
        <v>0</v>
      </c>
      <c r="AH4" s="2">
        <f>K30</f>
        <v>-3.9171296180029458E-4</v>
      </c>
      <c r="AJ4" s="2">
        <f>K30</f>
        <v>-3.9171296180029458E-4</v>
      </c>
      <c r="AL4" s="2">
        <f>K30</f>
        <v>-3.9171296180029458E-4</v>
      </c>
    </row>
    <row r="5" spans="2:41" x14ac:dyDescent="0.2">
      <c r="B5" s="9" t="s">
        <v>38</v>
      </c>
      <c r="C5" s="9">
        <v>1721.7785072373199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46.982685978861625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0.48627063788117941</v>
      </c>
      <c r="X5" s="2">
        <f>IF(AC4&gt;0, Z4, X4)</f>
        <v>1</v>
      </c>
      <c r="Y5" s="2">
        <f t="shared" si="1"/>
        <v>-3.1037209699437462E-2</v>
      </c>
      <c r="Z5" s="2">
        <f t="shared" ref="Z5:Z34" si="3" xml:space="preserve"> (V5 + X5)/2</f>
        <v>0.75</v>
      </c>
      <c r="AA5" s="2">
        <f t="shared" si="2"/>
        <v>0.22478899154250387</v>
      </c>
      <c r="AB5" s="2">
        <f t="shared" ref="AB5:AB34" si="4">W5*AA5</f>
        <v>0.10930828630604041</v>
      </c>
      <c r="AC5" s="2">
        <f t="shared" ref="AC5:AC34" si="5">Y5*AA5</f>
        <v>-6.9768230686297669E-3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-1160.9684594393354</v>
      </c>
      <c r="AI5" s="3">
        <v>10000</v>
      </c>
      <c r="AJ5" s="2">
        <f t="dataTable" ref="AJ5:AJ44" dt2D="0" dtr="0" r1="C5" ca="1"/>
        <v>7518.0302463273329</v>
      </c>
      <c r="AK5" s="2">
        <f>(AG5+AI5)/2</f>
        <v>5250</v>
      </c>
      <c r="AL5" s="2">
        <f t="dataTable" ref="AL5:AL44" dt2D="0" dtr="0" r1="C5" ca="1"/>
        <v>3114.1719331467757</v>
      </c>
      <c r="AM5" s="2">
        <f>AH5*AL5</f>
        <v>-3615455.3916546293</v>
      </c>
      <c r="AN5" s="2">
        <f>AJ5*AL5</f>
        <v>23412438.78566112</v>
      </c>
      <c r="AO5" s="2">
        <f>AI5-AG5</f>
        <v>9500</v>
      </c>
    </row>
    <row r="6" spans="2:41" x14ac:dyDescent="0.2">
      <c r="B6" s="6" t="s">
        <v>168</v>
      </c>
      <c r="C6" s="16">
        <v>408.50973725072402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157.21845467354575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0.18809536906534807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0.22478899154250387</v>
      </c>
      <c r="X6" s="2">
        <f t="shared" ref="X6:X34" si="8">IF(AC5&gt;0, Z5, X5)</f>
        <v>1</v>
      </c>
      <c r="Y6" s="2">
        <f t="shared" si="1"/>
        <v>-3.1037209699437462E-2</v>
      </c>
      <c r="Z6" s="2">
        <f t="shared" si="3"/>
        <v>0.875</v>
      </c>
      <c r="AA6" s="2">
        <f t="shared" si="2"/>
        <v>9.6465407269031966E-2</v>
      </c>
      <c r="AB6" s="2">
        <f t="shared" si="4"/>
        <v>2.1684361618742619E-2</v>
      </c>
      <c r="AC6" s="2">
        <f t="shared" si="5"/>
        <v>-2.994017074150584E-3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-1160.9684594393354</v>
      </c>
      <c r="AI6" s="2">
        <f>IF(AN5&gt;0,AK5,AI5)</f>
        <v>5250</v>
      </c>
      <c r="AJ6" s="2">
        <v>3114.1719331467757</v>
      </c>
      <c r="AK6" s="2">
        <f t="shared" ref="AK6:AK44" si="9">(AG6+AI6)/2</f>
        <v>2875</v>
      </c>
      <c r="AL6" s="2">
        <v>1055.5087373869401</v>
      </c>
      <c r="AM6" s="2">
        <f t="shared" ref="AM6:AM44" si="10">AH6*AL6</f>
        <v>-1225412.352768874</v>
      </c>
      <c r="AN6" s="2">
        <f t="shared" ref="AN6:AN44" si="11">AJ6*AL6</f>
        <v>3287035.6851615994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2109.4996092439787</v>
      </c>
      <c r="H7" s="6" t="s">
        <v>21</v>
      </c>
      <c r="J7" s="6" t="s">
        <v>133</v>
      </c>
      <c r="K7" s="6">
        <f>K6/$C$28</f>
        <v>157.21845467354575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9.6465407269031966E-2</v>
      </c>
      <c r="X7" s="2">
        <f t="shared" si="8"/>
        <v>1</v>
      </c>
      <c r="Y7" s="2">
        <f t="shared" si="1"/>
        <v>-3.1037209699437462E-2</v>
      </c>
      <c r="Z7" s="2">
        <f t="shared" si="3"/>
        <v>0.9375</v>
      </c>
      <c r="AA7" s="2">
        <f t="shared" si="2"/>
        <v>3.2631659563661541E-2</v>
      </c>
      <c r="AB7" s="2">
        <f t="shared" si="4"/>
        <v>3.1478263296730127E-3</v>
      </c>
      <c r="AC7" s="2">
        <f t="shared" si="5"/>
        <v>-1.0127956607180171E-3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-1160.9684594393354</v>
      </c>
      <c r="AI7" s="2">
        <f t="shared" ref="AI7:AI44" si="14">IF(AN6&gt;0,AK6,AI6)</f>
        <v>2875</v>
      </c>
      <c r="AJ7" s="2">
        <v>1055.5087373869401</v>
      </c>
      <c r="AK7" s="2">
        <f t="shared" si="9"/>
        <v>1687.5</v>
      </c>
      <c r="AL7" s="2">
        <v>-31.950629231593439</v>
      </c>
      <c r="AM7" s="2">
        <f t="shared" si="10"/>
        <v>37093.672797120431</v>
      </c>
      <c r="AN7" s="2">
        <f t="shared" si="11"/>
        <v>-33724.168318957447</v>
      </c>
      <c r="AO7" s="2">
        <f t="shared" si="12"/>
        <v>2375</v>
      </c>
    </row>
    <row r="8" spans="2:41" x14ac:dyDescent="0.2">
      <c r="B8" s="6" t="s">
        <v>91</v>
      </c>
      <c r="C8" s="16">
        <v>1.83663204595837</v>
      </c>
      <c r="D8" s="6" t="s">
        <v>8</v>
      </c>
      <c r="F8" t="s">
        <v>93</v>
      </c>
      <c r="G8" s="6">
        <f>G10/$C$21</f>
        <v>31.321790652574414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3.2631659563661541E-2</v>
      </c>
      <c r="X8" s="2">
        <f t="shared" si="8"/>
        <v>1</v>
      </c>
      <c r="Y8" s="2">
        <f t="shared" si="1"/>
        <v>-3.1037209699437462E-2</v>
      </c>
      <c r="Z8" s="2">
        <f t="shared" si="3"/>
        <v>0.96875</v>
      </c>
      <c r="AA8" s="2">
        <f t="shared" si="2"/>
        <v>7.785795410905072E-4</v>
      </c>
      <c r="AB8" s="2">
        <f t="shared" si="4"/>
        <v>2.5406342528097263E-5</v>
      </c>
      <c r="AC8" s="2">
        <f t="shared" si="5"/>
        <v>-2.4164936484517857E-5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-31.950629231593439</v>
      </c>
      <c r="AI8" s="2">
        <f t="shared" si="14"/>
        <v>2875</v>
      </c>
      <c r="AJ8" s="2">
        <v>1055.5087373869401</v>
      </c>
      <c r="AK8" s="2">
        <f t="shared" si="9"/>
        <v>2281.25</v>
      </c>
      <c r="AL8" s="2">
        <v>516.71858369359802</v>
      </c>
      <c r="AM8" s="2">
        <f t="shared" si="10"/>
        <v>-16509.483884668232</v>
      </c>
      <c r="AN8" s="2">
        <f t="shared" si="11"/>
        <v>545400.97985879763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6.8713285198774336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7.785795410905072E-4</v>
      </c>
      <c r="X9" s="2">
        <f t="shared" si="8"/>
        <v>1</v>
      </c>
      <c r="Y9" s="2">
        <f t="shared" si="1"/>
        <v>-3.1037209699437462E-2</v>
      </c>
      <c r="Z9" s="2">
        <f t="shared" si="3"/>
        <v>0.984375</v>
      </c>
      <c r="AA9" s="2">
        <f t="shared" si="2"/>
        <v>-1.5133757654584801E-2</v>
      </c>
      <c r="AB9" s="2">
        <f t="shared" si="4"/>
        <v>-1.1782834089681585E-5</v>
      </c>
      <c r="AC9" s="2">
        <f t="shared" si="5"/>
        <v>4.697096098658153E-4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-31.950629231593439</v>
      </c>
      <c r="AI9" s="2">
        <f t="shared" si="14"/>
        <v>2281.25</v>
      </c>
      <c r="AJ9" s="2">
        <v>516.71858369359802</v>
      </c>
      <c r="AK9" s="2">
        <f t="shared" si="9"/>
        <v>1984.375</v>
      </c>
      <c r="AL9" s="2">
        <v>243.6373659259948</v>
      </c>
      <c r="AM9" s="2">
        <f t="shared" si="10"/>
        <v>-7784.3671456635166</v>
      </c>
      <c r="AN9" s="2">
        <f t="shared" si="11"/>
        <v>125891.95465611891</v>
      </c>
      <c r="AO9" s="2">
        <f t="shared" si="12"/>
        <v>593.75</v>
      </c>
    </row>
    <row r="10" spans="2:41" x14ac:dyDescent="0.2">
      <c r="B10" s="6" t="s">
        <v>134</v>
      </c>
      <c r="C10" s="16">
        <v>1.64147857522817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250.57432522059531</v>
      </c>
      <c r="H10" s="22" t="s">
        <v>97</v>
      </c>
      <c r="J10" s="6" t="s">
        <v>92</v>
      </c>
      <c r="K10" s="6">
        <f xml:space="preserve"> $C$18 * (G10*G6 + G20*G13 + G29*G25 + G33*G32)/3600</f>
        <v>97.445426699863972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7.785795410905072E-4</v>
      </c>
      <c r="X10" s="2">
        <f t="shared" si="8"/>
        <v>0.984375</v>
      </c>
      <c r="Y10" s="2">
        <f t="shared" si="1"/>
        <v>-1.5133757654584801E-2</v>
      </c>
      <c r="Z10" s="2">
        <f t="shared" si="3"/>
        <v>0.9765625</v>
      </c>
      <c r="AA10" s="2">
        <f t="shared" si="2"/>
        <v>-7.1787259731830311E-3</v>
      </c>
      <c r="AB10" s="2">
        <f t="shared" si="4"/>
        <v>-5.5892091738153487E-6</v>
      </c>
      <c r="AC10" s="2">
        <f t="shared" si="5"/>
        <v>1.0864109914682543E-4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-31.950629231593439</v>
      </c>
      <c r="AI10" s="2">
        <f t="shared" si="14"/>
        <v>1984.375</v>
      </c>
      <c r="AJ10" s="2">
        <v>243.6373659259948</v>
      </c>
      <c r="AK10" s="2">
        <f t="shared" si="9"/>
        <v>1835.9375</v>
      </c>
      <c r="AL10" s="2">
        <v>106.15974898064042</v>
      </c>
      <c r="AM10" s="2">
        <f t="shared" si="10"/>
        <v>-3391.8707789994714</v>
      </c>
      <c r="AN10" s="2">
        <f t="shared" si="11"/>
        <v>25864.481609008042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0.86501610464432066</v>
      </c>
      <c r="U11" s="2">
        <v>7</v>
      </c>
      <c r="V11" s="2">
        <f t="shared" si="7"/>
        <v>0.96875</v>
      </c>
      <c r="W11" s="2">
        <f t="shared" si="0"/>
        <v>7.785795410905072E-4</v>
      </c>
      <c r="X11" s="2">
        <f t="shared" si="8"/>
        <v>0.9765625</v>
      </c>
      <c r="Y11" s="2">
        <f t="shared" si="1"/>
        <v>-7.1787259731830311E-3</v>
      </c>
      <c r="Z11" s="2">
        <f t="shared" si="3"/>
        <v>0.97265625</v>
      </c>
      <c r="AA11" s="2">
        <f t="shared" si="2"/>
        <v>-3.2003608198779565E-3</v>
      </c>
      <c r="AB11" s="2">
        <f t="shared" si="4"/>
        <v>-2.4917354584646186E-6</v>
      </c>
      <c r="AC11" s="2">
        <f t="shared" si="5"/>
        <v>2.2974513341215226E-5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-31.950629231593439</v>
      </c>
      <c r="AI11" s="2">
        <f t="shared" si="14"/>
        <v>1835.9375</v>
      </c>
      <c r="AJ11" s="2">
        <v>106.15974898064042</v>
      </c>
      <c r="AK11" s="2">
        <f t="shared" si="9"/>
        <v>1761.71875</v>
      </c>
      <c r="AL11" s="2">
        <v>37.18409315778058</v>
      </c>
      <c r="AM11" s="2">
        <f t="shared" si="10"/>
        <v>-1188.0551737972778</v>
      </c>
      <c r="AN11" s="2">
        <f t="shared" si="11"/>
        <v>3947.453995702735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0.24806544895646707</v>
      </c>
      <c r="U12" s="2">
        <v>8</v>
      </c>
      <c r="V12" s="2">
        <f t="shared" si="7"/>
        <v>0.96875</v>
      </c>
      <c r="W12" s="2">
        <f t="shared" si="0"/>
        <v>7.785795410905072E-4</v>
      </c>
      <c r="X12" s="2">
        <f t="shared" si="8"/>
        <v>0.97265625</v>
      </c>
      <c r="Y12" s="2">
        <f t="shared" si="1"/>
        <v>-3.2003608198779565E-3</v>
      </c>
      <c r="Z12" s="2">
        <f t="shared" si="3"/>
        <v>0.970703125</v>
      </c>
      <c r="AA12" s="2">
        <f t="shared" si="2"/>
        <v>-1.2109629680248091E-3</v>
      </c>
      <c r="AB12" s="2">
        <f t="shared" si="4"/>
        <v>-9.4283099192235437E-7</v>
      </c>
      <c r="AC12" s="2">
        <f t="shared" si="5"/>
        <v>3.8755184371897213E-6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-31.950629231593439</v>
      </c>
      <c r="AI12" s="2">
        <f t="shared" si="14"/>
        <v>1761.71875</v>
      </c>
      <c r="AJ12" s="2">
        <v>37.18409315778058</v>
      </c>
      <c r="AK12" s="2">
        <f t="shared" si="9"/>
        <v>1724.609375</v>
      </c>
      <c r="AL12" s="2">
        <v>2.6366743789026259</v>
      </c>
      <c r="AM12" s="2">
        <f t="shared" si="10"/>
        <v>-84.24340548475972</v>
      </c>
      <c r="AN12" s="2">
        <f t="shared" si="11"/>
        <v>98.042345731848499</v>
      </c>
      <c r="AO12" s="2">
        <f t="shared" si="12"/>
        <v>74.21875</v>
      </c>
    </row>
    <row r="13" spans="2:41" x14ac:dyDescent="0.2">
      <c r="B13" s="6" t="s">
        <v>136</v>
      </c>
      <c r="C13" s="16">
        <v>6.1341865022686601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2.1941968846764696E-2</v>
      </c>
      <c r="U13" s="2">
        <v>9</v>
      </c>
      <c r="V13" s="2">
        <f t="shared" si="7"/>
        <v>0.96875</v>
      </c>
      <c r="W13" s="2">
        <f t="shared" si="0"/>
        <v>7.785795410905072E-4</v>
      </c>
      <c r="X13" s="2">
        <f t="shared" si="8"/>
        <v>0.970703125</v>
      </c>
      <c r="Y13" s="2">
        <f t="shared" si="1"/>
        <v>-1.2109629680248091E-3</v>
      </c>
      <c r="Z13" s="2">
        <f t="shared" si="3"/>
        <v>0.9697265625</v>
      </c>
      <c r="AA13" s="2">
        <f t="shared" si="2"/>
        <v>-2.1620984945402988E-4</v>
      </c>
      <c r="AB13" s="2">
        <f t="shared" si="4"/>
        <v>-1.6833656536716622E-7</v>
      </c>
      <c r="AC13" s="2">
        <f t="shared" si="5"/>
        <v>2.6182212101104919E-7</v>
      </c>
      <c r="AD13" s="2">
        <f t="shared" si="6"/>
        <v>1.953125E-3</v>
      </c>
      <c r="AF13" s="2">
        <v>9</v>
      </c>
      <c r="AG13" s="2">
        <f t="shared" si="13"/>
        <v>1687.5</v>
      </c>
      <c r="AH13" s="2">
        <v>-31.950629231593439</v>
      </c>
      <c r="AI13" s="2">
        <f t="shared" si="14"/>
        <v>1724.609375</v>
      </c>
      <c r="AJ13" s="2">
        <v>2.6366743789026259</v>
      </c>
      <c r="AK13" s="2">
        <f t="shared" si="9"/>
        <v>1706.0546875</v>
      </c>
      <c r="AL13" s="2">
        <v>-14.651984104988969</v>
      </c>
      <c r="AM13" s="2">
        <f t="shared" si="10"/>
        <v>468.14011164570297</v>
      </c>
      <c r="AN13" s="2">
        <f t="shared" si="11"/>
        <v>-38.632511089712935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70.22087705249325</v>
      </c>
      <c r="H14" s="6" t="s">
        <v>10</v>
      </c>
      <c r="J14" s="9" t="s">
        <v>75</v>
      </c>
      <c r="K14" s="17">
        <f>C5</f>
        <v>1721.7785072373199</v>
      </c>
      <c r="L14" s="6" t="s">
        <v>7</v>
      </c>
      <c r="N14" s="6" t="s">
        <v>40</v>
      </c>
      <c r="O14" s="6">
        <f xml:space="preserve"> O5 * O13 * $C$12</f>
        <v>1492.5785923401766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7.785795410905072E-4</v>
      </c>
      <c r="X14" s="2">
        <f t="shared" si="8"/>
        <v>0.9697265625</v>
      </c>
      <c r="Y14" s="2">
        <f t="shared" si="1"/>
        <v>-2.1620984945402988E-4</v>
      </c>
      <c r="Z14" s="2">
        <f t="shared" si="3"/>
        <v>0.96923828125</v>
      </c>
      <c r="AA14" s="2">
        <f t="shared" si="2"/>
        <v>2.8118030506951719E-4</v>
      </c>
      <c r="AB14" s="2">
        <f t="shared" si="4"/>
        <v>2.189212328847135E-7</v>
      </c>
      <c r="AC14" s="2">
        <f t="shared" si="5"/>
        <v>-6.079395142851851E-8</v>
      </c>
      <c r="AD14" s="2">
        <f t="shared" si="6"/>
        <v>9.765625E-4</v>
      </c>
      <c r="AF14" s="2">
        <v>10</v>
      </c>
      <c r="AG14" s="2">
        <f t="shared" si="13"/>
        <v>1706.0546875</v>
      </c>
      <c r="AH14" s="2">
        <v>-14.651984104988969</v>
      </c>
      <c r="AI14" s="2">
        <f t="shared" si="14"/>
        <v>1724.609375</v>
      </c>
      <c r="AJ14" s="2">
        <v>2.6366743789026259</v>
      </c>
      <c r="AK14" s="2">
        <f t="shared" si="9"/>
        <v>1715.33203125</v>
      </c>
      <c r="AL14" s="2">
        <v>-6.0064074589886332</v>
      </c>
      <c r="AM14" s="2">
        <f t="shared" si="10"/>
        <v>88.005786617188633</v>
      </c>
      <c r="AN14" s="2">
        <f t="shared" si="11"/>
        <v>-15.836940656364954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0.21104985351615438</v>
      </c>
      <c r="H15" s="6" t="s">
        <v>120</v>
      </c>
      <c r="J15" s="10" t="s">
        <v>53</v>
      </c>
      <c r="K15" s="6">
        <f xml:space="preserve"> 1000 * K10 / ($C$60 * $C$61 * $C$62)</f>
        <v>204.71728298290753</v>
      </c>
      <c r="L15" s="6" t="s">
        <v>7</v>
      </c>
      <c r="N15" s="6" t="s">
        <v>140</v>
      </c>
      <c r="O15" s="6">
        <f>O4/O14</f>
        <v>11.305523706139246</v>
      </c>
      <c r="U15" s="2">
        <v>11</v>
      </c>
      <c r="V15" s="2">
        <f t="shared" si="7"/>
        <v>0.96923828125</v>
      </c>
      <c r="W15" s="2">
        <f t="shared" si="0"/>
        <v>2.8118030506951719E-4</v>
      </c>
      <c r="X15" s="2">
        <f t="shared" si="8"/>
        <v>0.9697265625</v>
      </c>
      <c r="Y15" s="2">
        <f t="shared" si="1"/>
        <v>-2.1620984945402988E-4</v>
      </c>
      <c r="Z15" s="2">
        <f t="shared" si="3"/>
        <v>0.969482421875</v>
      </c>
      <c r="AA15" s="2">
        <f t="shared" si="2"/>
        <v>3.2484093465678932E-5</v>
      </c>
      <c r="AB15" s="2">
        <f t="shared" si="4"/>
        <v>9.1338873105863118E-9</v>
      </c>
      <c r="AC15" s="2">
        <f t="shared" si="5"/>
        <v>-7.0233809578650774E-9</v>
      </c>
      <c r="AD15" s="2">
        <f t="shared" si="6"/>
        <v>4.8828125E-4</v>
      </c>
      <c r="AF15" s="2">
        <v>11</v>
      </c>
      <c r="AG15" s="2">
        <f t="shared" si="13"/>
        <v>1715.33203125</v>
      </c>
      <c r="AH15" s="2">
        <v>-6.0064074589886332</v>
      </c>
      <c r="AI15" s="2">
        <f t="shared" si="14"/>
        <v>1724.609375</v>
      </c>
      <c r="AJ15" s="2">
        <v>2.6366743789026259</v>
      </c>
      <c r="AK15" s="2">
        <f t="shared" si="9"/>
        <v>1719.970703125</v>
      </c>
      <c r="AL15" s="2">
        <v>-1.6845547653190351</v>
      </c>
      <c r="AM15" s="2">
        <f t="shared" si="10"/>
        <v>10.118122307487099</v>
      </c>
      <c r="AN15" s="2">
        <f t="shared" si="11"/>
        <v>-4.4416223895750253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1492.5785923401766</v>
      </c>
      <c r="H16" s="6" t="s">
        <v>21</v>
      </c>
      <c r="J16" s="11" t="s">
        <v>123</v>
      </c>
      <c r="K16" s="6">
        <f>linear_250!K16</f>
        <v>161.65759116245079</v>
      </c>
      <c r="L16" s="6" t="s">
        <v>7</v>
      </c>
      <c r="N16" s="6" t="s">
        <v>111</v>
      </c>
      <c r="O16" s="6">
        <f>(O13*$C$12)/(0.3048^2)/($C$5*2.20462/1000)^(2/3)</f>
        <v>2.9117868028876757</v>
      </c>
      <c r="U16" s="2">
        <v>12</v>
      </c>
      <c r="V16" s="2">
        <f t="shared" si="7"/>
        <v>0.969482421875</v>
      </c>
      <c r="W16" s="2">
        <f t="shared" si="0"/>
        <v>3.2484093465678932E-5</v>
      </c>
      <c r="X16" s="2">
        <f t="shared" si="8"/>
        <v>0.9697265625</v>
      </c>
      <c r="Y16" s="2">
        <f t="shared" si="1"/>
        <v>-2.1620984945402988E-4</v>
      </c>
      <c r="Z16" s="2">
        <f t="shared" si="3"/>
        <v>0.9696044921875</v>
      </c>
      <c r="AA16" s="2">
        <f t="shared" si="2"/>
        <v>-9.1863161474248223E-5</v>
      </c>
      <c r="AB16" s="2">
        <f t="shared" si="4"/>
        <v>-2.9840915233822352E-9</v>
      </c>
      <c r="AC16" s="2">
        <f t="shared" si="5"/>
        <v>1.9861720312718446E-8</v>
      </c>
      <c r="AD16" s="2">
        <f t="shared" si="6"/>
        <v>2.44140625E-4</v>
      </c>
      <c r="AF16" s="2">
        <v>12</v>
      </c>
      <c r="AG16" s="2">
        <f t="shared" si="13"/>
        <v>1719.970703125</v>
      </c>
      <c r="AH16" s="2">
        <v>-1.6845547653190351</v>
      </c>
      <c r="AI16" s="2">
        <f t="shared" si="14"/>
        <v>1724.609375</v>
      </c>
      <c r="AJ16" s="2">
        <v>2.6366743789026259</v>
      </c>
      <c r="AK16" s="2">
        <f t="shared" si="9"/>
        <v>1722.2900390625</v>
      </c>
      <c r="AL16" s="2">
        <v>0.47613775743388942</v>
      </c>
      <c r="AM16" s="2">
        <f t="shared" si="10"/>
        <v>-0.80208012823357722</v>
      </c>
      <c r="AN16" s="2">
        <f t="shared" si="11"/>
        <v>1.2554202258540896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104.81230311569718</v>
      </c>
      <c r="H17" s="6" t="s">
        <v>97</v>
      </c>
      <c r="J17" s="11" t="s">
        <v>124</v>
      </c>
      <c r="K17" s="6">
        <f>linear_250!K17</f>
        <v>0</v>
      </c>
      <c r="L17" s="6" t="s">
        <v>7</v>
      </c>
      <c r="U17" s="2">
        <v>13</v>
      </c>
      <c r="V17" s="2">
        <f t="shared" si="7"/>
        <v>0.969482421875</v>
      </c>
      <c r="W17" s="2">
        <f t="shared" si="0"/>
        <v>3.2484093465678932E-5</v>
      </c>
      <c r="X17" s="2">
        <f t="shared" si="8"/>
        <v>0.9696044921875</v>
      </c>
      <c r="Y17" s="2">
        <f t="shared" si="1"/>
        <v>-9.1863161474248223E-5</v>
      </c>
      <c r="Z17" s="2">
        <f t="shared" si="3"/>
        <v>0.96954345703125</v>
      </c>
      <c r="AA17" s="2">
        <f t="shared" si="2"/>
        <v>-2.9689604887472854E-5</v>
      </c>
      <c r="AB17" s="2">
        <f t="shared" si="4"/>
        <v>-9.6443990012374622E-10</v>
      </c>
      <c r="AC17" s="2">
        <f t="shared" si="5"/>
        <v>2.7273809678845482E-9</v>
      </c>
      <c r="AD17" s="2">
        <f t="shared" si="6"/>
        <v>1.220703125E-4</v>
      </c>
      <c r="AF17" s="2">
        <v>13</v>
      </c>
      <c r="AG17" s="2">
        <f t="shared" si="13"/>
        <v>1719.970703125</v>
      </c>
      <c r="AH17" s="2">
        <v>-1.6845547653190351</v>
      </c>
      <c r="AI17" s="2">
        <f t="shared" si="14"/>
        <v>1722.2900390625</v>
      </c>
      <c r="AJ17" s="2">
        <v>0.47613775743388942</v>
      </c>
      <c r="AK17" s="2">
        <f t="shared" si="9"/>
        <v>1721.13037109375</v>
      </c>
      <c r="AL17" s="2">
        <v>-0.60418901442540118</v>
      </c>
      <c r="AM17" s="2">
        <f t="shared" si="10"/>
        <v>1.0177894834037209</v>
      </c>
      <c r="AN17" s="2">
        <f t="shared" si="11"/>
        <v>-0.2876772023947024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1.4530291705101728</v>
      </c>
      <c r="H18" s="6" t="s">
        <v>172</v>
      </c>
      <c r="J18" s="12" t="s">
        <v>54</v>
      </c>
      <c r="K18" s="6">
        <f>linear_250!K18</f>
        <v>120.45771389486413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0.969482421875</v>
      </c>
      <c r="W18" s="2">
        <f t="shared" si="0"/>
        <v>3.2484093465678932E-5</v>
      </c>
      <c r="X18" s="2">
        <f t="shared" si="8"/>
        <v>0.96954345703125</v>
      </c>
      <c r="Y18" s="2">
        <f t="shared" si="1"/>
        <v>-2.9689604887472854E-5</v>
      </c>
      <c r="Z18" s="2">
        <f t="shared" si="3"/>
        <v>0.969512939453125</v>
      </c>
      <c r="AA18" s="2">
        <f t="shared" si="2"/>
        <v>1.3972265666684081E-6</v>
      </c>
      <c r="AB18" s="2">
        <f t="shared" si="4"/>
        <v>4.538763838438624E-11</v>
      </c>
      <c r="AC18" s="2">
        <f t="shared" si="5"/>
        <v>-4.148310470266528E-11</v>
      </c>
      <c r="AD18" s="2">
        <f t="shared" si="6"/>
        <v>6.103515625E-5</v>
      </c>
      <c r="AF18" s="2">
        <v>14</v>
      </c>
      <c r="AG18" s="2">
        <f t="shared" si="13"/>
        <v>1721.13037109375</v>
      </c>
      <c r="AH18" s="2">
        <v>-0.60418901442540118</v>
      </c>
      <c r="AI18" s="2">
        <f t="shared" si="14"/>
        <v>1722.2900390625</v>
      </c>
      <c r="AJ18" s="2">
        <v>0.47613775743388942</v>
      </c>
      <c r="AK18" s="2">
        <f t="shared" si="9"/>
        <v>1721.710205078125</v>
      </c>
      <c r="AL18" s="2">
        <v>-6.4020821956773943E-2</v>
      </c>
      <c r="AM18" s="2">
        <f t="shared" si="10"/>
        <v>3.8680677320767333E-2</v>
      </c>
      <c r="AN18" s="2">
        <f t="shared" si="11"/>
        <v>-3.0482730595572653E-2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4.1713741758830622E-2</v>
      </c>
      <c r="J19" s="12" t="s">
        <v>73</v>
      </c>
      <c r="K19" s="6">
        <f>linear_250!K19</f>
        <v>64.736161489803052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0.969512939453125</v>
      </c>
      <c r="W19" s="2">
        <f t="shared" si="0"/>
        <v>1.3972265666684081E-6</v>
      </c>
      <c r="X19" s="2">
        <f t="shared" si="8"/>
        <v>0.96954345703125</v>
      </c>
      <c r="Y19" s="2">
        <f t="shared" si="1"/>
        <v>-2.9689604887472854E-5</v>
      </c>
      <c r="Z19" s="2">
        <f t="shared" si="3"/>
        <v>0.9695281982421875</v>
      </c>
      <c r="AA19" s="2">
        <f t="shared" si="2"/>
        <v>-1.4146193590858225E-5</v>
      </c>
      <c r="AB19" s="2">
        <f t="shared" si="4"/>
        <v>-1.9765437502381475E-11</v>
      </c>
      <c r="AC19" s="2">
        <f t="shared" si="5"/>
        <v>4.1999489837428153E-10</v>
      </c>
      <c r="AD19" s="2">
        <f t="shared" si="6"/>
        <v>3.0517578125E-5</v>
      </c>
      <c r="AF19" s="2">
        <v>15</v>
      </c>
      <c r="AG19" s="2">
        <f t="shared" si="13"/>
        <v>1721.710205078125</v>
      </c>
      <c r="AH19" s="2">
        <v>-6.4020821956773943E-2</v>
      </c>
      <c r="AI19" s="2">
        <f t="shared" si="14"/>
        <v>1722.2900390625</v>
      </c>
      <c r="AJ19" s="2">
        <v>0.47613775743388942</v>
      </c>
      <c r="AK19" s="2">
        <f t="shared" si="9"/>
        <v>1722.0001220703125</v>
      </c>
      <c r="AL19" s="2">
        <v>0.20605966934135722</v>
      </c>
      <c r="AM19" s="2">
        <f t="shared" si="10"/>
        <v>-1.319210940337474E-2</v>
      </c>
      <c r="AN19" s="2">
        <f t="shared" si="11"/>
        <v>9.8112788857762603E-2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104.81230311569718</v>
      </c>
      <c r="H20" s="22" t="s">
        <v>97</v>
      </c>
      <c r="J20" s="13" t="s">
        <v>61</v>
      </c>
      <c r="K20" s="6">
        <f>linear_250!K20</f>
        <v>214.74545949452238</v>
      </c>
      <c r="L20" s="6" t="s">
        <v>7</v>
      </c>
      <c r="N20" s="6" t="s">
        <v>20</v>
      </c>
      <c r="O20" s="6">
        <f xml:space="preserve"> O14 / $C$28</f>
        <v>1492.5785923401766</v>
      </c>
      <c r="P20" s="6" t="s">
        <v>21</v>
      </c>
      <c r="U20" s="2">
        <v>16</v>
      </c>
      <c r="V20" s="2">
        <f t="shared" si="7"/>
        <v>0.969512939453125</v>
      </c>
      <c r="W20" s="2">
        <f t="shared" si="0"/>
        <v>1.3972265666684081E-6</v>
      </c>
      <c r="X20" s="2">
        <f t="shared" si="8"/>
        <v>0.9695281982421875</v>
      </c>
      <c r="Y20" s="2">
        <f t="shared" si="1"/>
        <v>-1.4146193590858225E-5</v>
      </c>
      <c r="Z20" s="2">
        <f t="shared" si="3"/>
        <v>0.96952056884765625</v>
      </c>
      <c r="AA20" s="2">
        <f t="shared" si="2"/>
        <v>-6.3744846197089089E-6</v>
      </c>
      <c r="AB20" s="2">
        <f t="shared" si="4"/>
        <v>-8.9065992594764521E-12</v>
      </c>
      <c r="AC20" s="2">
        <f t="shared" si="5"/>
        <v>9.0174693472350501E-11</v>
      </c>
      <c r="AD20" s="2">
        <f t="shared" si="6"/>
        <v>1.52587890625E-5</v>
      </c>
      <c r="AF20" s="2">
        <v>16</v>
      </c>
      <c r="AG20" s="2">
        <f t="shared" si="13"/>
        <v>1721.710205078125</v>
      </c>
      <c r="AH20" s="2">
        <v>-6.4020821956773943E-2</v>
      </c>
      <c r="AI20" s="2">
        <f t="shared" si="14"/>
        <v>1722.0001220703125</v>
      </c>
      <c r="AJ20" s="2">
        <v>0.47613775743388942</v>
      </c>
      <c r="AK20" s="2">
        <f t="shared" si="9"/>
        <v>1721.8551635742188</v>
      </c>
      <c r="AL20" s="2">
        <v>0.34109901378428731</v>
      </c>
      <c r="AM20" s="2">
        <f t="shared" si="10"/>
        <v>-2.183743923111504E-2</v>
      </c>
      <c r="AN20" s="2">
        <f t="shared" si="11"/>
        <v>0.16241011948616188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linear_250!K21</f>
        <v>56.898594458987588</v>
      </c>
      <c r="L21" s="6" t="s">
        <v>7</v>
      </c>
      <c r="N21" s="6" t="s">
        <v>27</v>
      </c>
      <c r="O21" s="6">
        <f>$C$6*2*PI()/60</f>
        <v>42.779039648892379</v>
      </c>
      <c r="P21" s="6" t="s">
        <v>28</v>
      </c>
      <c r="U21" s="2">
        <v>17</v>
      </c>
      <c r="V21" s="2">
        <f t="shared" si="7"/>
        <v>0.969512939453125</v>
      </c>
      <c r="W21" s="2">
        <f t="shared" si="0"/>
        <v>1.3972265666684081E-6</v>
      </c>
      <c r="X21" s="2">
        <f t="shared" si="8"/>
        <v>0.96952056884765625</v>
      </c>
      <c r="Y21" s="2">
        <f t="shared" si="1"/>
        <v>-6.3744846197089089E-6</v>
      </c>
      <c r="Z21" s="2">
        <f t="shared" si="3"/>
        <v>0.96951675415039062</v>
      </c>
      <c r="AA21" s="2">
        <f t="shared" si="2"/>
        <v>-2.4886293034098728E-6</v>
      </c>
      <c r="AB21" s="2">
        <f t="shared" si="4"/>
        <v>-3.4771789773137685E-12</v>
      </c>
      <c r="AC21" s="2">
        <f t="shared" si="5"/>
        <v>1.5863729218743129E-11</v>
      </c>
      <c r="AD21" s="2">
        <f t="shared" si="6"/>
        <v>7.62939453125E-6</v>
      </c>
      <c r="AF21" s="2">
        <v>17</v>
      </c>
      <c r="AG21" s="2">
        <f t="shared" si="13"/>
        <v>1721.710205078125</v>
      </c>
      <c r="AH21" s="2">
        <v>-6.4020821956773943E-2</v>
      </c>
      <c r="AI21" s="2">
        <f t="shared" si="14"/>
        <v>1721.8551635742188</v>
      </c>
      <c r="AJ21" s="2">
        <v>0.47613775743388942</v>
      </c>
      <c r="AK21" s="2">
        <f t="shared" si="9"/>
        <v>1721.7826843261719</v>
      </c>
      <c r="AL21" s="2">
        <v>0.4086184607076575</v>
      </c>
      <c r="AM21" s="2">
        <f t="shared" si="10"/>
        <v>-2.616008972121597E-2</v>
      </c>
      <c r="AN21" s="2">
        <f t="shared" si="11"/>
        <v>0.19455867752743192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>linear_250!K22</f>
        <v>135.8652644837907</v>
      </c>
      <c r="L22" s="6" t="s">
        <v>7</v>
      </c>
      <c r="N22" s="6" t="s">
        <v>29</v>
      </c>
      <c r="O22" s="6">
        <f xml:space="preserve"> $C$7 * COS(O19/180*PI()) / (O21 * $C$10)</f>
        <v>8.3227605962797796E-2</v>
      </c>
      <c r="U22" s="2">
        <v>18</v>
      </c>
      <c r="V22" s="2">
        <f t="shared" si="7"/>
        <v>0.969512939453125</v>
      </c>
      <c r="W22" s="2">
        <f t="shared" si="0"/>
        <v>1.3972265666684081E-6</v>
      </c>
      <c r="X22" s="2">
        <f t="shared" si="8"/>
        <v>0.96951675415039062</v>
      </c>
      <c r="Y22" s="2">
        <f t="shared" si="1"/>
        <v>-2.4886293034098728E-6</v>
      </c>
      <c r="Z22" s="2">
        <f t="shared" si="3"/>
        <v>0.96951484680175781</v>
      </c>
      <c r="AA22" s="2">
        <f t="shared" si="2"/>
        <v>-5.4570143759313794E-7</v>
      </c>
      <c r="AB22" s="2">
        <f t="shared" si="4"/>
        <v>-7.6246854607427468E-13</v>
      </c>
      <c r="AC22" s="2">
        <f t="shared" si="5"/>
        <v>1.3580485885071771E-12</v>
      </c>
      <c r="AD22" s="2">
        <f t="shared" si="6"/>
        <v>3.814697265625E-6</v>
      </c>
      <c r="AF22" s="2">
        <v>18</v>
      </c>
      <c r="AG22" s="2">
        <f t="shared" si="13"/>
        <v>1721.710205078125</v>
      </c>
      <c r="AH22" s="2">
        <v>-6.4020821956773943E-2</v>
      </c>
      <c r="AI22" s="2">
        <f t="shared" si="14"/>
        <v>1721.7826843261719</v>
      </c>
      <c r="AJ22" s="2">
        <v>0.47613775743388942</v>
      </c>
      <c r="AK22" s="2">
        <f t="shared" si="9"/>
        <v>1721.7464447021484</v>
      </c>
      <c r="AL22" s="2">
        <v>0.4423781278453589</v>
      </c>
      <c r="AM22" s="2">
        <f t="shared" si="10"/>
        <v>-2.8321411360358702E-2</v>
      </c>
      <c r="AN22" s="2">
        <f t="shared" si="11"/>
        <v>0.21063292973009162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linear_250!K23</f>
        <v>24.706263245083321</v>
      </c>
      <c r="L23" s="6" t="s">
        <v>7</v>
      </c>
      <c r="N23" s="6" t="s">
        <v>30</v>
      </c>
      <c r="O23" s="6">
        <f xml:space="preserve"> O20 / ( $C$71 * PI() * $C$10^2 * O21^2 * $C$10^2)</f>
        <v>3.5455966734365074E-2</v>
      </c>
      <c r="U23" s="2">
        <v>19</v>
      </c>
      <c r="V23" s="2">
        <f t="shared" si="7"/>
        <v>0.969512939453125</v>
      </c>
      <c r="W23" s="2">
        <f t="shared" si="0"/>
        <v>1.3972265666684081E-6</v>
      </c>
      <c r="X23" s="2">
        <f t="shared" si="8"/>
        <v>0.96951484680175781</v>
      </c>
      <c r="Y23" s="2">
        <f t="shared" si="1"/>
        <v>-5.4570143759313794E-7</v>
      </c>
      <c r="Z23" s="2">
        <f t="shared" si="3"/>
        <v>0.96951389312744141</v>
      </c>
      <c r="AA23" s="2">
        <f t="shared" si="2"/>
        <v>4.2576254721815587E-7</v>
      </c>
      <c r="AB23" s="2">
        <f t="shared" si="4"/>
        <v>5.9488674206561989E-13</v>
      </c>
      <c r="AC23" s="2">
        <f t="shared" si="5"/>
        <v>-2.3233923409026394E-13</v>
      </c>
      <c r="AD23" s="2">
        <f t="shared" si="6"/>
        <v>1.9073486328125E-6</v>
      </c>
      <c r="AF23" s="2">
        <v>19</v>
      </c>
      <c r="AG23" s="2">
        <f t="shared" si="13"/>
        <v>1721.710205078125</v>
      </c>
      <c r="AH23" s="2">
        <v>-6.4020821956773943E-2</v>
      </c>
      <c r="AI23" s="2">
        <f t="shared" si="14"/>
        <v>1721.7464447021484</v>
      </c>
      <c r="AJ23" s="2">
        <v>0.47613775743388942</v>
      </c>
      <c r="AK23" s="2">
        <f t="shared" si="9"/>
        <v>1721.7283248901367</v>
      </c>
      <c r="AL23" s="2">
        <v>0.45925794733329894</v>
      </c>
      <c r="AM23" s="2">
        <f t="shared" si="10"/>
        <v>-2.9402071278458595E-2</v>
      </c>
      <c r="AN23" s="2">
        <f t="shared" si="11"/>
        <v>0.21867004912696825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linear_250!K24</f>
        <v>8.6378971818796231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0.96951389312744141</v>
      </c>
      <c r="W24" s="2">
        <f t="shared" si="0"/>
        <v>4.2576254721815587E-7</v>
      </c>
      <c r="X24" s="2">
        <f t="shared" si="8"/>
        <v>0.96951484680175781</v>
      </c>
      <c r="Y24" s="2">
        <f t="shared" si="1"/>
        <v>-5.4570143759313794E-7</v>
      </c>
      <c r="Z24" s="2">
        <f t="shared" si="3"/>
        <v>0.96951436996459961</v>
      </c>
      <c r="AA24" s="2">
        <f t="shared" si="2"/>
        <v>-5.9969449517360829E-8</v>
      </c>
      <c r="AB24" s="2">
        <f t="shared" si="4"/>
        <v>-2.5532745581782154E-14</v>
      </c>
      <c r="AC24" s="2">
        <f t="shared" si="5"/>
        <v>3.2725414813292914E-14</v>
      </c>
      <c r="AD24" s="2">
        <f t="shared" si="6"/>
        <v>9.5367431640625E-7</v>
      </c>
      <c r="AF24" s="2">
        <v>20</v>
      </c>
      <c r="AG24" s="2">
        <f t="shared" si="13"/>
        <v>1721.710205078125</v>
      </c>
      <c r="AH24" s="2">
        <v>-6.4020821956773943E-2</v>
      </c>
      <c r="AI24" s="2">
        <f t="shared" si="14"/>
        <v>1721.7283248901367</v>
      </c>
      <c r="AJ24" s="2">
        <v>0.47613775743388942</v>
      </c>
      <c r="AK24" s="2">
        <f t="shared" si="9"/>
        <v>1721.7192649841309</v>
      </c>
      <c r="AL24" s="2">
        <v>0.46769785355695603</v>
      </c>
      <c r="AM24" s="2">
        <f t="shared" si="10"/>
        <v>-2.9942401012135217E-2</v>
      </c>
      <c r="AN24" s="2">
        <f t="shared" si="11"/>
        <v>0.22268860714925268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linear_250!K25</f>
        <v>24.107899786771409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2885.3087904033873</v>
      </c>
      <c r="P25" s="6" t="s">
        <v>19</v>
      </c>
      <c r="U25" s="2">
        <v>21</v>
      </c>
      <c r="V25" s="2">
        <f t="shared" si="7"/>
        <v>0.96951389312744141</v>
      </c>
      <c r="W25" s="2">
        <f t="shared" si="0"/>
        <v>4.2576254721815587E-7</v>
      </c>
      <c r="X25" s="2">
        <f t="shared" si="8"/>
        <v>0.96951436996459961</v>
      </c>
      <c r="Y25" s="2">
        <f t="shared" si="1"/>
        <v>-5.9969449517360829E-8</v>
      </c>
      <c r="Z25" s="2">
        <f t="shared" si="3"/>
        <v>0.96951413154602051</v>
      </c>
      <c r="AA25" s="2">
        <f t="shared" si="2"/>
        <v>1.8289654768466335E-7</v>
      </c>
      <c r="AB25" s="2">
        <f t="shared" si="4"/>
        <v>7.787050001962918E-14</v>
      </c>
      <c r="AC25" s="2">
        <f t="shared" si="5"/>
        <v>-1.0968205283274996E-14</v>
      </c>
      <c r="AD25" s="2">
        <f t="shared" si="6"/>
        <v>4.76837158203125E-7</v>
      </c>
      <c r="AF25" s="2">
        <v>21</v>
      </c>
      <c r="AG25" s="2">
        <f t="shared" si="13"/>
        <v>1721.710205078125</v>
      </c>
      <c r="AH25" s="2">
        <v>-6.4020821956773943E-2</v>
      </c>
      <c r="AI25" s="2">
        <f t="shared" si="14"/>
        <v>1721.7192649841309</v>
      </c>
      <c r="AJ25" s="2">
        <v>0.47613775743388942</v>
      </c>
      <c r="AK25" s="2">
        <f t="shared" si="9"/>
        <v>1721.7147350311279</v>
      </c>
      <c r="AL25" s="2">
        <v>0.47191780578873477</v>
      </c>
      <c r="AM25" s="2">
        <f t="shared" si="10"/>
        <v>-3.0212565822632011E-2</v>
      </c>
      <c r="AN25" s="2">
        <f t="shared" si="11"/>
        <v>0.22469788574136992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2109.4996092439787</v>
      </c>
      <c r="H26" s="6" t="s">
        <v>21</v>
      </c>
      <c r="J26" s="14" t="s">
        <v>65</v>
      </c>
      <c r="K26" s="6">
        <f>linear_250!K26</f>
        <v>46.919456353872846</v>
      </c>
      <c r="L26" s="6" t="s">
        <v>7</v>
      </c>
      <c r="N26" s="6" t="s">
        <v>32</v>
      </c>
      <c r="O26" s="17">
        <f>Z34</f>
        <v>0.96951431082561612</v>
      </c>
      <c r="U26" s="2">
        <v>22</v>
      </c>
      <c r="V26" s="2">
        <f t="shared" si="7"/>
        <v>0.96951413154602051</v>
      </c>
      <c r="W26" s="2">
        <f t="shared" si="0"/>
        <v>1.8289654768466335E-7</v>
      </c>
      <c r="X26" s="2">
        <f t="shared" si="8"/>
        <v>0.96951436996459961</v>
      </c>
      <c r="Y26" s="2">
        <f t="shared" si="1"/>
        <v>-5.9969449517360829E-8</v>
      </c>
      <c r="Z26" s="2">
        <f t="shared" si="3"/>
        <v>0.96951425075531006</v>
      </c>
      <c r="AA26" s="2">
        <f t="shared" si="2"/>
        <v>6.1463548806095503E-8</v>
      </c>
      <c r="AB26" s="2">
        <f t="shared" si="4"/>
        <v>1.124147088508268E-14</v>
      </c>
      <c r="AC26" s="2">
        <f t="shared" si="5"/>
        <v>-3.6859351872849878E-15</v>
      </c>
      <c r="AD26" s="2">
        <f t="shared" si="6"/>
        <v>2.384185791015625E-7</v>
      </c>
      <c r="AF26" s="2">
        <v>22</v>
      </c>
      <c r="AG26" s="2">
        <f t="shared" si="13"/>
        <v>1721.710205078125</v>
      </c>
      <c r="AH26" s="2">
        <v>-6.4020821956773943E-2</v>
      </c>
      <c r="AI26" s="2">
        <f t="shared" si="14"/>
        <v>1721.7147350311279</v>
      </c>
      <c r="AJ26" s="2">
        <v>0.47613775743388942</v>
      </c>
      <c r="AK26" s="2">
        <f t="shared" si="9"/>
        <v>1721.7124700546265</v>
      </c>
      <c r="AL26" s="2">
        <v>0.47402769419682045</v>
      </c>
      <c r="AM26" s="2">
        <f t="shared" si="10"/>
        <v>-3.0347642612754726E-2</v>
      </c>
      <c r="AN26" s="2">
        <f t="shared" si="11"/>
        <v>0.22570248327643161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27.51883554224894</v>
      </c>
      <c r="H27" t="s">
        <v>97</v>
      </c>
      <c r="J27" s="14" t="s">
        <v>66</v>
      </c>
      <c r="K27" s="6">
        <f>linear_250!K27</f>
        <v>7.8313743980822554</v>
      </c>
      <c r="L27" s="6" t="s">
        <v>7</v>
      </c>
      <c r="N27" s="6" t="s">
        <v>33</v>
      </c>
      <c r="O27" s="6">
        <f xml:space="preserve"> O21 * $C$10 * O26 - $C$7 * SIN(O19/180*PI())</f>
        <v>1.2793135458782245</v>
      </c>
      <c r="P27" s="6" t="s">
        <v>10</v>
      </c>
      <c r="U27" s="2">
        <v>23</v>
      </c>
      <c r="V27" s="2">
        <f t="shared" si="7"/>
        <v>0.96951425075531006</v>
      </c>
      <c r="W27" s="2">
        <f t="shared" si="0"/>
        <v>6.1463548806095503E-8</v>
      </c>
      <c r="X27" s="2">
        <f t="shared" si="8"/>
        <v>0.96951436996459961</v>
      </c>
      <c r="Y27" s="2">
        <f t="shared" si="1"/>
        <v>-5.9969449517360829E-8</v>
      </c>
      <c r="Z27" s="2">
        <f t="shared" si="3"/>
        <v>0.96951431035995483</v>
      </c>
      <c r="AA27" s="2">
        <f t="shared" si="2"/>
        <v>7.4704953334503443E-10</v>
      </c>
      <c r="AB27" s="2">
        <f t="shared" si="4"/>
        <v>4.5916315453323394E-17</v>
      </c>
      <c r="AC27" s="2">
        <f t="shared" si="5"/>
        <v>-4.4800149276903008E-17</v>
      </c>
      <c r="AD27" s="2">
        <f t="shared" si="6"/>
        <v>1.1920928955078125E-7</v>
      </c>
      <c r="AF27" s="2">
        <v>23</v>
      </c>
      <c r="AG27" s="2">
        <f t="shared" si="13"/>
        <v>1721.710205078125</v>
      </c>
      <c r="AH27" s="2">
        <v>-6.4020821956773943E-2</v>
      </c>
      <c r="AI27" s="2">
        <f t="shared" si="14"/>
        <v>1721.7124700546265</v>
      </c>
      <c r="AJ27" s="2">
        <v>0.47613775743388942</v>
      </c>
      <c r="AK27" s="2">
        <f t="shared" si="9"/>
        <v>1721.7113375663757</v>
      </c>
      <c r="AL27" s="2">
        <v>0.47508272583354483</v>
      </c>
      <c r="AM27" s="2">
        <f t="shared" si="10"/>
        <v>-3.0415186605328222E-2</v>
      </c>
      <c r="AN27" s="2">
        <f t="shared" si="11"/>
        <v>0.22620482367396336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7.8209091759802067</v>
      </c>
      <c r="H28" s="6" t="s">
        <v>172</v>
      </c>
      <c r="J28" s="14" t="s">
        <v>67</v>
      </c>
      <c r="K28" s="6">
        <f>linear_250!K28</f>
        <v>14.005807866827713</v>
      </c>
      <c r="L28" s="6" t="s">
        <v>7</v>
      </c>
      <c r="N28" s="6" t="s">
        <v>34</v>
      </c>
      <c r="O28" s="6">
        <f xml:space="preserve"> 1/$C$31 - O25 * SQRT( (2*$C$71*PI()*$C$10^2) / O20^3 )</f>
        <v>1.1265768326207579</v>
      </c>
      <c r="U28" s="2">
        <v>24</v>
      </c>
      <c r="V28" s="2">
        <f t="shared" si="7"/>
        <v>0.96951431035995483</v>
      </c>
      <c r="W28" s="2">
        <f t="shared" si="0"/>
        <v>7.4704953334503443E-10</v>
      </c>
      <c r="X28" s="2">
        <f t="shared" si="8"/>
        <v>0.96951436996459961</v>
      </c>
      <c r="Y28" s="2">
        <f t="shared" si="1"/>
        <v>-5.9969449517360829E-8</v>
      </c>
      <c r="Z28" s="2">
        <f t="shared" si="3"/>
        <v>0.96951434016227722</v>
      </c>
      <c r="AA28" s="2">
        <f t="shared" si="2"/>
        <v>-2.9611200047519048E-8</v>
      </c>
      <c r="AB28" s="2">
        <f t="shared" si="4"/>
        <v>-2.2121033177285567E-17</v>
      </c>
      <c r="AC28" s="2">
        <f t="shared" si="5"/>
        <v>1.7757673663981662E-15</v>
      </c>
      <c r="AD28" s="2">
        <f t="shared" si="6"/>
        <v>5.9604644775390625E-8</v>
      </c>
      <c r="AF28" s="2">
        <v>24</v>
      </c>
      <c r="AG28" s="2">
        <f t="shared" si="13"/>
        <v>1721.710205078125</v>
      </c>
      <c r="AH28" s="2">
        <v>-6.4020821956773943E-2</v>
      </c>
      <c r="AI28" s="2">
        <f t="shared" si="14"/>
        <v>1721.7113375663757</v>
      </c>
      <c r="AJ28" s="2">
        <v>0.47613775743388942</v>
      </c>
      <c r="AK28" s="2">
        <f t="shared" si="9"/>
        <v>1721.7107713222504</v>
      </c>
      <c r="AL28" s="2">
        <v>0.47561024163837828</v>
      </c>
      <c r="AM28" s="2">
        <f t="shared" si="10"/>
        <v>-3.0448958600748848E-2</v>
      </c>
      <c r="AN28" s="2">
        <f t="shared" si="11"/>
        <v>0.2264559938662877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220.15068433799152</v>
      </c>
      <c r="H29" s="22" t="s">
        <v>97</v>
      </c>
      <c r="J29" s="14" t="s">
        <v>68</v>
      </c>
      <c r="K29" s="6">
        <f>linear_250!K29</f>
        <v>36.492132150438337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0.96951431035995483</v>
      </c>
      <c r="W29" s="2">
        <f t="shared" si="0"/>
        <v>7.4704953334503443E-10</v>
      </c>
      <c r="X29" s="2">
        <f t="shared" si="8"/>
        <v>0.96951434016227722</v>
      </c>
      <c r="Y29" s="2">
        <f t="shared" si="1"/>
        <v>-2.9611200047519048E-8</v>
      </c>
      <c r="Z29" s="2">
        <f t="shared" si="3"/>
        <v>0.96951432526111603</v>
      </c>
      <c r="AA29" s="2">
        <f t="shared" si="2"/>
        <v>-1.4432075201575856E-8</v>
      </c>
      <c r="AB29" s="2">
        <f t="shared" si="4"/>
        <v>-1.0781475044537687E-17</v>
      </c>
      <c r="AC29" s="2">
        <f t="shared" si="5"/>
        <v>4.2735106589470147E-16</v>
      </c>
      <c r="AD29" s="2">
        <f t="shared" si="6"/>
        <v>2.9802322387695312E-8</v>
      </c>
      <c r="AF29" s="2">
        <v>25</v>
      </c>
      <c r="AG29" s="2">
        <f t="shared" si="13"/>
        <v>1721.710205078125</v>
      </c>
      <c r="AH29" s="2">
        <v>-6.4020821956773943E-2</v>
      </c>
      <c r="AI29" s="2">
        <f t="shared" si="14"/>
        <v>1721.7107713222504</v>
      </c>
      <c r="AJ29" s="2">
        <v>0.47613775743388942</v>
      </c>
      <c r="AK29" s="2">
        <f t="shared" si="9"/>
        <v>1721.7104882001877</v>
      </c>
      <c r="AL29" s="2">
        <v>0.47587399953727072</v>
      </c>
      <c r="AM29" s="2">
        <f t="shared" si="10"/>
        <v>-3.0465844598233534E-2</v>
      </c>
      <c r="AN29" s="2">
        <f t="shared" si="11"/>
        <v>0.2265815789607718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-3.9171296180029458E-4</v>
      </c>
      <c r="L30" s="9" t="s">
        <v>7</v>
      </c>
      <c r="N30" s="6" t="s">
        <v>36</v>
      </c>
      <c r="O30" s="6">
        <f xml:space="preserve"> 1/$C$77 * LN( EXP($C$77 * O28) + EXP($C$77 * O29) )</f>
        <v>1.1634097537586865</v>
      </c>
      <c r="U30" s="2">
        <v>26</v>
      </c>
      <c r="V30" s="2">
        <f>IF(AB29&gt;0, Z29, V29)</f>
        <v>0.96951431035995483</v>
      </c>
      <c r="W30" s="2">
        <f t="shared" si="0"/>
        <v>7.4704953334503443E-10</v>
      </c>
      <c r="X30" s="2">
        <f t="shared" si="8"/>
        <v>0.96951432526111603</v>
      </c>
      <c r="Y30" s="2">
        <f t="shared" si="1"/>
        <v>-1.4432075201575856E-8</v>
      </c>
      <c r="Z30" s="2">
        <f t="shared" si="3"/>
        <v>0.96951431781053543</v>
      </c>
      <c r="AA30" s="2">
        <f t="shared" si="2"/>
        <v>-6.8425127786042594E-9</v>
      </c>
      <c r="AB30" s="2">
        <f t="shared" si="4"/>
        <v>-5.1116959781637469E-18</v>
      </c>
      <c r="AC30" s="2">
        <f t="shared" si="5"/>
        <v>9.8751658988560437E-17</v>
      </c>
      <c r="AD30" s="2">
        <f t="shared" si="6"/>
        <v>1.4901161193847656E-8</v>
      </c>
      <c r="AF30" s="2">
        <v>26</v>
      </c>
      <c r="AG30" s="2">
        <f t="shared" si="13"/>
        <v>1721.710205078125</v>
      </c>
      <c r="AH30" s="2">
        <v>-6.4020821956773943E-2</v>
      </c>
      <c r="AI30" s="2">
        <f t="shared" si="14"/>
        <v>1721.7104882001877</v>
      </c>
      <c r="AJ30" s="2">
        <v>0.47613775743388942</v>
      </c>
      <c r="AK30" s="2">
        <f t="shared" si="9"/>
        <v>1721.7103466391563</v>
      </c>
      <c r="AL30" s="2">
        <v>0.47600579099798779</v>
      </c>
      <c r="AM30" s="2">
        <f t="shared" si="10"/>
        <v>-3.0474281995875527E-2</v>
      </c>
      <c r="AN30" s="2">
        <f t="shared" si="11"/>
        <v>0.22664432985132657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0.96951431035995483</v>
      </c>
      <c r="W31" s="2">
        <f t="shared" si="0"/>
        <v>7.4704953334503443E-10</v>
      </c>
      <c r="X31" s="2">
        <f t="shared" si="8"/>
        <v>0.96951431781053543</v>
      </c>
      <c r="Y31" s="2">
        <f t="shared" si="1"/>
        <v>-6.8425127786042594E-9</v>
      </c>
      <c r="Z31" s="2">
        <f t="shared" si="3"/>
        <v>0.96951431408524513</v>
      </c>
      <c r="AA31" s="2">
        <f t="shared" si="2"/>
        <v>-3.0477316226296125E-9</v>
      </c>
      <c r="AB31" s="2">
        <f t="shared" si="4"/>
        <v>-2.2768064864463566E-18</v>
      </c>
      <c r="AC31" s="2">
        <f t="shared" si="5"/>
        <v>2.0854142573599418E-17</v>
      </c>
      <c r="AD31" s="2">
        <f t="shared" si="6"/>
        <v>7.4505805969238281E-9</v>
      </c>
      <c r="AF31" s="2">
        <v>27</v>
      </c>
      <c r="AG31" s="2">
        <f t="shared" si="13"/>
        <v>1721.710205078125</v>
      </c>
      <c r="AH31" s="2">
        <v>-6.4020821956773943E-2</v>
      </c>
      <c r="AI31" s="2">
        <f t="shared" si="14"/>
        <v>1721.7103466391563</v>
      </c>
      <c r="AJ31" s="2">
        <v>0.47613775743388942</v>
      </c>
      <c r="AK31" s="2">
        <f t="shared" si="9"/>
        <v>1721.7102758586407</v>
      </c>
      <c r="AL31" s="2">
        <v>0.47607177421605229</v>
      </c>
      <c r="AM31" s="2">
        <f t="shared" si="10"/>
        <v>-3.0478506295731369E-2</v>
      </c>
      <c r="AN31" s="2">
        <f t="shared" si="11"/>
        <v>0.22667574695280407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0.96951431035995483</v>
      </c>
      <c r="W32" s="2">
        <f t="shared" si="0"/>
        <v>7.4704953334503443E-10</v>
      </c>
      <c r="X32" s="2">
        <f t="shared" si="8"/>
        <v>0.96951431408524513</v>
      </c>
      <c r="Y32" s="2">
        <f t="shared" si="1"/>
        <v>-3.0477316226296125E-9</v>
      </c>
      <c r="Z32" s="2">
        <f t="shared" si="3"/>
        <v>0.96951431222259998</v>
      </c>
      <c r="AA32" s="2">
        <f t="shared" si="2"/>
        <v>-1.150341044642289E-9</v>
      </c>
      <c r="AB32" s="2">
        <f t="shared" si="4"/>
        <v>-8.5936174058766145E-19</v>
      </c>
      <c r="AC32" s="2">
        <f t="shared" si="5"/>
        <v>3.5059307785650871E-18</v>
      </c>
      <c r="AD32" s="2">
        <f t="shared" si="6"/>
        <v>3.7252902984619141E-9</v>
      </c>
      <c r="AF32" s="2">
        <v>28</v>
      </c>
      <c r="AG32" s="2">
        <f t="shared" si="13"/>
        <v>1721.710205078125</v>
      </c>
      <c r="AH32" s="2">
        <v>-6.4020821956773943E-2</v>
      </c>
      <c r="AI32" s="2">
        <f t="shared" si="14"/>
        <v>1721.7102758586407</v>
      </c>
      <c r="AJ32" s="2">
        <v>0.47613775743388942</v>
      </c>
      <c r="AK32" s="2">
        <f t="shared" si="9"/>
        <v>1721.7102404683828</v>
      </c>
      <c r="AL32" s="2">
        <v>0.47610476582508454</v>
      </c>
      <c r="AM32" s="2">
        <f t="shared" si="10"/>
        <v>-3.0480618445659288E-2</v>
      </c>
      <c r="AN32" s="2">
        <f t="shared" si="11"/>
        <v>0.22669145550354283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104.81230311569718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0.96951431035995483</v>
      </c>
      <c r="W33" s="2">
        <f t="shared" si="0"/>
        <v>7.4704953334503443E-10</v>
      </c>
      <c r="X33" s="2">
        <f t="shared" si="8"/>
        <v>0.96951431222259998</v>
      </c>
      <c r="Y33" s="2">
        <f t="shared" si="1"/>
        <v>-1.150341044642289E-9</v>
      </c>
      <c r="Z33" s="2">
        <f t="shared" si="3"/>
        <v>0.96951431129127741</v>
      </c>
      <c r="AA33" s="2">
        <f t="shared" si="2"/>
        <v>-2.0164570013747607E-10</v>
      </c>
      <c r="AB33" s="2">
        <f t="shared" si="4"/>
        <v>-1.5063932618873424E-19</v>
      </c>
      <c r="AC33" s="2">
        <f t="shared" si="5"/>
        <v>2.3196132534376999E-19</v>
      </c>
      <c r="AD33" s="2">
        <f t="shared" si="6"/>
        <v>1.862645149230957E-9</v>
      </c>
      <c r="AF33" s="2">
        <v>29</v>
      </c>
      <c r="AG33" s="2">
        <f t="shared" si="13"/>
        <v>1721.710205078125</v>
      </c>
      <c r="AH33" s="2">
        <v>-6.4020821956773943E-2</v>
      </c>
      <c r="AI33" s="2">
        <f t="shared" si="14"/>
        <v>1721.7102404683828</v>
      </c>
      <c r="AJ33" s="2">
        <v>0.47613775743388942</v>
      </c>
      <c r="AK33" s="2">
        <f t="shared" si="9"/>
        <v>1721.7102227732539</v>
      </c>
      <c r="AL33" s="2">
        <v>0.47612126162925961</v>
      </c>
      <c r="AM33" s="2">
        <f t="shared" si="10"/>
        <v>-3.0481674520601413E-2</v>
      </c>
      <c r="AN33" s="2">
        <f t="shared" si="11"/>
        <v>0.2266993097787498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34.85</v>
      </c>
      <c r="L34" s="6" t="s">
        <v>59</v>
      </c>
      <c r="U34" s="2">
        <v>30</v>
      </c>
      <c r="V34" s="2">
        <f t="shared" si="7"/>
        <v>0.96951431035995483</v>
      </c>
      <c r="W34" s="2">
        <f t="shared" si="0"/>
        <v>7.4704953334503443E-10</v>
      </c>
      <c r="X34" s="2">
        <f t="shared" si="8"/>
        <v>0.96951431129127741</v>
      </c>
      <c r="Y34" s="2">
        <f t="shared" si="1"/>
        <v>-2.0164570013747607E-10</v>
      </c>
      <c r="Z34" s="2">
        <f t="shared" si="3"/>
        <v>0.96951431082561612</v>
      </c>
      <c r="AA34" s="2">
        <f t="shared" si="2"/>
        <v>2.7270186109262795E-10</v>
      </c>
      <c r="AB34" s="2">
        <f t="shared" si="4"/>
        <v>2.0372179807157011E-19</v>
      </c>
      <c r="AC34" s="2">
        <f t="shared" si="5"/>
        <v>-5.4989157708815708E-20</v>
      </c>
      <c r="AD34" s="2">
        <f t="shared" si="6"/>
        <v>9.3132257461547852E-10</v>
      </c>
      <c r="AF34" s="2">
        <v>30</v>
      </c>
      <c r="AG34" s="2">
        <f t="shared" si="13"/>
        <v>1721.710205078125</v>
      </c>
      <c r="AH34" s="2">
        <v>-6.4020821956773943E-2</v>
      </c>
      <c r="AI34" s="2">
        <f t="shared" si="14"/>
        <v>1721.7102227732539</v>
      </c>
      <c r="AJ34" s="2">
        <v>0.47613775743388942</v>
      </c>
      <c r="AK34" s="2">
        <f t="shared" si="9"/>
        <v>1721.7102139256895</v>
      </c>
      <c r="AL34" s="2">
        <v>0.47612950953157451</v>
      </c>
      <c r="AM34" s="2">
        <f t="shared" si="10"/>
        <v>-3.0482202558087035E-2</v>
      </c>
      <c r="AN34" s="2">
        <f t="shared" si="11"/>
        <v>0.22670323691646158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11.89</v>
      </c>
      <c r="L35" s="6" t="s">
        <v>59</v>
      </c>
      <c r="AF35" s="2">
        <v>31</v>
      </c>
      <c r="AG35" s="2">
        <f t="shared" si="13"/>
        <v>1721.710205078125</v>
      </c>
      <c r="AH35" s="2">
        <v>-6.4020821956773943E-2</v>
      </c>
      <c r="AI35" s="2">
        <f t="shared" si="14"/>
        <v>1721.7102139256895</v>
      </c>
      <c r="AJ35" s="2">
        <v>0.47613775743388942</v>
      </c>
      <c r="AK35" s="2">
        <f t="shared" si="9"/>
        <v>1721.7102095019072</v>
      </c>
      <c r="AL35" s="2">
        <v>0.47613363348273197</v>
      </c>
      <c r="AM35" s="2">
        <f t="shared" si="10"/>
        <v>-3.0482466576829844E-2</v>
      </c>
      <c r="AN35" s="2">
        <f t="shared" si="11"/>
        <v>0.22670520048531745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20.14</v>
      </c>
      <c r="L36" s="6" t="s">
        <v>59</v>
      </c>
      <c r="AF36" s="2">
        <v>32</v>
      </c>
      <c r="AG36" s="2">
        <f t="shared" si="13"/>
        <v>1721.710205078125</v>
      </c>
      <c r="AH36" s="2">
        <v>-6.4020821956773943E-2</v>
      </c>
      <c r="AI36" s="2">
        <f t="shared" si="14"/>
        <v>1721.7102095019072</v>
      </c>
      <c r="AJ36" s="2">
        <v>0.47613775743388942</v>
      </c>
      <c r="AK36" s="2">
        <f t="shared" si="9"/>
        <v>1721.7102072900161</v>
      </c>
      <c r="AL36" s="2">
        <v>0.47613569545819701</v>
      </c>
      <c r="AM36" s="2">
        <f t="shared" si="10"/>
        <v>-3.0482598586193971E-2</v>
      </c>
      <c r="AN36" s="2">
        <f t="shared" si="11"/>
        <v>0.22670618226969125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27</v>
      </c>
      <c r="L37" s="6" t="s">
        <v>59</v>
      </c>
      <c r="AF37" s="2">
        <v>33</v>
      </c>
      <c r="AG37" s="2">
        <f t="shared" si="13"/>
        <v>1721.710205078125</v>
      </c>
      <c r="AH37" s="2">
        <v>-6.4020821956773943E-2</v>
      </c>
      <c r="AI37" s="2">
        <f t="shared" si="14"/>
        <v>1721.7102072900161</v>
      </c>
      <c r="AJ37" s="2">
        <v>0.47613775743388942</v>
      </c>
      <c r="AK37" s="2">
        <f t="shared" si="9"/>
        <v>1721.7102061840706</v>
      </c>
      <c r="AL37" s="2">
        <v>0.4761367264461569</v>
      </c>
      <c r="AM37" s="2">
        <f t="shared" si="10"/>
        <v>-3.048266459089059E-2</v>
      </c>
      <c r="AN37" s="2">
        <f t="shared" si="11"/>
        <v>0.22670667316198642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6.11</v>
      </c>
      <c r="L38" s="6" t="s">
        <v>59</v>
      </c>
      <c r="AF38" s="2">
        <v>34</v>
      </c>
      <c r="AG38" s="2">
        <f t="shared" si="13"/>
        <v>1721.710205078125</v>
      </c>
      <c r="AH38" s="2">
        <v>-6.4020821956773943E-2</v>
      </c>
      <c r="AI38" s="2">
        <f t="shared" si="14"/>
        <v>1721.7102061840706</v>
      </c>
      <c r="AJ38" s="2">
        <v>0.47613775743388942</v>
      </c>
      <c r="AK38" s="2">
        <f t="shared" si="9"/>
        <v>1721.7102056310978</v>
      </c>
      <c r="AL38" s="2">
        <v>0.47613724194002316</v>
      </c>
      <c r="AM38" s="2">
        <f t="shared" si="10"/>
        <v>-3.0482697593231623E-2</v>
      </c>
      <c r="AN38" s="2">
        <f t="shared" si="11"/>
        <v>0.22670691860807987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99.99</v>
      </c>
      <c r="L39" s="9" t="s">
        <v>59</v>
      </c>
      <c r="AF39" s="2">
        <v>35</v>
      </c>
      <c r="AG39" s="2">
        <f t="shared" si="13"/>
        <v>1721.710205078125</v>
      </c>
      <c r="AH39" s="2">
        <v>-6.4020821956773943E-2</v>
      </c>
      <c r="AI39" s="2">
        <f t="shared" si="14"/>
        <v>1721.7102056310978</v>
      </c>
      <c r="AJ39" s="2">
        <v>0.47613775743388942</v>
      </c>
      <c r="AK39" s="2">
        <f t="shared" si="9"/>
        <v>1721.7102053546114</v>
      </c>
      <c r="AL39" s="2">
        <v>0.47613749968695629</v>
      </c>
      <c r="AM39" s="2">
        <f t="shared" si="10"/>
        <v>-3.0482714094402136E-2</v>
      </c>
      <c r="AN39" s="2">
        <f t="shared" si="11"/>
        <v>0.2267070413311266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1721.710205078125</v>
      </c>
      <c r="AH40" s="2">
        <v>-6.4020821956773943E-2</v>
      </c>
      <c r="AI40" s="2">
        <f t="shared" si="14"/>
        <v>1721.7102053546114</v>
      </c>
      <c r="AJ40" s="2">
        <v>0.47613775743388942</v>
      </c>
      <c r="AK40" s="2">
        <f t="shared" si="9"/>
        <v>1721.7102052163682</v>
      </c>
      <c r="AL40" s="2">
        <v>0.47613762856030917</v>
      </c>
      <c r="AM40" s="2">
        <f t="shared" si="10"/>
        <v>-3.0482722344980118E-2</v>
      </c>
      <c r="AN40" s="2">
        <f t="shared" si="11"/>
        <v>0.22670710269259584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1721.710205078125</v>
      </c>
      <c r="AH41" s="2">
        <v>-6.4020821956773943E-2</v>
      </c>
      <c r="AI41" s="2">
        <f t="shared" si="14"/>
        <v>1721.7102052163682</v>
      </c>
      <c r="AJ41" s="2">
        <v>0.47613775743388942</v>
      </c>
      <c r="AK41" s="2">
        <f t="shared" si="9"/>
        <v>1721.7102051472466</v>
      </c>
      <c r="AL41" s="2">
        <v>0.47613769299709929</v>
      </c>
      <c r="AM41" s="2">
        <f t="shared" si="10"/>
        <v>-3.0482726470276385E-2</v>
      </c>
      <c r="AN41" s="2">
        <f t="shared" si="11"/>
        <v>0.22670713337338458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1721.710205078125</v>
      </c>
      <c r="AH42" s="2">
        <v>-6.4020821956773943E-2</v>
      </c>
      <c r="AI42" s="2">
        <f t="shared" si="14"/>
        <v>1721.7102051472466</v>
      </c>
      <c r="AJ42" s="2">
        <v>0.47613775743388942</v>
      </c>
      <c r="AK42" s="2">
        <f t="shared" si="9"/>
        <v>1721.7102051126858</v>
      </c>
      <c r="AL42" s="2">
        <v>0.47613772521549436</v>
      </c>
      <c r="AM42" s="2">
        <f t="shared" si="10"/>
        <v>-3.0482728532924521E-2</v>
      </c>
      <c r="AN42" s="2">
        <f t="shared" si="11"/>
        <v>0.22670714871377895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204.72</v>
      </c>
      <c r="L43" s="6" t="s">
        <v>7</v>
      </c>
      <c r="AF43" s="2">
        <v>39</v>
      </c>
      <c r="AG43" s="2">
        <f t="shared" si="13"/>
        <v>1721.710205078125</v>
      </c>
      <c r="AH43" s="2">
        <v>-6.4020821956773943E-2</v>
      </c>
      <c r="AI43" s="2">
        <f t="shared" si="14"/>
        <v>1721.7102051126858</v>
      </c>
      <c r="AJ43" s="2">
        <v>0.47613775743388942</v>
      </c>
      <c r="AK43" s="2">
        <f t="shared" si="9"/>
        <v>1721.7102050954054</v>
      </c>
      <c r="AL43" s="2">
        <v>0.47613774132469189</v>
      </c>
      <c r="AM43" s="2">
        <f t="shared" si="10"/>
        <v>-3.0482729564248585E-2</v>
      </c>
      <c r="AN43" s="2">
        <f t="shared" si="11"/>
        <v>0.22670715638397612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346.85</v>
      </c>
      <c r="L44" s="6" t="s">
        <v>7</v>
      </c>
      <c r="AF44" s="2">
        <v>40</v>
      </c>
      <c r="AG44" s="2">
        <f t="shared" si="13"/>
        <v>1721.710205078125</v>
      </c>
      <c r="AH44" s="2">
        <v>-6.4020821956773943E-2</v>
      </c>
      <c r="AI44" s="2">
        <f t="shared" si="14"/>
        <v>1721.7102050954054</v>
      </c>
      <c r="AJ44" s="2">
        <v>0.47613775743388942</v>
      </c>
      <c r="AK44" s="5">
        <f t="shared" si="9"/>
        <v>1721.7102050867652</v>
      </c>
      <c r="AL44" s="2">
        <v>0.47613774937917697</v>
      </c>
      <c r="AM44" s="2">
        <f t="shared" si="10"/>
        <v>-3.048273007990334E-2</v>
      </c>
      <c r="AN44" s="2">
        <f t="shared" si="11"/>
        <v>0.2267071602190206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464.96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105.25</v>
      </c>
      <c r="L46" s="6" t="s">
        <v>7</v>
      </c>
    </row>
    <row r="47" spans="2:41" x14ac:dyDescent="0.2">
      <c r="J47" s="9" t="s">
        <v>60</v>
      </c>
      <c r="K47" s="9">
        <f>SUM(K42:K46)</f>
        <v>1721.7800000000002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2025-05-18T16:47:40Z</dcterms:modified>
</cp:coreProperties>
</file>