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6_multipoint_optimization_with_varying_batteries/with_fixed_empty_weight/weighted_sum_of_takeoff_weight/multirotor/"/>
    </mc:Choice>
  </mc:AlternateContent>
  <xr:revisionPtr revIDLastSave="0" documentId="13_ncr:1_{7688B1F7-CCC9-F04E-B538-644E27D91E7F}" xr6:coauthVersionLast="47" xr6:coauthVersionMax="47" xr10:uidLastSave="{00000000-0000-0000-0000-000000000000}"/>
  <bookViews>
    <workbookView xWindow="15320" yWindow="740" windowWidth="14920" windowHeight="18900" xr2:uid="{843CD013-835A-1741-B375-CD508AE79BD2}"/>
  </bookViews>
  <sheets>
    <sheet name="obj_val" sheetId="26" r:id="rId1"/>
    <sheet name="uniform_250" sheetId="22" r:id="rId2"/>
    <sheet name="uniform_400" sheetId="23" r:id="rId3"/>
    <sheet name="uniform_550" sheetId="24" r:id="rId4"/>
    <sheet name="uniform_700" sheetId="25" r:id="rId5"/>
    <sheet name="linear_250" sheetId="13" r:id="rId6"/>
    <sheet name="linear_400" sheetId="19" r:id="rId7"/>
    <sheet name="linear_550" sheetId="20" r:id="rId8"/>
    <sheet name="linear_700" sheetId="2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" i="21" l="1"/>
  <c r="K21" i="21"/>
  <c r="K20" i="20"/>
  <c r="K21" i="20"/>
  <c r="K20" i="19"/>
  <c r="K21" i="19"/>
  <c r="K20" i="25"/>
  <c r="K21" i="25"/>
  <c r="K20" i="24"/>
  <c r="K21" i="24"/>
  <c r="K20" i="23"/>
  <c r="K21" i="23"/>
  <c r="E15" i="26"/>
  <c r="E14" i="26"/>
  <c r="E13" i="26"/>
  <c r="E12" i="26"/>
  <c r="E10" i="26"/>
  <c r="E9" i="26"/>
  <c r="E8" i="26"/>
  <c r="E7" i="26"/>
  <c r="O45" i="25"/>
  <c r="AN44" i="25"/>
  <c r="AM44" i="25"/>
  <c r="O44" i="25"/>
  <c r="AN43" i="25"/>
  <c r="AM43" i="25"/>
  <c r="AN42" i="25"/>
  <c r="AM42" i="25"/>
  <c r="AN41" i="25"/>
  <c r="AM41" i="25"/>
  <c r="AN40" i="25"/>
  <c r="AM40" i="25"/>
  <c r="AN39" i="25"/>
  <c r="AM39" i="25"/>
  <c r="AN38" i="25"/>
  <c r="AM38" i="25"/>
  <c r="AN37" i="25"/>
  <c r="AM37" i="25"/>
  <c r="AN36" i="25"/>
  <c r="AM36" i="25"/>
  <c r="AN35" i="25"/>
  <c r="AM35" i="25"/>
  <c r="AN34" i="25"/>
  <c r="AM34" i="25"/>
  <c r="G34" i="25"/>
  <c r="AN33" i="25"/>
  <c r="AM33" i="25"/>
  <c r="C33" i="25"/>
  <c r="AN32" i="25"/>
  <c r="AM32" i="25"/>
  <c r="AN31" i="25"/>
  <c r="AM31" i="25"/>
  <c r="K31" i="25"/>
  <c r="C31" i="25"/>
  <c r="AN30" i="25"/>
  <c r="AM30" i="25"/>
  <c r="AN29" i="25"/>
  <c r="AM29" i="25"/>
  <c r="AN28" i="25"/>
  <c r="AM28" i="25"/>
  <c r="G28" i="25"/>
  <c r="AN27" i="25"/>
  <c r="AM27" i="25"/>
  <c r="G27" i="25"/>
  <c r="AN26" i="25"/>
  <c r="AM26" i="25"/>
  <c r="G26" i="25"/>
  <c r="AN25" i="25"/>
  <c r="AM25" i="25"/>
  <c r="G25" i="25"/>
  <c r="G31" i="25" s="1"/>
  <c r="G29" i="25" s="1"/>
  <c r="AN24" i="25"/>
  <c r="AM24" i="25"/>
  <c r="AN23" i="25"/>
  <c r="AM23" i="25"/>
  <c r="AN22" i="25"/>
  <c r="AM22" i="25"/>
  <c r="AN21" i="25"/>
  <c r="AM21" i="25"/>
  <c r="AN20" i="25"/>
  <c r="AM20" i="25"/>
  <c r="AN19" i="25"/>
  <c r="AM19" i="25"/>
  <c r="O19" i="25"/>
  <c r="G16" i="25" s="1"/>
  <c r="G17" i="25" s="1"/>
  <c r="AN18" i="25"/>
  <c r="AM18" i="25"/>
  <c r="AN17" i="25"/>
  <c r="AM17" i="25"/>
  <c r="AN16" i="25"/>
  <c r="AM16" i="25"/>
  <c r="AN15" i="25"/>
  <c r="AM15" i="25"/>
  <c r="AN14" i="25"/>
  <c r="AM14" i="25"/>
  <c r="C14" i="25"/>
  <c r="G15" i="25" s="1"/>
  <c r="AN13" i="25"/>
  <c r="AM13" i="25"/>
  <c r="C13" i="25"/>
  <c r="K39" i="25" s="1"/>
  <c r="AN12" i="25"/>
  <c r="AM12" i="25"/>
  <c r="K12" i="25"/>
  <c r="AN11" i="25"/>
  <c r="AM11" i="25"/>
  <c r="AN10" i="25"/>
  <c r="AM10" i="25"/>
  <c r="C10" i="25"/>
  <c r="AN9" i="25"/>
  <c r="AM9" i="25"/>
  <c r="G9" i="25"/>
  <c r="AN8" i="25"/>
  <c r="AM8" i="25"/>
  <c r="C8" i="25"/>
  <c r="AN7" i="25"/>
  <c r="AM7" i="25"/>
  <c r="G7" i="25"/>
  <c r="G8" i="25" s="1"/>
  <c r="AN6" i="25"/>
  <c r="AM6" i="25"/>
  <c r="AO5" i="25"/>
  <c r="AN5" i="25"/>
  <c r="AI6" i="25" s="1"/>
  <c r="AM5" i="25"/>
  <c r="AG6" i="25" s="1"/>
  <c r="AK5" i="25"/>
  <c r="O5" i="25"/>
  <c r="O7" i="25" s="1"/>
  <c r="O10" i="25" s="1"/>
  <c r="G5" i="25"/>
  <c r="G6" i="25" s="1"/>
  <c r="K9" i="25" s="1"/>
  <c r="AD4" i="25"/>
  <c r="Z4" i="25"/>
  <c r="O4" i="25"/>
  <c r="G4" i="25"/>
  <c r="G12" i="25" s="1"/>
  <c r="O45" i="24"/>
  <c r="AN44" i="24"/>
  <c r="AM44" i="24"/>
  <c r="O44" i="24"/>
  <c r="AN43" i="24"/>
  <c r="AM43" i="24"/>
  <c r="AN42" i="24"/>
  <c r="AM42" i="24"/>
  <c r="AN41" i="24"/>
  <c r="AM41" i="24"/>
  <c r="AN40" i="24"/>
  <c r="AM40" i="24"/>
  <c r="AN39" i="24"/>
  <c r="AM39" i="24"/>
  <c r="AN38" i="24"/>
  <c r="AM38" i="24"/>
  <c r="AN37" i="24"/>
  <c r="AM37" i="24"/>
  <c r="AN36" i="24"/>
  <c r="AM36" i="24"/>
  <c r="AN35" i="24"/>
  <c r="AM35" i="24"/>
  <c r="AN34" i="24"/>
  <c r="AM34" i="24"/>
  <c r="G34" i="24"/>
  <c r="AN33" i="24"/>
  <c r="AM33" i="24"/>
  <c r="C33" i="24"/>
  <c r="AN32" i="24"/>
  <c r="AM32" i="24"/>
  <c r="AN31" i="24"/>
  <c r="AM31" i="24"/>
  <c r="K31" i="24"/>
  <c r="G31" i="24"/>
  <c r="G29" i="24" s="1"/>
  <c r="C31" i="24"/>
  <c r="AN30" i="24"/>
  <c r="AM30" i="24"/>
  <c r="AN29" i="24"/>
  <c r="AM29" i="24"/>
  <c r="AN28" i="24"/>
  <c r="AM28" i="24"/>
  <c r="G28" i="24"/>
  <c r="AN27" i="24"/>
  <c r="AM27" i="24"/>
  <c r="AN26" i="24"/>
  <c r="AM26" i="24"/>
  <c r="G26" i="24"/>
  <c r="AN25" i="24"/>
  <c r="AM25" i="24"/>
  <c r="G25" i="24"/>
  <c r="G27" i="24" s="1"/>
  <c r="AN24" i="24"/>
  <c r="AM24" i="24"/>
  <c r="AN23" i="24"/>
  <c r="AM23" i="24"/>
  <c r="AN22" i="24"/>
  <c r="AM22" i="24"/>
  <c r="AN21" i="24"/>
  <c r="AM21" i="24"/>
  <c r="AN20" i="24"/>
  <c r="AM20" i="24"/>
  <c r="C20" i="24"/>
  <c r="AN19" i="24"/>
  <c r="AM19" i="24"/>
  <c r="O19" i="24"/>
  <c r="G16" i="24" s="1"/>
  <c r="G17" i="24" s="1"/>
  <c r="AN18" i="24"/>
  <c r="AM18" i="24"/>
  <c r="AN17" i="24"/>
  <c r="AM17" i="24"/>
  <c r="AN16" i="24"/>
  <c r="AM16" i="24"/>
  <c r="AN15" i="24"/>
  <c r="AM15" i="24"/>
  <c r="AN14" i="24"/>
  <c r="AM14" i="24"/>
  <c r="C14" i="24"/>
  <c r="AN13" i="24"/>
  <c r="AM13" i="24"/>
  <c r="C13" i="24"/>
  <c r="K39" i="24" s="1"/>
  <c r="AN12" i="24"/>
  <c r="AM12" i="24"/>
  <c r="K12" i="24"/>
  <c r="G12" i="24"/>
  <c r="AN11" i="24"/>
  <c r="AM11" i="24"/>
  <c r="AN10" i="24"/>
  <c r="AM10" i="24"/>
  <c r="C10" i="24"/>
  <c r="AN9" i="24"/>
  <c r="AM9" i="24"/>
  <c r="G9" i="24"/>
  <c r="AN8" i="24"/>
  <c r="AM8" i="24"/>
  <c r="C8" i="24"/>
  <c r="AN7" i="24"/>
  <c r="AM7" i="24"/>
  <c r="G7" i="24"/>
  <c r="G8" i="24" s="1"/>
  <c r="AN6" i="24"/>
  <c r="AM6" i="24"/>
  <c r="AO5" i="24"/>
  <c r="AN5" i="24"/>
  <c r="AI6" i="24" s="1"/>
  <c r="AM5" i="24"/>
  <c r="AG6" i="24" s="1"/>
  <c r="AK5" i="24"/>
  <c r="O5" i="24"/>
  <c r="O7" i="24" s="1"/>
  <c r="O10" i="24" s="1"/>
  <c r="G5" i="24"/>
  <c r="G6" i="24" s="1"/>
  <c r="AD4" i="24"/>
  <c r="Z4" i="24"/>
  <c r="O4" i="24"/>
  <c r="G4" i="24"/>
  <c r="O45" i="23"/>
  <c r="AN44" i="23"/>
  <c r="AM44" i="23"/>
  <c r="O44" i="23"/>
  <c r="AN43" i="23"/>
  <c r="AM43" i="23"/>
  <c r="AN42" i="23"/>
  <c r="AM42" i="23"/>
  <c r="AN41" i="23"/>
  <c r="AM41" i="23"/>
  <c r="AN40" i="23"/>
  <c r="AM40" i="23"/>
  <c r="AN39" i="23"/>
  <c r="AM39" i="23"/>
  <c r="AN38" i="23"/>
  <c r="AM38" i="23"/>
  <c r="AN37" i="23"/>
  <c r="AM37" i="23"/>
  <c r="AN36" i="23"/>
  <c r="AM36" i="23"/>
  <c r="AN35" i="23"/>
  <c r="AM35" i="23"/>
  <c r="AN34" i="23"/>
  <c r="AM34" i="23"/>
  <c r="G34" i="23"/>
  <c r="AN33" i="23"/>
  <c r="AM33" i="23"/>
  <c r="C33" i="23"/>
  <c r="AN32" i="23"/>
  <c r="AM32" i="23"/>
  <c r="AN31" i="23"/>
  <c r="AM31" i="23"/>
  <c r="K31" i="23"/>
  <c r="C31" i="23"/>
  <c r="AN30" i="23"/>
  <c r="AM30" i="23"/>
  <c r="AN29" i="23"/>
  <c r="AM29" i="23"/>
  <c r="AN28" i="23"/>
  <c r="AM28" i="23"/>
  <c r="G28" i="23"/>
  <c r="AN27" i="23"/>
  <c r="AM27" i="23"/>
  <c r="AN26" i="23"/>
  <c r="AM26" i="23"/>
  <c r="G26" i="23"/>
  <c r="AN25" i="23"/>
  <c r="AM25" i="23"/>
  <c r="G25" i="23"/>
  <c r="G27" i="23" s="1"/>
  <c r="AN24" i="23"/>
  <c r="AM24" i="23"/>
  <c r="AN23" i="23"/>
  <c r="AM23" i="23"/>
  <c r="AN22" i="23"/>
  <c r="AM22" i="23"/>
  <c r="AN21" i="23"/>
  <c r="AM21" i="23"/>
  <c r="AN20" i="23"/>
  <c r="AM20" i="23"/>
  <c r="AN19" i="23"/>
  <c r="AM19" i="23"/>
  <c r="O19" i="23"/>
  <c r="G16" i="23" s="1"/>
  <c r="G17" i="23" s="1"/>
  <c r="AN18" i="23"/>
  <c r="AM18" i="23"/>
  <c r="AN17" i="23"/>
  <c r="AM17" i="23"/>
  <c r="AN16" i="23"/>
  <c r="AM16" i="23"/>
  <c r="AN15" i="23"/>
  <c r="AM15" i="23"/>
  <c r="AN14" i="23"/>
  <c r="AM14" i="23"/>
  <c r="C14" i="23"/>
  <c r="G15" i="23" s="1"/>
  <c r="AN13" i="23"/>
  <c r="AM13" i="23"/>
  <c r="C13" i="23"/>
  <c r="K39" i="23" s="1"/>
  <c r="AN12" i="23"/>
  <c r="AM12" i="23"/>
  <c r="K12" i="23"/>
  <c r="AN11" i="23"/>
  <c r="AM11" i="23"/>
  <c r="AN10" i="23"/>
  <c r="AM10" i="23"/>
  <c r="C10" i="23"/>
  <c r="C20" i="23" s="1"/>
  <c r="AN9" i="23"/>
  <c r="AM9" i="23"/>
  <c r="G9" i="23"/>
  <c r="AN8" i="23"/>
  <c r="AM8" i="23"/>
  <c r="C8" i="23"/>
  <c r="AN7" i="23"/>
  <c r="AM7" i="23"/>
  <c r="G7" i="23"/>
  <c r="G8" i="23" s="1"/>
  <c r="AN6" i="23"/>
  <c r="AM6" i="23"/>
  <c r="AO5" i="23"/>
  <c r="AN5" i="23"/>
  <c r="AI6" i="23" s="1"/>
  <c r="AM5" i="23"/>
  <c r="AG6" i="23" s="1"/>
  <c r="AK5" i="23"/>
  <c r="O5" i="23"/>
  <c r="O7" i="23" s="1"/>
  <c r="O10" i="23" s="1"/>
  <c r="G5" i="23"/>
  <c r="G6" i="23" s="1"/>
  <c r="AD4" i="23"/>
  <c r="Z4" i="23"/>
  <c r="O4" i="23"/>
  <c r="G4" i="23"/>
  <c r="G12" i="23" s="1"/>
  <c r="O45" i="22"/>
  <c r="AN44" i="22"/>
  <c r="AM44" i="22"/>
  <c r="O44" i="22"/>
  <c r="AN43" i="22"/>
  <c r="AM43" i="22"/>
  <c r="AN42" i="22"/>
  <c r="AM42" i="22"/>
  <c r="AN41" i="22"/>
  <c r="AM41" i="22"/>
  <c r="AN40" i="22"/>
  <c r="AM40" i="22"/>
  <c r="AN39" i="22"/>
  <c r="AM39" i="22"/>
  <c r="AN38" i="22"/>
  <c r="AM38" i="22"/>
  <c r="AN37" i="22"/>
  <c r="AM37" i="22"/>
  <c r="AN36" i="22"/>
  <c r="AM36" i="22"/>
  <c r="AN35" i="22"/>
  <c r="AM35" i="22"/>
  <c r="AN34" i="22"/>
  <c r="AM34" i="22"/>
  <c r="G34" i="22"/>
  <c r="AN33" i="22"/>
  <c r="AM33" i="22"/>
  <c r="C33" i="22"/>
  <c r="AN32" i="22"/>
  <c r="AM32" i="22"/>
  <c r="AN31" i="22"/>
  <c r="AM31" i="22"/>
  <c r="K31" i="22"/>
  <c r="C31" i="22"/>
  <c r="AN30" i="22"/>
  <c r="AM30" i="22"/>
  <c r="AN29" i="22"/>
  <c r="AM29" i="22"/>
  <c r="AN28" i="22"/>
  <c r="AM28" i="22"/>
  <c r="G28" i="22"/>
  <c r="AN27" i="22"/>
  <c r="AM27" i="22"/>
  <c r="AN26" i="22"/>
  <c r="AM26" i="22"/>
  <c r="K26" i="22"/>
  <c r="K26" i="23" s="1"/>
  <c r="G26" i="22"/>
  <c r="AN25" i="22"/>
  <c r="AM25" i="22"/>
  <c r="K25" i="22"/>
  <c r="K25" i="23" s="1"/>
  <c r="G25" i="22"/>
  <c r="G27" i="22" s="1"/>
  <c r="AN24" i="22"/>
  <c r="AM24" i="22"/>
  <c r="K24" i="22"/>
  <c r="K24" i="23" s="1"/>
  <c r="AN23" i="22"/>
  <c r="AM23" i="22"/>
  <c r="K23" i="22"/>
  <c r="K23" i="23" s="1"/>
  <c r="AN22" i="22"/>
  <c r="AM22" i="22"/>
  <c r="AN21" i="22"/>
  <c r="AM21" i="22"/>
  <c r="K21" i="22"/>
  <c r="AN20" i="22"/>
  <c r="AM20" i="22"/>
  <c r="K20" i="22"/>
  <c r="AN19" i="22"/>
  <c r="AM19" i="22"/>
  <c r="O19" i="22"/>
  <c r="G16" i="22" s="1"/>
  <c r="G17" i="22" s="1"/>
  <c r="K19" i="22"/>
  <c r="K19" i="23" s="1"/>
  <c r="AN18" i="22"/>
  <c r="AM18" i="22"/>
  <c r="K18" i="22"/>
  <c r="K18" i="23" s="1"/>
  <c r="AN17" i="22"/>
  <c r="AM17" i="22"/>
  <c r="AN16" i="22"/>
  <c r="AM16" i="22"/>
  <c r="AN15" i="22"/>
  <c r="AM15" i="22"/>
  <c r="AN14" i="22"/>
  <c r="AM14" i="22"/>
  <c r="C14" i="22"/>
  <c r="G15" i="22" s="1"/>
  <c r="AN13" i="22"/>
  <c r="AM13" i="22"/>
  <c r="C13" i="22"/>
  <c r="K39" i="22" s="1"/>
  <c r="AN12" i="22"/>
  <c r="AM12" i="22"/>
  <c r="K12" i="22"/>
  <c r="AN11" i="22"/>
  <c r="AM11" i="22"/>
  <c r="AN10" i="22"/>
  <c r="AM10" i="22"/>
  <c r="C10" i="22"/>
  <c r="AN9" i="22"/>
  <c r="AM9" i="22"/>
  <c r="G9" i="22"/>
  <c r="AN8" i="22"/>
  <c r="AM8" i="22"/>
  <c r="C8" i="22"/>
  <c r="AN7" i="22"/>
  <c r="AM7" i="22"/>
  <c r="G7" i="22"/>
  <c r="G8" i="22" s="1"/>
  <c r="AN6" i="22"/>
  <c r="AM6" i="22"/>
  <c r="AO5" i="22"/>
  <c r="AN5" i="22"/>
  <c r="AI6" i="22" s="1"/>
  <c r="AM5" i="22"/>
  <c r="AG6" i="22" s="1"/>
  <c r="AK5" i="22"/>
  <c r="O5" i="22"/>
  <c r="O7" i="22" s="1"/>
  <c r="O10" i="22" s="1"/>
  <c r="G5" i="22"/>
  <c r="G6" i="22" s="1"/>
  <c r="AD4" i="22"/>
  <c r="Z4" i="22"/>
  <c r="O4" i="22"/>
  <c r="G4" i="22"/>
  <c r="G12" i="22" s="1"/>
  <c r="O45" i="21"/>
  <c r="AN44" i="21"/>
  <c r="AM44" i="21"/>
  <c r="O44" i="21"/>
  <c r="AN43" i="21"/>
  <c r="AM43" i="21"/>
  <c r="AN42" i="21"/>
  <c r="AM42" i="21"/>
  <c r="AN41" i="21"/>
  <c r="AM41" i="21"/>
  <c r="AN40" i="21"/>
  <c r="AM40" i="21"/>
  <c r="AN39" i="21"/>
  <c r="AM39" i="21"/>
  <c r="AN38" i="21"/>
  <c r="AM38" i="21"/>
  <c r="AN37" i="21"/>
  <c r="AM37" i="21"/>
  <c r="AN36" i="21"/>
  <c r="AM36" i="21"/>
  <c r="AN35" i="21"/>
  <c r="AM35" i="21"/>
  <c r="AN34" i="21"/>
  <c r="AM34" i="21"/>
  <c r="G34" i="21"/>
  <c r="AN33" i="21"/>
  <c r="AM33" i="21"/>
  <c r="C33" i="21"/>
  <c r="AN32" i="21"/>
  <c r="AM32" i="21"/>
  <c r="AN31" i="21"/>
  <c r="AM31" i="21"/>
  <c r="K31" i="21"/>
  <c r="C31" i="21"/>
  <c r="AN30" i="21"/>
  <c r="AM30" i="21"/>
  <c r="AN29" i="21"/>
  <c r="AM29" i="21"/>
  <c r="AN28" i="21"/>
  <c r="AM28" i="21"/>
  <c r="G28" i="21"/>
  <c r="AN27" i="21"/>
  <c r="AM27" i="21"/>
  <c r="AN26" i="21"/>
  <c r="AM26" i="21"/>
  <c r="G26" i="21"/>
  <c r="AN25" i="21"/>
  <c r="AM25" i="21"/>
  <c r="G25" i="21"/>
  <c r="G31" i="21" s="1"/>
  <c r="G29" i="21" s="1"/>
  <c r="AN24" i="21"/>
  <c r="AM24" i="21"/>
  <c r="AN23" i="21"/>
  <c r="AM23" i="21"/>
  <c r="AN22" i="21"/>
  <c r="AM22" i="21"/>
  <c r="AN21" i="21"/>
  <c r="AM21" i="21"/>
  <c r="AN20" i="21"/>
  <c r="AM20" i="21"/>
  <c r="AN19" i="21"/>
  <c r="AM19" i="21"/>
  <c r="O19" i="21"/>
  <c r="G16" i="21" s="1"/>
  <c r="G17" i="21" s="1"/>
  <c r="AN18" i="21"/>
  <c r="AM18" i="21"/>
  <c r="AN17" i="21"/>
  <c r="AM17" i="21"/>
  <c r="AN16" i="21"/>
  <c r="AM16" i="21"/>
  <c r="AN15" i="21"/>
  <c r="AM15" i="21"/>
  <c r="AN14" i="21"/>
  <c r="AM14" i="21"/>
  <c r="C14" i="21"/>
  <c r="AN13" i="21"/>
  <c r="AM13" i="21"/>
  <c r="C13" i="21"/>
  <c r="K39" i="21" s="1"/>
  <c r="AN12" i="21"/>
  <c r="AM12" i="21"/>
  <c r="K12" i="21"/>
  <c r="G12" i="21"/>
  <c r="AN11" i="21"/>
  <c r="AM11" i="21"/>
  <c r="AN10" i="21"/>
  <c r="AM10" i="21"/>
  <c r="C10" i="21"/>
  <c r="C20" i="21" s="1"/>
  <c r="AN9" i="21"/>
  <c r="AM9" i="21"/>
  <c r="G9" i="21"/>
  <c r="AN8" i="21"/>
  <c r="AM8" i="21"/>
  <c r="C8" i="21"/>
  <c r="AN7" i="21"/>
  <c r="AM7" i="21"/>
  <c r="G7" i="21"/>
  <c r="G8" i="21" s="1"/>
  <c r="AN6" i="21"/>
  <c r="AM6" i="21"/>
  <c r="AO5" i="21"/>
  <c r="AN5" i="21"/>
  <c r="AM5" i="21"/>
  <c r="AG6" i="21" s="1"/>
  <c r="AK5" i="21"/>
  <c r="O5" i="21"/>
  <c r="O7" i="21" s="1"/>
  <c r="O10" i="21" s="1"/>
  <c r="G5" i="21"/>
  <c r="G6" i="21" s="1"/>
  <c r="AD4" i="21"/>
  <c r="Z4" i="21"/>
  <c r="G4" i="21"/>
  <c r="O45" i="20"/>
  <c r="AN44" i="20"/>
  <c r="AM44" i="20"/>
  <c r="O44" i="20"/>
  <c r="AN43" i="20"/>
  <c r="AM43" i="20"/>
  <c r="AN42" i="20"/>
  <c r="AM42" i="20"/>
  <c r="AN41" i="20"/>
  <c r="AM41" i="20"/>
  <c r="AN40" i="20"/>
  <c r="AM40" i="20"/>
  <c r="AN39" i="20"/>
  <c r="AM39" i="20"/>
  <c r="AN38" i="20"/>
  <c r="AM38" i="20"/>
  <c r="AN37" i="20"/>
  <c r="AM37" i="20"/>
  <c r="AN36" i="20"/>
  <c r="AM36" i="20"/>
  <c r="AN35" i="20"/>
  <c r="AM35" i="20"/>
  <c r="AN34" i="20"/>
  <c r="AM34" i="20"/>
  <c r="G34" i="20"/>
  <c r="AN33" i="20"/>
  <c r="AM33" i="20"/>
  <c r="C33" i="20"/>
  <c r="AN32" i="20"/>
  <c r="AM32" i="20"/>
  <c r="AN31" i="20"/>
  <c r="AM31" i="20"/>
  <c r="K31" i="20"/>
  <c r="C31" i="20"/>
  <c r="AN30" i="20"/>
  <c r="AM30" i="20"/>
  <c r="AN29" i="20"/>
  <c r="AM29" i="20"/>
  <c r="AN28" i="20"/>
  <c r="AM28" i="20"/>
  <c r="G28" i="20"/>
  <c r="AN27" i="20"/>
  <c r="AM27" i="20"/>
  <c r="G27" i="20"/>
  <c r="AN26" i="20"/>
  <c r="AM26" i="20"/>
  <c r="G26" i="20"/>
  <c r="AN25" i="20"/>
  <c r="AM25" i="20"/>
  <c r="G25" i="20"/>
  <c r="G31" i="20" s="1"/>
  <c r="G29" i="20" s="1"/>
  <c r="AN24" i="20"/>
  <c r="AM24" i="20"/>
  <c r="AN23" i="20"/>
  <c r="AM23" i="20"/>
  <c r="AN22" i="20"/>
  <c r="AM22" i="20"/>
  <c r="AN21" i="20"/>
  <c r="AM21" i="20"/>
  <c r="AN20" i="20"/>
  <c r="AM20" i="20"/>
  <c r="AN19" i="20"/>
  <c r="AM19" i="20"/>
  <c r="O19" i="20"/>
  <c r="G16" i="20" s="1"/>
  <c r="G17" i="20" s="1"/>
  <c r="AN18" i="20"/>
  <c r="AM18" i="20"/>
  <c r="AN17" i="20"/>
  <c r="AM17" i="20"/>
  <c r="AN16" i="20"/>
  <c r="AM16" i="20"/>
  <c r="AN15" i="20"/>
  <c r="AM15" i="20"/>
  <c r="AN14" i="20"/>
  <c r="AM14" i="20"/>
  <c r="C14" i="20"/>
  <c r="G15" i="20" s="1"/>
  <c r="AN13" i="20"/>
  <c r="AM13" i="20"/>
  <c r="C13" i="20"/>
  <c r="K39" i="20" s="1"/>
  <c r="AN12" i="20"/>
  <c r="AM12" i="20"/>
  <c r="K12" i="20"/>
  <c r="AN11" i="20"/>
  <c r="AM11" i="20"/>
  <c r="AN10" i="20"/>
  <c r="AM10" i="20"/>
  <c r="C10" i="20"/>
  <c r="C20" i="20" s="1"/>
  <c r="AN9" i="20"/>
  <c r="AM9" i="20"/>
  <c r="G9" i="20"/>
  <c r="AN8" i="20"/>
  <c r="AM8" i="20"/>
  <c r="C8" i="20"/>
  <c r="AN7" i="20"/>
  <c r="AM7" i="20"/>
  <c r="G7" i="20"/>
  <c r="G8" i="20" s="1"/>
  <c r="AN6" i="20"/>
  <c r="AM6" i="20"/>
  <c r="AO5" i="20"/>
  <c r="AN5" i="20"/>
  <c r="AM5" i="20"/>
  <c r="AG6" i="20" s="1"/>
  <c r="AK5" i="20"/>
  <c r="O5" i="20"/>
  <c r="O7" i="20" s="1"/>
  <c r="O10" i="20" s="1"/>
  <c r="G5" i="20"/>
  <c r="AD4" i="20"/>
  <c r="Z4" i="20"/>
  <c r="O4" i="20"/>
  <c r="G4" i="20"/>
  <c r="G12" i="20" s="1"/>
  <c r="O45" i="19"/>
  <c r="AN44" i="19"/>
  <c r="AM44" i="19"/>
  <c r="O44" i="19"/>
  <c r="AN43" i="19"/>
  <c r="AM43" i="19"/>
  <c r="AN42" i="19"/>
  <c r="AM42" i="19"/>
  <c r="AN41" i="19"/>
  <c r="AM41" i="19"/>
  <c r="AN40" i="19"/>
  <c r="AM40" i="19"/>
  <c r="AN39" i="19"/>
  <c r="AM39" i="19"/>
  <c r="AN38" i="19"/>
  <c r="AM38" i="19"/>
  <c r="AN37" i="19"/>
  <c r="AM37" i="19"/>
  <c r="AN36" i="19"/>
  <c r="AM36" i="19"/>
  <c r="AN35" i="19"/>
  <c r="AM35" i="19"/>
  <c r="AN34" i="19"/>
  <c r="AM34" i="19"/>
  <c r="G34" i="19"/>
  <c r="AN33" i="19"/>
  <c r="AM33" i="19"/>
  <c r="C33" i="19"/>
  <c r="AN32" i="19"/>
  <c r="AM32" i="19"/>
  <c r="AN31" i="19"/>
  <c r="AM31" i="19"/>
  <c r="K31" i="19"/>
  <c r="C31" i="19"/>
  <c r="AN30" i="19"/>
  <c r="AM30" i="19"/>
  <c r="AN29" i="19"/>
  <c r="AM29" i="19"/>
  <c r="AN28" i="19"/>
  <c r="AM28" i="19"/>
  <c r="G28" i="19"/>
  <c r="AN27" i="19"/>
  <c r="AM27" i="19"/>
  <c r="AN26" i="19"/>
  <c r="AM26" i="19"/>
  <c r="G26" i="19"/>
  <c r="AN25" i="19"/>
  <c r="AM25" i="19"/>
  <c r="G25" i="19"/>
  <c r="G31" i="19" s="1"/>
  <c r="G29" i="19" s="1"/>
  <c r="AN24" i="19"/>
  <c r="AM24" i="19"/>
  <c r="AN23" i="19"/>
  <c r="AM23" i="19"/>
  <c r="AN22" i="19"/>
  <c r="AM22" i="19"/>
  <c r="AN21" i="19"/>
  <c r="AM21" i="19"/>
  <c r="AN20" i="19"/>
  <c r="AM20" i="19"/>
  <c r="AN19" i="19"/>
  <c r="AM19" i="19"/>
  <c r="O19" i="19"/>
  <c r="G16" i="19" s="1"/>
  <c r="G17" i="19" s="1"/>
  <c r="AN18" i="19"/>
  <c r="AM18" i="19"/>
  <c r="AN17" i="19"/>
  <c r="AM17" i="19"/>
  <c r="AN16" i="19"/>
  <c r="AM16" i="19"/>
  <c r="AN15" i="19"/>
  <c r="AM15" i="19"/>
  <c r="AN14" i="19"/>
  <c r="AM14" i="19"/>
  <c r="C14" i="19"/>
  <c r="AN13" i="19"/>
  <c r="AM13" i="19"/>
  <c r="C13" i="19"/>
  <c r="K39" i="19" s="1"/>
  <c r="AN12" i="19"/>
  <c r="AM12" i="19"/>
  <c r="K12" i="19"/>
  <c r="AN11" i="19"/>
  <c r="AM11" i="19"/>
  <c r="AN10" i="19"/>
  <c r="AM10" i="19"/>
  <c r="C10" i="19"/>
  <c r="C20" i="19" s="1"/>
  <c r="AN9" i="19"/>
  <c r="AM9" i="19"/>
  <c r="G9" i="19"/>
  <c r="AN8" i="19"/>
  <c r="AM8" i="19"/>
  <c r="C8" i="19"/>
  <c r="AN7" i="19"/>
  <c r="AM7" i="19"/>
  <c r="G7" i="19"/>
  <c r="G8" i="19" s="1"/>
  <c r="AN6" i="19"/>
  <c r="AM6" i="19"/>
  <c r="AO5" i="19"/>
  <c r="AN5" i="19"/>
  <c r="AI6" i="19" s="1"/>
  <c r="AM5" i="19"/>
  <c r="AG6" i="19" s="1"/>
  <c r="AK5" i="19"/>
  <c r="O5" i="19"/>
  <c r="O7" i="19" s="1"/>
  <c r="O10" i="19" s="1"/>
  <c r="G5" i="19"/>
  <c r="G6" i="19" s="1"/>
  <c r="AD4" i="19"/>
  <c r="Z4" i="19"/>
  <c r="O4" i="19"/>
  <c r="G4" i="19"/>
  <c r="G12" i="19" s="1"/>
  <c r="C8" i="13"/>
  <c r="O4" i="13" s="1"/>
  <c r="C14" i="13"/>
  <c r="O5" i="13"/>
  <c r="G34" i="13"/>
  <c r="K25" i="25" l="1"/>
  <c r="K24" i="25"/>
  <c r="K23" i="25"/>
  <c r="K26" i="25"/>
  <c r="K19" i="25"/>
  <c r="K18" i="25"/>
  <c r="K24" i="24"/>
  <c r="K25" i="24"/>
  <c r="K26" i="24"/>
  <c r="K19" i="24"/>
  <c r="K23" i="24"/>
  <c r="K18" i="24"/>
  <c r="F4" i="26"/>
  <c r="E4" i="26"/>
  <c r="AK6" i="22"/>
  <c r="AG7" i="22" s="1"/>
  <c r="G30" i="24"/>
  <c r="G30" i="25"/>
  <c r="AG7" i="25"/>
  <c r="AK6" i="25"/>
  <c r="AI7" i="25" s="1"/>
  <c r="O46" i="25"/>
  <c r="O47" i="25" s="1"/>
  <c r="G10" i="25"/>
  <c r="G11" i="25" s="1"/>
  <c r="AO6" i="25"/>
  <c r="O8" i="25"/>
  <c r="O9" i="25" s="1"/>
  <c r="O13" i="25" s="1"/>
  <c r="C20" i="25"/>
  <c r="K47" i="25"/>
  <c r="O8" i="24"/>
  <c r="O9" i="24" s="1"/>
  <c r="O13" i="24" s="1"/>
  <c r="O14" i="24" s="1"/>
  <c r="O17" i="24" s="1"/>
  <c r="O20" i="24" s="1"/>
  <c r="AO6" i="24"/>
  <c r="G15" i="24"/>
  <c r="K9" i="24" s="1"/>
  <c r="O46" i="24"/>
  <c r="O47" i="24" s="1"/>
  <c r="G10" i="24"/>
  <c r="G11" i="24" s="1"/>
  <c r="AK6" i="24"/>
  <c r="AG7" i="24" s="1"/>
  <c r="K47" i="24"/>
  <c r="K35" i="23"/>
  <c r="K43" i="23"/>
  <c r="AK6" i="23"/>
  <c r="AG7" i="23" s="1"/>
  <c r="O8" i="22"/>
  <c r="O9" i="22" s="1"/>
  <c r="O13" i="22" s="1"/>
  <c r="O14" i="22" s="1"/>
  <c r="O17" i="22" s="1"/>
  <c r="O20" i="22" s="1"/>
  <c r="K9" i="23"/>
  <c r="AO6" i="23"/>
  <c r="G10" i="23"/>
  <c r="G11" i="23" s="1"/>
  <c r="O46" i="23"/>
  <c r="O47" i="23" s="1"/>
  <c r="O8" i="23"/>
  <c r="O9" i="23" s="1"/>
  <c r="O13" i="23" s="1"/>
  <c r="G31" i="23"/>
  <c r="G29" i="23" s="1"/>
  <c r="G30" i="23" s="1"/>
  <c r="K47" i="23"/>
  <c r="K35" i="22"/>
  <c r="K43" i="22"/>
  <c r="AO6" i="22"/>
  <c r="K22" i="22"/>
  <c r="O46" i="22"/>
  <c r="O47" i="22" s="1"/>
  <c r="G10" i="22"/>
  <c r="G11" i="22" s="1"/>
  <c r="K9" i="22"/>
  <c r="AI7" i="22"/>
  <c r="C20" i="22"/>
  <c r="G31" i="22"/>
  <c r="G29" i="22" s="1"/>
  <c r="G30" i="22" s="1"/>
  <c r="K47" i="22"/>
  <c r="O46" i="21"/>
  <c r="O47" i="21" s="1"/>
  <c r="G10" i="21"/>
  <c r="G11" i="21" s="1"/>
  <c r="G30" i="21"/>
  <c r="O4" i="21"/>
  <c r="O8" i="21" s="1"/>
  <c r="O9" i="21" s="1"/>
  <c r="O13" i="21" s="1"/>
  <c r="G15" i="21"/>
  <c r="K9" i="21" s="1"/>
  <c r="AI6" i="21"/>
  <c r="AO6" i="21" s="1"/>
  <c r="AG7" i="21"/>
  <c r="G27" i="21"/>
  <c r="K47" i="21"/>
  <c r="O8" i="20"/>
  <c r="O9" i="20" s="1"/>
  <c r="O13" i="20" s="1"/>
  <c r="O14" i="20" s="1"/>
  <c r="O17" i="20" s="1"/>
  <c r="O20" i="20" s="1"/>
  <c r="O23" i="20" s="1"/>
  <c r="O8" i="19"/>
  <c r="O9" i="19" s="1"/>
  <c r="O13" i="19" s="1"/>
  <c r="O14" i="19" s="1"/>
  <c r="O17" i="19" s="1"/>
  <c r="O20" i="19" s="1"/>
  <c r="AI6" i="20"/>
  <c r="AO6" i="20" s="1"/>
  <c r="O46" i="20"/>
  <c r="O47" i="20" s="1"/>
  <c r="G10" i="20"/>
  <c r="G11" i="20" s="1"/>
  <c r="G30" i="20"/>
  <c r="G6" i="20"/>
  <c r="K9" i="20" s="1"/>
  <c r="K47" i="20"/>
  <c r="G30" i="19"/>
  <c r="AO6" i="19"/>
  <c r="G10" i="19"/>
  <c r="G11" i="19" s="1"/>
  <c r="O46" i="19"/>
  <c r="O47" i="19" s="1"/>
  <c r="K9" i="19"/>
  <c r="AK6" i="19"/>
  <c r="AG7" i="19" s="1"/>
  <c r="G15" i="19"/>
  <c r="G27" i="19"/>
  <c r="K47" i="19"/>
  <c r="O44" i="13"/>
  <c r="O45" i="13" s="1"/>
  <c r="G7" i="13"/>
  <c r="G8" i="13" s="1"/>
  <c r="AN44" i="13"/>
  <c r="AM44" i="13"/>
  <c r="AN43" i="13"/>
  <c r="AM43" i="13"/>
  <c r="AN42" i="13"/>
  <c r="AM42" i="13"/>
  <c r="AN41" i="13"/>
  <c r="AM41" i="13"/>
  <c r="AN40" i="13"/>
  <c r="AM40" i="13"/>
  <c r="AN39" i="13"/>
  <c r="AM39" i="13"/>
  <c r="AN38" i="13"/>
  <c r="AM38" i="13"/>
  <c r="AN37" i="13"/>
  <c r="AM37" i="13"/>
  <c r="AN36" i="13"/>
  <c r="AM36" i="13"/>
  <c r="AN35" i="13"/>
  <c r="AM35" i="13"/>
  <c r="AN34" i="13"/>
  <c r="AM34" i="13"/>
  <c r="AN33" i="13"/>
  <c r="AM33" i="13"/>
  <c r="AN32" i="13"/>
  <c r="AM32" i="13"/>
  <c r="AN31" i="13"/>
  <c r="AM31" i="13"/>
  <c r="C33" i="13"/>
  <c r="AN30" i="13"/>
  <c r="AM30" i="13"/>
  <c r="AN29" i="13"/>
  <c r="AM29" i="13"/>
  <c r="C31" i="13"/>
  <c r="AN28" i="13"/>
  <c r="AM28" i="13"/>
  <c r="AN27" i="13"/>
  <c r="AM27" i="13"/>
  <c r="AN26" i="13"/>
  <c r="AM26" i="13"/>
  <c r="AN25" i="13"/>
  <c r="AM25" i="13"/>
  <c r="G26" i="13"/>
  <c r="AN24" i="13"/>
  <c r="AM24" i="13"/>
  <c r="G25" i="13"/>
  <c r="AN23" i="13"/>
  <c r="AM23" i="13"/>
  <c r="AN22" i="13"/>
  <c r="AM22" i="13"/>
  <c r="AN21" i="13"/>
  <c r="AM21" i="13"/>
  <c r="K21" i="13"/>
  <c r="AN20" i="13"/>
  <c r="AM20" i="13"/>
  <c r="O19" i="13"/>
  <c r="G16" i="13" s="1"/>
  <c r="G17" i="13" s="1"/>
  <c r="K20" i="13"/>
  <c r="AN19" i="13"/>
  <c r="AM19" i="13"/>
  <c r="AN18" i="13"/>
  <c r="AM18" i="13"/>
  <c r="AN17" i="13"/>
  <c r="AM17" i="13"/>
  <c r="AN16" i="13"/>
  <c r="AM16" i="13"/>
  <c r="AN15" i="13"/>
  <c r="AM15" i="13"/>
  <c r="AN14" i="13"/>
  <c r="AM14" i="13"/>
  <c r="AN13" i="13"/>
  <c r="AM13" i="13"/>
  <c r="AN12" i="13"/>
  <c r="AM12" i="13"/>
  <c r="C13" i="13"/>
  <c r="AN11" i="13"/>
  <c r="AM11" i="13"/>
  <c r="AN10" i="13"/>
  <c r="AM10" i="13"/>
  <c r="AN9" i="13"/>
  <c r="AM9" i="13"/>
  <c r="C10" i="13"/>
  <c r="C20" i="13" s="1"/>
  <c r="AN8" i="13"/>
  <c r="AM8" i="13"/>
  <c r="AN7" i="13"/>
  <c r="AM7" i="13"/>
  <c r="AN6" i="13"/>
  <c r="AM6" i="13"/>
  <c r="AO5" i="13"/>
  <c r="AN5" i="13"/>
  <c r="AM5" i="13"/>
  <c r="AK5" i="13"/>
  <c r="G5" i="13"/>
  <c r="G6" i="13" s="1"/>
  <c r="AD4" i="13"/>
  <c r="Z4" i="13"/>
  <c r="G4" i="13"/>
  <c r="K43" i="25" l="1"/>
  <c r="K35" i="24"/>
  <c r="K35" i="25"/>
  <c r="K43" i="24"/>
  <c r="K22" i="24"/>
  <c r="K34" i="24" s="1"/>
  <c r="K22" i="25"/>
  <c r="K42" i="25" s="1"/>
  <c r="O18" i="24"/>
  <c r="G18" i="24" s="1"/>
  <c r="AI7" i="23"/>
  <c r="AO7" i="23" s="1"/>
  <c r="K42" i="22"/>
  <c r="K22" i="23"/>
  <c r="K42" i="23" s="1"/>
  <c r="AI7" i="24"/>
  <c r="AK7" i="24" s="1"/>
  <c r="AI8" i="24" s="1"/>
  <c r="AK7" i="25"/>
  <c r="AI8" i="25" s="1"/>
  <c r="O18" i="19"/>
  <c r="O21" i="19" s="1"/>
  <c r="G21" i="19" s="1"/>
  <c r="AO7" i="25"/>
  <c r="O18" i="22"/>
  <c r="O21" i="22" s="1"/>
  <c r="G21" i="22" s="1"/>
  <c r="O14" i="25"/>
  <c r="O17" i="25" s="1"/>
  <c r="O20" i="25" s="1"/>
  <c r="O18" i="25"/>
  <c r="O23" i="24"/>
  <c r="O18" i="23"/>
  <c r="O14" i="23"/>
  <c r="O17" i="23" s="1"/>
  <c r="O20" i="23" s="1"/>
  <c r="O23" i="22"/>
  <c r="K34" i="22"/>
  <c r="AO7" i="22"/>
  <c r="AK7" i="22"/>
  <c r="AI8" i="22" s="1"/>
  <c r="O18" i="20"/>
  <c r="O21" i="20" s="1"/>
  <c r="O18" i="21"/>
  <c r="O14" i="21"/>
  <c r="O17" i="21" s="1"/>
  <c r="O20" i="21" s="1"/>
  <c r="AK6" i="21"/>
  <c r="AI7" i="21" s="1"/>
  <c r="AO7" i="21" s="1"/>
  <c r="AI7" i="19"/>
  <c r="AK7" i="19" s="1"/>
  <c r="AK6" i="20"/>
  <c r="O23" i="19"/>
  <c r="AG6" i="13"/>
  <c r="AI6" i="13"/>
  <c r="G27" i="13"/>
  <c r="G15" i="13"/>
  <c r="K9" i="13" s="1"/>
  <c r="K31" i="13"/>
  <c r="K42" i="24" l="1"/>
  <c r="K34" i="23"/>
  <c r="AO7" i="24"/>
  <c r="O21" i="24"/>
  <c r="G21" i="24" s="1"/>
  <c r="AK7" i="23"/>
  <c r="AI8" i="23" s="1"/>
  <c r="K34" i="25"/>
  <c r="AG8" i="25"/>
  <c r="AK8" i="25" s="1"/>
  <c r="AG9" i="25" s="1"/>
  <c r="AG8" i="22"/>
  <c r="AK8" i="22" s="1"/>
  <c r="AI9" i="22" s="1"/>
  <c r="G18" i="19"/>
  <c r="AG8" i="24"/>
  <c r="AO8" i="24" s="1"/>
  <c r="O26" i="22"/>
  <c r="O28" i="22" s="1"/>
  <c r="K14" i="22"/>
  <c r="K14" i="25" s="1"/>
  <c r="G18" i="22"/>
  <c r="O21" i="25"/>
  <c r="G21" i="25" s="1"/>
  <c r="G18" i="25"/>
  <c r="O23" i="25"/>
  <c r="O26" i="24"/>
  <c r="O28" i="24" s="1"/>
  <c r="AA4" i="24"/>
  <c r="Y4" i="24"/>
  <c r="AA4" i="22"/>
  <c r="W4" i="22"/>
  <c r="O23" i="23"/>
  <c r="O21" i="23"/>
  <c r="G21" i="23" s="1"/>
  <c r="G18" i="23"/>
  <c r="O26" i="20"/>
  <c r="O28" i="20" s="1"/>
  <c r="G18" i="20"/>
  <c r="Y4" i="22"/>
  <c r="AK7" i="21"/>
  <c r="O23" i="21"/>
  <c r="O21" i="21"/>
  <c r="G21" i="21" s="1"/>
  <c r="G18" i="21"/>
  <c r="AI8" i="19"/>
  <c r="AG8" i="19"/>
  <c r="AO7" i="19"/>
  <c r="AG7" i="20"/>
  <c r="AI7" i="20"/>
  <c r="W4" i="19"/>
  <c r="Y4" i="19"/>
  <c r="G21" i="20"/>
  <c r="W4" i="20"/>
  <c r="Y4" i="20"/>
  <c r="AA4" i="20"/>
  <c r="O26" i="19"/>
  <c r="O28" i="19" s="1"/>
  <c r="AA4" i="19"/>
  <c r="AO6" i="13"/>
  <c r="AK6" i="13"/>
  <c r="AG7" i="13" s="1"/>
  <c r="AI7" i="13"/>
  <c r="W4" i="24" l="1"/>
  <c r="AI9" i="25"/>
  <c r="AO9" i="25" s="1"/>
  <c r="AO8" i="25"/>
  <c r="AK9" i="25"/>
  <c r="AI10" i="25" s="1"/>
  <c r="AG8" i="23"/>
  <c r="AK8" i="23" s="1"/>
  <c r="AI9" i="23" s="1"/>
  <c r="AG9" i="24"/>
  <c r="AK8" i="24"/>
  <c r="AI9" i="24" s="1"/>
  <c r="K14" i="23"/>
  <c r="K14" i="24"/>
  <c r="K15" i="22"/>
  <c r="K15" i="25" s="1"/>
  <c r="AO8" i="23"/>
  <c r="AG9" i="23"/>
  <c r="AO9" i="23" s="1"/>
  <c r="AC4" i="22"/>
  <c r="X5" i="22" s="1"/>
  <c r="Y5" i="22" s="1"/>
  <c r="AG9" i="22"/>
  <c r="AO9" i="22" s="1"/>
  <c r="AB4" i="22"/>
  <c r="V5" i="22" s="1"/>
  <c r="W5" i="22" s="1"/>
  <c r="AO8" i="22"/>
  <c r="AG10" i="25"/>
  <c r="Y4" i="25"/>
  <c r="W4" i="25"/>
  <c r="AA4" i="25"/>
  <c r="AB4" i="24"/>
  <c r="V5" i="24" s="1"/>
  <c r="W5" i="24" s="1"/>
  <c r="O26" i="25"/>
  <c r="O28" i="25" s="1"/>
  <c r="AK9" i="24"/>
  <c r="AI10" i="24" s="1"/>
  <c r="AO9" i="24"/>
  <c r="AC4" i="24"/>
  <c r="X5" i="24" s="1"/>
  <c r="AA4" i="23"/>
  <c r="W4" i="23"/>
  <c r="Y4" i="23"/>
  <c r="O26" i="23"/>
  <c r="O28" i="23" s="1"/>
  <c r="AK8" i="19"/>
  <c r="AI9" i="19" s="1"/>
  <c r="AI8" i="21"/>
  <c r="AG8" i="21"/>
  <c r="W4" i="21"/>
  <c r="Y4" i="21"/>
  <c r="AK7" i="20"/>
  <c r="AI8" i="20" s="1"/>
  <c r="AO8" i="19"/>
  <c r="O26" i="21"/>
  <c r="O28" i="21" s="1"/>
  <c r="AA4" i="21"/>
  <c r="AB4" i="19"/>
  <c r="V5" i="19" s="1"/>
  <c r="W5" i="19" s="1"/>
  <c r="AO7" i="20"/>
  <c r="AC4" i="20"/>
  <c r="X5" i="20" s="1"/>
  <c r="AB4" i="20"/>
  <c r="V5" i="20" s="1"/>
  <c r="AC4" i="19"/>
  <c r="X5" i="19" s="1"/>
  <c r="AK7" i="13"/>
  <c r="AI8" i="13" s="1"/>
  <c r="AO7" i="13"/>
  <c r="AG9" i="19" l="1"/>
  <c r="AO10" i="25"/>
  <c r="AK9" i="23"/>
  <c r="AI10" i="23" s="1"/>
  <c r="K15" i="23"/>
  <c r="K15" i="24"/>
  <c r="AK10" i="25"/>
  <c r="AG11" i="25" s="1"/>
  <c r="AG10" i="23"/>
  <c r="AO10" i="23" s="1"/>
  <c r="AG8" i="20"/>
  <c r="AK8" i="20" s="1"/>
  <c r="AK9" i="22"/>
  <c r="AI10" i="22" s="1"/>
  <c r="Z5" i="22"/>
  <c r="AA5" i="22" s="1"/>
  <c r="AC5" i="22" s="1"/>
  <c r="X6" i="22" s="1"/>
  <c r="AI11" i="25"/>
  <c r="AK11" i="25" s="1"/>
  <c r="AI12" i="25" s="1"/>
  <c r="AG10" i="22"/>
  <c r="AD5" i="22"/>
  <c r="AC4" i="23"/>
  <c r="X5" i="23" s="1"/>
  <c r="Y5" i="23" s="1"/>
  <c r="AG10" i="24"/>
  <c r="AO10" i="24" s="1"/>
  <c r="AB4" i="25"/>
  <c r="V5" i="25" s="1"/>
  <c r="AC4" i="25"/>
  <c r="X5" i="25" s="1"/>
  <c r="AD5" i="24"/>
  <c r="Y5" i="24"/>
  <c r="Z5" i="24"/>
  <c r="AA5" i="24" s="1"/>
  <c r="AB5" i="24" s="1"/>
  <c r="V6" i="24" s="1"/>
  <c r="AK9" i="19"/>
  <c r="AI10" i="19" s="1"/>
  <c r="AB4" i="23"/>
  <c r="V5" i="23" s="1"/>
  <c r="AK8" i="21"/>
  <c r="AG9" i="21" s="1"/>
  <c r="AO8" i="21"/>
  <c r="AC4" i="21"/>
  <c r="X5" i="21" s="1"/>
  <c r="Y5" i="21" s="1"/>
  <c r="AO9" i="19"/>
  <c r="AB4" i="21"/>
  <c r="V5" i="21" s="1"/>
  <c r="AD5" i="20"/>
  <c r="Y5" i="20"/>
  <c r="Z5" i="20"/>
  <c r="AA5" i="20" s="1"/>
  <c r="W5" i="20"/>
  <c r="AD5" i="19"/>
  <c r="Y5" i="19"/>
  <c r="Z5" i="19"/>
  <c r="AA5" i="19" s="1"/>
  <c r="AB5" i="19" s="1"/>
  <c r="V6" i="19" s="1"/>
  <c r="AG8" i="13"/>
  <c r="AK8" i="13" s="1"/>
  <c r="AI9" i="13" s="1"/>
  <c r="AK10" i="23" l="1"/>
  <c r="AI11" i="23" s="1"/>
  <c r="AG11" i="23"/>
  <c r="AK11" i="23" s="1"/>
  <c r="AG12" i="23" s="1"/>
  <c r="AO11" i="25"/>
  <c r="AK10" i="22"/>
  <c r="AG11" i="22" s="1"/>
  <c r="AI9" i="20"/>
  <c r="AG9" i="20"/>
  <c r="AO8" i="20"/>
  <c r="AB5" i="22"/>
  <c r="V6" i="22" s="1"/>
  <c r="W6" i="22" s="1"/>
  <c r="AD5" i="23"/>
  <c r="AG12" i="25"/>
  <c r="AK12" i="25" s="1"/>
  <c r="AI13" i="25" s="1"/>
  <c r="AO10" i="22"/>
  <c r="AK10" i="24"/>
  <c r="AI9" i="21"/>
  <c r="AK9" i="21" s="1"/>
  <c r="AG10" i="21" s="1"/>
  <c r="AG10" i="19"/>
  <c r="AK10" i="19" s="1"/>
  <c r="AI11" i="19" s="1"/>
  <c r="Y5" i="25"/>
  <c r="AD5" i="25"/>
  <c r="Z5" i="25"/>
  <c r="AA5" i="25" s="1"/>
  <c r="W5" i="25"/>
  <c r="W6" i="24"/>
  <c r="AC5" i="24"/>
  <c r="X6" i="24" s="1"/>
  <c r="AO11" i="23"/>
  <c r="AI12" i="23"/>
  <c r="Z5" i="23"/>
  <c r="AA5" i="23" s="1"/>
  <c r="AC5" i="23" s="1"/>
  <c r="X6" i="23" s="1"/>
  <c r="W5" i="23"/>
  <c r="Y6" i="22"/>
  <c r="Z5" i="21"/>
  <c r="AA5" i="21" s="1"/>
  <c r="AC5" i="21" s="1"/>
  <c r="X6" i="21" s="1"/>
  <c r="W5" i="21"/>
  <c r="AD5" i="21"/>
  <c r="AB5" i="20"/>
  <c r="V6" i="20" s="1"/>
  <c r="W6" i="20" s="1"/>
  <c r="AO8" i="13"/>
  <c r="AC5" i="20"/>
  <c r="X6" i="20" s="1"/>
  <c r="W6" i="19"/>
  <c r="AC5" i="19"/>
  <c r="X6" i="19" s="1"/>
  <c r="AG9" i="13"/>
  <c r="AK9" i="13" s="1"/>
  <c r="AO12" i="23" l="1"/>
  <c r="AI11" i="22"/>
  <c r="AO11" i="22" s="1"/>
  <c r="AO9" i="20"/>
  <c r="AK12" i="23"/>
  <c r="AI13" i="23" s="1"/>
  <c r="AG13" i="23"/>
  <c r="Z6" i="22"/>
  <c r="AA6" i="22" s="1"/>
  <c r="AB6" i="22" s="1"/>
  <c r="V7" i="22" s="1"/>
  <c r="W7" i="22" s="1"/>
  <c r="AD6" i="22"/>
  <c r="AO9" i="21"/>
  <c r="AK9" i="20"/>
  <c r="AI10" i="20" s="1"/>
  <c r="AO12" i="25"/>
  <c r="AG13" i="25"/>
  <c r="AO13" i="25" s="1"/>
  <c r="AK11" i="22"/>
  <c r="AG12" i="22" s="1"/>
  <c r="AI10" i="21"/>
  <c r="AK10" i="21" s="1"/>
  <c r="AI11" i="24"/>
  <c r="AG11" i="24"/>
  <c r="AO10" i="19"/>
  <c r="AG11" i="19"/>
  <c r="AO11" i="19" s="1"/>
  <c r="AB5" i="25"/>
  <c r="V6" i="25" s="1"/>
  <c r="W6" i="25" s="1"/>
  <c r="AB5" i="23"/>
  <c r="V6" i="23" s="1"/>
  <c r="AD6" i="23" s="1"/>
  <c r="AC5" i="25"/>
  <c r="X6" i="25" s="1"/>
  <c r="AD6" i="24"/>
  <c r="Y6" i="24"/>
  <c r="Z6" i="24"/>
  <c r="AA6" i="24" s="1"/>
  <c r="AB6" i="24" s="1"/>
  <c r="V7" i="24" s="1"/>
  <c r="Y6" i="23"/>
  <c r="AB5" i="21"/>
  <c r="V6" i="21" s="1"/>
  <c r="AD6" i="21" s="1"/>
  <c r="Y6" i="21"/>
  <c r="AD6" i="20"/>
  <c r="Y6" i="20"/>
  <c r="Z6" i="20"/>
  <c r="AA6" i="20" s="1"/>
  <c r="AB6" i="20" s="1"/>
  <c r="V7" i="20" s="1"/>
  <c r="AD6" i="19"/>
  <c r="Y6" i="19"/>
  <c r="Z6" i="19"/>
  <c r="AA6" i="19" s="1"/>
  <c r="AB6" i="19" s="1"/>
  <c r="V7" i="19" s="1"/>
  <c r="AO9" i="13"/>
  <c r="AG10" i="13"/>
  <c r="AI10" i="13"/>
  <c r="AG10" i="20" l="1"/>
  <c r="AK13" i="23"/>
  <c r="AG14" i="23" s="1"/>
  <c r="AO13" i="23"/>
  <c r="AO10" i="20"/>
  <c r="AK11" i="24"/>
  <c r="AI12" i="24" s="1"/>
  <c r="AC6" i="22"/>
  <c r="X7" i="22" s="1"/>
  <c r="Z7" i="22" s="1"/>
  <c r="AA7" i="22" s="1"/>
  <c r="AB7" i="22" s="1"/>
  <c r="V8" i="22" s="1"/>
  <c r="AO10" i="21"/>
  <c r="AK13" i="25"/>
  <c r="AI14" i="25" s="1"/>
  <c r="AI12" i="22"/>
  <c r="AO12" i="22" s="1"/>
  <c r="W6" i="23"/>
  <c r="AK11" i="19"/>
  <c r="AG14" i="25"/>
  <c r="AK14" i="25" s="1"/>
  <c r="AI15" i="25" s="1"/>
  <c r="AG12" i="24"/>
  <c r="AO11" i="24"/>
  <c r="Z6" i="23"/>
  <c r="AA6" i="23" s="1"/>
  <c r="AC6" i="23" s="1"/>
  <c r="X7" i="23" s="1"/>
  <c r="AI14" i="23"/>
  <c r="AO14" i="23" s="1"/>
  <c r="Y6" i="25"/>
  <c r="AD6" i="25"/>
  <c r="Z6" i="25"/>
  <c r="AA6" i="25" s="1"/>
  <c r="AB6" i="25" s="1"/>
  <c r="V7" i="25" s="1"/>
  <c r="W7" i="25" s="1"/>
  <c r="AK10" i="20"/>
  <c r="AI11" i="20" s="1"/>
  <c r="W7" i="24"/>
  <c r="AC6" i="24"/>
  <c r="X7" i="24" s="1"/>
  <c r="W6" i="21"/>
  <c r="Z6" i="21"/>
  <c r="AA6" i="21" s="1"/>
  <c r="AC6" i="21" s="1"/>
  <c r="X7" i="21" s="1"/>
  <c r="AG11" i="21"/>
  <c r="AI11" i="21"/>
  <c r="W7" i="20"/>
  <c r="AC6" i="20"/>
  <c r="X7" i="20" s="1"/>
  <c r="W7" i="19"/>
  <c r="AC6" i="19"/>
  <c r="X7" i="19" s="1"/>
  <c r="AO10" i="13"/>
  <c r="AK10" i="13"/>
  <c r="AG11" i="13" s="1"/>
  <c r="AK12" i="22" l="1"/>
  <c r="AI13" i="22" s="1"/>
  <c r="AD7" i="22"/>
  <c r="Y7" i="22"/>
  <c r="AC7" i="22" s="1"/>
  <c r="X8" i="22" s="1"/>
  <c r="AG13" i="22"/>
  <c r="AO13" i="22" s="1"/>
  <c r="AG12" i="19"/>
  <c r="AI12" i="19"/>
  <c r="AO12" i="19" s="1"/>
  <c r="AO12" i="24"/>
  <c r="AK14" i="23"/>
  <c r="AO14" i="25"/>
  <c r="AB6" i="23"/>
  <c r="V7" i="23" s="1"/>
  <c r="AD7" i="23" s="1"/>
  <c r="AB6" i="21"/>
  <c r="V7" i="21" s="1"/>
  <c r="W7" i="21" s="1"/>
  <c r="AG15" i="25"/>
  <c r="AK15" i="25" s="1"/>
  <c r="AG16" i="25" s="1"/>
  <c r="AK12" i="24"/>
  <c r="AG11" i="20"/>
  <c r="AO11" i="20" s="1"/>
  <c r="AC6" i="25"/>
  <c r="X7" i="25" s="1"/>
  <c r="AO11" i="21"/>
  <c r="AD7" i="24"/>
  <c r="Y7" i="24"/>
  <c r="Z7" i="24"/>
  <c r="AA7" i="24" s="1"/>
  <c r="AB7" i="24" s="1"/>
  <c r="V8" i="24" s="1"/>
  <c r="Y7" i="23"/>
  <c r="W8" i="22"/>
  <c r="AK11" i="21"/>
  <c r="AI12" i="21" s="1"/>
  <c r="Y7" i="21"/>
  <c r="AD7" i="20"/>
  <c r="Y7" i="20"/>
  <c r="Z7" i="20"/>
  <c r="AA7" i="20" s="1"/>
  <c r="AB7" i="20" s="1"/>
  <c r="V8" i="20" s="1"/>
  <c r="AD7" i="19"/>
  <c r="Y7" i="19"/>
  <c r="Z7" i="19"/>
  <c r="AA7" i="19" s="1"/>
  <c r="AB7" i="19" s="1"/>
  <c r="V8" i="19" s="1"/>
  <c r="AI11" i="13"/>
  <c r="AK11" i="13" s="1"/>
  <c r="AK13" i="22" l="1"/>
  <c r="AG14" i="22" s="1"/>
  <c r="W7" i="23"/>
  <c r="AI14" i="22"/>
  <c r="Z7" i="23"/>
  <c r="AA7" i="23" s="1"/>
  <c r="AC7" i="23" s="1"/>
  <c r="X8" i="23" s="1"/>
  <c r="AK14" i="22"/>
  <c r="AI15" i="22" s="1"/>
  <c r="AK12" i="19"/>
  <c r="AO15" i="25"/>
  <c r="AI15" i="23"/>
  <c r="AG15" i="23"/>
  <c r="AO14" i="22"/>
  <c r="Z7" i="21"/>
  <c r="AA7" i="21" s="1"/>
  <c r="AB7" i="21" s="1"/>
  <c r="V8" i="21" s="1"/>
  <c r="W8" i="21" s="1"/>
  <c r="AD7" i="21"/>
  <c r="AK11" i="20"/>
  <c r="AI12" i="20" s="1"/>
  <c r="AI13" i="24"/>
  <c r="AG13" i="24"/>
  <c r="AI16" i="25"/>
  <c r="AO16" i="25" s="1"/>
  <c r="AD7" i="25"/>
  <c r="Z7" i="25"/>
  <c r="AA7" i="25" s="1"/>
  <c r="AB7" i="25" s="1"/>
  <c r="V8" i="25" s="1"/>
  <c r="W8" i="25" s="1"/>
  <c r="Y7" i="25"/>
  <c r="W8" i="24"/>
  <c r="AC7" i="24"/>
  <c r="X8" i="24" s="1"/>
  <c r="AD8" i="22"/>
  <c r="Y8" i="22"/>
  <c r="Z8" i="22"/>
  <c r="AA8" i="22" s="1"/>
  <c r="AB8" i="22" s="1"/>
  <c r="V9" i="22" s="1"/>
  <c r="AG12" i="21"/>
  <c r="AO12" i="21" s="1"/>
  <c r="W8" i="20"/>
  <c r="AC7" i="20"/>
  <c r="X8" i="20" s="1"/>
  <c r="W8" i="19"/>
  <c r="AC7" i="19"/>
  <c r="X8" i="19" s="1"/>
  <c r="AO11" i="13"/>
  <c r="AG12" i="13"/>
  <c r="AI12" i="13"/>
  <c r="AB7" i="23" l="1"/>
  <c r="V8" i="23" s="1"/>
  <c r="W8" i="23" s="1"/>
  <c r="AK15" i="23"/>
  <c r="AG15" i="22"/>
  <c r="AO15" i="22" s="1"/>
  <c r="AG12" i="20"/>
  <c r="AO12" i="20" s="1"/>
  <c r="AI13" i="19"/>
  <c r="AG13" i="19"/>
  <c r="AK15" i="22"/>
  <c r="AG16" i="22" s="1"/>
  <c r="AC7" i="21"/>
  <c r="X8" i="21" s="1"/>
  <c r="AD8" i="21" s="1"/>
  <c r="AK16" i="25"/>
  <c r="AG16" i="23"/>
  <c r="AI16" i="23"/>
  <c r="AO16" i="23" s="1"/>
  <c r="AO15" i="23"/>
  <c r="AC7" i="25"/>
  <c r="X8" i="25" s="1"/>
  <c r="Y8" i="25" s="1"/>
  <c r="AO13" i="24"/>
  <c r="AK13" i="24"/>
  <c r="AK12" i="21"/>
  <c r="AI13" i="21" s="1"/>
  <c r="AK12" i="20"/>
  <c r="AI13" i="20" s="1"/>
  <c r="AD8" i="24"/>
  <c r="Y8" i="24"/>
  <c r="Z8" i="24"/>
  <c r="AA8" i="24" s="1"/>
  <c r="AB8" i="24" s="1"/>
  <c r="V9" i="24" s="1"/>
  <c r="Y8" i="23"/>
  <c r="Z8" i="23"/>
  <c r="AA8" i="23" s="1"/>
  <c r="AB8" i="23" s="1"/>
  <c r="V9" i="23" s="1"/>
  <c r="W9" i="22"/>
  <c r="AC8" i="22"/>
  <c r="X9" i="22" s="1"/>
  <c r="AD8" i="20"/>
  <c r="Y8" i="20"/>
  <c r="Z8" i="20"/>
  <c r="AA8" i="20" s="1"/>
  <c r="AB8" i="20" s="1"/>
  <c r="V9" i="20" s="1"/>
  <c r="AD8" i="19"/>
  <c r="Y8" i="19"/>
  <c r="Z8" i="19"/>
  <c r="AA8" i="19" s="1"/>
  <c r="AB8" i="19" s="1"/>
  <c r="V9" i="19" s="1"/>
  <c r="AO12" i="13"/>
  <c r="AK12" i="13"/>
  <c r="AI13" i="13" s="1"/>
  <c r="AD8" i="23" l="1"/>
  <c r="AG13" i="20"/>
  <c r="AK13" i="20" s="1"/>
  <c r="AK13" i="19"/>
  <c r="AO13" i="19"/>
  <c r="AI16" i="22"/>
  <c r="AO16" i="22" s="1"/>
  <c r="AD8" i="25"/>
  <c r="Z8" i="21"/>
  <c r="AA8" i="21" s="1"/>
  <c r="AB8" i="21" s="1"/>
  <c r="V9" i="21" s="1"/>
  <c r="W9" i="21" s="1"/>
  <c r="Y8" i="21"/>
  <c r="AI17" i="25"/>
  <c r="AG17" i="25"/>
  <c r="Z8" i="25"/>
  <c r="AA8" i="25" s="1"/>
  <c r="AB8" i="25" s="1"/>
  <c r="V9" i="25" s="1"/>
  <c r="W9" i="25" s="1"/>
  <c r="AK16" i="23"/>
  <c r="AG14" i="24"/>
  <c r="AI14" i="24"/>
  <c r="AG13" i="21"/>
  <c r="AK13" i="21" s="1"/>
  <c r="W9" i="24"/>
  <c r="AC8" i="24"/>
  <c r="X9" i="24" s="1"/>
  <c r="W9" i="23"/>
  <c r="AC8" i="23"/>
  <c r="X9" i="23" s="1"/>
  <c r="AD9" i="22"/>
  <c r="Y9" i="22"/>
  <c r="Z9" i="22"/>
  <c r="AA9" i="22" s="1"/>
  <c r="AB9" i="22" s="1"/>
  <c r="V10" i="22" s="1"/>
  <c r="W9" i="20"/>
  <c r="AC8" i="20"/>
  <c r="X9" i="20" s="1"/>
  <c r="W9" i="19"/>
  <c r="AC8" i="19"/>
  <c r="X9" i="19" s="1"/>
  <c r="AG13" i="13"/>
  <c r="AK13" i="13" s="1"/>
  <c r="AI14" i="13" s="1"/>
  <c r="AO13" i="20" l="1"/>
  <c r="AK16" i="22"/>
  <c r="AG17" i="22" s="1"/>
  <c r="AK17" i="25"/>
  <c r="AC8" i="21"/>
  <c r="X9" i="21" s="1"/>
  <c r="AI17" i="22"/>
  <c r="AO17" i="22" s="1"/>
  <c r="AG14" i="20"/>
  <c r="AI14" i="20"/>
  <c r="AG14" i="19"/>
  <c r="AI14" i="19"/>
  <c r="AO13" i="21"/>
  <c r="AG18" i="25"/>
  <c r="AI18" i="25"/>
  <c r="AC8" i="25"/>
  <c r="X9" i="25" s="1"/>
  <c r="Z9" i="25" s="1"/>
  <c r="AA9" i="25" s="1"/>
  <c r="AB9" i="25" s="1"/>
  <c r="V10" i="25" s="1"/>
  <c r="W10" i="25" s="1"/>
  <c r="AO17" i="25"/>
  <c r="AG17" i="23"/>
  <c r="AI17" i="23"/>
  <c r="AO14" i="24"/>
  <c r="AG14" i="21"/>
  <c r="AI14" i="21"/>
  <c r="AK14" i="24"/>
  <c r="AK14" i="20"/>
  <c r="AG15" i="20" s="1"/>
  <c r="AD9" i="24"/>
  <c r="Y9" i="24"/>
  <c r="Z9" i="24"/>
  <c r="AA9" i="24" s="1"/>
  <c r="AB9" i="24" s="1"/>
  <c r="V10" i="24" s="1"/>
  <c r="AD9" i="23"/>
  <c r="Y9" i="23"/>
  <c r="Z9" i="23"/>
  <c r="AA9" i="23" s="1"/>
  <c r="AB9" i="23" s="1"/>
  <c r="V10" i="23" s="1"/>
  <c r="W10" i="22"/>
  <c r="AC9" i="22"/>
  <c r="X10" i="22" s="1"/>
  <c r="AD9" i="21"/>
  <c r="Y9" i="21"/>
  <c r="Z9" i="21"/>
  <c r="AA9" i="21" s="1"/>
  <c r="AB9" i="21" s="1"/>
  <c r="V10" i="21" s="1"/>
  <c r="AD9" i="20"/>
  <c r="Y9" i="20"/>
  <c r="Z9" i="20"/>
  <c r="AA9" i="20" s="1"/>
  <c r="AB9" i="20" s="1"/>
  <c r="V10" i="20" s="1"/>
  <c r="AD9" i="19"/>
  <c r="Y9" i="19"/>
  <c r="Z9" i="19"/>
  <c r="AA9" i="19" s="1"/>
  <c r="AB9" i="19" s="1"/>
  <c r="V10" i="19" s="1"/>
  <c r="AO13" i="13"/>
  <c r="AG14" i="13"/>
  <c r="AO14" i="13" s="1"/>
  <c r="AO14" i="20" l="1"/>
  <c r="AK17" i="22"/>
  <c r="AG18" i="22" s="1"/>
  <c r="AO18" i="25"/>
  <c r="AO14" i="21"/>
  <c r="AO14" i="19"/>
  <c r="AO17" i="23"/>
  <c r="AI15" i="20"/>
  <c r="AK15" i="20" s="1"/>
  <c r="AK14" i="19"/>
  <c r="AI18" i="22"/>
  <c r="Y9" i="25"/>
  <c r="AC9" i="25" s="1"/>
  <c r="X10" i="25" s="1"/>
  <c r="Z10" i="25" s="1"/>
  <c r="AA10" i="25" s="1"/>
  <c r="AB10" i="25" s="1"/>
  <c r="V11" i="25" s="1"/>
  <c r="AD9" i="25"/>
  <c r="AK18" i="25"/>
  <c r="AK17" i="23"/>
  <c r="AK14" i="21"/>
  <c r="AG15" i="21" s="1"/>
  <c r="AI15" i="24"/>
  <c r="AG15" i="24"/>
  <c r="W10" i="24"/>
  <c r="AC9" i="24"/>
  <c r="X10" i="24" s="1"/>
  <c r="W10" i="23"/>
  <c r="AC9" i="23"/>
  <c r="X10" i="23" s="1"/>
  <c r="AD10" i="22"/>
  <c r="Y10" i="22"/>
  <c r="Z10" i="22"/>
  <c r="AA10" i="22" s="1"/>
  <c r="AB10" i="22" s="1"/>
  <c r="V11" i="22" s="1"/>
  <c r="W10" i="21"/>
  <c r="AC9" i="21"/>
  <c r="X10" i="21" s="1"/>
  <c r="W10" i="20"/>
  <c r="AC9" i="20"/>
  <c r="X10" i="20" s="1"/>
  <c r="W10" i="19"/>
  <c r="AC9" i="19"/>
  <c r="X10" i="19" s="1"/>
  <c r="AK14" i="13"/>
  <c r="AG15" i="13" s="1"/>
  <c r="AD10" i="25" l="1"/>
  <c r="AI15" i="21"/>
  <c r="AK15" i="21" s="1"/>
  <c r="AI16" i="21" s="1"/>
  <c r="AO15" i="20"/>
  <c r="AI16" i="20"/>
  <c r="AG16" i="20"/>
  <c r="AK16" i="20" s="1"/>
  <c r="Y10" i="25"/>
  <c r="AC10" i="25" s="1"/>
  <c r="X11" i="25" s="1"/>
  <c r="AI15" i="19"/>
  <c r="AG15" i="19"/>
  <c r="AK15" i="24"/>
  <c r="AG16" i="24" s="1"/>
  <c r="AK18" i="22"/>
  <c r="AO18" i="22"/>
  <c r="AO15" i="21"/>
  <c r="AI19" i="25"/>
  <c r="AG19" i="25"/>
  <c r="AG18" i="23"/>
  <c r="AI18" i="23"/>
  <c r="AO18" i="23" s="1"/>
  <c r="AO15" i="24"/>
  <c r="W11" i="25"/>
  <c r="AD10" i="24"/>
  <c r="Y10" i="24"/>
  <c r="Z10" i="24"/>
  <c r="AA10" i="24" s="1"/>
  <c r="AB10" i="24" s="1"/>
  <c r="V11" i="24" s="1"/>
  <c r="AD10" i="23"/>
  <c r="Y10" i="23"/>
  <c r="Z10" i="23"/>
  <c r="AA10" i="23" s="1"/>
  <c r="AB10" i="23" s="1"/>
  <c r="V11" i="23" s="1"/>
  <c r="W11" i="22"/>
  <c r="AC10" i="22"/>
  <c r="X11" i="22" s="1"/>
  <c r="AD10" i="21"/>
  <c r="Y10" i="21"/>
  <c r="Z10" i="21"/>
  <c r="AA10" i="21" s="1"/>
  <c r="AB10" i="21" s="1"/>
  <c r="V11" i="21" s="1"/>
  <c r="AD10" i="20"/>
  <c r="Y10" i="20"/>
  <c r="Z10" i="20"/>
  <c r="AA10" i="20" s="1"/>
  <c r="AB10" i="20" s="1"/>
  <c r="V11" i="20" s="1"/>
  <c r="AD10" i="19"/>
  <c r="Y10" i="19"/>
  <c r="Z10" i="19"/>
  <c r="AA10" i="19" s="1"/>
  <c r="AB10" i="19" s="1"/>
  <c r="V11" i="19" s="1"/>
  <c r="AI15" i="13"/>
  <c r="AK15" i="13" s="1"/>
  <c r="AK15" i="19" l="1"/>
  <c r="AG17" i="20"/>
  <c r="AI17" i="20"/>
  <c r="AK17" i="20" s="1"/>
  <c r="AG18" i="20" s="1"/>
  <c r="AO16" i="20"/>
  <c r="AK19" i="25"/>
  <c r="AI20" i="25" s="1"/>
  <c r="AI16" i="24"/>
  <c r="AK16" i="24" s="1"/>
  <c r="AI16" i="19"/>
  <c r="AG16" i="19"/>
  <c r="AK16" i="19" s="1"/>
  <c r="AO15" i="19"/>
  <c r="AG19" i="22"/>
  <c r="AI19" i="22"/>
  <c r="AG20" i="25"/>
  <c r="AO19" i="25"/>
  <c r="AK18" i="23"/>
  <c r="AD11" i="25"/>
  <c r="Y11" i="25"/>
  <c r="Z11" i="25"/>
  <c r="AA11" i="25" s="1"/>
  <c r="AB11" i="25" s="1"/>
  <c r="V12" i="25" s="1"/>
  <c r="AO17" i="20"/>
  <c r="W11" i="24"/>
  <c r="AC10" i="24"/>
  <c r="X11" i="24" s="1"/>
  <c r="W11" i="23"/>
  <c r="AC10" i="23"/>
  <c r="X11" i="23" s="1"/>
  <c r="AD11" i="22"/>
  <c r="Y11" i="22"/>
  <c r="Z11" i="22"/>
  <c r="AA11" i="22" s="1"/>
  <c r="AB11" i="22" s="1"/>
  <c r="V12" i="22" s="1"/>
  <c r="AG16" i="21"/>
  <c r="AO16" i="21" s="1"/>
  <c r="W11" i="21"/>
  <c r="AC10" i="21"/>
  <c r="X11" i="21" s="1"/>
  <c r="W11" i="20"/>
  <c r="AC10" i="20"/>
  <c r="X11" i="20" s="1"/>
  <c r="W11" i="19"/>
  <c r="AC10" i="19"/>
  <c r="X11" i="19" s="1"/>
  <c r="AO15" i="13"/>
  <c r="AG16" i="13"/>
  <c r="AI16" i="13"/>
  <c r="AO16" i="24" l="1"/>
  <c r="AI18" i="20"/>
  <c r="AO18" i="20" s="1"/>
  <c r="AO20" i="25"/>
  <c r="AI17" i="19"/>
  <c r="AG17" i="19"/>
  <c r="AK17" i="19" s="1"/>
  <c r="AO16" i="19"/>
  <c r="AK19" i="22"/>
  <c r="AO19" i="22"/>
  <c r="AK20" i="25"/>
  <c r="AG19" i="23"/>
  <c r="AI19" i="23"/>
  <c r="AG17" i="24"/>
  <c r="AI17" i="24"/>
  <c r="W12" i="25"/>
  <c r="AC11" i="25"/>
  <c r="X12" i="25" s="1"/>
  <c r="AD11" i="24"/>
  <c r="Y11" i="24"/>
  <c r="Z11" i="24"/>
  <c r="AA11" i="24" s="1"/>
  <c r="AB11" i="24" s="1"/>
  <c r="V12" i="24" s="1"/>
  <c r="AD11" i="23"/>
  <c r="Y11" i="23"/>
  <c r="Z11" i="23"/>
  <c r="AA11" i="23" s="1"/>
  <c r="AB11" i="23" s="1"/>
  <c r="V12" i="23" s="1"/>
  <c r="AK16" i="21"/>
  <c r="AI17" i="21" s="1"/>
  <c r="W12" i="22"/>
  <c r="AC11" i="22"/>
  <c r="X12" i="22" s="1"/>
  <c r="AD11" i="21"/>
  <c r="Y11" i="21"/>
  <c r="Z11" i="21"/>
  <c r="AA11" i="21" s="1"/>
  <c r="AB11" i="21" s="1"/>
  <c r="V12" i="21" s="1"/>
  <c r="AD11" i="20"/>
  <c r="Y11" i="20"/>
  <c r="Z11" i="20"/>
  <c r="AA11" i="20" s="1"/>
  <c r="AB11" i="20" s="1"/>
  <c r="V12" i="20" s="1"/>
  <c r="AD11" i="19"/>
  <c r="Y11" i="19"/>
  <c r="Z11" i="19"/>
  <c r="AA11" i="19" s="1"/>
  <c r="AB11" i="19" s="1"/>
  <c r="V12" i="19" s="1"/>
  <c r="AO16" i="13"/>
  <c r="AK16" i="13"/>
  <c r="AG17" i="21" l="1"/>
  <c r="AK18" i="20"/>
  <c r="AG19" i="20" s="1"/>
  <c r="AI18" i="19"/>
  <c r="AG18" i="19"/>
  <c r="AK18" i="19" s="1"/>
  <c r="AO17" i="19"/>
  <c r="AO17" i="24"/>
  <c r="AI20" i="22"/>
  <c r="AG20" i="22"/>
  <c r="AI21" i="25"/>
  <c r="AG21" i="25"/>
  <c r="AK19" i="23"/>
  <c r="AO19" i="23"/>
  <c r="AK17" i="24"/>
  <c r="AD12" i="25"/>
  <c r="Y12" i="25"/>
  <c r="Z12" i="25"/>
  <c r="AA12" i="25" s="1"/>
  <c r="AB12" i="25" s="1"/>
  <c r="V13" i="25" s="1"/>
  <c r="W12" i="24"/>
  <c r="AC11" i="24"/>
  <c r="X12" i="24" s="1"/>
  <c r="W12" i="23"/>
  <c r="AC11" i="23"/>
  <c r="X12" i="23" s="1"/>
  <c r="AD12" i="22"/>
  <c r="Y12" i="22"/>
  <c r="Z12" i="22"/>
  <c r="AA12" i="22" s="1"/>
  <c r="AB12" i="22" s="1"/>
  <c r="V13" i="22" s="1"/>
  <c r="AK17" i="21"/>
  <c r="AO17" i="21"/>
  <c r="W12" i="21"/>
  <c r="AC11" i="21"/>
  <c r="X12" i="21" s="1"/>
  <c r="W12" i="20"/>
  <c r="AC11" i="20"/>
  <c r="X12" i="20" s="1"/>
  <c r="W12" i="19"/>
  <c r="AC11" i="19"/>
  <c r="X12" i="19" s="1"/>
  <c r="AG17" i="13"/>
  <c r="AI17" i="13"/>
  <c r="AI19" i="20" l="1"/>
  <c r="AK20" i="22"/>
  <c r="AK21" i="25"/>
  <c r="AG19" i="19"/>
  <c r="AI19" i="19"/>
  <c r="AO18" i="19"/>
  <c r="AG21" i="22"/>
  <c r="AI21" i="22"/>
  <c r="AO20" i="22"/>
  <c r="AG22" i="25"/>
  <c r="AI22" i="25"/>
  <c r="AO21" i="25"/>
  <c r="AG20" i="23"/>
  <c r="AI20" i="23"/>
  <c r="AG18" i="24"/>
  <c r="AI18" i="24"/>
  <c r="W13" i="25"/>
  <c r="AC12" i="25"/>
  <c r="X13" i="25" s="1"/>
  <c r="AD12" i="24"/>
  <c r="Y12" i="24"/>
  <c r="Z12" i="24"/>
  <c r="AA12" i="24" s="1"/>
  <c r="AB12" i="24" s="1"/>
  <c r="V13" i="24" s="1"/>
  <c r="AD12" i="23"/>
  <c r="Y12" i="23"/>
  <c r="Z12" i="23"/>
  <c r="AA12" i="23" s="1"/>
  <c r="AB12" i="23" s="1"/>
  <c r="V13" i="23" s="1"/>
  <c r="W13" i="22"/>
  <c r="AC12" i="22"/>
  <c r="X13" i="22" s="1"/>
  <c r="AG18" i="21"/>
  <c r="AI18" i="21"/>
  <c r="AD12" i="21"/>
  <c r="Y12" i="21"/>
  <c r="Z12" i="21"/>
  <c r="AA12" i="21" s="1"/>
  <c r="AB12" i="21" s="1"/>
  <c r="V13" i="21" s="1"/>
  <c r="AD12" i="20"/>
  <c r="Y12" i="20"/>
  <c r="Z12" i="20"/>
  <c r="AA12" i="20" s="1"/>
  <c r="AB12" i="20" s="1"/>
  <c r="V13" i="20" s="1"/>
  <c r="AD12" i="19"/>
  <c r="Y12" i="19"/>
  <c r="Z12" i="19"/>
  <c r="AA12" i="19" s="1"/>
  <c r="AB12" i="19" s="1"/>
  <c r="V13" i="19" s="1"/>
  <c r="AK17" i="13"/>
  <c r="AO17" i="13"/>
  <c r="AK19" i="20" l="1"/>
  <c r="AO19" i="20"/>
  <c r="AO21" i="22"/>
  <c r="AO19" i="19"/>
  <c r="AO22" i="25"/>
  <c r="AO20" i="23"/>
  <c r="AK19" i="19"/>
  <c r="AO18" i="24"/>
  <c r="AK21" i="22"/>
  <c r="AK22" i="25"/>
  <c r="AK20" i="23"/>
  <c r="AK18" i="24"/>
  <c r="AO18" i="21"/>
  <c r="AD13" i="25"/>
  <c r="Y13" i="25"/>
  <c r="Z13" i="25"/>
  <c r="AA13" i="25" s="1"/>
  <c r="AB13" i="25" s="1"/>
  <c r="V14" i="25" s="1"/>
  <c r="W13" i="24"/>
  <c r="AC12" i="24"/>
  <c r="X13" i="24" s="1"/>
  <c r="W13" i="23"/>
  <c r="AC12" i="23"/>
  <c r="X13" i="23" s="1"/>
  <c r="AD13" i="22"/>
  <c r="Y13" i="22"/>
  <c r="Z13" i="22"/>
  <c r="AA13" i="22" s="1"/>
  <c r="AB13" i="22" s="1"/>
  <c r="V14" i="22" s="1"/>
  <c r="AK18" i="21"/>
  <c r="W13" i="21"/>
  <c r="AC12" i="21"/>
  <c r="X13" i="21" s="1"/>
  <c r="W13" i="20"/>
  <c r="AC12" i="20"/>
  <c r="X13" i="20" s="1"/>
  <c r="W13" i="19"/>
  <c r="AC12" i="19"/>
  <c r="X13" i="19" s="1"/>
  <c r="AI18" i="13"/>
  <c r="AG18" i="13"/>
  <c r="AI20" i="20" l="1"/>
  <c r="AG20" i="20"/>
  <c r="AK20" i="20" s="1"/>
  <c r="AG20" i="19"/>
  <c r="AI20" i="19"/>
  <c r="AI22" i="22"/>
  <c r="AG22" i="22"/>
  <c r="AK22" i="22" s="1"/>
  <c r="AG23" i="25"/>
  <c r="AI23" i="25"/>
  <c r="AG21" i="23"/>
  <c r="AI21" i="23"/>
  <c r="AG19" i="24"/>
  <c r="AI19" i="24"/>
  <c r="W14" i="25"/>
  <c r="AC13" i="25"/>
  <c r="X14" i="25" s="1"/>
  <c r="AD13" i="24"/>
  <c r="Y13" i="24"/>
  <c r="Z13" i="24"/>
  <c r="AA13" i="24" s="1"/>
  <c r="AB13" i="24" s="1"/>
  <c r="V14" i="24" s="1"/>
  <c r="AD13" i="23"/>
  <c r="Y13" i="23"/>
  <c r="Z13" i="23"/>
  <c r="AA13" i="23" s="1"/>
  <c r="AB13" i="23" s="1"/>
  <c r="V14" i="23" s="1"/>
  <c r="W14" i="22"/>
  <c r="AC13" i="22"/>
  <c r="X14" i="22" s="1"/>
  <c r="AG19" i="21"/>
  <c r="AI19" i="21"/>
  <c r="AD13" i="21"/>
  <c r="Y13" i="21"/>
  <c r="Z13" i="21"/>
  <c r="AA13" i="21" s="1"/>
  <c r="AB13" i="21" s="1"/>
  <c r="V14" i="21" s="1"/>
  <c r="AD13" i="20"/>
  <c r="Y13" i="20"/>
  <c r="Z13" i="20"/>
  <c r="AA13" i="20" s="1"/>
  <c r="AB13" i="20" s="1"/>
  <c r="V14" i="20" s="1"/>
  <c r="AD13" i="19"/>
  <c r="Y13" i="19"/>
  <c r="Z13" i="19"/>
  <c r="AA13" i="19" s="1"/>
  <c r="AB13" i="19" s="1"/>
  <c r="V14" i="19" s="1"/>
  <c r="AK18" i="13"/>
  <c r="AG19" i="13" s="1"/>
  <c r="AO18" i="13"/>
  <c r="AI21" i="20" l="1"/>
  <c r="AG21" i="20"/>
  <c r="AK21" i="20" s="1"/>
  <c r="AO20" i="20"/>
  <c r="AO21" i="23"/>
  <c r="AO20" i="19"/>
  <c r="AO19" i="24"/>
  <c r="AO23" i="25"/>
  <c r="AK20" i="19"/>
  <c r="AG23" i="22"/>
  <c r="AI23" i="22"/>
  <c r="AO22" i="22"/>
  <c r="AK23" i="25"/>
  <c r="AK21" i="23"/>
  <c r="AK19" i="24"/>
  <c r="AD14" i="25"/>
  <c r="Y14" i="25"/>
  <c r="Z14" i="25"/>
  <c r="AA14" i="25" s="1"/>
  <c r="AB14" i="25" s="1"/>
  <c r="V15" i="25" s="1"/>
  <c r="W14" i="24"/>
  <c r="AC13" i="24"/>
  <c r="X14" i="24" s="1"/>
  <c r="AO19" i="21"/>
  <c r="W14" i="23"/>
  <c r="AC13" i="23"/>
  <c r="X14" i="23" s="1"/>
  <c r="AD14" i="22"/>
  <c r="Y14" i="22"/>
  <c r="Z14" i="22"/>
  <c r="AA14" i="22" s="1"/>
  <c r="AB14" i="22" s="1"/>
  <c r="V15" i="22" s="1"/>
  <c r="AK19" i="21"/>
  <c r="AI20" i="21" s="1"/>
  <c r="W14" i="21"/>
  <c r="AC13" i="21"/>
  <c r="X14" i="21" s="1"/>
  <c r="W14" i="20"/>
  <c r="AC13" i="20"/>
  <c r="X14" i="20" s="1"/>
  <c r="W14" i="19"/>
  <c r="AC13" i="19"/>
  <c r="X14" i="19" s="1"/>
  <c r="AI19" i="13"/>
  <c r="AO19" i="13" s="1"/>
  <c r="AO23" i="22" l="1"/>
  <c r="AG22" i="20"/>
  <c r="AI22" i="20"/>
  <c r="AO21" i="20"/>
  <c r="AI21" i="19"/>
  <c r="AG21" i="19"/>
  <c r="AK21" i="19" s="1"/>
  <c r="AK23" i="22"/>
  <c r="AG24" i="25"/>
  <c r="AI24" i="25"/>
  <c r="AI22" i="23"/>
  <c r="AG22" i="23"/>
  <c r="AG20" i="24"/>
  <c r="AI20" i="24"/>
  <c r="W15" i="25"/>
  <c r="AC14" i="25"/>
  <c r="X15" i="25" s="1"/>
  <c r="AD14" i="24"/>
  <c r="Y14" i="24"/>
  <c r="Z14" i="24"/>
  <c r="AA14" i="24" s="1"/>
  <c r="AB14" i="24" s="1"/>
  <c r="V15" i="24" s="1"/>
  <c r="AD14" i="23"/>
  <c r="Y14" i="23"/>
  <c r="Z14" i="23"/>
  <c r="AA14" i="23" s="1"/>
  <c r="AB14" i="23" s="1"/>
  <c r="V15" i="23" s="1"/>
  <c r="W15" i="22"/>
  <c r="AC14" i="22"/>
  <c r="X15" i="22" s="1"/>
  <c r="AG20" i="21"/>
  <c r="AO20" i="21" s="1"/>
  <c r="AD14" i="21"/>
  <c r="Y14" i="21"/>
  <c r="Z14" i="21"/>
  <c r="AA14" i="21" s="1"/>
  <c r="AB14" i="21" s="1"/>
  <c r="V15" i="21" s="1"/>
  <c r="AD14" i="20"/>
  <c r="Y14" i="20"/>
  <c r="Z14" i="20"/>
  <c r="AA14" i="20" s="1"/>
  <c r="AB14" i="20" s="1"/>
  <c r="V15" i="20" s="1"/>
  <c r="AD14" i="19"/>
  <c r="Y14" i="19"/>
  <c r="Z14" i="19"/>
  <c r="AA14" i="19" s="1"/>
  <c r="AB14" i="19" s="1"/>
  <c r="V15" i="19" s="1"/>
  <c r="AK19" i="13"/>
  <c r="AG20" i="13" s="1"/>
  <c r="AO24" i="25" l="1"/>
  <c r="AO22" i="20"/>
  <c r="AK22" i="20"/>
  <c r="AG23" i="20" s="1"/>
  <c r="AO20" i="24"/>
  <c r="AI22" i="19"/>
  <c r="AG22" i="19"/>
  <c r="AK22" i="19" s="1"/>
  <c r="AO21" i="19"/>
  <c r="AK22" i="23"/>
  <c r="AI23" i="23" s="1"/>
  <c r="AG24" i="22"/>
  <c r="AI24" i="22"/>
  <c r="AK24" i="25"/>
  <c r="AO22" i="23"/>
  <c r="AK20" i="24"/>
  <c r="AD15" i="25"/>
  <c r="Y15" i="25"/>
  <c r="Z15" i="25"/>
  <c r="AA15" i="25" s="1"/>
  <c r="AB15" i="25" s="1"/>
  <c r="V16" i="25" s="1"/>
  <c r="W15" i="24"/>
  <c r="AC14" i="24"/>
  <c r="X15" i="24" s="1"/>
  <c r="W15" i="23"/>
  <c r="AC14" i="23"/>
  <c r="X15" i="23" s="1"/>
  <c r="AD15" i="22"/>
  <c r="Y15" i="22"/>
  <c r="Z15" i="22"/>
  <c r="AA15" i="22" s="1"/>
  <c r="AB15" i="22" s="1"/>
  <c r="V16" i="22" s="1"/>
  <c r="AK20" i="21"/>
  <c r="AI21" i="21" s="1"/>
  <c r="W15" i="21"/>
  <c r="AC14" i="21"/>
  <c r="X15" i="21" s="1"/>
  <c r="W15" i="20"/>
  <c r="AC14" i="20"/>
  <c r="X15" i="20" s="1"/>
  <c r="W15" i="19"/>
  <c r="AC14" i="19"/>
  <c r="X15" i="19" s="1"/>
  <c r="AI20" i="13"/>
  <c r="AO20" i="13" s="1"/>
  <c r="AI23" i="20" l="1"/>
  <c r="AK23" i="20" s="1"/>
  <c r="AG23" i="23"/>
  <c r="AK23" i="23" s="1"/>
  <c r="AO24" i="22"/>
  <c r="AG21" i="21"/>
  <c r="AK21" i="21" s="1"/>
  <c r="AG22" i="21" s="1"/>
  <c r="AG23" i="19"/>
  <c r="AI23" i="19"/>
  <c r="AO23" i="19" s="1"/>
  <c r="AO22" i="19"/>
  <c r="AO23" i="23"/>
  <c r="AK24" i="22"/>
  <c r="AG25" i="25"/>
  <c r="AI25" i="25"/>
  <c r="AG21" i="24"/>
  <c r="AI21" i="24"/>
  <c r="W16" i="25"/>
  <c r="AC15" i="25"/>
  <c r="X16" i="25" s="1"/>
  <c r="AD15" i="24"/>
  <c r="Y15" i="24"/>
  <c r="Z15" i="24"/>
  <c r="AA15" i="24" s="1"/>
  <c r="AB15" i="24" s="1"/>
  <c r="V16" i="24" s="1"/>
  <c r="AD15" i="23"/>
  <c r="Y15" i="23"/>
  <c r="Z15" i="23"/>
  <c r="AA15" i="23" s="1"/>
  <c r="AB15" i="23" s="1"/>
  <c r="V16" i="23" s="1"/>
  <c r="W16" i="22"/>
  <c r="AC15" i="22"/>
  <c r="X16" i="22" s="1"/>
  <c r="AD15" i="21"/>
  <c r="Y15" i="21"/>
  <c r="Z15" i="21"/>
  <c r="AA15" i="21" s="1"/>
  <c r="AB15" i="21" s="1"/>
  <c r="V16" i="21" s="1"/>
  <c r="AD15" i="20"/>
  <c r="Y15" i="20"/>
  <c r="Z15" i="20"/>
  <c r="AA15" i="20" s="1"/>
  <c r="AB15" i="20" s="1"/>
  <c r="V16" i="20" s="1"/>
  <c r="AD15" i="19"/>
  <c r="Y15" i="19"/>
  <c r="Z15" i="19"/>
  <c r="AA15" i="19" s="1"/>
  <c r="AB15" i="19" s="1"/>
  <c r="V16" i="19" s="1"/>
  <c r="AK20" i="13"/>
  <c r="AG21" i="13" s="1"/>
  <c r="AO23" i="20" l="1"/>
  <c r="AI24" i="20"/>
  <c r="AG24" i="20"/>
  <c r="AK24" i="20" s="1"/>
  <c r="AG25" i="20" s="1"/>
  <c r="AO21" i="21"/>
  <c r="AO24" i="20"/>
  <c r="AO25" i="25"/>
  <c r="AO21" i="24"/>
  <c r="AK23" i="19"/>
  <c r="AG25" i="22"/>
  <c r="AI25" i="22"/>
  <c r="AK25" i="25"/>
  <c r="AI24" i="23"/>
  <c r="AG24" i="23"/>
  <c r="AI22" i="21"/>
  <c r="AO22" i="21" s="1"/>
  <c r="AK21" i="24"/>
  <c r="AD16" i="25"/>
  <c r="Y16" i="25"/>
  <c r="Z16" i="25"/>
  <c r="AA16" i="25" s="1"/>
  <c r="AB16" i="25" s="1"/>
  <c r="V17" i="25" s="1"/>
  <c r="W16" i="24"/>
  <c r="AC15" i="24"/>
  <c r="X16" i="24" s="1"/>
  <c r="W16" i="23"/>
  <c r="AC15" i="23"/>
  <c r="X16" i="23" s="1"/>
  <c r="AD16" i="22"/>
  <c r="Y16" i="22"/>
  <c r="Z16" i="22"/>
  <c r="AA16" i="22" s="1"/>
  <c r="AB16" i="22" s="1"/>
  <c r="V17" i="22" s="1"/>
  <c r="W16" i="21"/>
  <c r="AC15" i="21"/>
  <c r="X16" i="21" s="1"/>
  <c r="W16" i="20"/>
  <c r="AC15" i="20"/>
  <c r="X16" i="20" s="1"/>
  <c r="W16" i="19"/>
  <c r="AC15" i="19"/>
  <c r="X16" i="19" s="1"/>
  <c r="AI21" i="13"/>
  <c r="AO21" i="13" s="1"/>
  <c r="AO25" i="22" l="1"/>
  <c r="AI25" i="20"/>
  <c r="AO25" i="20"/>
  <c r="AK24" i="23"/>
  <c r="AI24" i="19"/>
  <c r="AG24" i="19"/>
  <c r="AK24" i="19" s="1"/>
  <c r="AG25" i="19" s="1"/>
  <c r="AK25" i="22"/>
  <c r="AK22" i="21"/>
  <c r="AI23" i="21" s="1"/>
  <c r="AG26" i="25"/>
  <c r="AI26" i="25"/>
  <c r="AG25" i="23"/>
  <c r="AI25" i="23"/>
  <c r="AO25" i="23" s="1"/>
  <c r="AO24" i="23"/>
  <c r="AI22" i="24"/>
  <c r="AG22" i="24"/>
  <c r="W17" i="25"/>
  <c r="AC16" i="25"/>
  <c r="X17" i="25" s="1"/>
  <c r="AD16" i="24"/>
  <c r="Y16" i="24"/>
  <c r="Z16" i="24"/>
  <c r="AA16" i="24" s="1"/>
  <c r="AB16" i="24" s="1"/>
  <c r="V17" i="24" s="1"/>
  <c r="AD16" i="23"/>
  <c r="Y16" i="23"/>
  <c r="Z16" i="23"/>
  <c r="AA16" i="23" s="1"/>
  <c r="AB16" i="23" s="1"/>
  <c r="V17" i="23" s="1"/>
  <c r="AK25" i="20"/>
  <c r="AG26" i="20" s="1"/>
  <c r="W17" i="22"/>
  <c r="AC16" i="22"/>
  <c r="X17" i="22" s="1"/>
  <c r="AD16" i="21"/>
  <c r="Y16" i="21"/>
  <c r="Z16" i="21"/>
  <c r="AA16" i="21" s="1"/>
  <c r="AB16" i="21" s="1"/>
  <c r="V17" i="21" s="1"/>
  <c r="AD16" i="20"/>
  <c r="Y16" i="20"/>
  <c r="Z16" i="20"/>
  <c r="AA16" i="20" s="1"/>
  <c r="AB16" i="20" s="1"/>
  <c r="V17" i="20" s="1"/>
  <c r="AD16" i="19"/>
  <c r="Y16" i="19"/>
  <c r="Z16" i="19"/>
  <c r="AA16" i="19" s="1"/>
  <c r="AB16" i="19" s="1"/>
  <c r="V17" i="19" s="1"/>
  <c r="AK21" i="13"/>
  <c r="AG22" i="13" s="1"/>
  <c r="AO26" i="25" l="1"/>
  <c r="AI25" i="19"/>
  <c r="AO25" i="19" s="1"/>
  <c r="AI26" i="20"/>
  <c r="AK26" i="20" s="1"/>
  <c r="AO24" i="19"/>
  <c r="AK22" i="24"/>
  <c r="AI26" i="22"/>
  <c r="AG26" i="22"/>
  <c r="AG23" i="21"/>
  <c r="AK23" i="21" s="1"/>
  <c r="AI24" i="21" s="1"/>
  <c r="AK26" i="25"/>
  <c r="AK25" i="23"/>
  <c r="AG23" i="24"/>
  <c r="AI23" i="24"/>
  <c r="AO22" i="24"/>
  <c r="AD17" i="25"/>
  <c r="Y17" i="25"/>
  <c r="Z17" i="25"/>
  <c r="AA17" i="25" s="1"/>
  <c r="AB17" i="25" s="1"/>
  <c r="V18" i="25" s="1"/>
  <c r="W17" i="24"/>
  <c r="AC16" i="24"/>
  <c r="X17" i="24" s="1"/>
  <c r="W17" i="23"/>
  <c r="AC16" i="23"/>
  <c r="X17" i="23" s="1"/>
  <c r="AD17" i="22"/>
  <c r="Y17" i="22"/>
  <c r="Z17" i="22"/>
  <c r="AA17" i="22" s="1"/>
  <c r="AB17" i="22" s="1"/>
  <c r="V18" i="22" s="1"/>
  <c r="W17" i="21"/>
  <c r="AC16" i="21"/>
  <c r="X17" i="21" s="1"/>
  <c r="W17" i="20"/>
  <c r="AC16" i="20"/>
  <c r="X17" i="20" s="1"/>
  <c r="AO26" i="20"/>
  <c r="W17" i="19"/>
  <c r="AC16" i="19"/>
  <c r="X17" i="19" s="1"/>
  <c r="AI22" i="13"/>
  <c r="AO22" i="13" s="1"/>
  <c r="AK25" i="19" l="1"/>
  <c r="AG26" i="19" s="1"/>
  <c r="AG27" i="20"/>
  <c r="AI27" i="20"/>
  <c r="AK27" i="20" s="1"/>
  <c r="AO23" i="24"/>
  <c r="AO23" i="21"/>
  <c r="AG24" i="21"/>
  <c r="AO24" i="21" s="1"/>
  <c r="AO26" i="22"/>
  <c r="AK26" i="22"/>
  <c r="AI27" i="25"/>
  <c r="AG27" i="25"/>
  <c r="AG26" i="23"/>
  <c r="AI26" i="23"/>
  <c r="AK23" i="24"/>
  <c r="AI26" i="19"/>
  <c r="AO26" i="19" s="1"/>
  <c r="W18" i="25"/>
  <c r="AC17" i="25"/>
  <c r="X18" i="25" s="1"/>
  <c r="AD17" i="24"/>
  <c r="Y17" i="24"/>
  <c r="Z17" i="24"/>
  <c r="AA17" i="24" s="1"/>
  <c r="AB17" i="24" s="1"/>
  <c r="V18" i="24" s="1"/>
  <c r="AD17" i="23"/>
  <c r="Y17" i="23"/>
  <c r="Z17" i="23"/>
  <c r="AA17" i="23" s="1"/>
  <c r="AB17" i="23" s="1"/>
  <c r="V18" i="23" s="1"/>
  <c r="W18" i="22"/>
  <c r="AC17" i="22"/>
  <c r="X18" i="22" s="1"/>
  <c r="AD17" i="21"/>
  <c r="Y17" i="21"/>
  <c r="Z17" i="21"/>
  <c r="AA17" i="21" s="1"/>
  <c r="AB17" i="21" s="1"/>
  <c r="V18" i="21" s="1"/>
  <c r="AD17" i="20"/>
  <c r="Y17" i="20"/>
  <c r="AO27" i="20"/>
  <c r="Z17" i="20"/>
  <c r="AA17" i="20" s="1"/>
  <c r="AB17" i="20" s="1"/>
  <c r="V18" i="20" s="1"/>
  <c r="AD17" i="19"/>
  <c r="Y17" i="19"/>
  <c r="Z17" i="19"/>
  <c r="AA17" i="19" s="1"/>
  <c r="AB17" i="19" s="1"/>
  <c r="V18" i="19" s="1"/>
  <c r="AK22" i="13"/>
  <c r="AG23" i="13" s="1"/>
  <c r="AG28" i="20" l="1"/>
  <c r="AI28" i="20"/>
  <c r="AK24" i="21"/>
  <c r="AI25" i="21" s="1"/>
  <c r="AO26" i="23"/>
  <c r="AK27" i="25"/>
  <c r="AG25" i="21"/>
  <c r="AK25" i="21" s="1"/>
  <c r="AI26" i="21" s="1"/>
  <c r="AI27" i="22"/>
  <c r="AG27" i="22"/>
  <c r="AG28" i="25"/>
  <c r="AI28" i="25"/>
  <c r="AO27" i="25"/>
  <c r="AK26" i="23"/>
  <c r="AI24" i="24"/>
  <c r="AG24" i="24"/>
  <c r="AK26" i="19"/>
  <c r="AD18" i="25"/>
  <c r="Y18" i="25"/>
  <c r="Z18" i="25"/>
  <c r="AA18" i="25" s="1"/>
  <c r="AB18" i="25" s="1"/>
  <c r="V19" i="25" s="1"/>
  <c r="W18" i="24"/>
  <c r="AC17" i="24"/>
  <c r="X18" i="24" s="1"/>
  <c r="W18" i="23"/>
  <c r="AC17" i="23"/>
  <c r="X18" i="23" s="1"/>
  <c r="AD18" i="22"/>
  <c r="Y18" i="22"/>
  <c r="Z18" i="22"/>
  <c r="AA18" i="22" s="1"/>
  <c r="AB18" i="22" s="1"/>
  <c r="V19" i="22" s="1"/>
  <c r="W18" i="21"/>
  <c r="AC17" i="21"/>
  <c r="X18" i="21" s="1"/>
  <c r="AK28" i="20"/>
  <c r="AI29" i="20" s="1"/>
  <c r="W18" i="20"/>
  <c r="AG29" i="20"/>
  <c r="AO28" i="20"/>
  <c r="AC17" i="20"/>
  <c r="X18" i="20" s="1"/>
  <c r="W18" i="19"/>
  <c r="AC17" i="19"/>
  <c r="X18" i="19" s="1"/>
  <c r="AI23" i="13"/>
  <c r="AO23" i="13" s="1"/>
  <c r="AK27" i="22" l="1"/>
  <c r="AO25" i="21"/>
  <c r="AG26" i="21"/>
  <c r="AK26" i="21" s="1"/>
  <c r="AG27" i="21" s="1"/>
  <c r="AO28" i="25"/>
  <c r="AI27" i="21"/>
  <c r="AO27" i="21" s="1"/>
  <c r="AO26" i="21"/>
  <c r="AI28" i="22"/>
  <c r="AG28" i="22"/>
  <c r="AO27" i="22"/>
  <c r="AK24" i="24"/>
  <c r="AI25" i="24" s="1"/>
  <c r="AK28" i="25"/>
  <c r="AI27" i="23"/>
  <c r="AG27" i="23"/>
  <c r="AO24" i="24"/>
  <c r="AG27" i="19"/>
  <c r="AI27" i="19"/>
  <c r="W19" i="25"/>
  <c r="AC18" i="25"/>
  <c r="X19" i="25" s="1"/>
  <c r="AD18" i="24"/>
  <c r="Y18" i="24"/>
  <c r="Z18" i="24"/>
  <c r="AA18" i="24" s="1"/>
  <c r="AB18" i="24" s="1"/>
  <c r="V19" i="24" s="1"/>
  <c r="AD18" i="23"/>
  <c r="Y18" i="23"/>
  <c r="Z18" i="23"/>
  <c r="AA18" i="23" s="1"/>
  <c r="AB18" i="23" s="1"/>
  <c r="V19" i="23" s="1"/>
  <c r="W19" i="22"/>
  <c r="AC18" i="22"/>
  <c r="X19" i="22" s="1"/>
  <c r="AD18" i="21"/>
  <c r="Y18" i="21"/>
  <c r="Z18" i="21"/>
  <c r="AA18" i="21" s="1"/>
  <c r="AB18" i="21" s="1"/>
  <c r="V19" i="21" s="1"/>
  <c r="AK29" i="20"/>
  <c r="AI30" i="20" s="1"/>
  <c r="AD18" i="20"/>
  <c r="Y18" i="20"/>
  <c r="AG30" i="20"/>
  <c r="AO29" i="20"/>
  <c r="Z18" i="20"/>
  <c r="AA18" i="20" s="1"/>
  <c r="AB18" i="20" s="1"/>
  <c r="V19" i="20" s="1"/>
  <c r="AD18" i="19"/>
  <c r="Y18" i="19"/>
  <c r="Z18" i="19"/>
  <c r="AA18" i="19" s="1"/>
  <c r="AB18" i="19" s="1"/>
  <c r="V19" i="19" s="1"/>
  <c r="AK23" i="13"/>
  <c r="AG24" i="13" s="1"/>
  <c r="AK27" i="23" l="1"/>
  <c r="AK27" i="21"/>
  <c r="AI28" i="21" s="1"/>
  <c r="AK28" i="22"/>
  <c r="AG25" i="24"/>
  <c r="AO25" i="24" s="1"/>
  <c r="AG28" i="21"/>
  <c r="AO28" i="21" s="1"/>
  <c r="AI29" i="22"/>
  <c r="AG29" i="22"/>
  <c r="AO28" i="22"/>
  <c r="AO27" i="19"/>
  <c r="AG29" i="25"/>
  <c r="AI29" i="25"/>
  <c r="AI28" i="23"/>
  <c r="AG28" i="23"/>
  <c r="AO27" i="23"/>
  <c r="AK27" i="19"/>
  <c r="AD19" i="25"/>
  <c r="Y19" i="25"/>
  <c r="Z19" i="25"/>
  <c r="AA19" i="25" s="1"/>
  <c r="AB19" i="25" s="1"/>
  <c r="V20" i="25" s="1"/>
  <c r="W19" i="24"/>
  <c r="AC18" i="24"/>
  <c r="X19" i="24" s="1"/>
  <c r="W19" i="23"/>
  <c r="AC18" i="23"/>
  <c r="X19" i="23" s="1"/>
  <c r="AD19" i="22"/>
  <c r="Y19" i="22"/>
  <c r="Z19" i="22"/>
  <c r="AA19" i="22" s="1"/>
  <c r="AB19" i="22" s="1"/>
  <c r="V20" i="22" s="1"/>
  <c r="W19" i="21"/>
  <c r="AC18" i="21"/>
  <c r="X19" i="21" s="1"/>
  <c r="AK30" i="20"/>
  <c r="AG31" i="20" s="1"/>
  <c r="W19" i="20"/>
  <c r="AI31" i="20"/>
  <c r="AO30" i="20"/>
  <c r="AC18" i="20"/>
  <c r="X19" i="20" s="1"/>
  <c r="W19" i="19"/>
  <c r="AC18" i="19"/>
  <c r="X19" i="19" s="1"/>
  <c r="AI24" i="13"/>
  <c r="AO24" i="13" s="1"/>
  <c r="AK25" i="24" l="1"/>
  <c r="AK28" i="21"/>
  <c r="AG29" i="21" s="1"/>
  <c r="AK28" i="23"/>
  <c r="AK29" i="22"/>
  <c r="AI29" i="21"/>
  <c r="AK29" i="21" s="1"/>
  <c r="AI30" i="21" s="1"/>
  <c r="AO29" i="25"/>
  <c r="AI30" i="22"/>
  <c r="AG30" i="22"/>
  <c r="AO29" i="22"/>
  <c r="AK29" i="25"/>
  <c r="AI29" i="23"/>
  <c r="AG29" i="23"/>
  <c r="AO28" i="23"/>
  <c r="AI26" i="24"/>
  <c r="AG26" i="24"/>
  <c r="AI28" i="19"/>
  <c r="AG28" i="19"/>
  <c r="W20" i="25"/>
  <c r="AC19" i="25"/>
  <c r="X20" i="25" s="1"/>
  <c r="AD19" i="24"/>
  <c r="Y19" i="24"/>
  <c r="Z19" i="24"/>
  <c r="AA19" i="24" s="1"/>
  <c r="AB19" i="24" s="1"/>
  <c r="V20" i="24" s="1"/>
  <c r="AD19" i="23"/>
  <c r="Y19" i="23"/>
  <c r="Z19" i="23"/>
  <c r="AA19" i="23" s="1"/>
  <c r="AB19" i="23" s="1"/>
  <c r="V20" i="23" s="1"/>
  <c r="W20" i="22"/>
  <c r="AC19" i="22"/>
  <c r="X20" i="22" s="1"/>
  <c r="AD19" i="21"/>
  <c r="Y19" i="21"/>
  <c r="Z19" i="21"/>
  <c r="AA19" i="21" s="1"/>
  <c r="AB19" i="21" s="1"/>
  <c r="V20" i="21" s="1"/>
  <c r="AO31" i="20"/>
  <c r="AD19" i="20"/>
  <c r="Y19" i="20"/>
  <c r="AK31" i="20"/>
  <c r="Z19" i="20"/>
  <c r="AA19" i="20" s="1"/>
  <c r="AB19" i="20" s="1"/>
  <c r="V20" i="20" s="1"/>
  <c r="AD19" i="19"/>
  <c r="Y19" i="19"/>
  <c r="Z19" i="19"/>
  <c r="AA19" i="19" s="1"/>
  <c r="AB19" i="19" s="1"/>
  <c r="V20" i="19" s="1"/>
  <c r="AK24" i="13"/>
  <c r="AI25" i="13" s="1"/>
  <c r="AK29" i="23" l="1"/>
  <c r="AG30" i="23" s="1"/>
  <c r="AK30" i="22"/>
  <c r="AO29" i="21"/>
  <c r="AK26" i="24"/>
  <c r="AI27" i="24" s="1"/>
  <c r="AG30" i="21"/>
  <c r="AO30" i="21" s="1"/>
  <c r="AK28" i="19"/>
  <c r="AG29" i="19" s="1"/>
  <c r="AG31" i="22"/>
  <c r="AI31" i="22"/>
  <c r="AO30" i="22"/>
  <c r="AI29" i="19"/>
  <c r="AO29" i="19" s="1"/>
  <c r="AG30" i="25"/>
  <c r="AI30" i="25"/>
  <c r="AI30" i="23"/>
  <c r="AO29" i="23"/>
  <c r="AO26" i="24"/>
  <c r="AO28" i="19"/>
  <c r="AD20" i="25"/>
  <c r="Y20" i="25"/>
  <c r="Z20" i="25"/>
  <c r="AA20" i="25" s="1"/>
  <c r="AB20" i="25" s="1"/>
  <c r="V21" i="25" s="1"/>
  <c r="W20" i="24"/>
  <c r="AC19" i="24"/>
  <c r="X20" i="24" s="1"/>
  <c r="W20" i="23"/>
  <c r="AC19" i="23"/>
  <c r="X20" i="23" s="1"/>
  <c r="AD20" i="22"/>
  <c r="Y20" i="22"/>
  <c r="Z20" i="22"/>
  <c r="AA20" i="22" s="1"/>
  <c r="AB20" i="22" s="1"/>
  <c r="V21" i="22" s="1"/>
  <c r="W20" i="21"/>
  <c r="AC19" i="21"/>
  <c r="X20" i="21" s="1"/>
  <c r="W20" i="20"/>
  <c r="AG32" i="20"/>
  <c r="AI32" i="20"/>
  <c r="AC19" i="20"/>
  <c r="X20" i="20" s="1"/>
  <c r="W20" i="19"/>
  <c r="AC19" i="19"/>
  <c r="X20" i="19" s="1"/>
  <c r="AG25" i="13"/>
  <c r="AK25" i="13" s="1"/>
  <c r="AG27" i="24" l="1"/>
  <c r="AK30" i="21"/>
  <c r="AI31" i="21" s="1"/>
  <c r="AK30" i="23"/>
  <c r="AO31" i="22"/>
  <c r="AK29" i="19"/>
  <c r="AO30" i="25"/>
  <c r="AK31" i="22"/>
  <c r="AK30" i="25"/>
  <c r="AG31" i="23"/>
  <c r="AI31" i="23"/>
  <c r="AO30" i="23"/>
  <c r="AO27" i="24"/>
  <c r="AK27" i="24"/>
  <c r="W21" i="25"/>
  <c r="AC20" i="25"/>
  <c r="X21" i="25" s="1"/>
  <c r="AD20" i="24"/>
  <c r="Y20" i="24"/>
  <c r="Z20" i="24"/>
  <c r="AA20" i="24" s="1"/>
  <c r="AB20" i="24" s="1"/>
  <c r="V21" i="24" s="1"/>
  <c r="AD20" i="23"/>
  <c r="Y20" i="23"/>
  <c r="Z20" i="23"/>
  <c r="AA20" i="23" s="1"/>
  <c r="AB20" i="23" s="1"/>
  <c r="V21" i="23" s="1"/>
  <c r="W21" i="22"/>
  <c r="AC20" i="22"/>
  <c r="X21" i="22" s="1"/>
  <c r="AG31" i="21"/>
  <c r="AD20" i="21"/>
  <c r="Y20" i="21"/>
  <c r="Z20" i="21"/>
  <c r="AA20" i="21" s="1"/>
  <c r="AB20" i="21" s="1"/>
  <c r="V21" i="21" s="1"/>
  <c r="AO32" i="20"/>
  <c r="AD20" i="20"/>
  <c r="Y20" i="20"/>
  <c r="AK32" i="20"/>
  <c r="Z20" i="20"/>
  <c r="AA20" i="20" s="1"/>
  <c r="AB20" i="20" s="1"/>
  <c r="V21" i="20" s="1"/>
  <c r="AG30" i="19"/>
  <c r="AI30" i="19"/>
  <c r="AD20" i="19"/>
  <c r="Y20" i="19"/>
  <c r="Z20" i="19"/>
  <c r="AA20" i="19" s="1"/>
  <c r="AB20" i="19" s="1"/>
  <c r="V21" i="19" s="1"/>
  <c r="AI26" i="13"/>
  <c r="AG26" i="13"/>
  <c r="AO25" i="13"/>
  <c r="AO31" i="23" l="1"/>
  <c r="AO31" i="21"/>
  <c r="AG32" i="22"/>
  <c r="AI32" i="22"/>
  <c r="AG31" i="25"/>
  <c r="AI31" i="25"/>
  <c r="AO31" i="25" s="1"/>
  <c r="AK31" i="23"/>
  <c r="AI28" i="24"/>
  <c r="AG28" i="24"/>
  <c r="AD21" i="25"/>
  <c r="Y21" i="25"/>
  <c r="Z21" i="25"/>
  <c r="AA21" i="25" s="1"/>
  <c r="AB21" i="25" s="1"/>
  <c r="V22" i="25" s="1"/>
  <c r="W21" i="24"/>
  <c r="AC20" i="24"/>
  <c r="X21" i="24" s="1"/>
  <c r="W21" i="23"/>
  <c r="AC20" i="23"/>
  <c r="X21" i="23" s="1"/>
  <c r="AD21" i="22"/>
  <c r="Y21" i="22"/>
  <c r="Z21" i="22"/>
  <c r="AA21" i="22" s="1"/>
  <c r="AB21" i="22" s="1"/>
  <c r="V22" i="22" s="1"/>
  <c r="AK31" i="21"/>
  <c r="AO30" i="19"/>
  <c r="W21" i="21"/>
  <c r="AC20" i="21"/>
  <c r="X21" i="21" s="1"/>
  <c r="W21" i="20"/>
  <c r="AG33" i="20"/>
  <c r="AI33" i="20"/>
  <c r="AC20" i="20"/>
  <c r="X21" i="20" s="1"/>
  <c r="W21" i="19"/>
  <c r="AC20" i="19"/>
  <c r="X21" i="19" s="1"/>
  <c r="AK30" i="19"/>
  <c r="AO26" i="13"/>
  <c r="AK26" i="13"/>
  <c r="AG27" i="13" s="1"/>
  <c r="AK28" i="24" l="1"/>
  <c r="AK32" i="22"/>
  <c r="AO32" i="22"/>
  <c r="AK31" i="25"/>
  <c r="AG32" i="23"/>
  <c r="AI32" i="23"/>
  <c r="AO32" i="23" s="1"/>
  <c r="AI29" i="24"/>
  <c r="AG29" i="24"/>
  <c r="AO28" i="24"/>
  <c r="W22" i="25"/>
  <c r="AC21" i="25"/>
  <c r="X22" i="25" s="1"/>
  <c r="AD21" i="24"/>
  <c r="Y21" i="24"/>
  <c r="Z21" i="24"/>
  <c r="AA21" i="24" s="1"/>
  <c r="AB21" i="24" s="1"/>
  <c r="V22" i="24" s="1"/>
  <c r="AI27" i="13"/>
  <c r="AO27" i="13" s="1"/>
  <c r="AD21" i="23"/>
  <c r="Y21" i="23"/>
  <c r="Z21" i="23"/>
  <c r="AA21" i="23" s="1"/>
  <c r="AB21" i="23" s="1"/>
  <c r="V22" i="23" s="1"/>
  <c r="W22" i="22"/>
  <c r="AC21" i="22"/>
  <c r="X22" i="22" s="1"/>
  <c r="AG32" i="21"/>
  <c r="AI32" i="21"/>
  <c r="AD21" i="21"/>
  <c r="Y21" i="21"/>
  <c r="Z21" i="21"/>
  <c r="AA21" i="21" s="1"/>
  <c r="AB21" i="21" s="1"/>
  <c r="V22" i="21" s="1"/>
  <c r="AO33" i="20"/>
  <c r="AD21" i="20"/>
  <c r="Y21" i="20"/>
  <c r="AK33" i="20"/>
  <c r="Z21" i="20"/>
  <c r="AA21" i="20" s="1"/>
  <c r="AB21" i="20" s="1"/>
  <c r="V22" i="20" s="1"/>
  <c r="AI31" i="19"/>
  <c r="AG31" i="19"/>
  <c r="AD21" i="19"/>
  <c r="Y21" i="19"/>
  <c r="Z21" i="19"/>
  <c r="AA21" i="19" s="1"/>
  <c r="AB21" i="19" s="1"/>
  <c r="V22" i="19" s="1"/>
  <c r="AK31" i="19" l="1"/>
  <c r="AK29" i="24"/>
  <c r="AG33" i="22"/>
  <c r="AI33" i="22"/>
  <c r="AO33" i="22" s="1"/>
  <c r="AG32" i="25"/>
  <c r="AI32" i="25"/>
  <c r="AK32" i="23"/>
  <c r="AI30" i="24"/>
  <c r="AG30" i="24"/>
  <c r="AO29" i="24"/>
  <c r="AO32" i="21"/>
  <c r="AK27" i="13"/>
  <c r="AI28" i="13" s="1"/>
  <c r="AD22" i="25"/>
  <c r="Y22" i="25"/>
  <c r="Z22" i="25"/>
  <c r="AA22" i="25" s="1"/>
  <c r="AB22" i="25" s="1"/>
  <c r="V23" i="25" s="1"/>
  <c r="W22" i="24"/>
  <c r="AC21" i="24"/>
  <c r="X22" i="24" s="1"/>
  <c r="W22" i="23"/>
  <c r="AC21" i="23"/>
  <c r="X22" i="23" s="1"/>
  <c r="AD22" i="22"/>
  <c r="Y22" i="22"/>
  <c r="Z22" i="22"/>
  <c r="AA22" i="22" s="1"/>
  <c r="AB22" i="22" s="1"/>
  <c r="V23" i="22" s="1"/>
  <c r="AK32" i="21"/>
  <c r="W22" i="21"/>
  <c r="AC21" i="21"/>
  <c r="X22" i="21" s="1"/>
  <c r="W22" i="20"/>
  <c r="AI34" i="20"/>
  <c r="AG34" i="20"/>
  <c r="AC21" i="20"/>
  <c r="X22" i="20" s="1"/>
  <c r="W22" i="19"/>
  <c r="AC21" i="19"/>
  <c r="X22" i="19" s="1"/>
  <c r="AG32" i="19"/>
  <c r="AI32" i="19"/>
  <c r="AO31" i="19"/>
  <c r="AO32" i="25" l="1"/>
  <c r="AG28" i="13"/>
  <c r="AO28" i="13" s="1"/>
  <c r="AK30" i="24"/>
  <c r="AI31" i="24" s="1"/>
  <c r="AK33" i="22"/>
  <c r="AK32" i="25"/>
  <c r="AG33" i="23"/>
  <c r="AI33" i="23"/>
  <c r="AO30" i="24"/>
  <c r="W23" i="25"/>
  <c r="AC22" i="25"/>
  <c r="X23" i="25" s="1"/>
  <c r="AD22" i="24"/>
  <c r="Y22" i="24"/>
  <c r="Z22" i="24"/>
  <c r="AA22" i="24" s="1"/>
  <c r="AB22" i="24" s="1"/>
  <c r="V23" i="24" s="1"/>
  <c r="AD22" i="23"/>
  <c r="Y22" i="23"/>
  <c r="Z22" i="23"/>
  <c r="AA22" i="23" s="1"/>
  <c r="AB22" i="23" s="1"/>
  <c r="V23" i="23" s="1"/>
  <c r="W23" i="22"/>
  <c r="AC22" i="22"/>
  <c r="X23" i="22" s="1"/>
  <c r="AI33" i="21"/>
  <c r="AG33" i="21"/>
  <c r="AD22" i="21"/>
  <c r="Y22" i="21"/>
  <c r="Z22" i="21"/>
  <c r="AA22" i="21" s="1"/>
  <c r="AB22" i="21" s="1"/>
  <c r="V23" i="21" s="1"/>
  <c r="AK34" i="20"/>
  <c r="AI35" i="20" s="1"/>
  <c r="AD22" i="20"/>
  <c r="Y22" i="20"/>
  <c r="AO34" i="20"/>
  <c r="Z22" i="20"/>
  <c r="AA22" i="20" s="1"/>
  <c r="AB22" i="20" s="1"/>
  <c r="V23" i="20" s="1"/>
  <c r="AO32" i="19"/>
  <c r="AK32" i="19"/>
  <c r="AD22" i="19"/>
  <c r="Y22" i="19"/>
  <c r="Z22" i="19"/>
  <c r="AA22" i="19" s="1"/>
  <c r="AB22" i="19" s="1"/>
  <c r="V23" i="19" s="1"/>
  <c r="AG35" i="20" l="1"/>
  <c r="AG31" i="24"/>
  <c r="AO33" i="23"/>
  <c r="AK28" i="13"/>
  <c r="AG29" i="13" s="1"/>
  <c r="AO31" i="24"/>
  <c r="AK33" i="21"/>
  <c r="AG34" i="22"/>
  <c r="AI34" i="22"/>
  <c r="AO34" i="22" s="1"/>
  <c r="AI33" i="25"/>
  <c r="AG33" i="25"/>
  <c r="AK33" i="23"/>
  <c r="AK31" i="24"/>
  <c r="AD23" i="25"/>
  <c r="Y23" i="25"/>
  <c r="Z23" i="25"/>
  <c r="AA23" i="25" s="1"/>
  <c r="AB23" i="25" s="1"/>
  <c r="V24" i="25" s="1"/>
  <c r="W23" i="24"/>
  <c r="AC22" i="24"/>
  <c r="X23" i="24" s="1"/>
  <c r="W23" i="23"/>
  <c r="AC22" i="23"/>
  <c r="X23" i="23" s="1"/>
  <c r="AD23" i="22"/>
  <c r="Y23" i="22"/>
  <c r="Z23" i="22"/>
  <c r="AA23" i="22" s="1"/>
  <c r="AB23" i="22" s="1"/>
  <c r="V24" i="22" s="1"/>
  <c r="AI34" i="21"/>
  <c r="AG34" i="21"/>
  <c r="AO33" i="21"/>
  <c r="W23" i="21"/>
  <c r="AC22" i="21"/>
  <c r="X23" i="21" s="1"/>
  <c r="AK35" i="20"/>
  <c r="AG36" i="20" s="1"/>
  <c r="W23" i="20"/>
  <c r="AO35" i="20"/>
  <c r="AC22" i="20"/>
  <c r="X23" i="20" s="1"/>
  <c r="W23" i="19"/>
  <c r="AC22" i="19"/>
  <c r="X23" i="19" s="1"/>
  <c r="AG33" i="19"/>
  <c r="AI33" i="19"/>
  <c r="AI29" i="13"/>
  <c r="AK29" i="13" l="1"/>
  <c r="AK33" i="25"/>
  <c r="AG34" i="25" s="1"/>
  <c r="AI36" i="20"/>
  <c r="AK34" i="22"/>
  <c r="AI34" i="25"/>
  <c r="AO33" i="25"/>
  <c r="AI34" i="23"/>
  <c r="AG34" i="23"/>
  <c r="AK34" i="23" s="1"/>
  <c r="AG32" i="24"/>
  <c r="AI32" i="24"/>
  <c r="AK34" i="21"/>
  <c r="AG35" i="21" s="1"/>
  <c r="W24" i="25"/>
  <c r="AC23" i="25"/>
  <c r="X24" i="25" s="1"/>
  <c r="AD23" i="24"/>
  <c r="Y23" i="24"/>
  <c r="Z23" i="24"/>
  <c r="AA23" i="24" s="1"/>
  <c r="AB23" i="24" s="1"/>
  <c r="V24" i="24" s="1"/>
  <c r="AD23" i="23"/>
  <c r="Y23" i="23"/>
  <c r="Z23" i="23"/>
  <c r="AA23" i="23" s="1"/>
  <c r="AB23" i="23" s="1"/>
  <c r="V24" i="23" s="1"/>
  <c r="W24" i="22"/>
  <c r="AC23" i="22"/>
  <c r="X24" i="22" s="1"/>
  <c r="AO34" i="21"/>
  <c r="AD23" i="21"/>
  <c r="Y23" i="21"/>
  <c r="Z23" i="21"/>
  <c r="AA23" i="21" s="1"/>
  <c r="AB23" i="21" s="1"/>
  <c r="V24" i="21" s="1"/>
  <c r="AO33" i="19"/>
  <c r="AK36" i="20"/>
  <c r="AG37" i="20" s="1"/>
  <c r="AD23" i="20"/>
  <c r="Y23" i="20"/>
  <c r="AI37" i="20"/>
  <c r="AO36" i="20"/>
  <c r="Z23" i="20"/>
  <c r="AA23" i="20" s="1"/>
  <c r="AB23" i="20" s="1"/>
  <c r="V24" i="20" s="1"/>
  <c r="AK33" i="19"/>
  <c r="AD23" i="19"/>
  <c r="Y23" i="19"/>
  <c r="Z23" i="19"/>
  <c r="AA23" i="19" s="1"/>
  <c r="AB23" i="19" s="1"/>
  <c r="V24" i="19" s="1"/>
  <c r="AO29" i="13"/>
  <c r="AG30" i="13"/>
  <c r="AI30" i="13"/>
  <c r="AK34" i="25" l="1"/>
  <c r="AI35" i="21"/>
  <c r="AO35" i="21" s="1"/>
  <c r="AG35" i="22"/>
  <c r="AI35" i="22"/>
  <c r="AO35" i="22" s="1"/>
  <c r="AG35" i="25"/>
  <c r="AI35" i="25"/>
  <c r="AO34" i="25"/>
  <c r="AG35" i="23"/>
  <c r="AI35" i="23"/>
  <c r="AO34" i="23"/>
  <c r="AO32" i="24"/>
  <c r="AK32" i="24"/>
  <c r="AD24" i="25"/>
  <c r="Y24" i="25"/>
  <c r="Z24" i="25"/>
  <c r="AA24" i="25" s="1"/>
  <c r="AB24" i="25" s="1"/>
  <c r="V25" i="25" s="1"/>
  <c r="W24" i="24"/>
  <c r="AC23" i="24"/>
  <c r="X24" i="24" s="1"/>
  <c r="W24" i="23"/>
  <c r="AC23" i="23"/>
  <c r="X24" i="23" s="1"/>
  <c r="AD24" i="22"/>
  <c r="Y24" i="22"/>
  <c r="Z24" i="22"/>
  <c r="AA24" i="22" s="1"/>
  <c r="AB24" i="22" s="1"/>
  <c r="V25" i="22" s="1"/>
  <c r="AK35" i="21"/>
  <c r="W24" i="21"/>
  <c r="AC23" i="21"/>
  <c r="X24" i="21" s="1"/>
  <c r="AK37" i="20"/>
  <c r="AI38" i="20" s="1"/>
  <c r="W24" i="20"/>
  <c r="AG38" i="20"/>
  <c r="AO37" i="20"/>
  <c r="AC23" i="20"/>
  <c r="X24" i="20" s="1"/>
  <c r="W24" i="19"/>
  <c r="AC23" i="19"/>
  <c r="X24" i="19" s="1"/>
  <c r="AI34" i="19"/>
  <c r="AG34" i="19"/>
  <c r="AK30" i="13"/>
  <c r="AO30" i="13"/>
  <c r="AO35" i="23" l="1"/>
  <c r="AO35" i="25"/>
  <c r="AK35" i="22"/>
  <c r="AK35" i="25"/>
  <c r="AK35" i="23"/>
  <c r="AG33" i="24"/>
  <c r="AI33" i="24"/>
  <c r="AO33" i="24" s="1"/>
  <c r="W25" i="25"/>
  <c r="AC24" i="25"/>
  <c r="X25" i="25" s="1"/>
  <c r="AD24" i="24"/>
  <c r="Y24" i="24"/>
  <c r="Z24" i="24"/>
  <c r="AA24" i="24" s="1"/>
  <c r="AB24" i="24" s="1"/>
  <c r="V25" i="24" s="1"/>
  <c r="AD24" i="23"/>
  <c r="Y24" i="23"/>
  <c r="Z24" i="23"/>
  <c r="AA24" i="23" s="1"/>
  <c r="AB24" i="23" s="1"/>
  <c r="V25" i="23" s="1"/>
  <c r="W25" i="22"/>
  <c r="AC24" i="22"/>
  <c r="X25" i="22" s="1"/>
  <c r="AG36" i="21"/>
  <c r="AI36" i="21"/>
  <c r="AD24" i="21"/>
  <c r="Y24" i="21"/>
  <c r="Z24" i="21"/>
  <c r="AA24" i="21" s="1"/>
  <c r="AB24" i="21" s="1"/>
  <c r="V25" i="21" s="1"/>
  <c r="AO38" i="20"/>
  <c r="AK38" i="20"/>
  <c r="AD24" i="20"/>
  <c r="Y24" i="20"/>
  <c r="Z24" i="20"/>
  <c r="AA24" i="20" s="1"/>
  <c r="AB24" i="20" s="1"/>
  <c r="V25" i="20" s="1"/>
  <c r="AO34" i="19"/>
  <c r="AK34" i="19"/>
  <c r="AG35" i="19" s="1"/>
  <c r="AD24" i="19"/>
  <c r="Y24" i="19"/>
  <c r="Z24" i="19"/>
  <c r="AA24" i="19" s="1"/>
  <c r="AB24" i="19" s="1"/>
  <c r="V25" i="19" s="1"/>
  <c r="AG31" i="13"/>
  <c r="AI31" i="13"/>
  <c r="AG36" i="22" l="1"/>
  <c r="AI36" i="22"/>
  <c r="AI36" i="25"/>
  <c r="AG36" i="25"/>
  <c r="AK36" i="25" s="1"/>
  <c r="AI36" i="23"/>
  <c r="AG36" i="23"/>
  <c r="AK33" i="24"/>
  <c r="AD25" i="25"/>
  <c r="Y25" i="25"/>
  <c r="Z25" i="25"/>
  <c r="AA25" i="25" s="1"/>
  <c r="AB25" i="25" s="1"/>
  <c r="V26" i="25" s="1"/>
  <c r="AO36" i="21"/>
  <c r="W25" i="24"/>
  <c r="AC24" i="24"/>
  <c r="X25" i="24" s="1"/>
  <c r="W25" i="23"/>
  <c r="AC24" i="23"/>
  <c r="X25" i="23" s="1"/>
  <c r="AD25" i="22"/>
  <c r="Y25" i="22"/>
  <c r="Z25" i="22"/>
  <c r="AA25" i="22" s="1"/>
  <c r="AB25" i="22" s="1"/>
  <c r="V26" i="22" s="1"/>
  <c r="AK36" i="21"/>
  <c r="AI35" i="19"/>
  <c r="AO35" i="19" s="1"/>
  <c r="W25" i="21"/>
  <c r="AC24" i="21"/>
  <c r="X25" i="21" s="1"/>
  <c r="W25" i="20"/>
  <c r="AC24" i="20"/>
  <c r="X25" i="20" s="1"/>
  <c r="AI39" i="20"/>
  <c r="AG39" i="20"/>
  <c r="W25" i="19"/>
  <c r="AC24" i="19"/>
  <c r="X25" i="19" s="1"/>
  <c r="AK31" i="13"/>
  <c r="AO31" i="13"/>
  <c r="AK36" i="23" l="1"/>
  <c r="AO36" i="22"/>
  <c r="AK36" i="22"/>
  <c r="AG37" i="25"/>
  <c r="AI37" i="25"/>
  <c r="AO37" i="25" s="1"/>
  <c r="AO36" i="25"/>
  <c r="AG37" i="23"/>
  <c r="AI37" i="23"/>
  <c r="AO37" i="23" s="1"/>
  <c r="AO36" i="23"/>
  <c r="AG34" i="24"/>
  <c r="AI34" i="24"/>
  <c r="W26" i="25"/>
  <c r="AC25" i="25"/>
  <c r="X26" i="25" s="1"/>
  <c r="AD25" i="24"/>
  <c r="Y25" i="24"/>
  <c r="Z25" i="24"/>
  <c r="AA25" i="24" s="1"/>
  <c r="AB25" i="24" s="1"/>
  <c r="V26" i="24" s="1"/>
  <c r="AD25" i="23"/>
  <c r="Y25" i="23"/>
  <c r="Z25" i="23"/>
  <c r="AA25" i="23" s="1"/>
  <c r="AB25" i="23" s="1"/>
  <c r="V26" i="23" s="1"/>
  <c r="AK35" i="19"/>
  <c r="AG36" i="19" s="1"/>
  <c r="W26" i="22"/>
  <c r="AC25" i="22"/>
  <c r="X26" i="22" s="1"/>
  <c r="AI37" i="21"/>
  <c r="AG37" i="21"/>
  <c r="AD25" i="21"/>
  <c r="Y25" i="21"/>
  <c r="Z25" i="21"/>
  <c r="AA25" i="21" s="1"/>
  <c r="AB25" i="21" s="1"/>
  <c r="V26" i="21" s="1"/>
  <c r="AK39" i="20"/>
  <c r="AG40" i="20" s="1"/>
  <c r="AD25" i="20"/>
  <c r="Y25" i="20"/>
  <c r="AO39" i="20"/>
  <c r="Z25" i="20"/>
  <c r="AA25" i="20" s="1"/>
  <c r="AB25" i="20" s="1"/>
  <c r="V26" i="20" s="1"/>
  <c r="AD25" i="19"/>
  <c r="Y25" i="19"/>
  <c r="Z25" i="19"/>
  <c r="AA25" i="19" s="1"/>
  <c r="AB25" i="19" s="1"/>
  <c r="V26" i="19" s="1"/>
  <c r="AG32" i="13"/>
  <c r="AI32" i="13"/>
  <c r="AO34" i="24" l="1"/>
  <c r="AG37" i="22"/>
  <c r="AI37" i="22"/>
  <c r="AO37" i="22" s="1"/>
  <c r="AK37" i="25"/>
  <c r="AK37" i="23"/>
  <c r="AK34" i="24"/>
  <c r="AI36" i="19"/>
  <c r="AK36" i="19" s="1"/>
  <c r="AD26" i="25"/>
  <c r="Y26" i="25"/>
  <c r="Z26" i="25"/>
  <c r="AA26" i="25" s="1"/>
  <c r="AB26" i="25" s="1"/>
  <c r="V27" i="25" s="1"/>
  <c r="W26" i="24"/>
  <c r="AC25" i="24"/>
  <c r="X26" i="24" s="1"/>
  <c r="AI40" i="20"/>
  <c r="AO40" i="20" s="1"/>
  <c r="W26" i="23"/>
  <c r="AC25" i="23"/>
  <c r="X26" i="23" s="1"/>
  <c r="AD26" i="22"/>
  <c r="Y26" i="22"/>
  <c r="Z26" i="22"/>
  <c r="AA26" i="22" s="1"/>
  <c r="AB26" i="22" s="1"/>
  <c r="V27" i="22" s="1"/>
  <c r="AK37" i="21"/>
  <c r="AI38" i="21" s="1"/>
  <c r="AO37" i="21"/>
  <c r="W26" i="21"/>
  <c r="AC25" i="21"/>
  <c r="X26" i="21" s="1"/>
  <c r="W26" i="20"/>
  <c r="AC25" i="20"/>
  <c r="X26" i="20" s="1"/>
  <c r="W26" i="19"/>
  <c r="AC25" i="19"/>
  <c r="X26" i="19" s="1"/>
  <c r="AO32" i="13"/>
  <c r="AK32" i="13"/>
  <c r="AO36" i="19" l="1"/>
  <c r="AK37" i="22"/>
  <c r="AG38" i="25"/>
  <c r="AI38" i="25"/>
  <c r="AO38" i="25" s="1"/>
  <c r="AG38" i="23"/>
  <c r="AI38" i="23"/>
  <c r="AO38" i="23" s="1"/>
  <c r="AG35" i="24"/>
  <c r="AI35" i="24"/>
  <c r="AK40" i="20"/>
  <c r="AG41" i="20" s="1"/>
  <c r="W27" i="25"/>
  <c r="AC26" i="25"/>
  <c r="X27" i="25" s="1"/>
  <c r="AG38" i="21"/>
  <c r="AK38" i="21" s="1"/>
  <c r="AD26" i="24"/>
  <c r="Y26" i="24"/>
  <c r="Z26" i="24"/>
  <c r="AA26" i="24" s="1"/>
  <c r="AB26" i="24" s="1"/>
  <c r="V27" i="24" s="1"/>
  <c r="AD26" i="23"/>
  <c r="Y26" i="23"/>
  <c r="Z26" i="23"/>
  <c r="AA26" i="23" s="1"/>
  <c r="AB26" i="23" s="1"/>
  <c r="V27" i="23" s="1"/>
  <c r="W27" i="22"/>
  <c r="AC26" i="22"/>
  <c r="X27" i="22" s="1"/>
  <c r="AD26" i="21"/>
  <c r="Y26" i="21"/>
  <c r="Z26" i="21"/>
  <c r="AA26" i="21" s="1"/>
  <c r="AB26" i="21" s="1"/>
  <c r="V27" i="21" s="1"/>
  <c r="AD26" i="20"/>
  <c r="Y26" i="20"/>
  <c r="Z26" i="20"/>
  <c r="AA26" i="20" s="1"/>
  <c r="AB26" i="20" s="1"/>
  <c r="V27" i="20" s="1"/>
  <c r="AD26" i="19"/>
  <c r="Y26" i="19"/>
  <c r="AI37" i="19"/>
  <c r="AG37" i="19"/>
  <c r="Z26" i="19"/>
  <c r="AA26" i="19" s="1"/>
  <c r="AB26" i="19" s="1"/>
  <c r="V27" i="19" s="1"/>
  <c r="AG33" i="13"/>
  <c r="AI33" i="13"/>
  <c r="AI41" i="20" l="1"/>
  <c r="AO35" i="24"/>
  <c r="AG38" i="22"/>
  <c r="AI38" i="22"/>
  <c r="AO38" i="22" s="1"/>
  <c r="AK38" i="25"/>
  <c r="AK38" i="23"/>
  <c r="AK41" i="20"/>
  <c r="AI42" i="20" s="1"/>
  <c r="AK35" i="24"/>
  <c r="AG39" i="21"/>
  <c r="AI39" i="21"/>
  <c r="AO39" i="21" s="1"/>
  <c r="AO38" i="21"/>
  <c r="AD27" i="25"/>
  <c r="Y27" i="25"/>
  <c r="Z27" i="25"/>
  <c r="AA27" i="25" s="1"/>
  <c r="AB27" i="25" s="1"/>
  <c r="V28" i="25" s="1"/>
  <c r="W27" i="24"/>
  <c r="AC26" i="24"/>
  <c r="X27" i="24" s="1"/>
  <c r="W27" i="23"/>
  <c r="AC26" i="23"/>
  <c r="X27" i="23" s="1"/>
  <c r="AD27" i="22"/>
  <c r="Y27" i="22"/>
  <c r="Z27" i="22"/>
  <c r="AA27" i="22" s="1"/>
  <c r="AB27" i="22" s="1"/>
  <c r="V28" i="22" s="1"/>
  <c r="W27" i="21"/>
  <c r="AC26" i="21"/>
  <c r="X27" i="21" s="1"/>
  <c r="AK37" i="19"/>
  <c r="AG38" i="19" s="1"/>
  <c r="W27" i="20"/>
  <c r="AC26" i="20"/>
  <c r="X27" i="20" s="1"/>
  <c r="AO41" i="20"/>
  <c r="W27" i="19"/>
  <c r="AO37" i="19"/>
  <c r="AC26" i="19"/>
  <c r="X27" i="19" s="1"/>
  <c r="AK33" i="13"/>
  <c r="AO33" i="13"/>
  <c r="AK39" i="21" l="1"/>
  <c r="AG42" i="20"/>
  <c r="AO42" i="20" s="1"/>
  <c r="AK38" i="22"/>
  <c r="AI39" i="25"/>
  <c r="AG39" i="25"/>
  <c r="AG39" i="23"/>
  <c r="AI39" i="23"/>
  <c r="AI36" i="24"/>
  <c r="AG36" i="24"/>
  <c r="W28" i="25"/>
  <c r="AC27" i="25"/>
  <c r="X28" i="25" s="1"/>
  <c r="AD27" i="24"/>
  <c r="Y27" i="24"/>
  <c r="Z27" i="24"/>
  <c r="AA27" i="24" s="1"/>
  <c r="AB27" i="24" s="1"/>
  <c r="V28" i="24" s="1"/>
  <c r="AD27" i="23"/>
  <c r="Y27" i="23"/>
  <c r="Z27" i="23"/>
  <c r="AA27" i="23" s="1"/>
  <c r="AB27" i="23" s="1"/>
  <c r="V28" i="23" s="1"/>
  <c r="AI38" i="19"/>
  <c r="AO38" i="19" s="1"/>
  <c r="W28" i="22"/>
  <c r="AC27" i="22"/>
  <c r="X28" i="22" s="1"/>
  <c r="AG40" i="21"/>
  <c r="AI40" i="21"/>
  <c r="AD27" i="21"/>
  <c r="Y27" i="21"/>
  <c r="Z27" i="21"/>
  <c r="AA27" i="21" s="1"/>
  <c r="AB27" i="21" s="1"/>
  <c r="V28" i="21" s="1"/>
  <c r="AD27" i="20"/>
  <c r="Y27" i="20"/>
  <c r="Z27" i="20"/>
  <c r="AA27" i="20" s="1"/>
  <c r="AB27" i="20" s="1"/>
  <c r="V28" i="20" s="1"/>
  <c r="AD27" i="19"/>
  <c r="Y27" i="19"/>
  <c r="Z27" i="19"/>
  <c r="AA27" i="19" s="1"/>
  <c r="AB27" i="19" s="1"/>
  <c r="V28" i="19" s="1"/>
  <c r="AG34" i="13"/>
  <c r="AI34" i="13"/>
  <c r="AK39" i="25" l="1"/>
  <c r="AK36" i="24"/>
  <c r="AI37" i="24" s="1"/>
  <c r="AK42" i="20"/>
  <c r="AO39" i="23"/>
  <c r="AO40" i="21"/>
  <c r="AG39" i="22"/>
  <c r="AI39" i="22"/>
  <c r="AI40" i="25"/>
  <c r="AG40" i="25"/>
  <c r="AO39" i="25"/>
  <c r="AK39" i="23"/>
  <c r="AG37" i="24"/>
  <c r="AO36" i="24"/>
  <c r="AK38" i="19"/>
  <c r="AG39" i="19" s="1"/>
  <c r="AD28" i="25"/>
  <c r="Y28" i="25"/>
  <c r="Z28" i="25"/>
  <c r="AA28" i="25" s="1"/>
  <c r="AB28" i="25" s="1"/>
  <c r="V29" i="25" s="1"/>
  <c r="W28" i="24"/>
  <c r="AC27" i="24"/>
  <c r="X28" i="24" s="1"/>
  <c r="W28" i="23"/>
  <c r="AC27" i="23"/>
  <c r="X28" i="23" s="1"/>
  <c r="AD28" i="22"/>
  <c r="Y28" i="22"/>
  <c r="Z28" i="22"/>
  <c r="AA28" i="22" s="1"/>
  <c r="AB28" i="22" s="1"/>
  <c r="V29" i="22" s="1"/>
  <c r="AK40" i="21"/>
  <c r="W28" i="21"/>
  <c r="AC27" i="21"/>
  <c r="X28" i="21" s="1"/>
  <c r="W28" i="20"/>
  <c r="AI43" i="20"/>
  <c r="AG43" i="20"/>
  <c r="AC27" i="20"/>
  <c r="X28" i="20" s="1"/>
  <c r="W28" i="19"/>
  <c r="AC27" i="19"/>
  <c r="X28" i="19" s="1"/>
  <c r="AO34" i="13"/>
  <c r="AK34" i="13"/>
  <c r="AK40" i="25" l="1"/>
  <c r="AK39" i="22"/>
  <c r="AO39" i="22"/>
  <c r="AG41" i="25"/>
  <c r="AI41" i="25"/>
  <c r="AO40" i="25"/>
  <c r="AG40" i="23"/>
  <c r="AI40" i="23"/>
  <c r="AI39" i="19"/>
  <c r="AK39" i="19" s="1"/>
  <c r="AG40" i="19" s="1"/>
  <c r="AK37" i="24"/>
  <c r="AO37" i="24"/>
  <c r="W29" i="25"/>
  <c r="AC28" i="25"/>
  <c r="X29" i="25" s="1"/>
  <c r="AD28" i="24"/>
  <c r="Y28" i="24"/>
  <c r="Z28" i="24"/>
  <c r="AA28" i="24" s="1"/>
  <c r="AB28" i="24" s="1"/>
  <c r="V29" i="24" s="1"/>
  <c r="AD28" i="23"/>
  <c r="Y28" i="23"/>
  <c r="Z28" i="23"/>
  <c r="AA28" i="23" s="1"/>
  <c r="AB28" i="23" s="1"/>
  <c r="V29" i="23" s="1"/>
  <c r="W29" i="22"/>
  <c r="AC28" i="22"/>
  <c r="X29" i="22" s="1"/>
  <c r="AI41" i="21"/>
  <c r="AG41" i="21"/>
  <c r="AD28" i="21"/>
  <c r="Y28" i="21"/>
  <c r="Z28" i="21"/>
  <c r="AA28" i="21" s="1"/>
  <c r="AB28" i="21" s="1"/>
  <c r="V29" i="21" s="1"/>
  <c r="AK43" i="20"/>
  <c r="AI44" i="20" s="1"/>
  <c r="AD28" i="20"/>
  <c r="Y28" i="20"/>
  <c r="AO43" i="20"/>
  <c r="Z28" i="20"/>
  <c r="AA28" i="20" s="1"/>
  <c r="AB28" i="20" s="1"/>
  <c r="V29" i="20" s="1"/>
  <c r="AD28" i="19"/>
  <c r="Y28" i="19"/>
  <c r="Z28" i="19"/>
  <c r="AA28" i="19" s="1"/>
  <c r="AB28" i="19" s="1"/>
  <c r="V29" i="19" s="1"/>
  <c r="AG35" i="13"/>
  <c r="AI35" i="13"/>
  <c r="AO41" i="25" l="1"/>
  <c r="AO40" i="23"/>
  <c r="AO39" i="19"/>
  <c r="AI40" i="22"/>
  <c r="AG40" i="22"/>
  <c r="AK41" i="25"/>
  <c r="AK40" i="23"/>
  <c r="AG38" i="24"/>
  <c r="AI38" i="24"/>
  <c r="AI40" i="19"/>
  <c r="AK40" i="19" s="1"/>
  <c r="AD29" i="25"/>
  <c r="Y29" i="25"/>
  <c r="Z29" i="25"/>
  <c r="AA29" i="25" s="1"/>
  <c r="AB29" i="25" s="1"/>
  <c r="V30" i="25" s="1"/>
  <c r="W29" i="24"/>
  <c r="AC28" i="24"/>
  <c r="X29" i="24" s="1"/>
  <c r="AG44" i="20"/>
  <c r="AK44" i="20" s="1"/>
  <c r="W29" i="23"/>
  <c r="AC28" i="23"/>
  <c r="X29" i="23" s="1"/>
  <c r="AD29" i="22"/>
  <c r="Y29" i="22"/>
  <c r="Z29" i="22"/>
  <c r="AA29" i="22" s="1"/>
  <c r="AB29" i="22" s="1"/>
  <c r="V30" i="22" s="1"/>
  <c r="AK41" i="21"/>
  <c r="AG42" i="21" s="1"/>
  <c r="AO41" i="21"/>
  <c r="W29" i="21"/>
  <c r="AC28" i="21"/>
  <c r="X29" i="21" s="1"/>
  <c r="W29" i="20"/>
  <c r="AC28" i="20"/>
  <c r="X29" i="20" s="1"/>
  <c r="W29" i="19"/>
  <c r="AC28" i="19"/>
  <c r="X29" i="19" s="1"/>
  <c r="AO35" i="13"/>
  <c r="AK35" i="13"/>
  <c r="AI42" i="21" l="1"/>
  <c r="AO40" i="19"/>
  <c r="AK40" i="22"/>
  <c r="AG41" i="22"/>
  <c r="AI41" i="22"/>
  <c r="AO41" i="22" s="1"/>
  <c r="AO40" i="22"/>
  <c r="AG42" i="25"/>
  <c r="AI42" i="25"/>
  <c r="AG41" i="23"/>
  <c r="AI41" i="23"/>
  <c r="AK38" i="24"/>
  <c r="AO38" i="24"/>
  <c r="AO44" i="20"/>
  <c r="W30" i="25"/>
  <c r="AC29" i="25"/>
  <c r="X30" i="25" s="1"/>
  <c r="AO42" i="21"/>
  <c r="AD29" i="24"/>
  <c r="Y29" i="24"/>
  <c r="Z29" i="24"/>
  <c r="AA29" i="24" s="1"/>
  <c r="AB29" i="24" s="1"/>
  <c r="V30" i="24" s="1"/>
  <c r="AD29" i="23"/>
  <c r="Y29" i="23"/>
  <c r="Z29" i="23"/>
  <c r="AA29" i="23" s="1"/>
  <c r="AB29" i="23" s="1"/>
  <c r="V30" i="23" s="1"/>
  <c r="W30" i="22"/>
  <c r="AC29" i="22"/>
  <c r="X30" i="22" s="1"/>
  <c r="AK42" i="21"/>
  <c r="AD29" i="21"/>
  <c r="Y29" i="21"/>
  <c r="Z29" i="21"/>
  <c r="AA29" i="21" s="1"/>
  <c r="AB29" i="21" s="1"/>
  <c r="V30" i="21" s="1"/>
  <c r="AD29" i="20"/>
  <c r="Y29" i="20"/>
  <c r="Z29" i="20"/>
  <c r="AA29" i="20" s="1"/>
  <c r="AB29" i="20" s="1"/>
  <c r="V30" i="20" s="1"/>
  <c r="AD29" i="19"/>
  <c r="Y29" i="19"/>
  <c r="AI41" i="19"/>
  <c r="AG41" i="19"/>
  <c r="Z29" i="19"/>
  <c r="AA29" i="19" s="1"/>
  <c r="AB29" i="19" s="1"/>
  <c r="V30" i="19" s="1"/>
  <c r="AG36" i="13"/>
  <c r="AI36" i="13"/>
  <c r="AO42" i="25" l="1"/>
  <c r="AO41" i="23"/>
  <c r="AK41" i="22"/>
  <c r="AK42" i="25"/>
  <c r="AK41" i="23"/>
  <c r="AG39" i="24"/>
  <c r="AI39" i="24"/>
  <c r="AD30" i="25"/>
  <c r="Y30" i="25"/>
  <c r="Z30" i="25"/>
  <c r="AA30" i="25" s="1"/>
  <c r="AB30" i="25" s="1"/>
  <c r="V31" i="25" s="1"/>
  <c r="W30" i="24"/>
  <c r="AC29" i="24"/>
  <c r="X30" i="24" s="1"/>
  <c r="W30" i="23"/>
  <c r="AC29" i="23"/>
  <c r="X30" i="23" s="1"/>
  <c r="AD30" i="22"/>
  <c r="Y30" i="22"/>
  <c r="Z30" i="22"/>
  <c r="AA30" i="22" s="1"/>
  <c r="AB30" i="22" s="1"/>
  <c r="V31" i="22" s="1"/>
  <c r="AI43" i="21"/>
  <c r="AG43" i="21"/>
  <c r="W30" i="21"/>
  <c r="AC29" i="21"/>
  <c r="X30" i="21" s="1"/>
  <c r="AK41" i="19"/>
  <c r="AI42" i="19" s="1"/>
  <c r="W30" i="20"/>
  <c r="AC29" i="20"/>
  <c r="X30" i="20" s="1"/>
  <c r="W30" i="19"/>
  <c r="AO41" i="19"/>
  <c r="AC29" i="19"/>
  <c r="X30" i="19" s="1"/>
  <c r="AO36" i="13"/>
  <c r="AK36" i="13"/>
  <c r="AO39" i="24" l="1"/>
  <c r="AG42" i="22"/>
  <c r="AI42" i="22"/>
  <c r="AI43" i="25"/>
  <c r="AG43" i="25"/>
  <c r="AG42" i="23"/>
  <c r="AI42" i="23"/>
  <c r="AO42" i="23" s="1"/>
  <c r="AK39" i="24"/>
  <c r="AK43" i="21"/>
  <c r="AI44" i="21" s="1"/>
  <c r="W31" i="25"/>
  <c r="AC30" i="25"/>
  <c r="X31" i="25" s="1"/>
  <c r="AD30" i="24"/>
  <c r="Y30" i="24"/>
  <c r="Z30" i="24"/>
  <c r="AA30" i="24" s="1"/>
  <c r="AB30" i="24" s="1"/>
  <c r="V31" i="24" s="1"/>
  <c r="AG42" i="19"/>
  <c r="AO42" i="19" s="1"/>
  <c r="AD30" i="23"/>
  <c r="Y30" i="23"/>
  <c r="Z30" i="23"/>
  <c r="AA30" i="23" s="1"/>
  <c r="AB30" i="23" s="1"/>
  <c r="V31" i="23" s="1"/>
  <c r="W31" i="22"/>
  <c r="AC30" i="22"/>
  <c r="X31" i="22" s="1"/>
  <c r="AO43" i="21"/>
  <c r="AD30" i="21"/>
  <c r="Y30" i="21"/>
  <c r="Z30" i="21"/>
  <c r="AA30" i="21" s="1"/>
  <c r="AB30" i="21" s="1"/>
  <c r="V31" i="21" s="1"/>
  <c r="AD30" i="20"/>
  <c r="Y30" i="20"/>
  <c r="Z30" i="20"/>
  <c r="AA30" i="20" s="1"/>
  <c r="AB30" i="20" s="1"/>
  <c r="V31" i="20" s="1"/>
  <c r="AD30" i="19"/>
  <c r="Y30" i="19"/>
  <c r="Z30" i="19"/>
  <c r="AA30" i="19" s="1"/>
  <c r="AB30" i="19" s="1"/>
  <c r="V31" i="19" s="1"/>
  <c r="AG37" i="13"/>
  <c r="AI37" i="13"/>
  <c r="AK43" i="25" l="1"/>
  <c r="AG44" i="21"/>
  <c r="AK42" i="22"/>
  <c r="AO42" i="22"/>
  <c r="AG44" i="25"/>
  <c r="AI44" i="25"/>
  <c r="AO43" i="25"/>
  <c r="AK42" i="23"/>
  <c r="AK42" i="19"/>
  <c r="AI43" i="19" s="1"/>
  <c r="AI40" i="24"/>
  <c r="AG40" i="24"/>
  <c r="AK44" i="21"/>
  <c r="AD31" i="25"/>
  <c r="Y31" i="25"/>
  <c r="Z31" i="25"/>
  <c r="AA31" i="25" s="1"/>
  <c r="AB31" i="25" s="1"/>
  <c r="V32" i="25" s="1"/>
  <c r="W31" i="24"/>
  <c r="AC30" i="24"/>
  <c r="X31" i="24" s="1"/>
  <c r="W31" i="23"/>
  <c r="AC30" i="23"/>
  <c r="X31" i="23" s="1"/>
  <c r="AD31" i="22"/>
  <c r="Y31" i="22"/>
  <c r="Z31" i="22"/>
  <c r="AA31" i="22" s="1"/>
  <c r="AB31" i="22" s="1"/>
  <c r="V32" i="22" s="1"/>
  <c r="AO44" i="21"/>
  <c r="W31" i="21"/>
  <c r="AC30" i="21"/>
  <c r="X31" i="21" s="1"/>
  <c r="W31" i="20"/>
  <c r="AC30" i="20"/>
  <c r="X31" i="20" s="1"/>
  <c r="W31" i="19"/>
  <c r="AC30" i="19"/>
  <c r="X31" i="19" s="1"/>
  <c r="AO37" i="13"/>
  <c r="AK37" i="13"/>
  <c r="AO44" i="25" l="1"/>
  <c r="AK40" i="24"/>
  <c r="AI43" i="22"/>
  <c r="AG43" i="22"/>
  <c r="AK43" i="22" s="1"/>
  <c r="AG43" i="19"/>
  <c r="AK43" i="19" s="1"/>
  <c r="AG44" i="19" s="1"/>
  <c r="AK44" i="25"/>
  <c r="AG43" i="23"/>
  <c r="AI43" i="23"/>
  <c r="AO43" i="23" s="1"/>
  <c r="AG41" i="24"/>
  <c r="AI41" i="24"/>
  <c r="AO40" i="24"/>
  <c r="W32" i="25"/>
  <c r="AC31" i="25"/>
  <c r="X32" i="25" s="1"/>
  <c r="AD31" i="24"/>
  <c r="Y31" i="24"/>
  <c r="Z31" i="24"/>
  <c r="AA31" i="24" s="1"/>
  <c r="AB31" i="24" s="1"/>
  <c r="V32" i="24" s="1"/>
  <c r="AD31" i="23"/>
  <c r="Y31" i="23"/>
  <c r="Z31" i="23"/>
  <c r="AA31" i="23" s="1"/>
  <c r="AB31" i="23" s="1"/>
  <c r="V32" i="23" s="1"/>
  <c r="W32" i="22"/>
  <c r="AC31" i="22"/>
  <c r="X32" i="22" s="1"/>
  <c r="AD31" i="21"/>
  <c r="Y31" i="21"/>
  <c r="Z31" i="21"/>
  <c r="AA31" i="21" s="1"/>
  <c r="AB31" i="21" s="1"/>
  <c r="V32" i="21" s="1"/>
  <c r="AD31" i="20"/>
  <c r="Y31" i="20"/>
  <c r="Z31" i="20"/>
  <c r="AA31" i="20" s="1"/>
  <c r="AB31" i="20" s="1"/>
  <c r="V32" i="20" s="1"/>
  <c r="AD31" i="19"/>
  <c r="Y31" i="19"/>
  <c r="AO43" i="19"/>
  <c r="Z31" i="19"/>
  <c r="AA31" i="19" s="1"/>
  <c r="AB31" i="19" s="1"/>
  <c r="V32" i="19" s="1"/>
  <c r="AI38" i="13"/>
  <c r="AG38" i="13"/>
  <c r="AG44" i="22" l="1"/>
  <c r="AI44" i="22"/>
  <c r="AO43" i="22"/>
  <c r="AK43" i="23"/>
  <c r="AK41" i="24"/>
  <c r="AO41" i="24"/>
  <c r="AD32" i="25"/>
  <c r="Y32" i="25"/>
  <c r="Z32" i="25"/>
  <c r="AA32" i="25" s="1"/>
  <c r="AB32" i="25" s="1"/>
  <c r="V33" i="25" s="1"/>
  <c r="W32" i="24"/>
  <c r="AC31" i="24"/>
  <c r="X32" i="24" s="1"/>
  <c r="AI44" i="19"/>
  <c r="AO44" i="19" s="1"/>
  <c r="W32" i="23"/>
  <c r="AC31" i="23"/>
  <c r="X32" i="23" s="1"/>
  <c r="AD32" i="22"/>
  <c r="Y32" i="22"/>
  <c r="Z32" i="22"/>
  <c r="AA32" i="22" s="1"/>
  <c r="AB32" i="22" s="1"/>
  <c r="V33" i="22" s="1"/>
  <c r="W32" i="21"/>
  <c r="AC31" i="21"/>
  <c r="X32" i="21" s="1"/>
  <c r="W32" i="20"/>
  <c r="AC31" i="20"/>
  <c r="X32" i="20" s="1"/>
  <c r="W32" i="19"/>
  <c r="AC31" i="19"/>
  <c r="X32" i="19" s="1"/>
  <c r="AK38" i="13"/>
  <c r="AI39" i="13" s="1"/>
  <c r="AO38" i="13"/>
  <c r="AO44" i="22" l="1"/>
  <c r="AK44" i="22"/>
  <c r="AI44" i="23"/>
  <c r="AG44" i="23"/>
  <c r="AG42" i="24"/>
  <c r="AI42" i="24"/>
  <c r="AO42" i="24" s="1"/>
  <c r="AK44" i="19"/>
  <c r="W33" i="25"/>
  <c r="AC32" i="25"/>
  <c r="X33" i="25" s="1"/>
  <c r="AD32" i="24"/>
  <c r="Y32" i="24"/>
  <c r="Z32" i="24"/>
  <c r="AA32" i="24" s="1"/>
  <c r="AB32" i="24" s="1"/>
  <c r="V33" i="24" s="1"/>
  <c r="AD32" i="23"/>
  <c r="Y32" i="23"/>
  <c r="Z32" i="23"/>
  <c r="AA32" i="23" s="1"/>
  <c r="AB32" i="23" s="1"/>
  <c r="V33" i="23" s="1"/>
  <c r="W33" i="22"/>
  <c r="AC32" i="22"/>
  <c r="X33" i="22" s="1"/>
  <c r="AD32" i="21"/>
  <c r="Y32" i="21"/>
  <c r="Z32" i="21"/>
  <c r="AA32" i="21" s="1"/>
  <c r="AB32" i="21" s="1"/>
  <c r="V33" i="21" s="1"/>
  <c r="AD32" i="20"/>
  <c r="Y32" i="20"/>
  <c r="Z32" i="20"/>
  <c r="AA32" i="20" s="1"/>
  <c r="AB32" i="20" s="1"/>
  <c r="V33" i="20" s="1"/>
  <c r="AD32" i="19"/>
  <c r="Y32" i="19"/>
  <c r="Z32" i="19"/>
  <c r="AA32" i="19" s="1"/>
  <c r="AB32" i="19" s="1"/>
  <c r="V33" i="19" s="1"/>
  <c r="AG39" i="13"/>
  <c r="AO39" i="13" s="1"/>
  <c r="AK44" i="23" l="1"/>
  <c r="AO44" i="23"/>
  <c r="AK42" i="24"/>
  <c r="AD33" i="25"/>
  <c r="Y33" i="25"/>
  <c r="Z33" i="25"/>
  <c r="AA33" i="25" s="1"/>
  <c r="AB33" i="25" s="1"/>
  <c r="V34" i="25" s="1"/>
  <c r="W33" i="24"/>
  <c r="AC32" i="24"/>
  <c r="X33" i="24" s="1"/>
  <c r="W33" i="23"/>
  <c r="AC32" i="23"/>
  <c r="X33" i="23" s="1"/>
  <c r="AD33" i="22"/>
  <c r="Y33" i="22"/>
  <c r="Z33" i="22"/>
  <c r="AA33" i="22" s="1"/>
  <c r="AB33" i="22" s="1"/>
  <c r="V34" i="22" s="1"/>
  <c r="W33" i="21"/>
  <c r="AC32" i="21"/>
  <c r="X33" i="21" s="1"/>
  <c r="W33" i="20"/>
  <c r="AC32" i="20"/>
  <c r="X33" i="20" s="1"/>
  <c r="W33" i="19"/>
  <c r="AC32" i="19"/>
  <c r="X33" i="19" s="1"/>
  <c r="AK39" i="13"/>
  <c r="AG40" i="13" s="1"/>
  <c r="AG43" i="24" l="1"/>
  <c r="AI43" i="24"/>
  <c r="W34" i="25"/>
  <c r="AC33" i="25"/>
  <c r="X34" i="25" s="1"/>
  <c r="AD33" i="24"/>
  <c r="Y33" i="24"/>
  <c r="Z33" i="24"/>
  <c r="AA33" i="24" s="1"/>
  <c r="AB33" i="24" s="1"/>
  <c r="V34" i="24" s="1"/>
  <c r="AI40" i="13"/>
  <c r="AK40" i="13" s="1"/>
  <c r="AD33" i="23"/>
  <c r="Y33" i="23"/>
  <c r="Z33" i="23"/>
  <c r="AA33" i="23" s="1"/>
  <c r="AB33" i="23" s="1"/>
  <c r="V34" i="23" s="1"/>
  <c r="W34" i="22"/>
  <c r="AC33" i="22"/>
  <c r="X34" i="22" s="1"/>
  <c r="AD33" i="21"/>
  <c r="Y33" i="21"/>
  <c r="Z33" i="21"/>
  <c r="AA33" i="21" s="1"/>
  <c r="AB33" i="21" s="1"/>
  <c r="V34" i="21" s="1"/>
  <c r="AD33" i="20"/>
  <c r="Y33" i="20"/>
  <c r="Z33" i="20"/>
  <c r="AA33" i="20" s="1"/>
  <c r="AB33" i="20" s="1"/>
  <c r="V34" i="20" s="1"/>
  <c r="AD33" i="19"/>
  <c r="Y33" i="19"/>
  <c r="Z33" i="19"/>
  <c r="AA33" i="19" s="1"/>
  <c r="AB33" i="19" s="1"/>
  <c r="V34" i="19" s="1"/>
  <c r="AO40" i="13" l="1"/>
  <c r="AO43" i="24"/>
  <c r="AK43" i="24"/>
  <c r="AD34" i="25"/>
  <c r="Y34" i="25"/>
  <c r="Z34" i="25"/>
  <c r="W34" i="24"/>
  <c r="AC33" i="24"/>
  <c r="X34" i="24" s="1"/>
  <c r="W34" i="23"/>
  <c r="AC33" i="23"/>
  <c r="X34" i="23" s="1"/>
  <c r="AD34" i="22"/>
  <c r="Y34" i="22"/>
  <c r="Z34" i="22"/>
  <c r="W34" i="21"/>
  <c r="AC33" i="21"/>
  <c r="X34" i="21" s="1"/>
  <c r="W34" i="20"/>
  <c r="AC33" i="20"/>
  <c r="X34" i="20" s="1"/>
  <c r="W34" i="19"/>
  <c r="AC33" i="19"/>
  <c r="X34" i="19" s="1"/>
  <c r="AI41" i="13"/>
  <c r="AG41" i="13"/>
  <c r="AG44" i="24" l="1"/>
  <c r="AI44" i="24"/>
  <c r="O24" i="25"/>
  <c r="O25" i="25" s="1"/>
  <c r="G19" i="25" s="1"/>
  <c r="AA34" i="25"/>
  <c r="AB34" i="25" s="1"/>
  <c r="AD34" i="24"/>
  <c r="Y34" i="24"/>
  <c r="Z34" i="24"/>
  <c r="AD34" i="23"/>
  <c r="Y34" i="23"/>
  <c r="Z34" i="23"/>
  <c r="O24" i="22"/>
  <c r="O25" i="22" s="1"/>
  <c r="G19" i="22" s="1"/>
  <c r="AA34" i="22"/>
  <c r="AB34" i="22" s="1"/>
  <c r="AD34" i="21"/>
  <c r="Y34" i="21"/>
  <c r="Z34" i="21"/>
  <c r="AD34" i="20"/>
  <c r="Y34" i="20"/>
  <c r="Z34" i="20"/>
  <c r="AD34" i="19"/>
  <c r="Y34" i="19"/>
  <c r="Z34" i="19"/>
  <c r="AK41" i="13"/>
  <c r="AI42" i="13" s="1"/>
  <c r="AO41" i="13"/>
  <c r="AO44" i="24" l="1"/>
  <c r="AK44" i="24"/>
  <c r="AC34" i="25"/>
  <c r="G22" i="25"/>
  <c r="G20" i="25"/>
  <c r="O24" i="24"/>
  <c r="O25" i="24" s="1"/>
  <c r="G19" i="24" s="1"/>
  <c r="AA34" i="24"/>
  <c r="AB34" i="24" s="1"/>
  <c r="O24" i="23"/>
  <c r="O25" i="23" s="1"/>
  <c r="G19" i="23" s="1"/>
  <c r="AA34" i="23"/>
  <c r="AB34" i="23" s="1"/>
  <c r="AC34" i="22"/>
  <c r="G22" i="22"/>
  <c r="G20" i="22"/>
  <c r="O24" i="21"/>
  <c r="O25" i="21" s="1"/>
  <c r="G19" i="21" s="1"/>
  <c r="AA34" i="21"/>
  <c r="AB34" i="21" s="1"/>
  <c r="O24" i="20"/>
  <c r="O25" i="20" s="1"/>
  <c r="G19" i="20" s="1"/>
  <c r="AA34" i="20"/>
  <c r="AB34" i="20" s="1"/>
  <c r="O24" i="19"/>
  <c r="O25" i="19" s="1"/>
  <c r="G19" i="19" s="1"/>
  <c r="AA34" i="19"/>
  <c r="AB34" i="19" s="1"/>
  <c r="AG42" i="13"/>
  <c r="AO42" i="13" s="1"/>
  <c r="G35" i="25" l="1"/>
  <c r="K4" i="25" s="1"/>
  <c r="G22" i="24"/>
  <c r="G20" i="24"/>
  <c r="AC34" i="24"/>
  <c r="G22" i="23"/>
  <c r="G20" i="23"/>
  <c r="AC34" i="23"/>
  <c r="G35" i="22"/>
  <c r="K8" i="22"/>
  <c r="K13" i="22" s="1"/>
  <c r="K4" i="22"/>
  <c r="AC34" i="21"/>
  <c r="G22" i="21"/>
  <c r="G20" i="21"/>
  <c r="AC34" i="20"/>
  <c r="G22" i="20"/>
  <c r="G20" i="20"/>
  <c r="AC34" i="19"/>
  <c r="G22" i="19"/>
  <c r="G20" i="19"/>
  <c r="AK42" i="13"/>
  <c r="AG43" i="13" s="1"/>
  <c r="K8" i="25" l="1"/>
  <c r="K13" i="25" s="1"/>
  <c r="K32" i="25" s="1"/>
  <c r="K5" i="25"/>
  <c r="G35" i="24"/>
  <c r="K8" i="24" s="1"/>
  <c r="K13" i="24" s="1"/>
  <c r="K4" i="24"/>
  <c r="G35" i="23"/>
  <c r="K4" i="23" s="1"/>
  <c r="K8" i="23"/>
  <c r="K13" i="23" s="1"/>
  <c r="K17" i="22"/>
  <c r="K17" i="25" s="1"/>
  <c r="K16" i="22"/>
  <c r="K16" i="25" s="1"/>
  <c r="K5" i="22"/>
  <c r="K40" i="22"/>
  <c r="K48" i="22"/>
  <c r="K32" i="22"/>
  <c r="G35" i="21"/>
  <c r="K8" i="21" s="1"/>
  <c r="K13" i="21" s="1"/>
  <c r="G35" i="20"/>
  <c r="K8" i="20" s="1"/>
  <c r="K13" i="20" s="1"/>
  <c r="K4" i="20"/>
  <c r="G35" i="19"/>
  <c r="K8" i="19" s="1"/>
  <c r="K13" i="19" s="1"/>
  <c r="AI43" i="13"/>
  <c r="AK43" i="13" s="1"/>
  <c r="AG44" i="13" s="1"/>
  <c r="K4" i="21" l="1"/>
  <c r="K5" i="21" s="1"/>
  <c r="K16" i="23"/>
  <c r="K16" i="24"/>
  <c r="K17" i="23"/>
  <c r="K27" i="23" s="1"/>
  <c r="K17" i="24"/>
  <c r="K27" i="22"/>
  <c r="AJ4" i="22" s="1"/>
  <c r="K40" i="25"/>
  <c r="K48" i="25"/>
  <c r="K4" i="19"/>
  <c r="K49" i="25"/>
  <c r="K50" i="25" s="1"/>
  <c r="K41" i="25"/>
  <c r="K33" i="25"/>
  <c r="K36" i="25" s="1"/>
  <c r="K27" i="25"/>
  <c r="K40" i="24"/>
  <c r="K48" i="24"/>
  <c r="K32" i="24"/>
  <c r="K5" i="24"/>
  <c r="K5" i="23"/>
  <c r="K48" i="23"/>
  <c r="K32" i="23"/>
  <c r="K40" i="23"/>
  <c r="K49" i="22"/>
  <c r="K50" i="22" s="1"/>
  <c r="K33" i="22"/>
  <c r="K36" i="22" s="1"/>
  <c r="K41" i="22"/>
  <c r="K44" i="22" s="1"/>
  <c r="K48" i="21"/>
  <c r="K32" i="21"/>
  <c r="K40" i="21"/>
  <c r="K48" i="20"/>
  <c r="K32" i="20"/>
  <c r="K40" i="20"/>
  <c r="K5" i="20"/>
  <c r="K48" i="19"/>
  <c r="K40" i="19"/>
  <c r="K32" i="19"/>
  <c r="AI44" i="13"/>
  <c r="AK44" i="13" s="1"/>
  <c r="AO43" i="13"/>
  <c r="AL4" i="22" l="1"/>
  <c r="K28" i="22"/>
  <c r="AH4" i="22"/>
  <c r="K44" i="25"/>
  <c r="K5" i="19"/>
  <c r="K27" i="24"/>
  <c r="AH4" i="24" s="1"/>
  <c r="K28" i="25"/>
  <c r="AH4" i="25"/>
  <c r="AJ4" i="25"/>
  <c r="AL4" i="25"/>
  <c r="K49" i="24"/>
  <c r="K50" i="24" s="1"/>
  <c r="K41" i="24"/>
  <c r="K44" i="24" s="1"/>
  <c r="K33" i="24"/>
  <c r="K36" i="24" s="1"/>
  <c r="K28" i="23"/>
  <c r="AL4" i="23"/>
  <c r="AH4" i="23"/>
  <c r="AJ4" i="23"/>
  <c r="K49" i="23"/>
  <c r="K50" i="23" s="1"/>
  <c r="K33" i="23"/>
  <c r="K36" i="23" s="1"/>
  <c r="K41" i="23"/>
  <c r="K44" i="23" s="1"/>
  <c r="AO44" i="13"/>
  <c r="K25" i="13"/>
  <c r="K25" i="21" s="1"/>
  <c r="G12" i="13"/>
  <c r="G9" i="13"/>
  <c r="K19" i="13"/>
  <c r="K19" i="21" s="1"/>
  <c r="K47" i="13"/>
  <c r="O7" i="13"/>
  <c r="O10" i="13" s="1"/>
  <c r="G28" i="13"/>
  <c r="K18" i="13"/>
  <c r="K18" i="21" s="1"/>
  <c r="G31" i="13"/>
  <c r="G29" i="13" s="1"/>
  <c r="K39" i="13"/>
  <c r="K24" i="13"/>
  <c r="K24" i="21" s="1"/>
  <c r="K12" i="13"/>
  <c r="K23" i="13"/>
  <c r="K23" i="21" s="1"/>
  <c r="K26" i="13"/>
  <c r="K26" i="21" s="1"/>
  <c r="K35" i="21" l="1"/>
  <c r="K43" i="21"/>
  <c r="K26" i="19"/>
  <c r="K26" i="20"/>
  <c r="K25" i="19"/>
  <c r="K25" i="20"/>
  <c r="K24" i="19"/>
  <c r="K24" i="20"/>
  <c r="K23" i="19"/>
  <c r="K43" i="19" s="1"/>
  <c r="K23" i="20"/>
  <c r="K18" i="19"/>
  <c r="K18" i="20"/>
  <c r="K19" i="19"/>
  <c r="K19" i="20"/>
  <c r="AL4" i="24"/>
  <c r="K28" i="24"/>
  <c r="AJ4" i="24"/>
  <c r="O8" i="13"/>
  <c r="O9" i="13" s="1"/>
  <c r="G10" i="13"/>
  <c r="G11" i="13" s="1"/>
  <c r="O46" i="13"/>
  <c r="O47" i="13" s="1"/>
  <c r="G30" i="13"/>
  <c r="K22" i="13"/>
  <c r="K22" i="21" s="1"/>
  <c r="K34" i="21" s="1"/>
  <c r="K35" i="13"/>
  <c r="K43" i="13"/>
  <c r="K42" i="21" l="1"/>
  <c r="K35" i="19"/>
  <c r="K22" i="19"/>
  <c r="K22" i="20"/>
  <c r="K34" i="20" s="1"/>
  <c r="K43" i="20"/>
  <c r="K35" i="20"/>
  <c r="K42" i="13"/>
  <c r="K34" i="13"/>
  <c r="K42" i="20" l="1"/>
  <c r="K42" i="19"/>
  <c r="K34" i="19"/>
  <c r="O13" i="13"/>
  <c r="O18" i="13" s="1"/>
  <c r="O14" i="13" l="1"/>
  <c r="O17" i="13" s="1"/>
  <c r="O20" i="13" s="1"/>
  <c r="O23" i="13" s="1"/>
  <c r="O26" i="13" s="1"/>
  <c r="O28" i="13" s="1"/>
  <c r="O21" i="13"/>
  <c r="G21" i="13" s="1"/>
  <c r="G18" i="13"/>
  <c r="K14" i="13"/>
  <c r="K14" i="21" s="1"/>
  <c r="K14" i="19" l="1"/>
  <c r="K14" i="20"/>
  <c r="K15" i="13"/>
  <c r="K15" i="21" s="1"/>
  <c r="Y4" i="13"/>
  <c r="W4" i="13"/>
  <c r="AA4" i="13"/>
  <c r="K15" i="19" l="1"/>
  <c r="K15" i="20"/>
  <c r="AC4" i="13"/>
  <c r="X5" i="13" s="1"/>
  <c r="Y5" i="13" s="1"/>
  <c r="AB4" i="13"/>
  <c r="V5" i="13" s="1"/>
  <c r="AD5" i="13" l="1"/>
  <c r="W5" i="13"/>
  <c r="Z5" i="13"/>
  <c r="AA5" i="13" s="1"/>
  <c r="AC5" i="13" s="1"/>
  <c r="X6" i="13" s="1"/>
  <c r="Y6" i="13" s="1"/>
  <c r="AB5" i="13" l="1"/>
  <c r="V6" i="13" s="1"/>
  <c r="Z6" i="13" l="1"/>
  <c r="AA6" i="13" s="1"/>
  <c r="AC6" i="13" s="1"/>
  <c r="X7" i="13" s="1"/>
  <c r="W6" i="13"/>
  <c r="AD6" i="13"/>
  <c r="AB6" i="13" l="1"/>
  <c r="V7" i="13" s="1"/>
  <c r="Z7" i="13" s="1"/>
  <c r="AA7" i="13" s="1"/>
  <c r="Y7" i="13"/>
  <c r="AD7" i="13" l="1"/>
  <c r="W7" i="13"/>
  <c r="AB7" i="13" s="1"/>
  <c r="V8" i="13" s="1"/>
  <c r="W8" i="13" s="1"/>
  <c r="AC7" i="13"/>
  <c r="X8" i="13" s="1"/>
  <c r="Y8" i="13" l="1"/>
  <c r="AD8" i="13"/>
  <c r="Z8" i="13"/>
  <c r="AA8" i="13" s="1"/>
  <c r="AC8" i="13" l="1"/>
  <c r="X9" i="13" s="1"/>
  <c r="Y9" i="13" s="1"/>
  <c r="AB8" i="13"/>
  <c r="V9" i="13" s="1"/>
  <c r="Z9" i="13" l="1"/>
  <c r="AA9" i="13" s="1"/>
  <c r="AC9" i="13" s="1"/>
  <c r="X10" i="13" s="1"/>
  <c r="W9" i="13"/>
  <c r="AD9" i="13"/>
  <c r="AB9" i="13" l="1"/>
  <c r="V10" i="13" s="1"/>
  <c r="Z10" i="13" s="1"/>
  <c r="AA10" i="13" s="1"/>
  <c r="Y10" i="13"/>
  <c r="AD10" i="13" l="1"/>
  <c r="W10" i="13"/>
  <c r="AB10" i="13" s="1"/>
  <c r="V11" i="13" s="1"/>
  <c r="W11" i="13" s="1"/>
  <c r="AC10" i="13"/>
  <c r="X11" i="13" s="1"/>
  <c r="Z11" i="13" l="1"/>
  <c r="AA11" i="13" s="1"/>
  <c r="AB11" i="13" s="1"/>
  <c r="V12" i="13" s="1"/>
  <c r="W12" i="13" s="1"/>
  <c r="Y11" i="13"/>
  <c r="AD11" i="13"/>
  <c r="AC11" i="13" l="1"/>
  <c r="X12" i="13" s="1"/>
  <c r="AD12" i="13" s="1"/>
  <c r="Y12" i="13" l="1"/>
  <c r="Z12" i="13"/>
  <c r="AA12" i="13" s="1"/>
  <c r="AB12" i="13" s="1"/>
  <c r="V13" i="13" s="1"/>
  <c r="W13" i="13" s="1"/>
  <c r="AC12" i="13" l="1"/>
  <c r="X13" i="13" s="1"/>
  <c r="Y13" i="13" s="1"/>
  <c r="AD13" i="13" l="1"/>
  <c r="Z13" i="13"/>
  <c r="AA13" i="13" s="1"/>
  <c r="AB13" i="13" s="1"/>
  <c r="V14" i="13" s="1"/>
  <c r="W14" i="13" s="1"/>
  <c r="AC13" i="13" l="1"/>
  <c r="X14" i="13" s="1"/>
  <c r="Z14" i="13" l="1"/>
  <c r="AA14" i="13" s="1"/>
  <c r="AB14" i="13" s="1"/>
  <c r="V15" i="13" s="1"/>
  <c r="W15" i="13" s="1"/>
  <c r="AD14" i="13"/>
  <c r="Y14" i="13"/>
  <c r="AC14" i="13" l="1"/>
  <c r="X15" i="13" s="1"/>
  <c r="Y15" i="13" s="1"/>
  <c r="AD15" i="13" l="1"/>
  <c r="Z15" i="13"/>
  <c r="AA15" i="13" s="1"/>
  <c r="AB15" i="13" s="1"/>
  <c r="V16" i="13" s="1"/>
  <c r="W16" i="13" s="1"/>
  <c r="AC15" i="13" l="1"/>
  <c r="X16" i="13" s="1"/>
  <c r="Z16" i="13" s="1"/>
  <c r="AA16" i="13" s="1"/>
  <c r="AB16" i="13" s="1"/>
  <c r="V17" i="13" s="1"/>
  <c r="W17" i="13" s="1"/>
  <c r="AD16" i="13" l="1"/>
  <c r="Y16" i="13"/>
  <c r="AC16" i="13" s="1"/>
  <c r="X17" i="13" s="1"/>
  <c r="Z17" i="13" s="1"/>
  <c r="AA17" i="13" s="1"/>
  <c r="AB17" i="13" s="1"/>
  <c r="V18" i="13" s="1"/>
  <c r="W18" i="13" s="1"/>
  <c r="AD17" i="13" l="1"/>
  <c r="Y17" i="13"/>
  <c r="AC17" i="13" s="1"/>
  <c r="X18" i="13" s="1"/>
  <c r="Z18" i="13" s="1"/>
  <c r="AA18" i="13" s="1"/>
  <c r="AB18" i="13" s="1"/>
  <c r="V19" i="13" s="1"/>
  <c r="W19" i="13" s="1"/>
  <c r="Y18" i="13" l="1"/>
  <c r="AC18" i="13" s="1"/>
  <c r="X19" i="13" s="1"/>
  <c r="Y19" i="13" s="1"/>
  <c r="AD18" i="13"/>
  <c r="Z19" i="13" l="1"/>
  <c r="AA19" i="13" s="1"/>
  <c r="AB19" i="13" s="1"/>
  <c r="V20" i="13" s="1"/>
  <c r="W20" i="13" s="1"/>
  <c r="AD19" i="13"/>
  <c r="AC19" i="13" l="1"/>
  <c r="X20" i="13" s="1"/>
  <c r="Z20" i="13" s="1"/>
  <c r="AA20" i="13" s="1"/>
  <c r="AB20" i="13" s="1"/>
  <c r="V21" i="13" s="1"/>
  <c r="W21" i="13" s="1"/>
  <c r="Y20" i="13" l="1"/>
  <c r="AC20" i="13" s="1"/>
  <c r="X21" i="13" s="1"/>
  <c r="Z21" i="13" s="1"/>
  <c r="AA21" i="13" s="1"/>
  <c r="AB21" i="13" s="1"/>
  <c r="V22" i="13" s="1"/>
  <c r="W22" i="13" s="1"/>
  <c r="AD20" i="13"/>
  <c r="Y21" i="13" l="1"/>
  <c r="AC21" i="13" s="1"/>
  <c r="X22" i="13" s="1"/>
  <c r="AD22" i="13" s="1"/>
  <c r="AD21" i="13"/>
  <c r="Z22" i="13" l="1"/>
  <c r="AA22" i="13" s="1"/>
  <c r="AB22" i="13" s="1"/>
  <c r="V23" i="13" s="1"/>
  <c r="W23" i="13" s="1"/>
  <c r="Y22" i="13"/>
  <c r="AC22" i="13" l="1"/>
  <c r="X23" i="13" s="1"/>
  <c r="AD23" i="13" s="1"/>
  <c r="Z23" i="13" l="1"/>
  <c r="AA23" i="13" s="1"/>
  <c r="AB23" i="13" s="1"/>
  <c r="V24" i="13" s="1"/>
  <c r="W24" i="13" s="1"/>
  <c r="Y23" i="13"/>
  <c r="AC23" i="13" l="1"/>
  <c r="X24" i="13" s="1"/>
  <c r="AD24" i="13" s="1"/>
  <c r="Z24" i="13" l="1"/>
  <c r="AA24" i="13" s="1"/>
  <c r="AB24" i="13" s="1"/>
  <c r="V25" i="13" s="1"/>
  <c r="W25" i="13" s="1"/>
  <c r="Y24" i="13"/>
  <c r="AC24" i="13" l="1"/>
  <c r="X25" i="13" s="1"/>
  <c r="AD25" i="13" s="1"/>
  <c r="Y25" i="13" l="1"/>
  <c r="Z25" i="13"/>
  <c r="AA25" i="13" s="1"/>
  <c r="AB25" i="13" s="1"/>
  <c r="V26" i="13" s="1"/>
  <c r="W26" i="13" s="1"/>
  <c r="AC25" i="13" l="1"/>
  <c r="X26" i="13" s="1"/>
  <c r="AD26" i="13" s="1"/>
  <c r="Y26" i="13" l="1"/>
  <c r="Z26" i="13"/>
  <c r="AA26" i="13" s="1"/>
  <c r="AB26" i="13" s="1"/>
  <c r="V27" i="13" s="1"/>
  <c r="W27" i="13" s="1"/>
  <c r="AC26" i="13" l="1"/>
  <c r="X27" i="13" s="1"/>
  <c r="AD27" i="13" l="1"/>
  <c r="Y27" i="13"/>
  <c r="Z27" i="13"/>
  <c r="AA27" i="13" s="1"/>
  <c r="AB27" i="13" s="1"/>
  <c r="V28" i="13" s="1"/>
  <c r="W28" i="13" s="1"/>
  <c r="AC27" i="13" l="1"/>
  <c r="X28" i="13" s="1"/>
  <c r="Z28" i="13" l="1"/>
  <c r="AA28" i="13" s="1"/>
  <c r="AB28" i="13" s="1"/>
  <c r="V29" i="13" s="1"/>
  <c r="Y28" i="13"/>
  <c r="AD28" i="13"/>
  <c r="AC28" i="13" l="1"/>
  <c r="X29" i="13" s="1"/>
  <c r="AD29" i="13" s="1"/>
  <c r="W29" i="13"/>
  <c r="Z29" i="13" l="1"/>
  <c r="AA29" i="13" s="1"/>
  <c r="AB29" i="13" s="1"/>
  <c r="V30" i="13" s="1"/>
  <c r="W30" i="13" s="1"/>
  <c r="Y29" i="13"/>
  <c r="AC29" i="13" l="1"/>
  <c r="X30" i="13" s="1"/>
  <c r="Z30" i="13" s="1"/>
  <c r="AA30" i="13" s="1"/>
  <c r="AB30" i="13" s="1"/>
  <c r="V31" i="13" s="1"/>
  <c r="AD30" i="13" l="1"/>
  <c r="Y30" i="13"/>
  <c r="AC30" i="13" s="1"/>
  <c r="X31" i="13" s="1"/>
  <c r="AD31" i="13" s="1"/>
  <c r="W31" i="13"/>
  <c r="Z31" i="13" l="1"/>
  <c r="AA31" i="13" s="1"/>
  <c r="AB31" i="13" s="1"/>
  <c r="V32" i="13" s="1"/>
  <c r="W32" i="13" s="1"/>
  <c r="Y31" i="13"/>
  <c r="AC31" i="13" l="1"/>
  <c r="X32" i="13" s="1"/>
  <c r="AD32" i="13" s="1"/>
  <c r="Y32" i="13" l="1"/>
  <c r="Z32" i="13"/>
  <c r="AA32" i="13" s="1"/>
  <c r="AB32" i="13" s="1"/>
  <c r="V33" i="13" s="1"/>
  <c r="W33" i="13" s="1"/>
  <c r="AC32" i="13" l="1"/>
  <c r="X33" i="13" s="1"/>
  <c r="Z33" i="13" s="1"/>
  <c r="AA33" i="13" s="1"/>
  <c r="AB33" i="13" s="1"/>
  <c r="V34" i="13" s="1"/>
  <c r="W34" i="13" s="1"/>
  <c r="Y33" i="13"/>
  <c r="AC33" i="13" l="1"/>
  <c r="X34" i="13" s="1"/>
  <c r="Z34" i="13" s="1"/>
  <c r="AD33" i="13"/>
  <c r="AD34" i="13"/>
  <c r="Y34" i="13"/>
  <c r="O24" i="13"/>
  <c r="O25" i="13" s="1"/>
  <c r="G19" i="13" s="1"/>
  <c r="G22" i="13" s="1"/>
  <c r="G35" i="13" s="1"/>
  <c r="K4" i="13" s="1"/>
  <c r="K5" i="13" s="1"/>
  <c r="AA34" i="13"/>
  <c r="AB34" i="13" s="1"/>
  <c r="AC34" i="13" l="1"/>
  <c r="G20" i="13"/>
  <c r="K8" i="13"/>
  <c r="K13" i="13" s="1"/>
  <c r="K48" i="13" s="1"/>
  <c r="K17" i="13"/>
  <c r="K17" i="21" s="1"/>
  <c r="K16" i="13"/>
  <c r="K16" i="21" s="1"/>
  <c r="K41" i="21" l="1"/>
  <c r="K44" i="21" s="1"/>
  <c r="K33" i="21"/>
  <c r="K36" i="21" s="1"/>
  <c r="K49" i="21"/>
  <c r="K50" i="21" s="1"/>
  <c r="K27" i="21"/>
  <c r="K16" i="19"/>
  <c r="K16" i="20"/>
  <c r="K17" i="19"/>
  <c r="K49" i="19" s="1"/>
  <c r="K50" i="19" s="1"/>
  <c r="K17" i="20"/>
  <c r="K32" i="13"/>
  <c r="K40" i="13"/>
  <c r="K41" i="13"/>
  <c r="K49" i="13"/>
  <c r="K50" i="13" s="1"/>
  <c r="K33" i="13"/>
  <c r="K27" i="13"/>
  <c r="K27" i="19" l="1"/>
  <c r="K33" i="19"/>
  <c r="K36" i="19" s="1"/>
  <c r="K41" i="19"/>
  <c r="K44" i="19" s="1"/>
  <c r="AH4" i="21"/>
  <c r="AJ4" i="21"/>
  <c r="AL4" i="21"/>
  <c r="K28" i="21"/>
  <c r="K41" i="20"/>
  <c r="K44" i="20" s="1"/>
  <c r="K33" i="20"/>
  <c r="K36" i="20" s="1"/>
  <c r="K27" i="20"/>
  <c r="K49" i="20"/>
  <c r="K50" i="20" s="1"/>
  <c r="K28" i="19"/>
  <c r="AL4" i="19"/>
  <c r="AH4" i="19"/>
  <c r="AJ4" i="19"/>
  <c r="K36" i="13"/>
  <c r="K44" i="13"/>
  <c r="AJ4" i="13"/>
  <c r="K28" i="13"/>
  <c r="AH4" i="13"/>
  <c r="AL4" i="13"/>
  <c r="AL4" i="20" l="1"/>
  <c r="K28" i="20"/>
  <c r="AH4" i="20"/>
  <c r="AJ4" i="20"/>
</calcChain>
</file>

<file path=xl/sharedStrings.xml><?xml version="1.0" encoding="utf-8"?>
<sst xmlns="http://schemas.openxmlformats.org/spreadsheetml/2006/main" count="2159" uniqueCount="166">
  <si>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</si>
  <si>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</si>
  <si>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</si>
  <si>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</si>
  <si>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</si>
  <si>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</si>
  <si>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</si>
  <si>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</si>
  <si>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</si>
  <si>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</si>
  <si>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</si>
  <si>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</si>
  <si>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</si>
  <si>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</si>
  <si>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</si>
  <si>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</si>
  <si>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</si>
  <si>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</si>
  <si>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W</t>
  </si>
  <si>
    <t>thrust_each</t>
  </si>
  <si>
    <t>N</t>
  </si>
  <si>
    <t>Energy and time</t>
  </si>
  <si>
    <t>dyn_pressure</t>
  </si>
  <si>
    <t>N/m^2</t>
  </si>
  <si>
    <t>Rotor performance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</si>
  <si>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</si>
  <si>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</si>
  <si>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</si>
  <si>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</si>
  <si>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</si>
  <si>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</si>
  <si>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</si>
  <si>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</si>
  <si>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</si>
  <si>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</si>
  <si>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</si>
  <si>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</si>
  <si>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</si>
  <si>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</si>
  <si>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</si>
  <si>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</si>
  <si>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</si>
  <si>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</si>
  <si>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</si>
  <si>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</si>
  <si>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</si>
  <si>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</si>
  <si>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</si>
  <si>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</si>
  <si>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</si>
  <si>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</si>
  <si>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</si>
  <si>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</si>
  <si>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</si>
  <si>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</si>
  <si>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</si>
  <si>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</si>
  <si>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</si>
  <si>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</si>
  <si>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</si>
  <si>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</si>
  <si>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</si>
  <si>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</si>
  <si>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</si>
  <si>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</si>
  <si>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</si>
  <si>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</si>
  <si>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</si>
  <si>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</si>
  <si>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</si>
  <si>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</si>
  <si>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</si>
  <si>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multirotor</t>
  </si>
  <si>
    <t>Stability (trim)</t>
  </si>
  <si>
    <t>Thrust_all</t>
  </si>
  <si>
    <t>sin_beta</t>
  </si>
  <si>
    <t>Bisection method for solving W_total_takeoff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</si>
  <si>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</si>
  <si>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</si>
  <si>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</si>
  <si>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</si>
  <si>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</si>
  <si>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</si>
  <si>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</si>
  <si>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</si>
  <si>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</si>
  <si>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</si>
  <si>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</si>
  <si>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</si>
  <si>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</si>
  <si>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</si>
  <si>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</si>
  <si>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</si>
  <si>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</si>
  <si>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</si>
  <si>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</si>
  <si>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</si>
  <si>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</si>
  <si>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</si>
  <si>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</si>
  <si>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</si>
  <si>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</si>
  <si>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</si>
  <si>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</si>
  <si>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</si>
  <si>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</si>
  <si>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</si>
  <si>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</si>
  <si>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</si>
  <si>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</si>
  <si>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</si>
  <si>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</si>
  <si>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</si>
  <si>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</si>
  <si>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</si>
  <si>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</si>
  <si>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type</t>
  </si>
  <si>
    <t>f_LG</t>
  </si>
  <si>
    <t>eVTOL design parameters</t>
  </si>
  <si>
    <t>lift_rotor_solidity</t>
  </si>
  <si>
    <t>lift_rotor_hover_FM</t>
  </si>
  <si>
    <t>rotor_tip_speed</t>
  </si>
  <si>
    <t>M</t>
  </si>
  <si>
    <t>sound_speed</t>
  </si>
  <si>
    <t>rotor_tip_speed_Mach</t>
  </si>
  <si>
    <t>RPM</t>
  </si>
  <si>
    <t>W_rotors_and_hubs</t>
  </si>
  <si>
    <t>W_extra_hubs</t>
  </si>
  <si>
    <t>Nm</t>
  </si>
  <si>
    <t>Pa s</t>
  </si>
  <si>
    <t>mu_air</t>
  </si>
  <si>
    <t>c_to_r_lift_rotor</t>
  </si>
  <si>
    <t>power_cruise</t>
  </si>
  <si>
    <t>skid</t>
  </si>
  <si>
    <t>skid_length</t>
  </si>
  <si>
    <t>skid_height</t>
  </si>
  <si>
    <t>mission_repetition</t>
  </si>
  <si>
    <t>rho_softmax</t>
  </si>
  <si>
    <t>mission_time</t>
  </si>
  <si>
    <t>tf_propulsion</t>
  </si>
  <si>
    <t>tf_structure</t>
  </si>
  <si>
    <t>tf_equipments</t>
  </si>
  <si>
    <t>LiftRotor|RPM_cruise</t>
  </si>
  <si>
    <t>LiftRotor|RPM_hover</t>
  </si>
  <si>
    <t>Environment at 5500 ft</t>
  </si>
  <si>
    <t>Environment at 6500 ft</t>
  </si>
  <si>
    <t>efficiency T/P</t>
  </si>
  <si>
    <t>g/W</t>
  </si>
  <si>
    <t>CT/sigma</t>
  </si>
  <si>
    <t>W_empty</t>
  </si>
  <si>
    <t>omega_motor</t>
  </si>
  <si>
    <t>gear_ratio</t>
  </si>
  <si>
    <t>RPM_motor</t>
  </si>
  <si>
    <t>torque_motor</t>
  </si>
  <si>
    <t>motor_weight</t>
  </si>
  <si>
    <t>motor_power_margin</t>
  </si>
  <si>
    <t>Reserve cruise segment</t>
  </si>
  <si>
    <t>reserve cruise duration</t>
  </si>
  <si>
    <t>f_e_non_hubs</t>
  </si>
  <si>
    <t>f_e_total</t>
  </si>
  <si>
    <t>weighted_sum_of_takeoff_weight</t>
  </si>
  <si>
    <t>linear</t>
  </si>
  <si>
    <t>uniform</t>
  </si>
  <si>
    <t>uniform
coeffs</t>
  </si>
  <si>
    <t>linear
coeffs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</si>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</sst>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right" vertical="center"/>
    </xf>
    <xf numFmtId="11" fontId="0" fillId="4" borderId="0" xfId="0" applyNumberFormat="1" applyFill="1" applyAlignment="1">
      <alignment vertical="center"/>
    </xf>
    <xf numFmtId="0" fontId="0" fillId="11" borderId="0" xfId="0" applyFill="1"/>
    <xf numFmtId="0" fontId="0" fillId="11" borderId="0" xfId="0" applyFill="1" applyAlignment="1">
      <alignment vertical="center"/>
    </xf>
    <xf numFmtId="0" fontId="3" fillId="11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4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1F2-FE4B-B9B4-0EB698CFD24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1F2-FE4B-B9B4-0EB698CFD24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1F2-FE4B-B9B4-0EB698CFD24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1F2-FE4B-B9B4-0EB698CFD24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1F2-FE4B-B9B4-0EB698CFD24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uniform_250!$J$39:$J$43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uniform_250!$K$39:$K$43</c:f>
              <c:numCache>
                <c:formatCode>General</c:formatCode>
                <c:ptCount val="5"/>
                <c:pt idx="0">
                  <c:v>20.079999999999998</c:v>
                </c:pt>
                <c:pt idx="1">
                  <c:v>45.94</c:v>
                </c:pt>
                <c:pt idx="2">
                  <c:v>22.4</c:v>
                </c:pt>
                <c:pt idx="3">
                  <c:v>6.66</c:v>
                </c:pt>
                <c:pt idx="4">
                  <c:v>4.91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1F2-FE4B-B9B4-0EB698CFD24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EE2-E949-B52E-31FA0C9EF3A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EE2-E949-B52E-31FA0C9EF3A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EE2-E949-B52E-31FA0C9EF3A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EE2-E949-B52E-31FA0C9EF3A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EE2-E949-B52E-31FA0C9EF3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uniform_250!$J$31:$J$35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uniform_250!$K$31:$K$35</c:f>
              <c:numCache>
                <c:formatCode>General</c:formatCode>
                <c:ptCount val="5"/>
                <c:pt idx="0">
                  <c:v>600</c:v>
                </c:pt>
                <c:pt idx="1">
                  <c:v>1372.45</c:v>
                </c:pt>
                <c:pt idx="2">
                  <c:v>669.32</c:v>
                </c:pt>
                <c:pt idx="3">
                  <c:v>198.89</c:v>
                </c:pt>
                <c:pt idx="4">
                  <c:v>146.72999999999999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EE2-E949-B52E-31FA0C9EF3A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5B7-FE41-A57A-A42FAE1A171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5B7-FE41-A57A-A42FAE1A171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5B7-FE41-A57A-A42FAE1A171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5B7-FE41-A57A-A42FAE1A171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5B7-FE41-A57A-A42FAE1A171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uniform_400!$J$39:$J$43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uniform_400!$K$39:$K$43</c:f>
              <c:numCache>
                <c:formatCode>General</c:formatCode>
                <c:ptCount val="5"/>
                <c:pt idx="0">
                  <c:v>25.33</c:v>
                </c:pt>
                <c:pt idx="1">
                  <c:v>31.81</c:v>
                </c:pt>
                <c:pt idx="2">
                  <c:v>28.26</c:v>
                </c:pt>
                <c:pt idx="3">
                  <c:v>8.4</c:v>
                </c:pt>
                <c:pt idx="4">
                  <c:v>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5B7-FE41-A57A-A42FAE1A171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8A7-6C4E-A193-C372EB799B9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8A7-6C4E-A193-C372EB799B9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8A7-6C4E-A193-C372EB799B9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8A7-6C4E-A193-C372EB799B9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8A7-6C4E-A193-C372EB799B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uniform_400!$J$31:$J$35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uniform_400!$K$31:$K$35</c:f>
              <c:numCache>
                <c:formatCode>General</c:formatCode>
                <c:ptCount val="5"/>
                <c:pt idx="0">
                  <c:v>600</c:v>
                </c:pt>
                <c:pt idx="1">
                  <c:v>753.44</c:v>
                </c:pt>
                <c:pt idx="2">
                  <c:v>669.32</c:v>
                </c:pt>
                <c:pt idx="3">
                  <c:v>198.89</c:v>
                </c:pt>
                <c:pt idx="4">
                  <c:v>146.72999999999999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8A7-6C4E-A193-C372EB799B9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35-704C-A065-3390A93787A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835-704C-A065-3390A93787A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835-704C-A065-3390A93787A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835-704C-A065-3390A93787A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835-704C-A065-3390A93787A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uniform_550!$J$39:$J$43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uniform_550!$K$39:$K$43</c:f>
              <c:numCache>
                <c:formatCode>General</c:formatCode>
                <c:ptCount val="5"/>
                <c:pt idx="0">
                  <c:v>28.08</c:v>
                </c:pt>
                <c:pt idx="1">
                  <c:v>24.42</c:v>
                </c:pt>
                <c:pt idx="2">
                  <c:v>31.32</c:v>
                </c:pt>
                <c:pt idx="3">
                  <c:v>9.31</c:v>
                </c:pt>
                <c:pt idx="4">
                  <c:v>6.87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835-704C-A065-3390A93787A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F6DB-E945-B5C7-75DC41F0904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6DB-E945-B5C7-75DC41F0904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F6DB-E945-B5C7-75DC41F0904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F6DB-E945-B5C7-75DC41F0904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F6DB-E945-B5C7-75DC41F0904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uniform_550!$J$31:$J$35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uniform_550!$K$31:$K$35</c:f>
              <c:numCache>
                <c:formatCode>General</c:formatCode>
                <c:ptCount val="5"/>
                <c:pt idx="0">
                  <c:v>600</c:v>
                </c:pt>
                <c:pt idx="1">
                  <c:v>521.80999999999995</c:v>
                </c:pt>
                <c:pt idx="2">
                  <c:v>669.32</c:v>
                </c:pt>
                <c:pt idx="3">
                  <c:v>198.89</c:v>
                </c:pt>
                <c:pt idx="4">
                  <c:v>146.72999999999999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6DB-E945-B5C7-75DC41F0904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B90-5C44-B2FD-9FBF7FA3CB4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B90-5C44-B2FD-9FBF7FA3CB4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B90-5C44-B2FD-9FBF7FA3CB4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B90-5C44-B2FD-9FBF7FA3CB4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B90-5C44-B2FD-9FBF7FA3CB4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uniform_700!$J$39:$J$43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uniform_700!$K$39:$K$43</c:f>
              <c:numCache>
                <c:formatCode>General</c:formatCode>
                <c:ptCount val="5"/>
                <c:pt idx="0">
                  <c:v>29.78</c:v>
                </c:pt>
                <c:pt idx="1">
                  <c:v>19.829999999999998</c:v>
                </c:pt>
                <c:pt idx="2">
                  <c:v>33.229999999999997</c:v>
                </c:pt>
                <c:pt idx="3">
                  <c:v>9.8699999999999992</c:v>
                </c:pt>
                <c:pt idx="4">
                  <c:v>7.28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B90-5C44-B2FD-9FBF7FA3CB4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E92-2E47-AB32-D545C1FFC62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E92-2E47-AB32-D545C1FFC62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E92-2E47-AB32-D545C1FFC62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E92-2E47-AB32-D545C1FFC62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E92-2E47-AB32-D545C1FFC6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uniform_700!$J$31:$J$35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uniform_700!$K$31:$K$35</c:f>
              <c:numCache>
                <c:formatCode>General</c:formatCode>
                <c:ptCount val="5"/>
                <c:pt idx="0">
                  <c:v>600</c:v>
                </c:pt>
                <c:pt idx="1">
                  <c:v>399.51</c:v>
                </c:pt>
                <c:pt idx="2">
                  <c:v>669.32</c:v>
                </c:pt>
                <c:pt idx="3">
                  <c:v>198.89</c:v>
                </c:pt>
                <c:pt idx="4">
                  <c:v>146.72999999999999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E92-2E47-AB32-D545C1FFC62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5BF-2848-997A-67B83D124A9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5BF-2848-997A-67B83D124A9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BF-2848-997A-67B83D124A9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5BF-2848-997A-67B83D124A9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5BF-2848-997A-67B83D124A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linear_250!$J$39:$J$43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linear_250!$K$39:$K$43</c:f>
              <c:numCache>
                <c:formatCode>General</c:formatCode>
                <c:ptCount val="5"/>
                <c:pt idx="0">
                  <c:v>20.02</c:v>
                </c:pt>
                <c:pt idx="1">
                  <c:v>46.27</c:v>
                </c:pt>
                <c:pt idx="2">
                  <c:v>22.13</c:v>
                </c:pt>
                <c:pt idx="3">
                  <c:v>6.66</c:v>
                </c:pt>
                <c:pt idx="4">
                  <c:v>4.91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5BF-2848-997A-67B83D124A9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281-DF45-8BD9-ED3F872106A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281-DF45-8BD9-ED3F872106A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281-DF45-8BD9-ED3F872106A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281-DF45-8BD9-ED3F872106A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281-DF45-8BD9-ED3F872106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linear_250!$J$31:$J$35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linear_250!$K$31:$K$35</c:f>
              <c:numCache>
                <c:formatCode>General</c:formatCode>
                <c:ptCount val="5"/>
                <c:pt idx="0">
                  <c:v>600</c:v>
                </c:pt>
                <c:pt idx="1">
                  <c:v>1386.54</c:v>
                </c:pt>
                <c:pt idx="2">
                  <c:v>663.31</c:v>
                </c:pt>
                <c:pt idx="3">
                  <c:v>199.63</c:v>
                </c:pt>
                <c:pt idx="4">
                  <c:v>147.22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281-DF45-8BD9-ED3F872106A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F8D-1947-BC91-D3160D6635F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F8D-1947-BC91-D3160D6635F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F8D-1947-BC91-D3160D6635F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F8D-1947-BC91-D3160D6635F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F8D-1947-BC91-D3160D6635F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linear_400!$J$39:$J$43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linear_400!$K$39:$K$43</c:f>
              <c:numCache>
                <c:formatCode>General</c:formatCode>
                <c:ptCount val="5"/>
                <c:pt idx="0">
                  <c:v>25.33</c:v>
                </c:pt>
                <c:pt idx="1">
                  <c:v>32.01</c:v>
                </c:pt>
                <c:pt idx="2">
                  <c:v>28.01</c:v>
                </c:pt>
                <c:pt idx="3">
                  <c:v>8.43</c:v>
                </c:pt>
                <c:pt idx="4">
                  <c:v>6.22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F8D-1947-BC91-D3160D6635F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E91-9845-A92F-09AFD405201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E91-9845-A92F-09AFD405201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E91-9845-A92F-09AFD405201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E91-9845-A92F-09AFD405201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E91-9845-A92F-09AFD40520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linear_400!$J$31:$J$35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linear_400!$K$31:$K$35</c:f>
              <c:numCache>
                <c:formatCode>General</c:formatCode>
                <c:ptCount val="5"/>
                <c:pt idx="0">
                  <c:v>600</c:v>
                </c:pt>
                <c:pt idx="1">
                  <c:v>758.23</c:v>
                </c:pt>
                <c:pt idx="2">
                  <c:v>663.31</c:v>
                </c:pt>
                <c:pt idx="3">
                  <c:v>199.63</c:v>
                </c:pt>
                <c:pt idx="4">
                  <c:v>147.22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91-9845-A92F-09AFD405201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5A2-2243-8047-ACC3306D660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5A2-2243-8047-ACC3306D660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5A2-2243-8047-ACC3306D660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5A2-2243-8047-ACC3306D660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5A2-2243-8047-ACC3306D660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linear_550!$J$39:$J$43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linear_550!$K$39:$K$43</c:f>
              <c:numCache>
                <c:formatCode>General</c:formatCode>
                <c:ptCount val="5"/>
                <c:pt idx="0">
                  <c:v>28.11</c:v>
                </c:pt>
                <c:pt idx="1">
                  <c:v>24.57</c:v>
                </c:pt>
                <c:pt idx="2">
                  <c:v>31.07</c:v>
                </c:pt>
                <c:pt idx="3">
                  <c:v>9.35</c:v>
                </c:pt>
                <c:pt idx="4">
                  <c:v>6.9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5A2-2243-8047-ACC3306D660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94F-F94B-8751-FED1E0E1CB0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94F-F94B-8751-FED1E0E1CB0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94F-F94B-8751-FED1E0E1CB0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94F-F94B-8751-FED1E0E1CB0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94F-F94B-8751-FED1E0E1CB0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linear_550!$J$31:$J$35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linear_550!$K$31:$K$35</c:f>
              <c:numCache>
                <c:formatCode>General</c:formatCode>
                <c:ptCount val="5"/>
                <c:pt idx="0">
                  <c:v>600</c:v>
                </c:pt>
                <c:pt idx="1">
                  <c:v>524.53</c:v>
                </c:pt>
                <c:pt idx="2">
                  <c:v>663.31</c:v>
                </c:pt>
                <c:pt idx="3">
                  <c:v>199.63</c:v>
                </c:pt>
                <c:pt idx="4">
                  <c:v>147.22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94F-F94B-8751-FED1E0E1CB0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FC3F-3A4D-BBD3-2F23F159073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C3F-3A4D-BBD3-2F23F159073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FC3F-3A4D-BBD3-2F23F159073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FC3F-3A4D-BBD3-2F23F159073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FC3F-3A4D-BBD3-2F23F159073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linear_700!$J$39:$J$43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linear_700!$K$39:$K$43</c:f>
              <c:numCache>
                <c:formatCode>General</c:formatCode>
                <c:ptCount val="5"/>
                <c:pt idx="0">
                  <c:v>29.83</c:v>
                </c:pt>
                <c:pt idx="1">
                  <c:v>19.95</c:v>
                </c:pt>
                <c:pt idx="2">
                  <c:v>32.979999999999997</c:v>
                </c:pt>
                <c:pt idx="3">
                  <c:v>9.92</c:v>
                </c:pt>
                <c:pt idx="4">
                  <c:v>7.32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3F-3A4D-BBD3-2F23F159073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CD4-494E-BD7F-F6FE7B71FF5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CD4-494E-BD7F-F6FE7B71FF5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CD4-494E-BD7F-F6FE7B71FF5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4CD4-494E-BD7F-F6FE7B71FF5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4CD4-494E-BD7F-F6FE7B71FF5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linear_700!$J$31:$J$35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linear_700!$K$31:$K$35</c:f>
              <c:numCache>
                <c:formatCode>General</c:formatCode>
                <c:ptCount val="5"/>
                <c:pt idx="0">
                  <c:v>600</c:v>
                </c:pt>
                <c:pt idx="1">
                  <c:v>401.37</c:v>
                </c:pt>
                <c:pt idx="2">
                  <c:v>663.31</c:v>
                </c:pt>
                <c:pt idx="3">
                  <c:v>199.63</c:v>
                </c:pt>
                <c:pt idx="4">
                  <c:v>147.22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CD4-494E-BD7F-F6FE7B71FF5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61F4B7-41F9-F343-8C66-DE24ECDCF4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BE5DE6-D8D9-4940-ABC3-31A47A6C71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D3AFF0-ECE8-4348-B104-D28BF959B9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436292-9C07-1D4B-BB6A-46072D7B84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7C58BF-675E-F14E-87F7-BBB63CE398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8EBF69-1962-AE44-AA63-85E96CD840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94E75F-D816-5547-BAA4-8874E30CD1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9BF315-BBE2-E348-A167-264200A471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1CE1C9-E089-5B4E-A20D-9F0A42116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592E60-0489-E74B-82FC-CEE8010A35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C50E77-BEBA-CA4A-A5E4-E9C2B842FD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E82398-29E0-124F-80BA-4F9B0DCF74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47F294-8FFB-FC47-AAD7-1BE3528725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1A1F72-A577-7A43-8DB7-1D449938E3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C2F4A6-32A6-944F-8823-D4F26A0CED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8C6612-7A71-C042-840A-D8B50650F4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80743-77EF-074A-8B11-1BF1065A8D4A}">
  <dimension ref="B3:G15"/>
  <sheetViews>
    <sheetView tabSelected="1" topLeftCell="A2" workbookViewId="0">
      <selection activeCell="F7" sqref="F7"/>
    </sheetView>
  </sheetViews>
  <sheetFormatPr baseColWidth="10" defaultRowHeight="16" x14ac:dyDescent="0.2"/>
  <sheetData>
    <row r="3" spans="2:7" x14ac:dyDescent="0.2">
      <c r="B3" s="2"/>
      <c r="C3" s="2"/>
      <c r="D3" s="2"/>
      <c r="E3" s="2" t="s">
        <v>162</v>
      </c>
      <c r="F3" s="2" t="s">
        <v>161</v>
      </c>
    </row>
    <row r="4" spans="2:7" x14ac:dyDescent="0.2">
      <c r="B4" s="27" t="s">
        <v>160</v>
      </c>
      <c r="C4" s="27"/>
      <c r="D4" s="27"/>
      <c r="E4" s="4">
        <f>C7*E7 + C8*E8 + C9*E9 + C10*E10</f>
        <v>2376.7392050127396</v>
      </c>
      <c r="F4" s="4">
        <f xml:space="preserve"> C12*E12 + C13*E13 + C14*E14 + C15*E15</f>
        <v>2218.3666705792821</v>
      </c>
    </row>
    <row r="6" spans="2:7" x14ac:dyDescent="0.2">
      <c r="D6" s="2"/>
      <c r="E6" s="2"/>
      <c r="F6" s="2"/>
      <c r="G6" s="2"/>
    </row>
    <row r="7" spans="2:7" x14ac:dyDescent="0.2">
      <c r="B7" s="28" t="s">
        <v>163</v>
      </c>
      <c r="C7" s="2">
        <v>0.25</v>
      </c>
      <c r="D7" s="27" t="s">
        <v>165</v>
      </c>
      <c r="E7" s="2">
        <f>uniform_250!C5</f>
        <v>2987.3833957626998</v>
      </c>
      <c r="F7" s="2"/>
      <c r="G7" s="2"/>
    </row>
    <row r="8" spans="2:7" x14ac:dyDescent="0.2">
      <c r="B8" s="27"/>
      <c r="C8" s="2">
        <v>0.25</v>
      </c>
      <c r="D8" s="27"/>
      <c r="E8" s="2">
        <f>uniform_400!C5</f>
        <v>2368.3732449019699</v>
      </c>
      <c r="F8" s="2"/>
      <c r="G8" s="2"/>
    </row>
    <row r="9" spans="2:7" x14ac:dyDescent="0.2">
      <c r="B9" s="27"/>
      <c r="C9" s="2">
        <v>0.25</v>
      </c>
      <c r="D9" s="27"/>
      <c r="E9" s="2">
        <f>uniform_550!C5</f>
        <v>2136.7597168133202</v>
      </c>
      <c r="F9" s="2"/>
      <c r="G9" s="2"/>
    </row>
    <row r="10" spans="2:7" x14ac:dyDescent="0.2">
      <c r="B10" s="27"/>
      <c r="C10" s="2">
        <v>0.25</v>
      </c>
      <c r="D10" s="27"/>
      <c r="E10" s="2">
        <f>uniform_700!C5</f>
        <v>2014.4404625729701</v>
      </c>
      <c r="F10" s="2"/>
      <c r="G10" s="2"/>
    </row>
    <row r="11" spans="2:7" x14ac:dyDescent="0.2">
      <c r="D11" s="2"/>
      <c r="E11" s="2"/>
      <c r="F11" s="2"/>
      <c r="G11" s="2"/>
    </row>
    <row r="12" spans="2:7" x14ac:dyDescent="0.2">
      <c r="B12" s="28" t="s">
        <v>164</v>
      </c>
      <c r="C12" s="2">
        <v>0.1</v>
      </c>
      <c r="D12" s="27" t="s">
        <v>165</v>
      </c>
      <c r="E12" s="2">
        <f>linear_250!C5</f>
        <v>2996.6864208530801</v>
      </c>
      <c r="F12" s="2"/>
      <c r="G12" s="2"/>
    </row>
    <row r="13" spans="2:7" x14ac:dyDescent="0.2">
      <c r="B13" s="27"/>
      <c r="C13" s="2">
        <v>0.2</v>
      </c>
      <c r="D13" s="27"/>
      <c r="E13" s="2">
        <f>linear_400!C5</f>
        <v>2368.3818841204402</v>
      </c>
      <c r="F13" s="2"/>
      <c r="G13" s="2"/>
    </row>
    <row r="14" spans="2:7" x14ac:dyDescent="0.2">
      <c r="B14" s="27"/>
      <c r="C14" s="2">
        <v>0.3</v>
      </c>
      <c r="D14" s="27"/>
      <c r="E14" s="2">
        <f>linear_550!C5</f>
        <v>2134.7035420050202</v>
      </c>
      <c r="F14" s="2"/>
      <c r="G14" s="2"/>
    </row>
    <row r="15" spans="2:7" x14ac:dyDescent="0.2">
      <c r="B15" s="27"/>
      <c r="C15" s="2">
        <v>0.4</v>
      </c>
      <c r="D15" s="27"/>
      <c r="E15" s="2">
        <f>linear_700!C5</f>
        <v>2011.5264726709499</v>
      </c>
      <c r="F15" s="2"/>
      <c r="G15" s="2"/>
    </row>
  </sheetData>
  <mergeCells count="5">
    <mergeCell ref="B4:D4"/>
    <mergeCell ref="B7:B10"/>
    <mergeCell ref="B12:B15"/>
    <mergeCell ref="D7:D10"/>
    <mergeCell ref="D12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AC382-40AF-4244-A673-F9A2ECD93E49}">
  <dimension ref="B1:AO56"/>
  <sheetViews>
    <sheetView workbookViewId="0">
      <selection activeCell="E9" sqref="E9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5" t="s">
        <v>0</v>
      </c>
      <c r="C1" s="35"/>
      <c r="D1" s="35"/>
    </row>
    <row r="2" spans="2:41" x14ac:dyDescent="0.2">
      <c r="U2" s="16" t="s">
        <v>93</v>
      </c>
      <c r="AF2" s="16" t="s">
        <v>76</v>
      </c>
    </row>
    <row r="3" spans="2:41" x14ac:dyDescent="0.2">
      <c r="B3" s="32" t="s">
        <v>118</v>
      </c>
      <c r="C3" s="33"/>
      <c r="D3" s="33"/>
      <c r="F3" s="32" t="s">
        <v>80</v>
      </c>
      <c r="G3" s="33"/>
      <c r="H3" s="33"/>
      <c r="J3" s="29" t="s">
        <v>98</v>
      </c>
      <c r="K3" s="29"/>
      <c r="L3" s="29"/>
      <c r="N3" s="29" t="s">
        <v>92</v>
      </c>
      <c r="O3" s="29"/>
      <c r="P3" s="29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609.72990630656057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4.848990045352386E-2</v>
      </c>
      <c r="X4" s="3">
        <v>1</v>
      </c>
      <c r="Y4" s="2">
        <f t="shared" ref="Y4:Y34" si="1" xml:space="preserve"> $O$20 * TAN($O$17/180*PI()) + $O$21 / (2 * SQRT($O$20^2 + X4^2)) - X4</f>
        <v>-0.95666190127405271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-0.45431592040806268</v>
      </c>
      <c r="AB4" s="2">
        <f>W4*AA4</f>
        <v>-2.2029733755038028E-2</v>
      </c>
      <c r="AC4" s="2">
        <f>Y4*AA4</f>
        <v>0.43462673219664844</v>
      </c>
      <c r="AD4" s="2">
        <f>X4-V4</f>
        <v>1</v>
      </c>
      <c r="AF4" s="2">
        <v>0</v>
      </c>
      <c r="AG4" s="2"/>
      <c r="AH4" s="2">
        <f>K27</f>
        <v>-3.7159028188398224E-3</v>
      </c>
      <c r="AI4" s="2"/>
      <c r="AJ4" s="2">
        <f>K27</f>
        <v>-3.7159028188398224E-3</v>
      </c>
      <c r="AK4" s="2"/>
      <c r="AL4" s="2">
        <f>K27</f>
        <v>-3.7159028188398224E-3</v>
      </c>
      <c r="AM4" s="2"/>
      <c r="AN4" s="2"/>
      <c r="AO4" s="2"/>
    </row>
    <row r="5" spans="2:41" x14ac:dyDescent="0.2">
      <c r="B5" s="10" t="s">
        <v>37</v>
      </c>
      <c r="C5" s="10">
        <v>2987.3833957626998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152.43247657664014</v>
      </c>
      <c r="L5" s="6" t="s">
        <v>101</v>
      </c>
      <c r="N5" s="6" t="s">
        <v>114</v>
      </c>
      <c r="O5" s="6">
        <f xml:space="preserve"> $C$18 * 0.85 * ($C$5/$C$18 *2.20462/1000)^(2/3) * 0.3048^2</f>
        <v>0.44043854439070684</v>
      </c>
      <c r="P5" s="6" t="s">
        <v>115</v>
      </c>
      <c r="U5" s="2">
        <v>1</v>
      </c>
      <c r="V5" s="2">
        <f>IF(AB4&gt;0, Z4, V4)</f>
        <v>0</v>
      </c>
      <c r="W5" s="2">
        <f t="shared" si="0"/>
        <v>4.848990045352386E-2</v>
      </c>
      <c r="X5" s="2">
        <f>IF(AC4&gt;0, Z4, X4)</f>
        <v>0.5</v>
      </c>
      <c r="Y5" s="2">
        <f t="shared" si="1"/>
        <v>-0.45431592040806268</v>
      </c>
      <c r="Z5" s="2">
        <f t="shared" ref="Z5:Z34" si="3" xml:space="preserve"> (V5 + X5)/2</f>
        <v>0.25</v>
      </c>
      <c r="AA5" s="2">
        <f t="shared" si="2"/>
        <v>-0.20254661186780135</v>
      </c>
      <c r="AB5" s="2">
        <f t="shared" ref="AB5:AB34" si="4">W5*AA5</f>
        <v>-9.8214650466682211E-3</v>
      </c>
      <c r="AC5" s="2">
        <f t="shared" ref="AC5:AC34" si="5">Y5*AA5</f>
        <v>9.2020150396254802E-2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-1250.3654993196037</v>
      </c>
      <c r="AI5" s="3">
        <v>10000</v>
      </c>
      <c r="AJ5" s="2">
        <f t="dataTable" ref="AJ5:AJ44" dt2D="0" dtr="0" r1="C5" ca="1"/>
        <v>1365.5445509170841</v>
      </c>
      <c r="AK5" s="2">
        <f>(AG5+AI5)/2</f>
        <v>5250</v>
      </c>
      <c r="AL5" s="2">
        <f t="dataTable" ref="AL5:AL44" dt2D="0" dtr="0" r1="C5" ca="1"/>
        <v>785.85181163152129</v>
      </c>
      <c r="AM5" s="2">
        <f>AH5*AL5</f>
        <v>-982601.99284186226</v>
      </c>
      <c r="AN5" s="2">
        <f>AJ5*AL5</f>
        <v>1073115.6592017426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4.848990045352386E-2</v>
      </c>
      <c r="X6" s="2">
        <f t="shared" ref="X6:X34" si="8">IF(AC5&gt;0, Z5, X5)</f>
        <v>0.25</v>
      </c>
      <c r="Y6" s="2">
        <f t="shared" si="1"/>
        <v>-0.20254661186780135</v>
      </c>
      <c r="Z6" s="2">
        <f t="shared" si="3"/>
        <v>0.125</v>
      </c>
      <c r="AA6" s="2">
        <f t="shared" si="2"/>
        <v>-7.6806529902264928E-2</v>
      </c>
      <c r="AB6" s="2">
        <f t="shared" si="4"/>
        <v>-3.7243409891414298E-3</v>
      </c>
      <c r="AC6" s="2">
        <f t="shared" si="5"/>
        <v>1.5556902401026732E-2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-1250.3654993196037</v>
      </c>
      <c r="AI6" s="2">
        <f>IF(AN5&gt;0, AK5, AI5)</f>
        <v>5250</v>
      </c>
      <c r="AJ6" s="2">
        <v>785.85181163152129</v>
      </c>
      <c r="AK6" s="2">
        <f t="shared" ref="AK6:AK43" si="9">(AG6+AI6)/2</f>
        <v>2875</v>
      </c>
      <c r="AL6" s="2">
        <v>-48.135843340820429</v>
      </c>
      <c r="AM6" s="2">
        <f t="shared" ref="AM6:AM44" si="10">AH6*AL6</f>
        <v>60187.39779401516</v>
      </c>
      <c r="AN6" s="2">
        <f t="shared" ref="AN6:AN44" si="11">AJ6*AL6</f>
        <v>-37827.639693794838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362.71281150121803</v>
      </c>
      <c r="D7" s="6" t="s">
        <v>125</v>
      </c>
      <c r="F7" t="s">
        <v>121</v>
      </c>
      <c r="G7" s="8">
        <f>$C$6*2*PI()/60*$C$9</f>
        <v>154.8803072518057</v>
      </c>
      <c r="H7" s="6" t="s">
        <v>10</v>
      </c>
      <c r="J7" s="29" t="s">
        <v>21</v>
      </c>
      <c r="K7" s="29"/>
      <c r="L7" s="29"/>
      <c r="N7" s="6" t="s">
        <v>159</v>
      </c>
      <c r="O7" s="6">
        <f>O5+$O$6</f>
        <v>1.0707151677258029</v>
      </c>
      <c r="P7" s="6" t="s">
        <v>115</v>
      </c>
      <c r="U7" s="2">
        <v>3</v>
      </c>
      <c r="V7" s="2">
        <f t="shared" si="7"/>
        <v>0</v>
      </c>
      <c r="W7" s="2">
        <f t="shared" si="0"/>
        <v>4.848990045352386E-2</v>
      </c>
      <c r="X7" s="2">
        <f t="shared" si="8"/>
        <v>0.125</v>
      </c>
      <c r="Y7" s="2">
        <f t="shared" si="1"/>
        <v>-7.6806529902264928E-2</v>
      </c>
      <c r="Z7" s="2">
        <f t="shared" si="3"/>
        <v>6.25E-2</v>
      </c>
      <c r="AA7" s="2">
        <f t="shared" si="2"/>
        <v>-1.4087027495033551E-2</v>
      </c>
      <c r="AB7" s="2">
        <f t="shared" si="4"/>
        <v>-6.8307856092023045E-4</v>
      </c>
      <c r="AC7" s="2">
        <f t="shared" si="5"/>
        <v>1.0819756985313226E-3</v>
      </c>
      <c r="AD7" s="2">
        <f t="shared" si="6"/>
        <v>0.125</v>
      </c>
      <c r="AF7" s="2">
        <v>3</v>
      </c>
      <c r="AG7" s="2">
        <f t="shared" ref="AG7:AG44" si="13">IF(AM6&gt;0, AK6, AG6)</f>
        <v>2875</v>
      </c>
      <c r="AH7" s="2">
        <v>-48.135843340820429</v>
      </c>
      <c r="AI7" s="2">
        <f t="shared" ref="AI7:AI44" si="14">IF(AN6&gt;0, AK6, AI6)</f>
        <v>5250</v>
      </c>
      <c r="AJ7" s="2">
        <v>785.85181163152129</v>
      </c>
      <c r="AK7" s="2">
        <f t="shared" si="9"/>
        <v>4062.5</v>
      </c>
      <c r="AL7" s="2">
        <v>416.95076910465559</v>
      </c>
      <c r="AM7" s="2">
        <f t="shared" si="10"/>
        <v>-20070.276902456291</v>
      </c>
      <c r="AN7" s="2">
        <f t="shared" si="11"/>
        <v>327661.51726204972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0.46382883458199697</v>
      </c>
      <c r="H8" s="6" t="s">
        <v>122</v>
      </c>
      <c r="J8" s="6" t="s">
        <v>96</v>
      </c>
      <c r="K8" s="6">
        <f xml:space="preserve"> $C$15 * (G12*G6 + G22*G15 + G31*G27 +G35*G34)/3600</f>
        <v>233.31701580921836</v>
      </c>
      <c r="L8" s="6" t="s">
        <v>102</v>
      </c>
      <c r="N8" s="6" t="s">
        <v>38</v>
      </c>
      <c r="O8" s="6">
        <f xml:space="preserve"> O4 *O7</f>
        <v>2427.8078675045626</v>
      </c>
      <c r="P8" s="6" t="s">
        <v>20</v>
      </c>
      <c r="U8" s="2">
        <v>4</v>
      </c>
      <c r="V8" s="2">
        <f t="shared" si="7"/>
        <v>0</v>
      </c>
      <c r="W8" s="2">
        <f t="shared" si="0"/>
        <v>4.848990045352386E-2</v>
      </c>
      <c r="X8" s="2">
        <f t="shared" si="8"/>
        <v>6.25E-2</v>
      </c>
      <c r="Y8" s="2">
        <f t="shared" si="1"/>
        <v>-1.4087027495033551E-2</v>
      </c>
      <c r="Z8" s="2">
        <f t="shared" si="3"/>
        <v>3.125E-2</v>
      </c>
      <c r="AA8" s="2">
        <f t="shared" si="2"/>
        <v>1.7220482758912359E-2</v>
      </c>
      <c r="AB8" s="2">
        <f t="shared" si="4"/>
        <v>8.3501949474128418E-4</v>
      </c>
      <c r="AC8" s="2">
        <f t="shared" si="5"/>
        <v>-2.4258541410254961E-4</v>
      </c>
      <c r="AD8" s="2">
        <f t="shared" si="6"/>
        <v>6.25E-2</v>
      </c>
      <c r="AF8" s="2">
        <v>4</v>
      </c>
      <c r="AG8" s="2">
        <f t="shared" si="13"/>
        <v>2875</v>
      </c>
      <c r="AH8" s="2">
        <v>-48.135843340820429</v>
      </c>
      <c r="AI8" s="2">
        <f t="shared" si="14"/>
        <v>4062.5</v>
      </c>
      <c r="AJ8" s="2">
        <v>416.95076910465559</v>
      </c>
      <c r="AK8" s="2">
        <f t="shared" si="9"/>
        <v>3468.75</v>
      </c>
      <c r="AL8" s="2">
        <v>196.67983913702119</v>
      </c>
      <c r="AM8" s="2">
        <f t="shared" si="10"/>
        <v>-9467.3499249974138</v>
      </c>
      <c r="AN8" s="2">
        <f t="shared" si="11"/>
        <v>82005.810195560931</v>
      </c>
      <c r="AO8" s="2">
        <f t="shared" si="12"/>
        <v>1187.5</v>
      </c>
    </row>
    <row r="9" spans="2:41" x14ac:dyDescent="0.2">
      <c r="B9" s="6" t="s">
        <v>95</v>
      </c>
      <c r="C9" s="17">
        <v>3.6974949730074602</v>
      </c>
      <c r="D9" s="6" t="s">
        <v>8</v>
      </c>
      <c r="F9" t="s">
        <v>19</v>
      </c>
      <c r="G9" s="6">
        <f xml:space="preserve"> $C$5 * $C$44 / $C$18</f>
        <v>7320.2030104732285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2427.8078675045626</v>
      </c>
      <c r="P9" s="6" t="s">
        <v>20</v>
      </c>
      <c r="U9" s="2">
        <v>5</v>
      </c>
      <c r="V9" s="2">
        <f t="shared" si="7"/>
        <v>3.125E-2</v>
      </c>
      <c r="W9" s="2">
        <f t="shared" si="0"/>
        <v>1.7220482758912359E-2</v>
      </c>
      <c r="X9" s="2">
        <f t="shared" si="8"/>
        <v>6.25E-2</v>
      </c>
      <c r="Y9" s="2">
        <f t="shared" si="1"/>
        <v>-1.4087027495033551E-2</v>
      </c>
      <c r="Z9" s="2">
        <f t="shared" si="3"/>
        <v>4.6875E-2</v>
      </c>
      <c r="AA9" s="2">
        <f t="shared" si="2"/>
        <v>1.5713858263274941E-3</v>
      </c>
      <c r="AB9" s="2">
        <f t="shared" si="4"/>
        <v>2.706002252987186E-5</v>
      </c>
      <c r="AC9" s="2">
        <f t="shared" si="5"/>
        <v>-2.2136155340781426E-5</v>
      </c>
      <c r="AD9" s="2">
        <f t="shared" si="6"/>
        <v>3.125E-2</v>
      </c>
      <c r="AF9" s="2">
        <v>5</v>
      </c>
      <c r="AG9" s="2">
        <f t="shared" si="13"/>
        <v>2875</v>
      </c>
      <c r="AH9" s="2">
        <v>-48.135843340820429</v>
      </c>
      <c r="AI9" s="2">
        <f t="shared" si="14"/>
        <v>3468.75</v>
      </c>
      <c r="AJ9" s="2">
        <v>196.67983913702119</v>
      </c>
      <c r="AK9" s="2">
        <f t="shared" si="9"/>
        <v>3171.875</v>
      </c>
      <c r="AL9" s="2">
        <v>77.243265379850072</v>
      </c>
      <c r="AM9" s="2">
        <f t="shared" si="10"/>
        <v>-3718.1697214578812</v>
      </c>
      <c r="AN9" s="2">
        <f t="shared" si="11"/>
        <v>15192.193009327149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101.62165105109342</v>
      </c>
      <c r="H10" s="6" t="s">
        <v>101</v>
      </c>
      <c r="N10" s="6" t="s">
        <v>113</v>
      </c>
      <c r="O10" s="6">
        <f>O7/(0.3048^2)/($C$5*2.20462/1000)^(2/3)</f>
        <v>3.2801539385338883</v>
      </c>
      <c r="U10" s="2">
        <v>6</v>
      </c>
      <c r="V10" s="2">
        <f t="shared" si="7"/>
        <v>4.6875E-2</v>
      </c>
      <c r="W10" s="2">
        <f t="shared" si="0"/>
        <v>1.5713858263274941E-3</v>
      </c>
      <c r="X10" s="2">
        <f t="shared" si="8"/>
        <v>6.25E-2</v>
      </c>
      <c r="Y10" s="2">
        <f t="shared" si="1"/>
        <v>-1.4087027495033551E-2</v>
      </c>
      <c r="Z10" s="2">
        <f t="shared" si="3"/>
        <v>5.46875E-2</v>
      </c>
      <c r="AA10" s="2">
        <f t="shared" si="2"/>
        <v>-6.2566739335974952E-3</v>
      </c>
      <c r="AB10" s="2">
        <f t="shared" si="4"/>
        <v>-9.8316487392077932E-6</v>
      </c>
      <c r="AC10" s="2">
        <f t="shared" si="5"/>
        <v>8.8137937730047638E-5</v>
      </c>
      <c r="AD10" s="2">
        <f t="shared" si="6"/>
        <v>1.5625E-2</v>
      </c>
      <c r="AF10" s="2">
        <v>6</v>
      </c>
      <c r="AG10" s="2">
        <f t="shared" si="13"/>
        <v>2875</v>
      </c>
      <c r="AH10" s="2">
        <v>-48.135843340820429</v>
      </c>
      <c r="AI10" s="2">
        <f t="shared" si="14"/>
        <v>3171.875</v>
      </c>
      <c r="AJ10" s="2">
        <v>77.243265379850072</v>
      </c>
      <c r="AK10" s="2">
        <f t="shared" si="9"/>
        <v>3023.4375</v>
      </c>
      <c r="AL10" s="2">
        <v>15.267760964870831</v>
      </c>
      <c r="AM10" s="2">
        <f t="shared" si="10"/>
        <v>-734.92654997011573</v>
      </c>
      <c r="AN10" s="2">
        <f t="shared" si="11"/>
        <v>1179.3317119656333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7.3492788319801567</v>
      </c>
      <c r="H11" s="6" t="s">
        <v>147</v>
      </c>
      <c r="J11" s="32" t="s">
        <v>51</v>
      </c>
      <c r="K11" s="32"/>
      <c r="L11" s="32"/>
      <c r="U11" s="2">
        <v>7</v>
      </c>
      <c r="V11" s="2">
        <f t="shared" si="7"/>
        <v>4.6875E-2</v>
      </c>
      <c r="W11" s="2">
        <f t="shared" si="0"/>
        <v>1.5713858263274941E-3</v>
      </c>
      <c r="X11" s="2">
        <f t="shared" si="8"/>
        <v>5.46875E-2</v>
      </c>
      <c r="Y11" s="2">
        <f t="shared" si="1"/>
        <v>-6.2566739335974952E-3</v>
      </c>
      <c r="Z11" s="2">
        <f t="shared" si="3"/>
        <v>5.078125E-2</v>
      </c>
      <c r="AA11" s="2">
        <f t="shared" si="2"/>
        <v>-2.34235492141735E-3</v>
      </c>
      <c r="AB11" s="2">
        <f t="shared" si="4"/>
        <v>-3.6807433237436749E-6</v>
      </c>
      <c r="AC11" s="2">
        <f t="shared" si="5"/>
        <v>1.4655350980065743E-5</v>
      </c>
      <c r="AD11" s="2">
        <f t="shared" si="6"/>
        <v>7.8125E-3</v>
      </c>
      <c r="AF11" s="2">
        <v>7</v>
      </c>
      <c r="AG11" s="2">
        <f t="shared" si="13"/>
        <v>2875</v>
      </c>
      <c r="AH11" s="2">
        <v>-48.135843340820429</v>
      </c>
      <c r="AI11" s="2">
        <f t="shared" si="14"/>
        <v>3023.4375</v>
      </c>
      <c r="AJ11" s="2">
        <v>15.267760964870831</v>
      </c>
      <c r="AK11" s="2">
        <f t="shared" si="9"/>
        <v>2949.21875</v>
      </c>
      <c r="AL11" s="2">
        <v>-16.259865334364804</v>
      </c>
      <c r="AM11" s="2">
        <f t="shared" si="10"/>
        <v>782.68233047782098</v>
      </c>
      <c r="AN11" s="2">
        <f t="shared" si="11"/>
        <v>-248.25173724607137</v>
      </c>
      <c r="AO11" s="2">
        <f t="shared" si="12"/>
        <v>148.4375</v>
      </c>
    </row>
    <row r="12" spans="2:41" x14ac:dyDescent="0.2">
      <c r="B12" s="29" t="s">
        <v>11</v>
      </c>
      <c r="C12" s="29"/>
      <c r="D12" s="29"/>
      <c r="F12" s="24" t="s">
        <v>82</v>
      </c>
      <c r="G12" s="25">
        <f xml:space="preserve"> 1/1000 * (($C$5*$C$44)/$C$21 * ( ($G$4/2) + SQRT( ($G$4/2)^2 + ($C$5*$C$44) / (2*$C$41*PI()*$C$9^2 * $C$18) ) ) )</f>
        <v>406.48660420437369</v>
      </c>
      <c r="H12" s="25" t="s">
        <v>101</v>
      </c>
      <c r="J12" s="10" t="s">
        <v>79</v>
      </c>
      <c r="K12" s="6">
        <f>C5</f>
        <v>2987.3833957626998</v>
      </c>
      <c r="L12" s="6" t="s">
        <v>7</v>
      </c>
      <c r="N12" s="32" t="s">
        <v>73</v>
      </c>
      <c r="O12" s="34"/>
      <c r="P12" s="34"/>
      <c r="U12" s="2">
        <v>8</v>
      </c>
      <c r="V12" s="2">
        <f t="shared" si="7"/>
        <v>4.6875E-2</v>
      </c>
      <c r="W12" s="2">
        <f t="shared" si="0"/>
        <v>1.5713858263274941E-3</v>
      </c>
      <c r="X12" s="2">
        <f t="shared" si="8"/>
        <v>5.078125E-2</v>
      </c>
      <c r="Y12" s="2">
        <f t="shared" si="1"/>
        <v>-2.34235492141735E-3</v>
      </c>
      <c r="Z12" s="2">
        <f t="shared" si="3"/>
        <v>4.8828125E-2</v>
      </c>
      <c r="AA12" s="2">
        <f t="shared" si="2"/>
        <v>-3.8541198085099981E-4</v>
      </c>
      <c r="AB12" s="2">
        <f t="shared" si="4"/>
        <v>-6.0563092400606467E-7</v>
      </c>
      <c r="AC12" s="2">
        <f t="shared" si="5"/>
        <v>9.0277165011954889E-7</v>
      </c>
      <c r="AD12" s="2">
        <f t="shared" si="6"/>
        <v>3.90625E-3</v>
      </c>
      <c r="AF12" s="2">
        <v>8</v>
      </c>
      <c r="AG12" s="2">
        <f t="shared" si="13"/>
        <v>2949.21875</v>
      </c>
      <c r="AH12" s="2">
        <v>-16.259865334364804</v>
      </c>
      <c r="AI12" s="2">
        <f t="shared" si="14"/>
        <v>3023.4375</v>
      </c>
      <c r="AJ12" s="2">
        <v>15.267760964870831</v>
      </c>
      <c r="AK12" s="2">
        <f t="shared" si="9"/>
        <v>2986.328125</v>
      </c>
      <c r="AL12" s="2">
        <v>-0.45195788240926049</v>
      </c>
      <c r="AM12" s="2">
        <f t="shared" si="10"/>
        <v>7.3487743047792593</v>
      </c>
      <c r="AN12" s="2">
        <f t="shared" si="11"/>
        <v>-6.900384914813789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1372.4530341718728</v>
      </c>
      <c r="L13" s="6" t="s">
        <v>7</v>
      </c>
      <c r="N13" s="6" t="s">
        <v>74</v>
      </c>
      <c r="O13" s="6">
        <f xml:space="preserve"> SQRT( ($C$5*$C$50)^2 + O9^2)</f>
        <v>29378.498872177533</v>
      </c>
      <c r="P13" s="6" t="s">
        <v>20</v>
      </c>
      <c r="U13" s="2">
        <v>9</v>
      </c>
      <c r="V13" s="2">
        <f t="shared" si="7"/>
        <v>4.6875E-2</v>
      </c>
      <c r="W13" s="2">
        <f t="shared" si="0"/>
        <v>1.5713858263274941E-3</v>
      </c>
      <c r="X13" s="2">
        <f t="shared" si="8"/>
        <v>4.8828125E-2</v>
      </c>
      <c r="Y13" s="2">
        <f t="shared" si="1"/>
        <v>-3.8541198085099981E-4</v>
      </c>
      <c r="Z13" s="2">
        <f t="shared" si="3"/>
        <v>4.78515625E-2</v>
      </c>
      <c r="AA13" s="2">
        <f t="shared" si="2"/>
        <v>5.9300509876999974E-4</v>
      </c>
      <c r="AB13" s="2">
        <f t="shared" si="4"/>
        <v>9.3183980714711332E-7</v>
      </c>
      <c r="AC13" s="2">
        <f t="shared" si="5"/>
        <v>-2.285512697716884E-7</v>
      </c>
      <c r="AD13" s="2">
        <f t="shared" si="6"/>
        <v>1.953125E-3</v>
      </c>
      <c r="AF13" s="2">
        <v>9</v>
      </c>
      <c r="AG13" s="2">
        <f t="shared" si="13"/>
        <v>2986.328125</v>
      </c>
      <c r="AH13" s="2">
        <v>-0.45195788240926049</v>
      </c>
      <c r="AI13" s="2">
        <f t="shared" si="14"/>
        <v>3023.4375</v>
      </c>
      <c r="AJ13" s="2">
        <v>15.267760964870831</v>
      </c>
      <c r="AK13" s="2">
        <f t="shared" si="9"/>
        <v>3004.8828125</v>
      </c>
      <c r="AL13" s="2">
        <v>7.4190043618523305</v>
      </c>
      <c r="AM13" s="2">
        <f t="shared" si="10"/>
        <v>-3.3530775009678462</v>
      </c>
      <c r="AN13" s="2">
        <f t="shared" si="11"/>
        <v>113.27158519409544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2" t="s">
        <v>86</v>
      </c>
      <c r="G14" s="33"/>
      <c r="H14" s="33"/>
      <c r="J14" s="12" t="s">
        <v>126</v>
      </c>
      <c r="K14" s="6">
        <f xml:space="preserve"> $C$54 * $C$18 * (0.0095 * MAX(G9,O18,G28) - 1.9275)</f>
        <v>217.10859142854926</v>
      </c>
      <c r="L14" s="6" t="s">
        <v>7</v>
      </c>
      <c r="N14" s="6" t="s">
        <v>75</v>
      </c>
      <c r="O14" s="6">
        <f>$C$5*$C$50/O13</f>
        <v>0.99657955345898375</v>
      </c>
      <c r="U14" s="2">
        <v>10</v>
      </c>
      <c r="V14" s="2">
        <f t="shared" si="7"/>
        <v>4.78515625E-2</v>
      </c>
      <c r="W14" s="2">
        <f t="shared" si="0"/>
        <v>5.9300509876999974E-4</v>
      </c>
      <c r="X14" s="2">
        <f t="shared" si="8"/>
        <v>4.8828125E-2</v>
      </c>
      <c r="Y14" s="2">
        <f t="shared" si="1"/>
        <v>-3.8541198085099981E-4</v>
      </c>
      <c r="Z14" s="2">
        <f t="shared" si="3"/>
        <v>4.833984375E-2</v>
      </c>
      <c r="AA14" s="2">
        <f t="shared" si="2"/>
        <v>1.0380109872197563E-4</v>
      </c>
      <c r="AB14" s="2">
        <f t="shared" si="4"/>
        <v>6.1554580800059646E-8</v>
      </c>
      <c r="AC14" s="2">
        <f t="shared" si="5"/>
        <v>-4.0006187072946813E-8</v>
      </c>
      <c r="AD14" s="2">
        <f t="shared" si="6"/>
        <v>9.765625E-4</v>
      </c>
      <c r="AF14" s="2">
        <v>10</v>
      </c>
      <c r="AG14" s="2">
        <f t="shared" si="13"/>
        <v>2986.328125</v>
      </c>
      <c r="AH14" s="2">
        <v>-0.45195788240926049</v>
      </c>
      <c r="AI14" s="2">
        <f t="shared" si="14"/>
        <v>3004.8828125</v>
      </c>
      <c r="AJ14" s="2">
        <v>7.4190043618523305</v>
      </c>
      <c r="AK14" s="2">
        <f t="shared" si="9"/>
        <v>2995.60546875</v>
      </c>
      <c r="AL14" s="2">
        <v>3.4862849875780739</v>
      </c>
      <c r="AM14" s="2">
        <f t="shared" si="10"/>
        <v>-1.5756539804609813</v>
      </c>
      <c r="AN14" s="2">
        <f t="shared" si="11"/>
        <v>25.864763529502028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291.87210733785793</v>
      </c>
      <c r="L15" s="6" t="s">
        <v>7</v>
      </c>
      <c r="U15" s="2">
        <v>11</v>
      </c>
      <c r="V15" s="2">
        <f t="shared" si="7"/>
        <v>4.833984375E-2</v>
      </c>
      <c r="W15" s="2">
        <f t="shared" si="0"/>
        <v>1.0380109872197563E-4</v>
      </c>
      <c r="X15" s="2">
        <f t="shared" si="8"/>
        <v>4.8828125E-2</v>
      </c>
      <c r="Y15" s="2">
        <f t="shared" si="1"/>
        <v>-3.8541198085099981E-4</v>
      </c>
      <c r="Z15" s="2">
        <f t="shared" si="3"/>
        <v>4.8583984375E-2</v>
      </c>
      <c r="AA15" s="2">
        <f t="shared" si="2"/>
        <v>-1.4080430665890792E-4</v>
      </c>
      <c r="AB15" s="2">
        <f t="shared" si="4"/>
        <v>-1.4615641735980631E-8</v>
      </c>
      <c r="AC15" s="2">
        <f t="shared" si="5"/>
        <v>5.4267666741761323E-8</v>
      </c>
      <c r="AD15" s="2">
        <f t="shared" si="6"/>
        <v>4.8828125E-4</v>
      </c>
      <c r="AF15" s="2">
        <v>11</v>
      </c>
      <c r="AG15" s="2">
        <f t="shared" si="13"/>
        <v>2986.328125</v>
      </c>
      <c r="AH15" s="2">
        <v>-0.45195788240926049</v>
      </c>
      <c r="AI15" s="2">
        <f t="shared" si="14"/>
        <v>2995.60546875</v>
      </c>
      <c r="AJ15" s="2">
        <v>3.4862849875780739</v>
      </c>
      <c r="AK15" s="2">
        <f t="shared" si="9"/>
        <v>2990.966796875</v>
      </c>
      <c r="AL15" s="2">
        <v>1.5178686503113568</v>
      </c>
      <c r="AM15" s="2">
        <f t="shared" si="10"/>
        <v>-0.68601270097012312</v>
      </c>
      <c r="AN15" s="2">
        <f t="shared" si="11"/>
        <v>5.2917226886958764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140.44267922368732</v>
      </c>
      <c r="H16" s="6" t="s">
        <v>10</v>
      </c>
      <c r="J16" s="13" t="s">
        <v>53</v>
      </c>
      <c r="K16" s="6">
        <f xml:space="preserve"> $C$54 * 0.2138 * K4</f>
        <v>104.28820317467412</v>
      </c>
      <c r="L16" s="6" t="s">
        <v>7</v>
      </c>
      <c r="N16" s="32" t="s">
        <v>24</v>
      </c>
      <c r="O16" s="34"/>
      <c r="P16" s="34"/>
      <c r="U16" s="2">
        <v>12</v>
      </c>
      <c r="V16" s="2">
        <f t="shared" si="7"/>
        <v>4.833984375E-2</v>
      </c>
      <c r="W16" s="2">
        <f t="shared" si="0"/>
        <v>1.0380109872197563E-4</v>
      </c>
      <c r="X16" s="2">
        <f t="shared" si="8"/>
        <v>4.8583984375E-2</v>
      </c>
      <c r="Y16" s="2">
        <f t="shared" si="1"/>
        <v>-1.4080430665890792E-4</v>
      </c>
      <c r="Z16" s="2">
        <f t="shared" si="3"/>
        <v>4.84619140625E-2</v>
      </c>
      <c r="AA16" s="2">
        <f t="shared" si="2"/>
        <v>-1.8501320299998958E-5</v>
      </c>
      <c r="AB16" s="2">
        <f t="shared" si="4"/>
        <v>-1.9204573749470834E-9</v>
      </c>
      <c r="AC16" s="2">
        <f t="shared" si="5"/>
        <v>2.6050655771157314E-9</v>
      </c>
      <c r="AD16" s="2">
        <f t="shared" si="6"/>
        <v>2.44140625E-4</v>
      </c>
      <c r="AF16" s="2">
        <v>12</v>
      </c>
      <c r="AG16" s="2">
        <f t="shared" si="13"/>
        <v>2986.328125</v>
      </c>
      <c r="AH16" s="2">
        <v>-0.45195788240926049</v>
      </c>
      <c r="AI16" s="2">
        <f t="shared" si="14"/>
        <v>2990.966796875</v>
      </c>
      <c r="AJ16" s="2">
        <v>1.5178686503113568</v>
      </c>
      <c r="AK16" s="2">
        <f t="shared" si="9"/>
        <v>2988.6474609375</v>
      </c>
      <c r="AL16" s="2">
        <v>0.53313556955845343</v>
      </c>
      <c r="AM16" s="2">
        <f t="shared" si="10"/>
        <v>-0.24095482305469362</v>
      </c>
      <c r="AN16" s="2">
        <f t="shared" si="11"/>
        <v>0.80922976739866614</v>
      </c>
      <c r="AO16" s="2">
        <f t="shared" si="12"/>
        <v>4.638671875</v>
      </c>
    </row>
    <row r="17" spans="2:41" x14ac:dyDescent="0.2">
      <c r="B17" s="31" t="s">
        <v>110</v>
      </c>
      <c r="C17" s="31"/>
      <c r="D17" s="31"/>
      <c r="F17" s="6" t="s">
        <v>124</v>
      </c>
      <c r="G17" s="6">
        <f>G16/$C$49</f>
        <v>0.42210248748983775</v>
      </c>
      <c r="H17" s="6" t="s">
        <v>122</v>
      </c>
      <c r="J17" s="13" t="s">
        <v>77</v>
      </c>
      <c r="K17" s="6">
        <f xml:space="preserve"> $C$54 * 0.1149 * K4</f>
        <v>56.046372987699051</v>
      </c>
      <c r="L17" s="6" t="s">
        <v>7</v>
      </c>
      <c r="N17" s="6" t="s">
        <v>25</v>
      </c>
      <c r="O17" s="6">
        <f xml:space="preserve"> ACOS(O14)/PI()*180</f>
        <v>4.740268060716879</v>
      </c>
      <c r="P17" s="6" t="s">
        <v>40</v>
      </c>
      <c r="U17" s="2">
        <v>13</v>
      </c>
      <c r="V17" s="2">
        <f t="shared" si="7"/>
        <v>4.833984375E-2</v>
      </c>
      <c r="W17" s="2">
        <f t="shared" si="0"/>
        <v>1.0380109872197563E-4</v>
      </c>
      <c r="X17" s="2">
        <f t="shared" si="8"/>
        <v>4.84619140625E-2</v>
      </c>
      <c r="Y17" s="2">
        <f t="shared" si="1"/>
        <v>-1.8501320299998958E-5</v>
      </c>
      <c r="Z17" s="2">
        <f t="shared" si="3"/>
        <v>4.840087890625E-2</v>
      </c>
      <c r="AA17" s="2">
        <f t="shared" si="2"/>
        <v>4.2649960136476039E-5</v>
      </c>
      <c r="AB17" s="2">
        <f t="shared" si="4"/>
        <v>4.4271127226146746E-9</v>
      </c>
      <c r="AC17" s="2">
        <f t="shared" si="5"/>
        <v>-7.8908057326713045E-10</v>
      </c>
      <c r="AD17" s="2">
        <f t="shared" si="6"/>
        <v>1.220703125E-4</v>
      </c>
      <c r="AF17" s="2">
        <v>13</v>
      </c>
      <c r="AG17" s="2">
        <f t="shared" si="13"/>
        <v>2986.328125</v>
      </c>
      <c r="AH17" s="2">
        <v>-0.45195788240926049</v>
      </c>
      <c r="AI17" s="2">
        <f t="shared" si="14"/>
        <v>2988.6474609375</v>
      </c>
      <c r="AJ17" s="2">
        <v>0.53313556955845343</v>
      </c>
      <c r="AK17" s="2">
        <f t="shared" si="9"/>
        <v>2987.48779296875</v>
      </c>
      <c r="AL17" s="2">
        <v>4.0626603323744348E-2</v>
      </c>
      <c r="AM17" s="2">
        <f t="shared" si="10"/>
        <v>-1.836151360768052E-2</v>
      </c>
      <c r="AN17" s="2">
        <f t="shared" si="11"/>
        <v>2.1659487302229798E-2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7344.6247180443834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137.73869334765726</v>
      </c>
      <c r="L18" s="6" t="s">
        <v>7</v>
      </c>
      <c r="N18" s="6" t="s">
        <v>19</v>
      </c>
      <c r="O18" s="6">
        <f xml:space="preserve"> O13 / $C$18</f>
        <v>7344.6247180443834</v>
      </c>
      <c r="P18" s="6" t="s">
        <v>20</v>
      </c>
      <c r="U18" s="2">
        <v>14</v>
      </c>
      <c r="V18" s="2">
        <f t="shared" si="7"/>
        <v>4.840087890625E-2</v>
      </c>
      <c r="W18" s="2">
        <f t="shared" si="0"/>
        <v>4.2649960136476039E-5</v>
      </c>
      <c r="X18" s="2">
        <f t="shared" si="8"/>
        <v>4.84619140625E-2</v>
      </c>
      <c r="Y18" s="2">
        <f t="shared" si="1"/>
        <v>-1.8501320299998958E-5</v>
      </c>
      <c r="Z18" s="2">
        <f t="shared" si="3"/>
        <v>4.8431396484375E-2</v>
      </c>
      <c r="AA18" s="2">
        <f t="shared" si="2"/>
        <v>1.2074337648562694E-5</v>
      </c>
      <c r="AB18" s="2">
        <f t="shared" si="4"/>
        <v>5.1497001938555072E-10</v>
      </c>
      <c r="AC18" s="2">
        <f t="shared" si="5"/>
        <v>-2.2339118824639465E-10</v>
      </c>
      <c r="AD18" s="2">
        <f t="shared" si="6"/>
        <v>6.103515625E-5</v>
      </c>
      <c r="AF18" s="2">
        <v>14</v>
      </c>
      <c r="AG18" s="2">
        <f t="shared" si="13"/>
        <v>2986.328125</v>
      </c>
      <c r="AH18" s="2">
        <v>-0.45195788240926049</v>
      </c>
      <c r="AI18" s="2">
        <f t="shared" si="14"/>
        <v>2987.48779296875</v>
      </c>
      <c r="AJ18" s="2">
        <v>4.0626603323744348E-2</v>
      </c>
      <c r="AK18" s="2">
        <f t="shared" si="9"/>
        <v>2986.907958984375</v>
      </c>
      <c r="AL18" s="2">
        <v>-0.20565621237210507</v>
      </c>
      <c r="AM18" s="2">
        <f t="shared" si="10"/>
        <v>9.2947946248005772E-2</v>
      </c>
      <c r="AN18" s="2">
        <f t="shared" si="11"/>
        <v>-8.3551133611052368E-3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68.226718191576325</v>
      </c>
      <c r="H19" s="6" t="s">
        <v>101</v>
      </c>
      <c r="J19" s="14" t="s">
        <v>61</v>
      </c>
      <c r="K19" s="6">
        <f xml:space="preserve"> $C$55 * C31 * $C$5</f>
        <v>33.45869403254224</v>
      </c>
      <c r="L19" s="6" t="s">
        <v>7</v>
      </c>
      <c r="N19" s="6" t="s">
        <v>26</v>
      </c>
      <c r="O19" s="6">
        <f>$C$7*2*PI()/60</f>
        <v>37.983196799170862</v>
      </c>
      <c r="P19" s="6" t="s">
        <v>27</v>
      </c>
      <c r="U19" s="2">
        <v>15</v>
      </c>
      <c r="V19" s="2">
        <f t="shared" si="7"/>
        <v>4.8431396484375E-2</v>
      </c>
      <c r="W19" s="2">
        <f t="shared" si="0"/>
        <v>1.2074337648562694E-5</v>
      </c>
      <c r="X19" s="2">
        <f t="shared" si="8"/>
        <v>4.84619140625E-2</v>
      </c>
      <c r="Y19" s="2">
        <f t="shared" si="1"/>
        <v>-1.8501320299998958E-5</v>
      </c>
      <c r="Z19" s="2">
        <f t="shared" si="3"/>
        <v>4.84466552734375E-2</v>
      </c>
      <c r="AA19" s="2">
        <f t="shared" si="2"/>
        <v>-3.2134868932637284E-6</v>
      </c>
      <c r="AB19" s="2">
        <f t="shared" si="4"/>
        <v>-3.8800725778497004E-11</v>
      </c>
      <c r="AC19" s="2">
        <f t="shared" si="5"/>
        <v>5.9453750292120803E-11</v>
      </c>
      <c r="AD19" s="2">
        <f t="shared" si="6"/>
        <v>3.0517578125E-5</v>
      </c>
      <c r="AF19" s="2">
        <v>15</v>
      </c>
      <c r="AG19" s="2">
        <f t="shared" si="13"/>
        <v>2986.907958984375</v>
      </c>
      <c r="AH19" s="2">
        <v>-0.20565621237210507</v>
      </c>
      <c r="AI19" s="2">
        <f t="shared" si="14"/>
        <v>2987.48779296875</v>
      </c>
      <c r="AJ19" s="2">
        <v>4.0626603323744348E-2</v>
      </c>
      <c r="AK19" s="2">
        <f t="shared" si="9"/>
        <v>2987.1978759765625</v>
      </c>
      <c r="AL19" s="2">
        <v>-8.2498095827759244E-2</v>
      </c>
      <c r="AM19" s="2">
        <f t="shared" si="10"/>
        <v>1.696624591584793E-2</v>
      </c>
      <c r="AN19" s="2">
        <f t="shared" si="11"/>
        <v>-3.3516174141586235E-3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10.984100991278757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0.47582856512092586</v>
      </c>
      <c r="U20" s="2">
        <v>16</v>
      </c>
      <c r="V20" s="2">
        <f t="shared" si="7"/>
        <v>4.8431396484375E-2</v>
      </c>
      <c r="W20" s="2">
        <f t="shared" si="0"/>
        <v>1.2074337648562694E-5</v>
      </c>
      <c r="X20" s="2">
        <f t="shared" si="8"/>
        <v>4.84466552734375E-2</v>
      </c>
      <c r="Y20" s="2">
        <f t="shared" si="1"/>
        <v>-3.2134868932637284E-6</v>
      </c>
      <c r="Z20" s="2">
        <f t="shared" si="3"/>
        <v>4.843902587890625E-2</v>
      </c>
      <c r="AA20" s="2">
        <f t="shared" si="2"/>
        <v>4.4304264857769615E-6</v>
      </c>
      <c r="AB20" s="2">
        <f t="shared" si="4"/>
        <v>5.3494465316406077E-11</v>
      </c>
      <c r="AC20" s="2">
        <f t="shared" si="5"/>
        <v>-1.4237117443612746E-11</v>
      </c>
      <c r="AD20" s="2">
        <f t="shared" si="6"/>
        <v>1.52587890625E-5</v>
      </c>
      <c r="AF20" s="2">
        <v>16</v>
      </c>
      <c r="AG20" s="2">
        <f t="shared" si="13"/>
        <v>2987.1978759765625</v>
      </c>
      <c r="AH20" s="2">
        <v>-8.2498095827759244E-2</v>
      </c>
      <c r="AI20" s="2">
        <f t="shared" si="14"/>
        <v>2987.48779296875</v>
      </c>
      <c r="AJ20" s="2">
        <v>4.0626603323744348E-2</v>
      </c>
      <c r="AK20" s="2">
        <f t="shared" si="9"/>
        <v>2987.3428344726562</v>
      </c>
      <c r="AL20" s="2">
        <v>-2.0936352015723969E-2</v>
      </c>
      <c r="AM20" s="2">
        <f t="shared" si="10"/>
        <v>1.7272091748768963E-3</v>
      </c>
      <c r="AN20" s="2">
        <f t="shared" si="11"/>
        <v>-8.5057286838909312E-4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0.14000028437048301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8.5962942471893185E-3</v>
      </c>
      <c r="U21" s="2">
        <v>17</v>
      </c>
      <c r="V21" s="2">
        <f t="shared" si="7"/>
        <v>4.843902587890625E-2</v>
      </c>
      <c r="W21" s="2">
        <f t="shared" si="0"/>
        <v>4.4304264857769615E-6</v>
      </c>
      <c r="X21" s="2">
        <f t="shared" si="8"/>
        <v>4.84466552734375E-2</v>
      </c>
      <c r="Y21" s="2">
        <f t="shared" si="1"/>
        <v>-3.2134868932637284E-6</v>
      </c>
      <c r="Z21" s="2">
        <f t="shared" si="3"/>
        <v>4.8442840576171875E-2</v>
      </c>
      <c r="AA21" s="2">
        <f t="shared" si="2"/>
        <v>6.0847007328501679E-7</v>
      </c>
      <c r="AB21" s="2">
        <f t="shared" si="4"/>
        <v>2.6957819284845871E-12</v>
      </c>
      <c r="AC21" s="2">
        <f t="shared" si="5"/>
        <v>-1.9553106054446216E-12</v>
      </c>
      <c r="AD21" s="2">
        <f t="shared" si="6"/>
        <v>7.62939453125E-6</v>
      </c>
      <c r="AF21" s="2">
        <v>17</v>
      </c>
      <c r="AG21" s="2">
        <f t="shared" si="13"/>
        <v>2987.3428344726562</v>
      </c>
      <c r="AH21" s="2">
        <v>-2.0936352015723969E-2</v>
      </c>
      <c r="AI21" s="2">
        <f t="shared" si="14"/>
        <v>2987.48779296875</v>
      </c>
      <c r="AJ21" s="2">
        <v>4.0626603323744348E-2</v>
      </c>
      <c r="AK21" s="2">
        <f t="shared" si="9"/>
        <v>2987.4153137207031</v>
      </c>
      <c r="AL21" s="2">
        <v>9.8449742154116393E-3</v>
      </c>
      <c r="AM21" s="2">
        <f t="shared" si="10"/>
        <v>-2.0611784575958397E-4</v>
      </c>
      <c r="AN21" s="2">
        <f t="shared" si="11"/>
        <v>3.9996786218201988E-4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272.9068727663053</v>
      </c>
      <c r="H22" s="25" t="s">
        <v>101</v>
      </c>
      <c r="J22" s="14" t="s">
        <v>112</v>
      </c>
      <c r="K22" s="6">
        <f>$C$55*(0.14*$G$12*1000/745.7)*0.453592</f>
        <v>27.692712939142108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4.8442840576171875E-2</v>
      </c>
      <c r="W22" s="2">
        <f t="shared" si="0"/>
        <v>6.0847007328501679E-7</v>
      </c>
      <c r="X22" s="2">
        <f t="shared" si="8"/>
        <v>4.84466552734375E-2</v>
      </c>
      <c r="Y22" s="2">
        <f t="shared" si="1"/>
        <v>-3.2134868932637284E-6</v>
      </c>
      <c r="Z22" s="2">
        <f t="shared" si="3"/>
        <v>4.8444747924804688E-2</v>
      </c>
      <c r="AA22" s="2">
        <f t="shared" si="2"/>
        <v>-1.3025083407322557E-6</v>
      </c>
      <c r="AB22" s="2">
        <f t="shared" si="4"/>
        <v>-7.9253734553970124E-13</v>
      </c>
      <c r="AC22" s="2">
        <f t="shared" si="5"/>
        <v>4.18559348130979E-12</v>
      </c>
      <c r="AD22" s="2">
        <f t="shared" si="6"/>
        <v>3.814697265625E-6</v>
      </c>
      <c r="AF22" s="2">
        <v>18</v>
      </c>
      <c r="AG22" s="2">
        <f t="shared" si="13"/>
        <v>2987.3428344726562</v>
      </c>
      <c r="AH22" s="2">
        <v>-2.0936352015723969E-2</v>
      </c>
      <c r="AI22" s="2">
        <f t="shared" si="14"/>
        <v>2987.4153137207031</v>
      </c>
      <c r="AJ22" s="2">
        <v>9.8449742154116393E-3</v>
      </c>
      <c r="AK22" s="2">
        <f t="shared" si="9"/>
        <v>2987.3790740966797</v>
      </c>
      <c r="AL22" s="2">
        <v>-5.5457267585552472E-3</v>
      </c>
      <c r="AM22" s="2">
        <f t="shared" si="10"/>
        <v>1.161072876001325E-4</v>
      </c>
      <c r="AN22" s="2">
        <f t="shared" si="11"/>
        <v>-5.4597536943694781E-5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64.049500005152296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16826.376774362147</v>
      </c>
      <c r="P23" s="6" t="s">
        <v>18</v>
      </c>
      <c r="U23" s="2">
        <v>19</v>
      </c>
      <c r="V23" s="2">
        <f t="shared" si="7"/>
        <v>4.8442840576171875E-2</v>
      </c>
      <c r="W23" s="2">
        <f t="shared" si="0"/>
        <v>6.0847007328501679E-7</v>
      </c>
      <c r="X23" s="2">
        <f t="shared" si="8"/>
        <v>4.8444747924804688E-2</v>
      </c>
      <c r="Y23" s="2">
        <f t="shared" si="1"/>
        <v>-1.3025083407322557E-6</v>
      </c>
      <c r="Z23" s="2">
        <f t="shared" si="3"/>
        <v>4.8443794250488281E-2</v>
      </c>
      <c r="AA23" s="2">
        <f t="shared" si="2"/>
        <v>-3.4701911640760974E-7</v>
      </c>
      <c r="AB23" s="2">
        <f t="shared" si="4"/>
        <v>-2.1115074719184008E-13</v>
      </c>
      <c r="AC23" s="2">
        <f t="shared" si="5"/>
        <v>4.5199529351444927E-13</v>
      </c>
      <c r="AD23" s="2">
        <f t="shared" si="6"/>
        <v>1.9073486328125E-6</v>
      </c>
      <c r="AF23" s="2">
        <v>19</v>
      </c>
      <c r="AG23" s="2">
        <f t="shared" si="13"/>
        <v>2987.3790740966797</v>
      </c>
      <c r="AH23" s="2">
        <v>-5.5457267585552472E-3</v>
      </c>
      <c r="AI23" s="2">
        <f t="shared" si="14"/>
        <v>2987.4153137207031</v>
      </c>
      <c r="AJ23" s="2">
        <v>9.8449742154116393E-3</v>
      </c>
      <c r="AK23" s="2">
        <f t="shared" si="9"/>
        <v>2987.3971939086914</v>
      </c>
      <c r="AL23" s="2">
        <v>2.1496142639989557E-3</v>
      </c>
      <c r="AM23" s="2">
        <f t="shared" si="10"/>
        <v>-1.1921173344431052E-5</v>
      </c>
      <c r="AN23" s="2">
        <f t="shared" si="11"/>
        <v>2.1162897002150788E-5</v>
      </c>
      <c r="AO23" s="2">
        <f t="shared" si="12"/>
        <v>3.62396240234375E-2</v>
      </c>
    </row>
    <row r="24" spans="2:41" x14ac:dyDescent="0.2">
      <c r="B24" s="31" t="s">
        <v>104</v>
      </c>
      <c r="C24" s="31"/>
      <c r="D24" s="31"/>
      <c r="F24" s="32" t="s">
        <v>81</v>
      </c>
      <c r="G24" s="33"/>
      <c r="H24" s="33"/>
      <c r="J24" s="15" t="s">
        <v>65</v>
      </c>
      <c r="K24" s="6">
        <f xml:space="preserve"> $C$56 * (11.5 * ($C$5*2.20462/1000)^0.4 * 0.453592)</f>
        <v>8.8695808316148437</v>
      </c>
      <c r="L24" s="6" t="s">
        <v>7</v>
      </c>
      <c r="N24" s="6" t="s">
        <v>31</v>
      </c>
      <c r="O24" s="18">
        <f>Z34</f>
        <v>4.8443448264151812E-2</v>
      </c>
      <c r="U24" s="2">
        <v>20</v>
      </c>
      <c r="V24" s="2">
        <f t="shared" si="7"/>
        <v>4.8442840576171875E-2</v>
      </c>
      <c r="W24" s="2">
        <f t="shared" si="0"/>
        <v>6.0847007328501679E-7</v>
      </c>
      <c r="X24" s="2">
        <f t="shared" si="8"/>
        <v>4.8443794250488281E-2</v>
      </c>
      <c r="Y24" s="2">
        <f t="shared" si="1"/>
        <v>-3.4701911640760974E-7</v>
      </c>
      <c r="Z24" s="2">
        <f t="shared" si="3"/>
        <v>4.8443317413330078E-2</v>
      </c>
      <c r="AA24" s="2">
        <f t="shared" si="2"/>
        <v>1.3072548277204277E-7</v>
      </c>
      <c r="AB24" s="2">
        <f t="shared" si="4"/>
        <v>7.9542544082524056E-14</v>
      </c>
      <c r="AC24" s="2">
        <f t="shared" si="5"/>
        <v>-4.536424152351249E-14</v>
      </c>
      <c r="AD24" s="2">
        <f t="shared" si="6"/>
        <v>9.5367431640625E-7</v>
      </c>
      <c r="AF24" s="2">
        <v>20</v>
      </c>
      <c r="AG24" s="2">
        <f t="shared" si="13"/>
        <v>2987.3790740966797</v>
      </c>
      <c r="AH24" s="2">
        <v>-5.5457267585552472E-3</v>
      </c>
      <c r="AI24" s="2">
        <f t="shared" si="14"/>
        <v>2987.3971939086914</v>
      </c>
      <c r="AJ24" s="2">
        <v>2.1496142639989557E-3</v>
      </c>
      <c r="AK24" s="2">
        <f t="shared" si="9"/>
        <v>2987.3881340026855</v>
      </c>
      <c r="AL24" s="2">
        <v>-1.6884911105989886E-3</v>
      </c>
      <c r="AM24" s="2">
        <f t="shared" si="10"/>
        <v>9.3639103336314778E-6</v>
      </c>
      <c r="AN24" s="2">
        <f t="shared" si="11"/>
        <v>-3.6296045759790241E-6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19.11925373288128</v>
      </c>
      <c r="L25" s="6" t="s">
        <v>7</v>
      </c>
      <c r="N25" s="6" t="s">
        <v>32</v>
      </c>
      <c r="O25" s="6">
        <f xml:space="preserve"> O19 * $C$9 * O24 - $C$8 * SIN(O17/180*PI())</f>
        <v>1.2620912195849208</v>
      </c>
      <c r="P25" s="6" t="s">
        <v>10</v>
      </c>
      <c r="U25" s="2">
        <v>21</v>
      </c>
      <c r="V25" s="2">
        <f t="shared" si="7"/>
        <v>4.8443317413330078E-2</v>
      </c>
      <c r="W25" s="2">
        <f t="shared" si="0"/>
        <v>1.3072548277204277E-7</v>
      </c>
      <c r="X25" s="2">
        <f t="shared" si="8"/>
        <v>4.8443794250488281E-2</v>
      </c>
      <c r="Y25" s="2">
        <f t="shared" si="1"/>
        <v>-3.4701911640760974E-7</v>
      </c>
      <c r="Z25" s="2">
        <f t="shared" si="3"/>
        <v>4.844355583190918E-2</v>
      </c>
      <c r="AA25" s="2">
        <f t="shared" si="2"/>
        <v>-1.0814681573878548E-7</v>
      </c>
      <c r="AB25" s="2">
        <f t="shared" si="4"/>
        <v>-1.4137544697711886E-14</v>
      </c>
      <c r="AC25" s="2">
        <f t="shared" si="5"/>
        <v>3.7529012439969922E-14</v>
      </c>
      <c r="AD25" s="2">
        <f t="shared" si="6"/>
        <v>4.76837158203125E-7</v>
      </c>
      <c r="AF25" s="2">
        <v>21</v>
      </c>
      <c r="AG25" s="2">
        <f t="shared" si="13"/>
        <v>2987.3881340026855</v>
      </c>
      <c r="AH25" s="2">
        <v>-1.6884911105989886E-3</v>
      </c>
      <c r="AI25" s="2">
        <f t="shared" si="14"/>
        <v>2987.3971939086914</v>
      </c>
      <c r="AJ25" s="2">
        <v>2.1496142639989557E-3</v>
      </c>
      <c r="AK25" s="2">
        <f t="shared" si="9"/>
        <v>2987.3926639556885</v>
      </c>
      <c r="AL25" s="2">
        <v>2.2099347324910923E-4</v>
      </c>
      <c r="AM25" s="2">
        <f t="shared" si="10"/>
        <v>-3.7314551508151635E-7</v>
      </c>
      <c r="AN25" s="2">
        <f t="shared" si="11"/>
        <v>4.7505072234695685E-7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54.690367675875919</v>
      </c>
      <c r="L26" s="6" t="s">
        <v>7</v>
      </c>
      <c r="N26" s="6" t="s">
        <v>33</v>
      </c>
      <c r="O26" s="6">
        <f xml:space="preserve"> 1/$C$21 - O23 * SQRT( (2*$C$47*PI()*$C$9^2) / O18^3 )</f>
        <v>1.0845156426667693</v>
      </c>
      <c r="U26" s="2">
        <v>22</v>
      </c>
      <c r="V26" s="2">
        <f t="shared" si="7"/>
        <v>4.8443317413330078E-2</v>
      </c>
      <c r="W26" s="2">
        <f t="shared" si="0"/>
        <v>1.3072548277204277E-7</v>
      </c>
      <c r="X26" s="2">
        <f t="shared" si="8"/>
        <v>4.844355583190918E-2</v>
      </c>
      <c r="Y26" s="2">
        <f t="shared" si="1"/>
        <v>-1.0814681573878548E-7</v>
      </c>
      <c r="Z26" s="2">
        <f t="shared" si="3"/>
        <v>4.8443436622619629E-2</v>
      </c>
      <c r="AA26" s="2">
        <f t="shared" si="2"/>
        <v>1.1289333787245504E-8</v>
      </c>
      <c r="AB26" s="2">
        <f t="shared" si="4"/>
        <v>1.4758036095124025E-15</v>
      </c>
      <c r="AC26" s="2">
        <f t="shared" si="5"/>
        <v>-1.2209055009028848E-15</v>
      </c>
      <c r="AD26" s="2">
        <f t="shared" si="6"/>
        <v>2.384185791015625E-7</v>
      </c>
      <c r="AF26" s="2">
        <v>22</v>
      </c>
      <c r="AG26" s="2">
        <f t="shared" si="13"/>
        <v>2987.3881340026855</v>
      </c>
      <c r="AH26" s="2">
        <v>-1.6884911105989886E-3</v>
      </c>
      <c r="AI26" s="2">
        <f t="shared" si="14"/>
        <v>2987.3926639556885</v>
      </c>
      <c r="AJ26" s="2">
        <v>2.2099347324910923E-4</v>
      </c>
      <c r="AK26" s="2">
        <f t="shared" si="9"/>
        <v>2987.390398979187</v>
      </c>
      <c r="AL26" s="2">
        <v>-7.2418144827679498E-4</v>
      </c>
      <c r="AM26" s="2">
        <f t="shared" si="10"/>
        <v>1.2227739378760696E-6</v>
      </c>
      <c r="AN26" s="2">
        <f t="shared" si="11"/>
        <v>-1.6003937351725906E-7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-3.7159028188398224E-3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4.8443436622619629E-2</v>
      </c>
      <c r="W27" s="2">
        <f t="shared" si="0"/>
        <v>1.1289333787245504E-8</v>
      </c>
      <c r="X27" s="2">
        <f t="shared" si="8"/>
        <v>4.844355583190918E-2</v>
      </c>
      <c r="Y27" s="2">
        <f t="shared" si="1"/>
        <v>-1.0814681573878548E-7</v>
      </c>
      <c r="Z27" s="2">
        <f t="shared" si="3"/>
        <v>4.8443496227264404E-2</v>
      </c>
      <c r="AA27" s="2">
        <f t="shared" si="2"/>
        <v>-4.8428740906381051E-8</v>
      </c>
      <c r="AB27" s="2">
        <f t="shared" si="4"/>
        <v>-5.4672822098816606E-16</v>
      </c>
      <c r="AC27" s="2">
        <f t="shared" si="5"/>
        <v>5.2374141192637743E-15</v>
      </c>
      <c r="AD27" s="2">
        <f t="shared" si="6"/>
        <v>1.1920928955078125E-7</v>
      </c>
      <c r="AF27" s="2">
        <v>23</v>
      </c>
      <c r="AG27" s="2">
        <f t="shared" si="13"/>
        <v>2987.390398979187</v>
      </c>
      <c r="AH27" s="2">
        <v>-7.2418144827679498E-4</v>
      </c>
      <c r="AI27" s="2">
        <f t="shared" si="14"/>
        <v>2987.3926639556885</v>
      </c>
      <c r="AJ27" s="2">
        <v>2.2099347324910923E-4</v>
      </c>
      <c r="AK27" s="2">
        <f t="shared" si="9"/>
        <v>2987.3915314674377</v>
      </c>
      <c r="AL27" s="2">
        <v>-2.6116153685507015E-4</v>
      </c>
      <c r="AM27" s="2">
        <f t="shared" si="10"/>
        <v>1.8912833999389828E-7</v>
      </c>
      <c r="AN27" s="2">
        <f t="shared" si="11"/>
        <v>-5.7714995108677198E-8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7320.2030104732285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1.1543740898245503</v>
      </c>
      <c r="U28" s="2">
        <v>24</v>
      </c>
      <c r="V28" s="2">
        <f t="shared" si="7"/>
        <v>4.8443436622619629E-2</v>
      </c>
      <c r="W28" s="2">
        <f t="shared" si="0"/>
        <v>1.1289333787245504E-8</v>
      </c>
      <c r="X28" s="2">
        <f t="shared" si="8"/>
        <v>4.8443496227264404E-2</v>
      </c>
      <c r="Y28" s="2">
        <f t="shared" si="1"/>
        <v>-4.8428740906381051E-8</v>
      </c>
      <c r="Z28" s="2">
        <f t="shared" si="3"/>
        <v>4.8443466424942017E-2</v>
      </c>
      <c r="AA28" s="2">
        <f t="shared" si="2"/>
        <v>-1.8569703545689986E-8</v>
      </c>
      <c r="AB28" s="2">
        <f t="shared" si="4"/>
        <v>-2.0963958165749058E-16</v>
      </c>
      <c r="AC28" s="2">
        <f t="shared" si="5"/>
        <v>8.993073617225258E-16</v>
      </c>
      <c r="AD28" s="2">
        <f t="shared" si="6"/>
        <v>5.9604644775390625E-8</v>
      </c>
      <c r="AF28" s="2">
        <v>24</v>
      </c>
      <c r="AG28" s="2">
        <f t="shared" si="13"/>
        <v>2987.3915314674377</v>
      </c>
      <c r="AH28" s="2">
        <v>-2.6116153685507015E-4</v>
      </c>
      <c r="AI28" s="2">
        <f t="shared" si="14"/>
        <v>2987.3926639556885</v>
      </c>
      <c r="AJ28" s="2">
        <v>2.2099347324910923E-4</v>
      </c>
      <c r="AK28" s="2">
        <f t="shared" si="9"/>
        <v>2987.3920977115631</v>
      </c>
      <c r="AL28" s="2">
        <v>-2.0084040443180129E-5</v>
      </c>
      <c r="AM28" s="2">
        <f t="shared" si="10"/>
        <v>5.2451788684003067E-9</v>
      </c>
      <c r="AN28" s="2">
        <f t="shared" si="11"/>
        <v>-4.4384418544139557E-9</v>
      </c>
      <c r="AO28" s="2">
        <f t="shared" si="12"/>
        <v>1.1324882507324219E-3</v>
      </c>
    </row>
    <row r="29" spans="2:41" x14ac:dyDescent="0.2">
      <c r="B29" s="31" t="s">
        <v>108</v>
      </c>
      <c r="C29" s="31"/>
      <c r="D29" s="31"/>
      <c r="F29" t="s">
        <v>97</v>
      </c>
      <c r="G29" s="6">
        <f>G31/$C$18</f>
        <v>88.360900382019082</v>
      </c>
      <c r="H29" t="s">
        <v>18</v>
      </c>
      <c r="U29" s="2">
        <v>25</v>
      </c>
      <c r="V29" s="2">
        <f t="shared" si="7"/>
        <v>4.8443436622619629E-2</v>
      </c>
      <c r="W29" s="2">
        <f t="shared" si="0"/>
        <v>1.1289333787245504E-8</v>
      </c>
      <c r="X29" s="2">
        <f t="shared" si="8"/>
        <v>4.8443466424942017E-2</v>
      </c>
      <c r="Y29" s="2">
        <f t="shared" si="1"/>
        <v>-1.8569703545689986E-8</v>
      </c>
      <c r="Z29" s="2">
        <f t="shared" si="3"/>
        <v>4.8443451523780823E-2</v>
      </c>
      <c r="AA29" s="2">
        <f t="shared" si="2"/>
        <v>-3.6401848757527944E-9</v>
      </c>
      <c r="AB29" s="2">
        <f t="shared" si="4"/>
        <v>-4.1095262109656094E-17</v>
      </c>
      <c r="AC29" s="2">
        <f t="shared" si="5"/>
        <v>6.7597153994233726E-17</v>
      </c>
      <c r="AD29" s="2">
        <f t="shared" si="6"/>
        <v>2.9802322387695312E-8</v>
      </c>
      <c r="AF29" s="2">
        <v>25</v>
      </c>
      <c r="AG29" s="2">
        <f t="shared" si="13"/>
        <v>2987.3920977115631</v>
      </c>
      <c r="AH29" s="2">
        <v>-2.0084040443180129E-5</v>
      </c>
      <c r="AI29" s="2">
        <f t="shared" si="14"/>
        <v>2987.3926639556885</v>
      </c>
      <c r="AJ29" s="2">
        <v>2.2099347324910923E-4</v>
      </c>
      <c r="AK29" s="2">
        <f t="shared" si="9"/>
        <v>2987.3923808336258</v>
      </c>
      <c r="AL29" s="2">
        <v>1.0045471344710677E-4</v>
      </c>
      <c r="AM29" s="2">
        <f t="shared" si="10"/>
        <v>-2.0175365275797631E-9</v>
      </c>
      <c r="AN29" s="2">
        <f t="shared" si="11"/>
        <v>2.2199836028920124E-8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8.4522208998750035</v>
      </c>
      <c r="H30" s="6" t="s">
        <v>147</v>
      </c>
      <c r="J30" s="29" t="s">
        <v>111</v>
      </c>
      <c r="K30" s="29"/>
      <c r="L30" s="29"/>
      <c r="U30" s="2">
        <v>26</v>
      </c>
      <c r="V30" s="2">
        <f t="shared" si="7"/>
        <v>4.8443436622619629E-2</v>
      </c>
      <c r="W30" s="2">
        <f t="shared" si="0"/>
        <v>1.1289333787245504E-8</v>
      </c>
      <c r="X30" s="2">
        <f t="shared" si="8"/>
        <v>4.8443451523780823E-2</v>
      </c>
      <c r="Y30" s="2">
        <f t="shared" si="1"/>
        <v>-3.6401848757527944E-9</v>
      </c>
      <c r="Z30" s="2">
        <f t="shared" si="3"/>
        <v>4.8443444073200226E-2</v>
      </c>
      <c r="AA30" s="2">
        <f t="shared" si="2"/>
        <v>3.8245744557463546E-9</v>
      </c>
      <c r="AB30" s="2">
        <f t="shared" si="4"/>
        <v>4.3176897625093406E-17</v>
      </c>
      <c r="AC30" s="2">
        <f t="shared" si="5"/>
        <v>-1.3922158089998355E-17</v>
      </c>
      <c r="AD30" s="2">
        <f t="shared" si="6"/>
        <v>1.4901161193847656E-8</v>
      </c>
      <c r="AF30" s="2">
        <v>26</v>
      </c>
      <c r="AG30" s="2">
        <f t="shared" si="13"/>
        <v>2987.3920977115631</v>
      </c>
      <c r="AH30" s="2">
        <v>-2.0084040443180129E-5</v>
      </c>
      <c r="AI30" s="2">
        <f t="shared" si="14"/>
        <v>2987.3923808336258</v>
      </c>
      <c r="AJ30" s="2">
        <v>1.0045471344710677E-4</v>
      </c>
      <c r="AK30" s="2">
        <f t="shared" si="9"/>
        <v>2987.3922392725945</v>
      </c>
      <c r="AL30" s="2">
        <v>4.0185336274589645E-5</v>
      </c>
      <c r="AM30" s="2">
        <f t="shared" si="10"/>
        <v>-8.0708391896165192E-10</v>
      </c>
      <c r="AN30" s="2">
        <f t="shared" si="11"/>
        <v>4.036806440239528E-9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353.44360152807633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4.8443444073200226E-2</v>
      </c>
      <c r="W31" s="2">
        <f t="shared" si="0"/>
        <v>3.8245744557463546E-9</v>
      </c>
      <c r="X31" s="2">
        <f t="shared" si="8"/>
        <v>4.8443451523780823E-2</v>
      </c>
      <c r="Y31" s="2">
        <f t="shared" si="1"/>
        <v>-3.6401848757527944E-9</v>
      </c>
      <c r="Z31" s="2">
        <f t="shared" si="3"/>
        <v>4.8443447798490524E-2</v>
      </c>
      <c r="AA31" s="2">
        <f t="shared" si="2"/>
        <v>9.2194793466227054E-11</v>
      </c>
      <c r="AB31" s="2">
        <f t="shared" si="4"/>
        <v>3.526058520437429E-19</v>
      </c>
      <c r="AC31" s="2">
        <f t="shared" si="5"/>
        <v>-3.3560609279891227E-19</v>
      </c>
      <c r="AD31" s="2">
        <f t="shared" si="6"/>
        <v>7.4505805969238281E-9</v>
      </c>
      <c r="AF31" s="2">
        <v>27</v>
      </c>
      <c r="AG31" s="2">
        <f t="shared" si="13"/>
        <v>2987.3920977115631</v>
      </c>
      <c r="AH31" s="2">
        <v>-2.0084040443180129E-5</v>
      </c>
      <c r="AI31" s="2">
        <f t="shared" si="14"/>
        <v>2987.3922392725945</v>
      </c>
      <c r="AJ31" s="2">
        <v>4.0185336274589645E-5</v>
      </c>
      <c r="AK31" s="2">
        <f t="shared" si="9"/>
        <v>2987.3921684920788</v>
      </c>
      <c r="AL31" s="2">
        <v>1.9618165424617473E-5</v>
      </c>
      <c r="AM31" s="2">
        <f t="shared" si="10"/>
        <v>-3.940120278090154E-10</v>
      </c>
      <c r="AN31" s="2">
        <f t="shared" si="11"/>
        <v>7.883625746787809E-10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1372.45</v>
      </c>
      <c r="L32" s="6" t="s">
        <v>7</v>
      </c>
      <c r="U32" s="2">
        <v>28</v>
      </c>
      <c r="V32" s="2">
        <f t="shared" si="7"/>
        <v>4.8443447798490524E-2</v>
      </c>
      <c r="W32" s="2">
        <f t="shared" si="0"/>
        <v>9.2194793466227054E-11</v>
      </c>
      <c r="X32" s="2">
        <f t="shared" si="8"/>
        <v>4.8443451523780823E-2</v>
      </c>
      <c r="Y32" s="2">
        <f t="shared" si="1"/>
        <v>-3.6401848757527944E-9</v>
      </c>
      <c r="Z32" s="2">
        <f t="shared" si="3"/>
        <v>4.8443449661135674E-2</v>
      </c>
      <c r="AA32" s="2">
        <f t="shared" si="2"/>
        <v>-1.7739950411432837E-9</v>
      </c>
      <c r="AB32" s="2">
        <f t="shared" si="4"/>
        <v>-1.63553106428316E-19</v>
      </c>
      <c r="AC32" s="2">
        <f t="shared" si="5"/>
        <v>6.457669918430237E-18</v>
      </c>
      <c r="AD32" s="2">
        <f t="shared" si="6"/>
        <v>3.7252902984619141E-9</v>
      </c>
      <c r="AF32" s="2">
        <v>28</v>
      </c>
      <c r="AG32" s="2">
        <f t="shared" si="13"/>
        <v>2987.3920977115631</v>
      </c>
      <c r="AH32" s="2">
        <v>-2.0084040443180129E-5</v>
      </c>
      <c r="AI32" s="2">
        <f t="shared" si="14"/>
        <v>2987.3921684920788</v>
      </c>
      <c r="AJ32" s="2">
        <v>1.9618165424617473E-5</v>
      </c>
      <c r="AK32" s="2">
        <f t="shared" si="9"/>
        <v>2987.3921331018209</v>
      </c>
      <c r="AL32" s="2">
        <v>9.3345779532683082E-6</v>
      </c>
      <c r="AM32" s="2">
        <f t="shared" si="10"/>
        <v>-1.8747604113345829E-10</v>
      </c>
      <c r="AN32" s="2">
        <f t="shared" si="11"/>
        <v>1.8312729445620486E-10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2" t="s">
        <v>156</v>
      </c>
      <c r="G33" s="33"/>
      <c r="H33" s="33"/>
      <c r="J33" s="19" t="s">
        <v>78</v>
      </c>
      <c r="K33" s="6">
        <f>ROUND(SUM(K14:K17),2)</f>
        <v>669.32</v>
      </c>
      <c r="L33" s="6" t="s">
        <v>7</v>
      </c>
      <c r="U33" s="2">
        <v>29</v>
      </c>
      <c r="V33" s="2">
        <f t="shared" si="7"/>
        <v>4.8443447798490524E-2</v>
      </c>
      <c r="W33" s="2">
        <f t="shared" si="0"/>
        <v>9.2194793466227054E-11</v>
      </c>
      <c r="X33" s="2">
        <f t="shared" si="8"/>
        <v>4.8443449661135674E-2</v>
      </c>
      <c r="Y33" s="2">
        <f t="shared" si="1"/>
        <v>-1.7739950411432837E-9</v>
      </c>
      <c r="Z33" s="2">
        <f t="shared" si="3"/>
        <v>4.8443448729813099E-2</v>
      </c>
      <c r="AA33" s="2">
        <f t="shared" si="2"/>
        <v>-8.4090012730797525E-10</v>
      </c>
      <c r="AB33" s="2">
        <f t="shared" si="4"/>
        <v>-7.7526613562882815E-20</v>
      </c>
      <c r="AC33" s="2">
        <f t="shared" si="5"/>
        <v>1.491752655941104E-18</v>
      </c>
      <c r="AD33" s="2">
        <f t="shared" si="6"/>
        <v>1.862645149230957E-9</v>
      </c>
      <c r="AF33" s="2">
        <v>29</v>
      </c>
      <c r="AG33" s="2">
        <f t="shared" si="13"/>
        <v>2987.3920977115631</v>
      </c>
      <c r="AH33" s="2">
        <v>-2.0084040443180129E-5</v>
      </c>
      <c r="AI33" s="2">
        <f t="shared" si="14"/>
        <v>2987.3921331018209</v>
      </c>
      <c r="AJ33" s="2">
        <v>9.3345779532683082E-6</v>
      </c>
      <c r="AK33" s="2">
        <f t="shared" si="9"/>
        <v>2987.392115406692</v>
      </c>
      <c r="AL33" s="2">
        <v>4.1927855818357784E-6</v>
      </c>
      <c r="AM33" s="2">
        <f t="shared" si="10"/>
        <v>-8.4208075195172302E-11</v>
      </c>
      <c r="AN33" s="2">
        <f t="shared" si="11"/>
        <v>3.9137883854985493E-11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198.89</v>
      </c>
      <c r="L34" s="6" t="s">
        <v>7</v>
      </c>
      <c r="U34" s="2">
        <v>30</v>
      </c>
      <c r="V34" s="2">
        <f t="shared" si="7"/>
        <v>4.8443447798490524E-2</v>
      </c>
      <c r="W34" s="2">
        <f t="shared" si="0"/>
        <v>9.2194793466227054E-11</v>
      </c>
      <c r="X34" s="2">
        <f t="shared" si="8"/>
        <v>4.8443448729813099E-2</v>
      </c>
      <c r="Y34" s="2">
        <f t="shared" si="1"/>
        <v>-8.4090012730797525E-10</v>
      </c>
      <c r="Z34" s="2">
        <f t="shared" si="3"/>
        <v>4.8443448264151812E-2</v>
      </c>
      <c r="AA34" s="2">
        <f t="shared" si="2"/>
        <v>-3.743526669208741E-10</v>
      </c>
      <c r="AB34" s="2">
        <f t="shared" si="4"/>
        <v>-3.4513366810301276E-20</v>
      </c>
      <c r="AC34" s="2">
        <f t="shared" si="5"/>
        <v>3.1479320527184309E-19</v>
      </c>
      <c r="AD34" s="2">
        <f>X34-V34</f>
        <v>9.3132257461547852E-10</v>
      </c>
      <c r="AF34" s="2">
        <v>30</v>
      </c>
      <c r="AG34" s="2">
        <f t="shared" si="13"/>
        <v>2987.3920977115631</v>
      </c>
      <c r="AH34" s="2">
        <v>-2.0084040443180129E-5</v>
      </c>
      <c r="AI34" s="2">
        <f t="shared" si="14"/>
        <v>2987.392115406692</v>
      </c>
      <c r="AJ34" s="2">
        <v>4.1927855818357784E-6</v>
      </c>
      <c r="AK34" s="2">
        <f t="shared" si="9"/>
        <v>2987.3921065591276</v>
      </c>
      <c r="AL34" s="2">
        <v>-1.7513142211100785E-5</v>
      </c>
      <c r="AM34" s="2">
        <f t="shared" si="10"/>
        <v>3.5173465645491323E-10</v>
      </c>
      <c r="AN34" s="2">
        <f t="shared" si="11"/>
        <v>-7.3428850155342936E-11</v>
      </c>
      <c r="AO34" s="2">
        <f t="shared" si="12"/>
        <v>1.7695128917694092E-5</v>
      </c>
    </row>
    <row r="35" spans="2:41" x14ac:dyDescent="0.2">
      <c r="B35" s="29" t="s">
        <v>2</v>
      </c>
      <c r="C35" s="29"/>
      <c r="D35" s="29"/>
      <c r="F35" s="26" t="s">
        <v>132</v>
      </c>
      <c r="G35" s="25">
        <f xml:space="preserve"> G22</f>
        <v>272.9068727663053</v>
      </c>
      <c r="H35" s="25" t="s">
        <v>101</v>
      </c>
      <c r="J35" s="15" t="s">
        <v>70</v>
      </c>
      <c r="K35" s="6">
        <f>ROUND(SUM(K23:K26),2)</f>
        <v>146.72999999999999</v>
      </c>
      <c r="L35" s="6" t="s">
        <v>7</v>
      </c>
      <c r="AF35" s="2">
        <v>31</v>
      </c>
      <c r="AG35" s="2">
        <f t="shared" si="13"/>
        <v>2987.3921065591276</v>
      </c>
      <c r="AH35" s="2">
        <v>-1.7513142211100785E-5</v>
      </c>
      <c r="AI35" s="2">
        <f t="shared" si="14"/>
        <v>2987.392115406692</v>
      </c>
      <c r="AJ35" s="2">
        <v>4.1927855818357784E-6</v>
      </c>
      <c r="AK35" s="2">
        <f t="shared" si="9"/>
        <v>2987.3921109829098</v>
      </c>
      <c r="AL35" s="2">
        <v>2.9073366931697819E-6</v>
      </c>
      <c r="AM35" s="2">
        <f t="shared" si="10"/>
        <v>-5.091660096303388E-11</v>
      </c>
      <c r="AN35" s="2">
        <f t="shared" si="11"/>
        <v>1.2189839368664372E-11</v>
      </c>
      <c r="AO35" s="2">
        <f t="shared" si="12"/>
        <v>8.8475644588470459E-6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59</v>
      </c>
      <c r="K36" s="10">
        <f>SUM(K31:K35)</f>
        <v>2987.39</v>
      </c>
      <c r="L36" s="6" t="s">
        <v>7</v>
      </c>
      <c r="AF36" s="2">
        <v>32</v>
      </c>
      <c r="AG36" s="2">
        <f t="shared" si="13"/>
        <v>2987.3921065591276</v>
      </c>
      <c r="AH36" s="2">
        <v>-1.7513142211100785E-5</v>
      </c>
      <c r="AI36" s="2">
        <f t="shared" si="14"/>
        <v>2987.3921109829098</v>
      </c>
      <c r="AJ36" s="2">
        <v>2.9073366931697819E-6</v>
      </c>
      <c r="AK36" s="2">
        <f t="shared" si="9"/>
        <v>2987.3921087710187</v>
      </c>
      <c r="AL36" s="2">
        <v>-1.6870420949999243E-5</v>
      </c>
      <c r="AM36" s="2">
        <f t="shared" si="10"/>
        <v>2.9545408125847075E-10</v>
      </c>
      <c r="AN36" s="2">
        <f t="shared" si="11"/>
        <v>-4.904799385715301E-11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2987.3921087710187</v>
      </c>
      <c r="AH37" s="2">
        <v>-1.6870420949999243E-5</v>
      </c>
      <c r="AI37" s="2">
        <f t="shared" si="14"/>
        <v>2987.3921109829098</v>
      </c>
      <c r="AJ37" s="2">
        <v>2.9073366931697819E-6</v>
      </c>
      <c r="AK37" s="2">
        <f t="shared" si="9"/>
        <v>2987.3921098769642</v>
      </c>
      <c r="AL37" s="2">
        <v>-1.6549058273085393E-5</v>
      </c>
      <c r="AM37" s="2">
        <f t="shared" si="10"/>
        <v>2.7918957939301811E-10</v>
      </c>
      <c r="AN37" s="2">
        <f t="shared" si="11"/>
        <v>-4.8113684354746109E-11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9" t="s">
        <v>56</v>
      </c>
      <c r="K38" s="29"/>
      <c r="L38" s="29"/>
      <c r="AF38" s="2">
        <v>34</v>
      </c>
      <c r="AG38" s="2">
        <f t="shared" si="13"/>
        <v>2987.3921098769642</v>
      </c>
      <c r="AH38" s="2">
        <v>-1.6549058273085393E-5</v>
      </c>
      <c r="AI38" s="2">
        <f t="shared" si="14"/>
        <v>2987.3921109829098</v>
      </c>
      <c r="AJ38" s="2">
        <v>2.9073366931697819E-6</v>
      </c>
      <c r="AK38" s="2">
        <f t="shared" si="9"/>
        <v>2987.392110429937</v>
      </c>
      <c r="AL38" s="2">
        <v>-1.6388376934628468E-5</v>
      </c>
      <c r="AM38" s="2">
        <f t="shared" si="10"/>
        <v>2.7121220489245508E-10</v>
      </c>
      <c r="AN38" s="2">
        <f t="shared" si="11"/>
        <v>-4.7646529603542658E-11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20.079999999999998</v>
      </c>
      <c r="L39" s="6" t="s">
        <v>58</v>
      </c>
      <c r="AF39" s="2">
        <v>35</v>
      </c>
      <c r="AG39" s="2">
        <f t="shared" si="13"/>
        <v>2987.392110429937</v>
      </c>
      <c r="AH39" s="2">
        <v>-1.6388376934628468E-5</v>
      </c>
      <c r="AI39" s="2">
        <f t="shared" si="14"/>
        <v>2987.3921109829098</v>
      </c>
      <c r="AJ39" s="2">
        <v>2.9073366931697819E-6</v>
      </c>
      <c r="AK39" s="2">
        <f t="shared" si="9"/>
        <v>2987.3921107064234</v>
      </c>
      <c r="AL39" s="2">
        <v>2.8269973881833721E-6</v>
      </c>
      <c r="AM39" s="2">
        <f t="shared" si="10"/>
        <v>-4.6329898790759297E-11</v>
      </c>
      <c r="AN39" s="2">
        <f t="shared" si="11"/>
        <v>8.2190332381606554E-12</v>
      </c>
      <c r="AO39" s="2">
        <f t="shared" si="12"/>
        <v>5.5297277867794037E-7</v>
      </c>
    </row>
    <row r="40" spans="2:41" x14ac:dyDescent="0.2">
      <c r="B40" s="29" t="s">
        <v>144</v>
      </c>
      <c r="C40" s="30"/>
      <c r="D40" s="30"/>
      <c r="J40" s="11" t="s">
        <v>52</v>
      </c>
      <c r="K40" s="6">
        <f>ROUND(K13/$C$5 * 100, 2)</f>
        <v>45.94</v>
      </c>
      <c r="L40" s="6" t="s">
        <v>58</v>
      </c>
      <c r="AF40" s="2">
        <v>36</v>
      </c>
      <c r="AG40" s="2">
        <f t="shared" si="13"/>
        <v>2987.392110429937</v>
      </c>
      <c r="AH40" s="2">
        <v>-1.6388376934628468E-5</v>
      </c>
      <c r="AI40" s="2">
        <f t="shared" si="14"/>
        <v>2987.3921107064234</v>
      </c>
      <c r="AJ40" s="2">
        <v>2.8269973881833721E-6</v>
      </c>
      <c r="AK40" s="2">
        <f t="shared" si="9"/>
        <v>2987.3921105681802</v>
      </c>
      <c r="AL40" s="2">
        <v>-1.634820546314586E-5</v>
      </c>
      <c r="AM40" s="2">
        <f t="shared" si="10"/>
        <v>2.6792055333478672E-10</v>
      </c>
      <c r="AN40" s="2">
        <f t="shared" si="11"/>
        <v>-4.621633414579848E-11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22.4</v>
      </c>
      <c r="L41" s="6" t="s">
        <v>58</v>
      </c>
      <c r="AF41" s="2">
        <v>37</v>
      </c>
      <c r="AG41" s="2">
        <f t="shared" si="13"/>
        <v>2987.3921105681802</v>
      </c>
      <c r="AH41" s="2">
        <v>-1.634820546314586E-5</v>
      </c>
      <c r="AI41" s="2">
        <f t="shared" si="14"/>
        <v>2987.3921107064234</v>
      </c>
      <c r="AJ41" s="2">
        <v>2.8269973881833721E-6</v>
      </c>
      <c r="AK41" s="2">
        <f t="shared" si="9"/>
        <v>2987.3921106373018</v>
      </c>
      <c r="AL41" s="2">
        <v>2.8069125619367696E-6</v>
      </c>
      <c r="AM41" s="2">
        <f t="shared" si="10"/>
        <v>-4.5887983279627438E-11</v>
      </c>
      <c r="AN41" s="2">
        <f t="shared" si="11"/>
        <v>7.9351344814543454E-12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6.66</v>
      </c>
      <c r="L42" s="6" t="s">
        <v>58</v>
      </c>
      <c r="AF42" s="2">
        <v>38</v>
      </c>
      <c r="AG42" s="2">
        <f t="shared" si="13"/>
        <v>2987.3921105681802</v>
      </c>
      <c r="AH42" s="2">
        <v>-1.634820546314586E-5</v>
      </c>
      <c r="AI42" s="2">
        <f t="shared" si="14"/>
        <v>2987.3921106373018</v>
      </c>
      <c r="AJ42" s="2">
        <v>2.8069125619367696E-6</v>
      </c>
      <c r="AK42" s="2">
        <f t="shared" si="9"/>
        <v>2987.392110602741</v>
      </c>
      <c r="AL42" s="2">
        <v>2.8169547476863954E-6</v>
      </c>
      <c r="AM42" s="2">
        <f t="shared" si="10"/>
        <v>-4.6052154995561396E-11</v>
      </c>
      <c r="AN42" s="2">
        <f t="shared" si="11"/>
        <v>7.9069456676883667E-12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4.91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2987.3921105681802</v>
      </c>
      <c r="AH43" s="2">
        <v>2.7968690119450912E-6</v>
      </c>
      <c r="AI43" s="2">
        <f t="shared" si="14"/>
        <v>2987.392110602741</v>
      </c>
      <c r="AJ43" s="2">
        <v>2.7968690119450912E-6</v>
      </c>
      <c r="AK43" s="2">
        <f t="shared" si="9"/>
        <v>2987.3921105854606</v>
      </c>
      <c r="AL43" s="2">
        <v>2.8169547476863954E-6</v>
      </c>
      <c r="AM43" s="2">
        <f t="shared" si="10"/>
        <v>7.8786534418556824E-12</v>
      </c>
      <c r="AN43" s="2">
        <f t="shared" si="11"/>
        <v>7.8786534418556824E-12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99.989999999999981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2987.3921105854606</v>
      </c>
      <c r="AH44" s="2">
        <v>2.7968690119450912E-6</v>
      </c>
      <c r="AI44" s="2">
        <f t="shared" si="14"/>
        <v>2987.3921105854606</v>
      </c>
      <c r="AJ44" s="2">
        <v>2.7968690119450912E-6</v>
      </c>
      <c r="AK44" s="5">
        <f>(AG44+AI44)/2</f>
        <v>2987.3921105854606</v>
      </c>
      <c r="AL44" s="2">
        <v>2.8169547476863954E-6</v>
      </c>
      <c r="AM44" s="2">
        <f t="shared" si="10"/>
        <v>7.8786534418556824E-12</v>
      </c>
      <c r="AN44" s="2">
        <f t="shared" si="11"/>
        <v>7.8786534418556824E-12</v>
      </c>
      <c r="AO44" s="2">
        <f t="shared" si="12"/>
        <v>0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9" t="s">
        <v>145</v>
      </c>
      <c r="C46" s="30"/>
      <c r="D46" s="30"/>
      <c r="J46" s="29" t="s">
        <v>56</v>
      </c>
      <c r="K46" s="29"/>
      <c r="L46" s="29"/>
      <c r="N46" s="6" t="s">
        <v>153</v>
      </c>
      <c r="O46" s="6">
        <f>G12*1000/O45</f>
        <v>3234.717617988244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20.079999999999998</v>
      </c>
      <c r="L47" s="6" t="s">
        <v>58</v>
      </c>
      <c r="N47" s="6" t="s">
        <v>154</v>
      </c>
      <c r="O47" s="6">
        <f>0.377*O46^0.6945</f>
        <v>103.25776294012222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45.94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33.97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99.99</v>
      </c>
      <c r="L50" s="10" t="s">
        <v>58</v>
      </c>
    </row>
    <row r="52" spans="2:12" x14ac:dyDescent="0.2">
      <c r="B52" s="29" t="s">
        <v>71</v>
      </c>
      <c r="C52" s="29"/>
      <c r="D52" s="29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J7:L7"/>
    <mergeCell ref="B1:D1"/>
    <mergeCell ref="B3:D3"/>
    <mergeCell ref="F3:H3"/>
    <mergeCell ref="J3:L3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38:L38"/>
    <mergeCell ref="B40:D40"/>
    <mergeCell ref="B46:D46"/>
    <mergeCell ref="J46:L46"/>
    <mergeCell ref="B52:D52"/>
  </mergeCells>
  <conditionalFormatting sqref="K28">
    <cfRule type="containsText" dxfId="47" priority="1" operator="containsText" text="FALSE">
      <formula>NOT(ISERROR(SEARCH("FALSE",K28)))</formula>
    </cfRule>
    <cfRule type="containsText" dxfId="46" priority="2" operator="containsText" text="TRUE">
      <formula>NOT(ISERROR(SEARCH("TRUE",K28)))</formula>
    </cfRule>
    <cfRule type="cellIs" dxfId="45" priority="3" operator="equal">
      <formula>1</formula>
    </cfRule>
    <cfRule type="cellIs" dxfId="44" priority="4" operator="equal">
      <formula>TRUE</formula>
    </cfRule>
    <cfRule type="containsText" dxfId="43" priority="5" operator="containsText" text="YES">
      <formula>NOT(ISERROR(SEARCH("YES",K28)))</formula>
    </cfRule>
    <cfRule type="cellIs" dxfId="42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B5CEE-80A2-D348-8290-F5D3DEF324D6}">
  <dimension ref="B1:AO56"/>
  <sheetViews>
    <sheetView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5" t="s">
        <v>0</v>
      </c>
      <c r="C1" s="35"/>
      <c r="D1" s="35"/>
    </row>
    <row r="2" spans="2:41" x14ac:dyDescent="0.2">
      <c r="U2" s="16" t="s">
        <v>93</v>
      </c>
      <c r="AF2" s="16" t="s">
        <v>76</v>
      </c>
    </row>
    <row r="3" spans="2:41" x14ac:dyDescent="0.2">
      <c r="B3" s="32" t="s">
        <v>118</v>
      </c>
      <c r="C3" s="33"/>
      <c r="D3" s="33"/>
      <c r="F3" s="32" t="s">
        <v>80</v>
      </c>
      <c r="G3" s="33"/>
      <c r="H3" s="33"/>
      <c r="J3" s="29" t="s">
        <v>98</v>
      </c>
      <c r="K3" s="29"/>
      <c r="L3" s="29"/>
      <c r="N3" s="29" t="s">
        <v>92</v>
      </c>
      <c r="O3" s="29"/>
      <c r="P3" s="29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437.81885714871925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5.3949606341126138E-2</v>
      </c>
      <c r="X4" s="3">
        <v>1</v>
      </c>
      <c r="Y4" s="2">
        <f t="shared" ref="Y4:Y34" si="1" xml:space="preserve"> $O$20 * TAN($O$17/180*PI()) + $O$21 / (2 * SQRT($O$20^2 + X4^2)) - X4</f>
        <v>-0.95014961081096783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-0.44828465954651281</v>
      </c>
      <c r="AB4" s="2">
        <f>W4*AA4</f>
        <v>-2.4184780911300118E-2</v>
      </c>
      <c r="AC4" s="2">
        <f>Y4*AA4</f>
        <v>0.42593749480064635</v>
      </c>
      <c r="AD4" s="2">
        <f>X4-V4</f>
        <v>1</v>
      </c>
      <c r="AF4" s="2">
        <v>0</v>
      </c>
      <c r="AG4" s="2"/>
      <c r="AH4" s="2">
        <f>K27</f>
        <v>9.4404767492051178E-4</v>
      </c>
      <c r="AI4" s="2"/>
      <c r="AJ4" s="2">
        <f>K27</f>
        <v>9.4404767492051178E-4</v>
      </c>
      <c r="AK4" s="2"/>
      <c r="AL4" s="2">
        <f>K27</f>
        <v>9.4404767492051178E-4</v>
      </c>
      <c r="AM4" s="2"/>
      <c r="AN4" s="2"/>
      <c r="AO4" s="2"/>
    </row>
    <row r="5" spans="2:41" x14ac:dyDescent="0.2">
      <c r="B5" s="10" t="s">
        <v>37</v>
      </c>
      <c r="C5" s="10">
        <v>2368.3732449019699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109.45471428717981</v>
      </c>
      <c r="L5" s="6" t="s">
        <v>101</v>
      </c>
      <c r="N5" s="6" t="s">
        <v>114</v>
      </c>
      <c r="O5" s="6">
        <f xml:space="preserve"> $C$18 * 0.85 * ($C$5/$C$18 *2.20462/1000)^(2/3) * 0.3048^2</f>
        <v>0.37727506938876665</v>
      </c>
      <c r="P5" s="6" t="s">
        <v>115</v>
      </c>
      <c r="U5" s="2">
        <v>1</v>
      </c>
      <c r="V5" s="2">
        <f>IF(AB4&gt;0, Z4, V4)</f>
        <v>0</v>
      </c>
      <c r="W5" s="2">
        <f t="shared" si="0"/>
        <v>5.3949606341126138E-2</v>
      </c>
      <c r="X5" s="2">
        <f>IF(AC4&gt;0, Z4, X4)</f>
        <v>0.5</v>
      </c>
      <c r="Y5" s="2">
        <f t="shared" si="1"/>
        <v>-0.44828465954651281</v>
      </c>
      <c r="Z5" s="2">
        <f t="shared" ref="Z5:Z34" si="3" xml:space="preserve"> (V5 + X5)/2</f>
        <v>0.25</v>
      </c>
      <c r="AA5" s="2">
        <f t="shared" si="2"/>
        <v>-0.19687634576025967</v>
      </c>
      <c r="AB5" s="2">
        <f t="shared" ref="AB5:AB34" si="4">W5*AA5</f>
        <v>-1.0621401351645448E-2</v>
      </c>
      <c r="AC5" s="2">
        <f t="shared" ref="AC5:AC34" si="5">Y5*AA5</f>
        <v>8.8256645631899541E-2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-1612.5234974265506</v>
      </c>
      <c r="AI5" s="3">
        <v>10000</v>
      </c>
      <c r="AJ5" s="2">
        <f t="dataTable" ref="AJ5:AJ44" dt2D="0" dtr="0" r1="C5"/>
        <v>5375.5422487289125</v>
      </c>
      <c r="AK5" s="2">
        <f>(AG5+AI5)/2</f>
        <v>5250</v>
      </c>
      <c r="AL5" s="2">
        <f t="dataTable" ref="AL5:AL44" dt2D="0" dtr="0" r1="C5" ca="1"/>
        <v>2273.756973162016</v>
      </c>
      <c r="AM5" s="2">
        <f>AH5*AL5</f>
        <v>-3666486.5466612219</v>
      </c>
      <c r="AN5" s="2">
        <f>AJ5*AL5</f>
        <v>12222676.67257439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5.3949606341126138E-2</v>
      </c>
      <c r="X6" s="2">
        <f t="shared" ref="X6:X34" si="8">IF(AC5&gt;0, Z5, X5)</f>
        <v>0.25</v>
      </c>
      <c r="Y6" s="2">
        <f t="shared" si="1"/>
        <v>-0.19687634576025967</v>
      </c>
      <c r="Z6" s="2">
        <f t="shared" si="3"/>
        <v>0.125</v>
      </c>
      <c r="AA6" s="2">
        <f t="shared" si="2"/>
        <v>-7.1286683318324245E-2</v>
      </c>
      <c r="AB6" s="2">
        <f t="shared" si="4"/>
        <v>-3.8458885023881168E-3</v>
      </c>
      <c r="AC6" s="2">
        <f t="shared" si="5"/>
        <v>1.4034661713080539E-2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-1612.5234974265506</v>
      </c>
      <c r="AI6" s="2">
        <f>IF(AN5&gt;0, AK5, AI5)</f>
        <v>5250</v>
      </c>
      <c r="AJ6" s="2">
        <v>2273.756973162016</v>
      </c>
      <c r="AK6" s="2">
        <f t="shared" ref="AK6:AK43" si="9">(AG6+AI6)/2</f>
        <v>2875</v>
      </c>
      <c r="AL6" s="2">
        <v>422.18085342881704</v>
      </c>
      <c r="AM6" s="2">
        <f t="shared" ref="AM6:AM44" si="10">AH6*AL6</f>
        <v>-680776.546317562</v>
      </c>
      <c r="AN6" s="2">
        <f t="shared" ref="AN6:AN44" si="11">AJ6*AL6</f>
        <v>959936.65941926383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362.71281150121803</v>
      </c>
      <c r="D7" s="6" t="s">
        <v>125</v>
      </c>
      <c r="F7" t="s">
        <v>121</v>
      </c>
      <c r="G7" s="8">
        <f>$C$6*2*PI()/60*$C$9</f>
        <v>154.8803072518057</v>
      </c>
      <c r="H7" s="6" t="s">
        <v>10</v>
      </c>
      <c r="J7" s="29" t="s">
        <v>21</v>
      </c>
      <c r="K7" s="29"/>
      <c r="L7" s="29"/>
      <c r="N7" s="6" t="s">
        <v>159</v>
      </c>
      <c r="O7" s="6">
        <f>O5+$O$6</f>
        <v>1.0075516927238626</v>
      </c>
      <c r="P7" s="6" t="s">
        <v>115</v>
      </c>
      <c r="U7" s="2">
        <v>3</v>
      </c>
      <c r="V7" s="2">
        <f t="shared" si="7"/>
        <v>0</v>
      </c>
      <c r="W7" s="2">
        <f t="shared" si="0"/>
        <v>5.3949606341126138E-2</v>
      </c>
      <c r="X7" s="2">
        <f t="shared" si="8"/>
        <v>0.125</v>
      </c>
      <c r="Y7" s="2">
        <f t="shared" si="1"/>
        <v>-7.1286683318324245E-2</v>
      </c>
      <c r="Z7" s="2">
        <f t="shared" si="3"/>
        <v>6.25E-2</v>
      </c>
      <c r="AA7" s="2">
        <f t="shared" si="2"/>
        <v>-8.6117203848206994E-3</v>
      </c>
      <c r="AB7" s="2">
        <f t="shared" si="4"/>
        <v>-4.6459892468092806E-4</v>
      </c>
      <c r="AC7" s="2">
        <f t="shared" si="5"/>
        <v>6.1390098389867056E-4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-1612.5234974265506</v>
      </c>
      <c r="AI7" s="2">
        <f t="shared" ref="AI7:AI44" si="14">IF(AN6&gt;0, AK6, AI6)</f>
        <v>2875</v>
      </c>
      <c r="AJ7" s="2">
        <v>422.18085342881704</v>
      </c>
      <c r="AK7" s="2">
        <f t="shared" si="9"/>
        <v>1687.5</v>
      </c>
      <c r="AL7" s="2">
        <v>-579.60273592808926</v>
      </c>
      <c r="AM7" s="2">
        <f t="shared" si="10"/>
        <v>934623.03085675999</v>
      </c>
      <c r="AN7" s="2">
        <f t="shared" si="11"/>
        <v>-244697.17770379799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0.46382883458199697</v>
      </c>
      <c r="H8" s="6" t="s">
        <v>122</v>
      </c>
      <c r="J8" s="6" t="s">
        <v>96</v>
      </c>
      <c r="K8" s="6">
        <f xml:space="preserve"> $C$15 * (G12*G6 + G22*G15 + G31*G27 +G35*G34)/3600</f>
        <v>204.9351967540963</v>
      </c>
      <c r="L8" s="6" t="s">
        <v>102</v>
      </c>
      <c r="N8" s="6" t="s">
        <v>38</v>
      </c>
      <c r="O8" s="6">
        <f xml:space="preserve"> O4 *O7</f>
        <v>2284.5869753653851</v>
      </c>
      <c r="P8" s="6" t="s">
        <v>20</v>
      </c>
      <c r="U8" s="2">
        <v>4</v>
      </c>
      <c r="V8" s="2">
        <f t="shared" si="7"/>
        <v>0</v>
      </c>
      <c r="W8" s="2">
        <f t="shared" si="0"/>
        <v>5.3949606341126138E-2</v>
      </c>
      <c r="X8" s="2">
        <f t="shared" si="8"/>
        <v>6.25E-2</v>
      </c>
      <c r="Y8" s="2">
        <f t="shared" si="1"/>
        <v>-8.6117203848206994E-3</v>
      </c>
      <c r="Z8" s="2">
        <f t="shared" si="3"/>
        <v>3.125E-2</v>
      </c>
      <c r="AA8" s="2">
        <f t="shared" si="2"/>
        <v>2.2684126202905767E-2</v>
      </c>
      <c r="AB8" s="2">
        <f t="shared" si="4"/>
        <v>1.2237996788391906E-3</v>
      </c>
      <c r="AC8" s="2">
        <f t="shared" si="5"/>
        <v>-1.9534935203340898E-4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-579.60273592808926</v>
      </c>
      <c r="AI8" s="2">
        <f t="shared" si="14"/>
        <v>2875</v>
      </c>
      <c r="AJ8" s="2">
        <v>422.18085342881704</v>
      </c>
      <c r="AK8" s="2">
        <f t="shared" si="9"/>
        <v>2281.25</v>
      </c>
      <c r="AL8" s="2">
        <v>-73.41120175501419</v>
      </c>
      <c r="AM8" s="2">
        <f t="shared" si="10"/>
        <v>42549.333384975173</v>
      </c>
      <c r="AN8" s="2">
        <f t="shared" si="11"/>
        <v>-30992.803808166962</v>
      </c>
      <c r="AO8" s="2">
        <f t="shared" si="12"/>
        <v>1187.5</v>
      </c>
    </row>
    <row r="9" spans="2:41" x14ac:dyDescent="0.2">
      <c r="B9" s="6" t="s">
        <v>95</v>
      </c>
      <c r="C9" s="17">
        <v>3.6974949730074602</v>
      </c>
      <c r="D9" s="6" t="s">
        <v>8</v>
      </c>
      <c r="F9" t="s">
        <v>19</v>
      </c>
      <c r="G9" s="6">
        <f xml:space="preserve"> $C$5 * $C$44 / $C$18</f>
        <v>5803.3973750561727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2284.5869753653851</v>
      </c>
      <c r="P9" s="6" t="s">
        <v>20</v>
      </c>
      <c r="U9" s="2">
        <v>5</v>
      </c>
      <c r="V9" s="2">
        <f t="shared" si="7"/>
        <v>3.125E-2</v>
      </c>
      <c r="W9" s="2">
        <f t="shared" si="0"/>
        <v>2.2684126202905767E-2</v>
      </c>
      <c r="X9" s="2">
        <f t="shared" si="8"/>
        <v>6.25E-2</v>
      </c>
      <c r="Y9" s="2">
        <f t="shared" si="1"/>
        <v>-8.6117203848206994E-3</v>
      </c>
      <c r="Z9" s="2">
        <f t="shared" si="3"/>
        <v>4.6875E-2</v>
      </c>
      <c r="AA9" s="2">
        <f t="shared" si="2"/>
        <v>7.0399160780185016E-3</v>
      </c>
      <c r="AB9" s="2">
        <f t="shared" si="4"/>
        <v>1.5969434477163709E-4</v>
      </c>
      <c r="AC9" s="2">
        <f t="shared" si="5"/>
        <v>-6.062578879649892E-5</v>
      </c>
      <c r="AD9" s="2">
        <f t="shared" si="6"/>
        <v>3.125E-2</v>
      </c>
      <c r="AF9" s="2">
        <v>5</v>
      </c>
      <c r="AG9" s="2">
        <f t="shared" si="13"/>
        <v>2281.25</v>
      </c>
      <c r="AH9" s="2">
        <v>-73.41120175501419</v>
      </c>
      <c r="AI9" s="2">
        <f t="shared" si="14"/>
        <v>2875</v>
      </c>
      <c r="AJ9" s="2">
        <v>422.18085342881704</v>
      </c>
      <c r="AK9" s="2">
        <f t="shared" si="9"/>
        <v>2578.125</v>
      </c>
      <c r="AL9" s="2">
        <v>175.79022499285634</v>
      </c>
      <c r="AM9" s="2">
        <f t="shared" si="10"/>
        <v>-12904.971673509914</v>
      </c>
      <c r="AN9" s="2">
        <f t="shared" si="11"/>
        <v>74215.267211927858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72.969809524786541</v>
      </c>
      <c r="H10" s="6" t="s">
        <v>101</v>
      </c>
      <c r="N10" s="6" t="s">
        <v>113</v>
      </c>
      <c r="O10" s="6">
        <f>O7/(0.3048^2)/($C$5*2.20462/1000)^(2/3)</f>
        <v>3.6034194536188147</v>
      </c>
      <c r="U10" s="2">
        <v>6</v>
      </c>
      <c r="V10" s="2">
        <f t="shared" si="7"/>
        <v>4.6875E-2</v>
      </c>
      <c r="W10" s="2">
        <f t="shared" si="0"/>
        <v>7.0399160780185016E-3</v>
      </c>
      <c r="X10" s="2">
        <f t="shared" si="8"/>
        <v>6.25E-2</v>
      </c>
      <c r="Y10" s="2">
        <f t="shared" si="1"/>
        <v>-8.6117203848206994E-3</v>
      </c>
      <c r="Z10" s="2">
        <f t="shared" si="3"/>
        <v>5.46875E-2</v>
      </c>
      <c r="AA10" s="2">
        <f t="shared" si="2"/>
        <v>-7.8498796797917686E-4</v>
      </c>
      <c r="AB10" s="2">
        <f t="shared" si="4"/>
        <v>-5.5262494168276802E-6</v>
      </c>
      <c r="AC10" s="2">
        <f t="shared" si="5"/>
        <v>6.7600968856852559E-6</v>
      </c>
      <c r="AD10" s="2">
        <f t="shared" si="6"/>
        <v>1.5625E-2</v>
      </c>
      <c r="AF10" s="2">
        <v>6</v>
      </c>
      <c r="AG10" s="2">
        <f t="shared" si="13"/>
        <v>2281.25</v>
      </c>
      <c r="AH10" s="2">
        <v>-73.41120175501419</v>
      </c>
      <c r="AI10" s="2">
        <f t="shared" si="14"/>
        <v>2578.125</v>
      </c>
      <c r="AJ10" s="2">
        <v>175.79022499285634</v>
      </c>
      <c r="AK10" s="2">
        <f t="shared" si="9"/>
        <v>2429.6875</v>
      </c>
      <c r="AL10" s="2">
        <v>51.527957685081901</v>
      </c>
      <c r="AM10" s="2">
        <f t="shared" si="10"/>
        <v>-3782.7292976433814</v>
      </c>
      <c r="AN10" s="2">
        <f t="shared" si="11"/>
        <v>9058.1112748829291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8.1142230613109785</v>
      </c>
      <c r="H11" s="6" t="s">
        <v>147</v>
      </c>
      <c r="J11" s="32" t="s">
        <v>51</v>
      </c>
      <c r="K11" s="32"/>
      <c r="L11" s="32"/>
      <c r="U11" s="2">
        <v>7</v>
      </c>
      <c r="V11" s="2">
        <f t="shared" si="7"/>
        <v>4.6875E-2</v>
      </c>
      <c r="W11" s="2">
        <f t="shared" si="0"/>
        <v>7.0399160780185016E-3</v>
      </c>
      <c r="X11" s="2">
        <f t="shared" si="8"/>
        <v>5.46875E-2</v>
      </c>
      <c r="Y11" s="2">
        <f t="shared" si="1"/>
        <v>-7.8498796797917686E-4</v>
      </c>
      <c r="Z11" s="2">
        <f t="shared" si="3"/>
        <v>5.078125E-2</v>
      </c>
      <c r="AA11" s="2">
        <f t="shared" si="2"/>
        <v>3.1276945253930558E-3</v>
      </c>
      <c r="AB11" s="2">
        <f t="shared" si="4"/>
        <v>2.2018706976445019E-5</v>
      </c>
      <c r="AC11" s="2">
        <f t="shared" si="5"/>
        <v>-2.455202569947891E-6</v>
      </c>
      <c r="AD11" s="2">
        <f t="shared" si="6"/>
        <v>7.8125E-3</v>
      </c>
      <c r="AF11" s="2">
        <v>7</v>
      </c>
      <c r="AG11" s="2">
        <f t="shared" si="13"/>
        <v>2281.25</v>
      </c>
      <c r="AH11" s="2">
        <v>-73.41120175501419</v>
      </c>
      <c r="AI11" s="2">
        <f t="shared" si="14"/>
        <v>2429.6875</v>
      </c>
      <c r="AJ11" s="2">
        <v>51.527957685081901</v>
      </c>
      <c r="AK11" s="2">
        <f t="shared" si="9"/>
        <v>2355.46875</v>
      </c>
      <c r="AL11" s="2">
        <v>-10.85825406349818</v>
      </c>
      <c r="AM11" s="2">
        <f t="shared" si="10"/>
        <v>797.11747976266747</v>
      </c>
      <c r="AN11" s="2">
        <f t="shared" si="11"/>
        <v>-559.5036559178028</v>
      </c>
      <c r="AO11" s="2">
        <f t="shared" si="12"/>
        <v>148.4375</v>
      </c>
    </row>
    <row r="12" spans="2:41" x14ac:dyDescent="0.2">
      <c r="B12" s="29" t="s">
        <v>11</v>
      </c>
      <c r="C12" s="29"/>
      <c r="D12" s="29"/>
      <c r="F12" s="24" t="s">
        <v>82</v>
      </c>
      <c r="G12" s="25">
        <f xml:space="preserve"> 1/1000 * (($C$5*$C$44)/$C$21 * ( ($G$4/2) + SQRT( ($G$4/2)^2 + ($C$5*$C$44) / (2*$C$41*PI()*$C$9^2 * $C$18) ) ) )</f>
        <v>291.87923809914616</v>
      </c>
      <c r="H12" s="25" t="s">
        <v>101</v>
      </c>
      <c r="J12" s="10" t="s">
        <v>79</v>
      </c>
      <c r="K12" s="6">
        <f>C5</f>
        <v>2368.3732449019699</v>
      </c>
      <c r="L12" s="6" t="s">
        <v>7</v>
      </c>
      <c r="N12" s="32" t="s">
        <v>73</v>
      </c>
      <c r="O12" s="34"/>
      <c r="P12" s="34"/>
      <c r="U12" s="2">
        <v>8</v>
      </c>
      <c r="V12" s="2">
        <f t="shared" si="7"/>
        <v>5.078125E-2</v>
      </c>
      <c r="W12" s="2">
        <f t="shared" si="0"/>
        <v>3.1276945253930558E-3</v>
      </c>
      <c r="X12" s="2">
        <f t="shared" si="8"/>
        <v>5.46875E-2</v>
      </c>
      <c r="Y12" s="2">
        <f t="shared" si="1"/>
        <v>-7.8498796797917686E-4</v>
      </c>
      <c r="Z12" s="2">
        <f t="shared" si="3"/>
        <v>5.2734375E-2</v>
      </c>
      <c r="AA12" s="2">
        <f t="shared" si="2"/>
        <v>1.171410665590171E-3</v>
      </c>
      <c r="AB12" s="2">
        <f t="shared" si="4"/>
        <v>3.6638147257534133E-6</v>
      </c>
      <c r="AC12" s="2">
        <f t="shared" si="5"/>
        <v>-9.1954327805076345E-7</v>
      </c>
      <c r="AD12" s="2">
        <f t="shared" si="6"/>
        <v>3.90625E-3</v>
      </c>
      <c r="AF12" s="2">
        <v>8</v>
      </c>
      <c r="AG12" s="2">
        <f t="shared" si="13"/>
        <v>2355.46875</v>
      </c>
      <c r="AH12" s="2">
        <v>-10.85825406349818</v>
      </c>
      <c r="AI12" s="2">
        <f t="shared" si="14"/>
        <v>2429.6875</v>
      </c>
      <c r="AJ12" s="2">
        <v>51.527957685081901</v>
      </c>
      <c r="AK12" s="2">
        <f t="shared" si="9"/>
        <v>2392.578125</v>
      </c>
      <c r="AL12" s="2">
        <v>20.35583447043814</v>
      </c>
      <c r="AM12" s="2">
        <f t="shared" si="10"/>
        <v>-221.02882235453126</v>
      </c>
      <c r="AN12" s="2">
        <f t="shared" si="11"/>
        <v>1048.8945772372681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753.43822336064818</v>
      </c>
      <c r="L13" s="6" t="s">
        <v>7</v>
      </c>
      <c r="N13" s="6" t="s">
        <v>74</v>
      </c>
      <c r="O13" s="6">
        <f xml:space="preserve"> SQRT( ($C$5*$C$50)^2 + O9^2)</f>
        <v>23323.528730421604</v>
      </c>
      <c r="P13" s="6" t="s">
        <v>20</v>
      </c>
      <c r="U13" s="2">
        <v>9</v>
      </c>
      <c r="V13" s="2">
        <f t="shared" si="7"/>
        <v>5.2734375E-2</v>
      </c>
      <c r="W13" s="2">
        <f t="shared" si="0"/>
        <v>1.171410665590171E-3</v>
      </c>
      <c r="X13" s="2">
        <f t="shared" si="8"/>
        <v>5.46875E-2</v>
      </c>
      <c r="Y13" s="2">
        <f t="shared" si="1"/>
        <v>-7.8498796797917686E-4</v>
      </c>
      <c r="Z13" s="2">
        <f t="shared" si="3"/>
        <v>5.37109375E-2</v>
      </c>
      <c r="AA13" s="2">
        <f t="shared" si="2"/>
        <v>1.932256658212575E-4</v>
      </c>
      <c r="AB13" s="2">
        <f t="shared" si="4"/>
        <v>2.2634660580878319E-7</v>
      </c>
      <c r="AC13" s="2">
        <f t="shared" si="5"/>
        <v>-1.516798227744524E-7</v>
      </c>
      <c r="AD13" s="2">
        <f t="shared" si="6"/>
        <v>1.953125E-3</v>
      </c>
      <c r="AF13" s="2">
        <v>9</v>
      </c>
      <c r="AG13" s="2">
        <f t="shared" si="13"/>
        <v>2355.46875</v>
      </c>
      <c r="AH13" s="2">
        <v>-10.85825406349818</v>
      </c>
      <c r="AI13" s="2">
        <f t="shared" si="14"/>
        <v>2392.578125</v>
      </c>
      <c r="AJ13" s="2">
        <v>20.35583447043814</v>
      </c>
      <c r="AK13" s="2">
        <f t="shared" si="9"/>
        <v>2374.0234375</v>
      </c>
      <c r="AL13" s="2">
        <v>4.7540169286116907</v>
      </c>
      <c r="AM13" s="2">
        <f t="shared" si="10"/>
        <v>-51.620323633037025</v>
      </c>
      <c r="AN13" s="2">
        <f t="shared" si="11"/>
        <v>96.771981668480308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2" t="s">
        <v>86</v>
      </c>
      <c r="G14" s="33"/>
      <c r="H14" s="33"/>
      <c r="J14" s="12" t="s">
        <v>126</v>
      </c>
      <c r="K14" s="6">
        <f>uniform_250!K14</f>
        <v>217.10859142854926</v>
      </c>
      <c r="L14" s="6" t="s">
        <v>7</v>
      </c>
      <c r="N14" s="6" t="s">
        <v>75</v>
      </c>
      <c r="O14" s="6">
        <f>$C$5*$C$50/O13</f>
        <v>0.99519113737383735</v>
      </c>
      <c r="U14" s="2">
        <v>10</v>
      </c>
      <c r="V14" s="2">
        <f t="shared" si="7"/>
        <v>5.37109375E-2</v>
      </c>
      <c r="W14" s="2">
        <f t="shared" si="0"/>
        <v>1.932256658212575E-4</v>
      </c>
      <c r="X14" s="2">
        <f t="shared" si="8"/>
        <v>5.46875E-2</v>
      </c>
      <c r="Y14" s="2">
        <f t="shared" si="1"/>
        <v>-7.8498796797917686E-4</v>
      </c>
      <c r="Z14" s="2">
        <f t="shared" si="3"/>
        <v>5.419921875E-2</v>
      </c>
      <c r="AA14" s="2">
        <f t="shared" si="2"/>
        <v>-2.9587757559181027E-4</v>
      </c>
      <c r="AB14" s="2">
        <f t="shared" si="4"/>
        <v>-5.7171141545306985E-8</v>
      </c>
      <c r="AC14" s="2">
        <f t="shared" si="5"/>
        <v>2.3226033683442043E-7</v>
      </c>
      <c r="AD14" s="2">
        <f t="shared" si="6"/>
        <v>9.765625E-4</v>
      </c>
      <c r="AF14" s="2">
        <v>10</v>
      </c>
      <c r="AG14" s="2">
        <f t="shared" si="13"/>
        <v>2355.46875</v>
      </c>
      <c r="AH14" s="2">
        <v>-10.85825406349818</v>
      </c>
      <c r="AI14" s="2">
        <f t="shared" si="14"/>
        <v>2374.0234375</v>
      </c>
      <c r="AJ14" s="2">
        <v>4.7540169286116907</v>
      </c>
      <c r="AK14" s="2">
        <f t="shared" si="9"/>
        <v>2364.74609375</v>
      </c>
      <c r="AL14" s="2">
        <v>-3.0508165375342742</v>
      </c>
      <c r="AM14" s="2">
        <f t="shared" si="10"/>
        <v>33.126541065668981</v>
      </c>
      <c r="AN14" s="2">
        <f t="shared" si="11"/>
        <v>-14.503633465526443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>uniform_250!K15</f>
        <v>291.87210733785793</v>
      </c>
      <c r="L15" s="6" t="s">
        <v>7</v>
      </c>
      <c r="U15" s="2">
        <v>11</v>
      </c>
      <c r="V15" s="2">
        <f t="shared" si="7"/>
        <v>5.37109375E-2</v>
      </c>
      <c r="W15" s="2">
        <f t="shared" si="0"/>
        <v>1.932256658212575E-4</v>
      </c>
      <c r="X15" s="2">
        <f t="shared" si="8"/>
        <v>5.419921875E-2</v>
      </c>
      <c r="Y15" s="2">
        <f t="shared" si="1"/>
        <v>-2.9587757559181027E-4</v>
      </c>
      <c r="Z15" s="2">
        <f t="shared" si="3"/>
        <v>5.3955078125E-2</v>
      </c>
      <c r="AA15" s="2">
        <f t="shared" si="2"/>
        <v>-5.1325060540258205E-5</v>
      </c>
      <c r="AB15" s="2">
        <f t="shared" si="4"/>
        <v>-9.917318996207742E-9</v>
      </c>
      <c r="AC15" s="2">
        <f t="shared" si="5"/>
        <v>1.5185934479754485E-8</v>
      </c>
      <c r="AD15" s="2">
        <f t="shared" si="6"/>
        <v>4.8828125E-4</v>
      </c>
      <c r="AF15" s="2">
        <v>11</v>
      </c>
      <c r="AG15" s="2">
        <f t="shared" si="13"/>
        <v>2364.74609375</v>
      </c>
      <c r="AH15" s="2">
        <v>-3.0508165375342742</v>
      </c>
      <c r="AI15" s="2">
        <f t="shared" si="14"/>
        <v>2374.0234375</v>
      </c>
      <c r="AJ15" s="2">
        <v>4.7540169286116907</v>
      </c>
      <c r="AK15" s="2">
        <f t="shared" si="9"/>
        <v>2369.384765625</v>
      </c>
      <c r="AL15" s="2">
        <v>0.85193078228780905</v>
      </c>
      <c r="AM15" s="2">
        <f t="shared" si="10"/>
        <v>-2.5990845194381591</v>
      </c>
      <c r="AN15" s="2">
        <f t="shared" si="11"/>
        <v>4.050093361001645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140.44267922368732</v>
      </c>
      <c r="H16" s="6" t="s">
        <v>10</v>
      </c>
      <c r="J16" s="13" t="s">
        <v>53</v>
      </c>
      <c r="K16" s="6">
        <f>uniform_250!K16</f>
        <v>104.28820317467412</v>
      </c>
      <c r="L16" s="6" t="s">
        <v>7</v>
      </c>
      <c r="N16" s="32" t="s">
        <v>24</v>
      </c>
      <c r="O16" s="34"/>
      <c r="P16" s="34"/>
      <c r="U16" s="2">
        <v>12</v>
      </c>
      <c r="V16" s="2">
        <f t="shared" si="7"/>
        <v>5.37109375E-2</v>
      </c>
      <c r="W16" s="2">
        <f t="shared" si="0"/>
        <v>1.932256658212575E-4</v>
      </c>
      <c r="X16" s="2">
        <f t="shared" si="8"/>
        <v>5.3955078125E-2</v>
      </c>
      <c r="Y16" s="2">
        <f t="shared" si="1"/>
        <v>-5.1325060540258205E-5</v>
      </c>
      <c r="Z16" s="2">
        <f t="shared" si="3"/>
        <v>5.38330078125E-2</v>
      </c>
      <c r="AA16" s="2">
        <f t="shared" si="2"/>
        <v>7.0950526285702697E-5</v>
      </c>
      <c r="AB16" s="2">
        <f t="shared" si="4"/>
        <v>1.3709462681923535E-8</v>
      </c>
      <c r="AC16" s="2">
        <f t="shared" si="5"/>
        <v>-3.6415400569768721E-9</v>
      </c>
      <c r="AD16" s="2">
        <f t="shared" si="6"/>
        <v>2.44140625E-4</v>
      </c>
      <c r="AF16" s="2">
        <v>12</v>
      </c>
      <c r="AG16" s="2">
        <f t="shared" si="13"/>
        <v>2364.74609375</v>
      </c>
      <c r="AH16" s="2">
        <v>-3.0508165375342742</v>
      </c>
      <c r="AI16" s="2">
        <f t="shared" si="14"/>
        <v>2369.384765625</v>
      </c>
      <c r="AJ16" s="2">
        <v>0.85193078228780905</v>
      </c>
      <c r="AK16" s="2">
        <f t="shared" si="9"/>
        <v>2367.0654296875</v>
      </c>
      <c r="AL16" s="2">
        <v>-1.099361160176386</v>
      </c>
      <c r="AM16" s="2">
        <f t="shared" si="10"/>
        <v>3.3539492081889843</v>
      </c>
      <c r="AN16" s="2">
        <f t="shared" si="11"/>
        <v>-0.93657961320590188</v>
      </c>
      <c r="AO16" s="2">
        <f t="shared" si="12"/>
        <v>4.638671875</v>
      </c>
    </row>
    <row r="17" spans="2:41" x14ac:dyDescent="0.2">
      <c r="B17" s="31" t="s">
        <v>110</v>
      </c>
      <c r="C17" s="31"/>
      <c r="D17" s="31"/>
      <c r="F17" s="6" t="s">
        <v>124</v>
      </c>
      <c r="G17" s="6">
        <f>G16/$C$49</f>
        <v>0.42210248748983775</v>
      </c>
      <c r="H17" s="6" t="s">
        <v>122</v>
      </c>
      <c r="J17" s="13" t="s">
        <v>77</v>
      </c>
      <c r="K17" s="6">
        <f>uniform_250!K17</f>
        <v>56.046372987699051</v>
      </c>
      <c r="L17" s="6" t="s">
        <v>7</v>
      </c>
      <c r="N17" s="6" t="s">
        <v>25</v>
      </c>
      <c r="O17" s="6">
        <f xml:space="preserve"> ACOS(O14)/PI()*180</f>
        <v>5.6212513884422162</v>
      </c>
      <c r="P17" s="6" t="s">
        <v>40</v>
      </c>
      <c r="U17" s="2">
        <v>13</v>
      </c>
      <c r="V17" s="2">
        <f t="shared" si="7"/>
        <v>5.38330078125E-2</v>
      </c>
      <c r="W17" s="2">
        <f t="shared" si="0"/>
        <v>7.0950526285702697E-5</v>
      </c>
      <c r="X17" s="2">
        <f t="shared" si="8"/>
        <v>5.3955078125E-2</v>
      </c>
      <c r="Y17" s="2">
        <f t="shared" si="1"/>
        <v>-5.1325060540258205E-5</v>
      </c>
      <c r="Z17" s="2">
        <f t="shared" si="3"/>
        <v>5.389404296875E-2</v>
      </c>
      <c r="AA17" s="2">
        <f t="shared" si="2"/>
        <v>9.8127887766669142E-6</v>
      </c>
      <c r="AB17" s="2">
        <f t="shared" si="4"/>
        <v>6.9622252803495429E-10</v>
      </c>
      <c r="AC17" s="2">
        <f t="shared" si="5"/>
        <v>-5.0364197803119564E-10</v>
      </c>
      <c r="AD17" s="2">
        <f t="shared" si="6"/>
        <v>1.220703125E-4</v>
      </c>
      <c r="AF17" s="2">
        <v>13</v>
      </c>
      <c r="AG17" s="2">
        <f t="shared" si="13"/>
        <v>2367.0654296875</v>
      </c>
      <c r="AH17" s="2">
        <v>-1.099361160176386</v>
      </c>
      <c r="AI17" s="2">
        <f t="shared" si="14"/>
        <v>2369.384765625</v>
      </c>
      <c r="AJ17" s="2">
        <v>0.85193078228780905</v>
      </c>
      <c r="AK17" s="2">
        <f t="shared" si="9"/>
        <v>2368.22509765625</v>
      </c>
      <c r="AL17" s="2">
        <v>-0.12369346098171263</v>
      </c>
      <c r="AM17" s="2">
        <f t="shared" si="10"/>
        <v>0.13598378677108813</v>
      </c>
      <c r="AN17" s="2">
        <f t="shared" si="11"/>
        <v>-0.10537826697803702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5830.8821826054009</v>
      </c>
      <c r="H18" s="6" t="s">
        <v>20</v>
      </c>
      <c r="J18" s="14" t="s">
        <v>60</v>
      </c>
      <c r="K18" s="6">
        <f>uniform_250!K18</f>
        <v>137.73869334765726</v>
      </c>
      <c r="L18" s="6" t="s">
        <v>7</v>
      </c>
      <c r="N18" s="6" t="s">
        <v>19</v>
      </c>
      <c r="O18" s="6">
        <f xml:space="preserve"> O13 / $C$18</f>
        <v>5830.8821826054009</v>
      </c>
      <c r="P18" s="6" t="s">
        <v>20</v>
      </c>
      <c r="U18" s="2">
        <v>14</v>
      </c>
      <c r="V18" s="2">
        <f t="shared" si="7"/>
        <v>5.389404296875E-2</v>
      </c>
      <c r="W18" s="2">
        <f t="shared" si="0"/>
        <v>9.8127887766669142E-6</v>
      </c>
      <c r="X18" s="2">
        <f t="shared" si="8"/>
        <v>5.3955078125E-2</v>
      </c>
      <c r="Y18" s="2">
        <f t="shared" si="1"/>
        <v>-5.1325060540258205E-5</v>
      </c>
      <c r="Z18" s="2">
        <f t="shared" si="3"/>
        <v>5.3924560546875E-2</v>
      </c>
      <c r="AA18" s="2">
        <f t="shared" si="2"/>
        <v>-2.0756121906731484E-5</v>
      </c>
      <c r="AB18" s="2">
        <f t="shared" si="4"/>
        <v>-2.0367544009350498E-10</v>
      </c>
      <c r="AC18" s="2">
        <f t="shared" si="5"/>
        <v>1.065309213443973E-9</v>
      </c>
      <c r="AD18" s="2">
        <f t="shared" si="6"/>
        <v>6.103515625E-5</v>
      </c>
      <c r="AF18" s="2">
        <v>14</v>
      </c>
      <c r="AG18" s="2">
        <f t="shared" si="13"/>
        <v>2368.22509765625</v>
      </c>
      <c r="AH18" s="2">
        <v>-0.12369346098171263</v>
      </c>
      <c r="AI18" s="2">
        <f t="shared" si="14"/>
        <v>2369.384765625</v>
      </c>
      <c r="AJ18" s="2">
        <v>0.85193078228780905</v>
      </c>
      <c r="AK18" s="2">
        <f t="shared" si="9"/>
        <v>2368.804931640625</v>
      </c>
      <c r="AL18" s="2">
        <v>0.36411819361251219</v>
      </c>
      <c r="AM18" s="2">
        <f t="shared" si="10"/>
        <v>-4.503903957434096E-2</v>
      </c>
      <c r="AN18" s="2">
        <f t="shared" si="11"/>
        <v>0.31020349752953141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61.822210074809071</v>
      </c>
      <c r="H19" s="6" t="s">
        <v>101</v>
      </c>
      <c r="J19" s="14" t="s">
        <v>61</v>
      </c>
      <c r="K19" s="6">
        <f>uniform_250!K19</f>
        <v>33.45869403254224</v>
      </c>
      <c r="L19" s="6" t="s">
        <v>7</v>
      </c>
      <c r="N19" s="6" t="s">
        <v>26</v>
      </c>
      <c r="O19" s="6">
        <f>$C$7*2*PI()/60</f>
        <v>37.983196799170862</v>
      </c>
      <c r="P19" s="6" t="s">
        <v>27</v>
      </c>
      <c r="U19" s="2">
        <v>15</v>
      </c>
      <c r="V19" s="2">
        <f t="shared" si="7"/>
        <v>5.389404296875E-2</v>
      </c>
      <c r="W19" s="2">
        <f t="shared" si="0"/>
        <v>9.8127887766669142E-6</v>
      </c>
      <c r="X19" s="2">
        <f t="shared" si="8"/>
        <v>5.3924560546875E-2</v>
      </c>
      <c r="Y19" s="2">
        <f t="shared" si="1"/>
        <v>-2.0756121906731484E-5</v>
      </c>
      <c r="Z19" s="2">
        <f t="shared" si="3"/>
        <v>5.39093017578125E-2</v>
      </c>
      <c r="AA19" s="2">
        <f t="shared" si="2"/>
        <v>-5.4716630711534875E-6</v>
      </c>
      <c r="AB19" s="2">
        <f t="shared" si="4"/>
        <v>-5.3692273974317759E-11</v>
      </c>
      <c r="AC19" s="2">
        <f t="shared" si="5"/>
        <v>1.1357050573742257E-10</v>
      </c>
      <c r="AD19" s="2">
        <f t="shared" si="6"/>
        <v>3.0517578125E-5</v>
      </c>
      <c r="AF19" s="2">
        <v>15</v>
      </c>
      <c r="AG19" s="2">
        <f t="shared" si="13"/>
        <v>2368.22509765625</v>
      </c>
      <c r="AH19" s="2">
        <v>-0.12369346098171263</v>
      </c>
      <c r="AI19" s="2">
        <f t="shared" si="14"/>
        <v>2368.804931640625</v>
      </c>
      <c r="AJ19" s="2">
        <v>0.36411819361251219</v>
      </c>
      <c r="AK19" s="2">
        <f t="shared" si="9"/>
        <v>2368.5150146484375</v>
      </c>
      <c r="AL19" s="2">
        <v>0.12021816129822582</v>
      </c>
      <c r="AM19" s="2">
        <f t="shared" si="10"/>
        <v>-1.4870200443835331E-2</v>
      </c>
      <c r="AN19" s="2">
        <f t="shared" si="11"/>
        <v>4.3773619731327609E-2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9.6236346826787678</v>
      </c>
      <c r="H20" s="6" t="s">
        <v>147</v>
      </c>
      <c r="J20" s="14" t="s">
        <v>62</v>
      </c>
      <c r="K20" s="6">
        <f>uniform_250!K20</f>
        <v>0</v>
      </c>
      <c r="L20" s="6" t="s">
        <v>7</v>
      </c>
      <c r="N20" s="6" t="s">
        <v>28</v>
      </c>
      <c r="O20" s="6">
        <f xml:space="preserve"> $C$8 * COS(O17/180*PI()) / (O19 * $C$9)</f>
        <v>0.47516564962030877</v>
      </c>
      <c r="U20" s="2">
        <v>16</v>
      </c>
      <c r="V20" s="2">
        <f t="shared" si="7"/>
        <v>5.389404296875E-2</v>
      </c>
      <c r="W20" s="2">
        <f t="shared" si="0"/>
        <v>9.8127887766669142E-6</v>
      </c>
      <c r="X20" s="2">
        <f t="shared" si="8"/>
        <v>5.39093017578125E-2</v>
      </c>
      <c r="Y20" s="2">
        <f t="shared" si="1"/>
        <v>-5.4716630711534875E-6</v>
      </c>
      <c r="Z20" s="2">
        <f t="shared" si="3"/>
        <v>5.390167236328125E-2</v>
      </c>
      <c r="AA20" s="2">
        <f t="shared" si="2"/>
        <v>2.1705637262420252E-6</v>
      </c>
      <c r="AB20" s="2">
        <f t="shared" si="4"/>
        <v>2.1299283371908061E-11</v>
      </c>
      <c r="AC20" s="2">
        <f t="shared" si="5"/>
        <v>-1.1876593384463797E-11</v>
      </c>
      <c r="AD20" s="2">
        <f t="shared" si="6"/>
        <v>1.52587890625E-5</v>
      </c>
      <c r="AF20" s="2">
        <v>16</v>
      </c>
      <c r="AG20" s="2">
        <f t="shared" si="13"/>
        <v>2368.22509765625</v>
      </c>
      <c r="AH20" s="2">
        <v>-0.12369346098171263</v>
      </c>
      <c r="AI20" s="2">
        <f t="shared" si="14"/>
        <v>2368.5150146484375</v>
      </c>
      <c r="AJ20" s="2">
        <v>0.12021816129822582</v>
      </c>
      <c r="AK20" s="2">
        <f t="shared" si="9"/>
        <v>2368.3700561523438</v>
      </c>
      <c r="AL20" s="2">
        <v>-1.7385666021709767E-3</v>
      </c>
      <c r="AM20" s="2">
        <f t="shared" si="10"/>
        <v>2.150493201697444E-4</v>
      </c>
      <c r="AN20" s="2">
        <f t="shared" si="11"/>
        <v>-2.0900728020749887E-4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0.11114593257433275</v>
      </c>
      <c r="J21" s="14" t="s">
        <v>63</v>
      </c>
      <c r="K21" s="6">
        <f>uniform_250!K21</f>
        <v>0</v>
      </c>
      <c r="L21" s="6" t="s">
        <v>7</v>
      </c>
      <c r="N21" s="6" t="s">
        <v>29</v>
      </c>
      <c r="O21" s="6">
        <f xml:space="preserve"> O18 / ($C$47 * PI() * $C$9^2 * O19^2 * $C$9^2)</f>
        <v>6.8245800005579818E-3</v>
      </c>
      <c r="U21" s="2">
        <v>17</v>
      </c>
      <c r="V21" s="2">
        <f t="shared" si="7"/>
        <v>5.390167236328125E-2</v>
      </c>
      <c r="W21" s="2">
        <f t="shared" si="0"/>
        <v>2.1705637262420252E-6</v>
      </c>
      <c r="X21" s="2">
        <f t="shared" si="8"/>
        <v>5.39093017578125E-2</v>
      </c>
      <c r="Y21" s="2">
        <f t="shared" si="1"/>
        <v>-5.4716630711534875E-6</v>
      </c>
      <c r="Z21" s="2">
        <f t="shared" si="3"/>
        <v>5.3905487060546875E-2</v>
      </c>
      <c r="AA21" s="2">
        <f t="shared" si="2"/>
        <v>-1.6505494540852705E-6</v>
      </c>
      <c r="AB21" s="2">
        <f t="shared" si="4"/>
        <v>-3.5826227734060653E-12</v>
      </c>
      <c r="AC21" s="2">
        <f t="shared" si="5"/>
        <v>9.0312504950309239E-12</v>
      </c>
      <c r="AD21" s="2">
        <f t="shared" si="6"/>
        <v>7.62939453125E-6</v>
      </c>
      <c r="AF21" s="2">
        <v>17</v>
      </c>
      <c r="AG21" s="2">
        <f t="shared" si="13"/>
        <v>2368.3700561523438</v>
      </c>
      <c r="AH21" s="2">
        <v>-1.7385666021709767E-3</v>
      </c>
      <c r="AI21" s="2">
        <f t="shared" si="14"/>
        <v>2368.5150146484375</v>
      </c>
      <c r="AJ21" s="2">
        <v>0.12021816129822582</v>
      </c>
      <c r="AK21" s="2">
        <f t="shared" si="9"/>
        <v>2368.4425354003906</v>
      </c>
      <c r="AL21" s="2">
        <v>5.9234837865460577E-2</v>
      </c>
      <c r="AM21" s="2">
        <f t="shared" si="10"/>
        <v>-1.0298371079790251E-4</v>
      </c>
      <c r="AN21" s="2">
        <f t="shared" si="11"/>
        <v>7.1211032929841944E-3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247.28884029923628</v>
      </c>
      <c r="H22" s="25" t="s">
        <v>101</v>
      </c>
      <c r="J22" s="14" t="s">
        <v>112</v>
      </c>
      <c r="K22" s="6">
        <f>uniform_250!K22</f>
        <v>27.692712939142108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5.390167236328125E-2</v>
      </c>
      <c r="W22" s="2">
        <f t="shared" si="0"/>
        <v>2.1705637262420252E-6</v>
      </c>
      <c r="X22" s="2">
        <f t="shared" si="8"/>
        <v>5.3905487060546875E-2</v>
      </c>
      <c r="Y22" s="2">
        <f t="shared" si="1"/>
        <v>-1.6505494540852705E-6</v>
      </c>
      <c r="Z22" s="2">
        <f t="shared" si="3"/>
        <v>5.3903579711914062E-2</v>
      </c>
      <c r="AA22" s="2">
        <f t="shared" si="2"/>
        <v>2.6000719066665567E-7</v>
      </c>
      <c r="AB22" s="2">
        <f t="shared" si="4"/>
        <v>5.6436217662313685E-13</v>
      </c>
      <c r="AC22" s="2">
        <f t="shared" si="5"/>
        <v>-4.2915472661309337E-13</v>
      </c>
      <c r="AD22" s="2">
        <f t="shared" si="6"/>
        <v>3.814697265625E-6</v>
      </c>
      <c r="AF22" s="2">
        <v>18</v>
      </c>
      <c r="AG22" s="2">
        <f t="shared" si="13"/>
        <v>2368.3700561523438</v>
      </c>
      <c r="AH22" s="2">
        <v>-1.7385666021709767E-3</v>
      </c>
      <c r="AI22" s="2">
        <f t="shared" si="14"/>
        <v>2368.4425354003906</v>
      </c>
      <c r="AJ22" s="2">
        <v>5.9234837865460577E-2</v>
      </c>
      <c r="AK22" s="2">
        <f t="shared" si="9"/>
        <v>2368.4062957763672</v>
      </c>
      <c r="AL22" s="2">
        <v>2.8743348151238024E-2</v>
      </c>
      <c r="AM22" s="2">
        <f t="shared" si="10"/>
        <v>-4.9972225130315318E-5</v>
      </c>
      <c r="AN22" s="2">
        <f t="shared" si="11"/>
        <v>1.7026075674490704E-3</v>
      </c>
      <c r="AO22" s="2">
        <f t="shared" si="12"/>
        <v>7.2479248046875E-2</v>
      </c>
    </row>
    <row r="23" spans="2:41" x14ac:dyDescent="0.2">
      <c r="J23" s="15" t="s">
        <v>64</v>
      </c>
      <c r="K23" s="6">
        <f>uniform_250!K23</f>
        <v>64.049500005152296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16802.348154904037</v>
      </c>
      <c r="P23" s="6" t="s">
        <v>18</v>
      </c>
      <c r="U23" s="2">
        <v>19</v>
      </c>
      <c r="V23" s="2">
        <f t="shared" si="7"/>
        <v>5.3903579711914062E-2</v>
      </c>
      <c r="W23" s="2">
        <f t="shared" si="0"/>
        <v>2.6000719066665567E-7</v>
      </c>
      <c r="X23" s="2">
        <f t="shared" si="8"/>
        <v>5.3905487060546875E-2</v>
      </c>
      <c r="Y23" s="2">
        <f t="shared" si="1"/>
        <v>-1.6505494540852705E-6</v>
      </c>
      <c r="Z23" s="2">
        <f t="shared" si="3"/>
        <v>5.3904533386230469E-2</v>
      </c>
      <c r="AA23" s="2">
        <f t="shared" si="2"/>
        <v>-6.9527111806050312E-7</v>
      </c>
      <c r="AB23" s="2">
        <f t="shared" si="4"/>
        <v>-1.8077549015857609E-13</v>
      </c>
      <c r="AC23" s="2">
        <f t="shared" si="5"/>
        <v>1.1475793643560191E-12</v>
      </c>
      <c r="AD23" s="2">
        <f t="shared" si="6"/>
        <v>1.9073486328125E-6</v>
      </c>
      <c r="AF23" s="2">
        <v>19</v>
      </c>
      <c r="AG23" s="2">
        <f t="shared" si="13"/>
        <v>2368.3700561523438</v>
      </c>
      <c r="AH23" s="2">
        <v>-1.7385666021709767E-3</v>
      </c>
      <c r="AI23" s="2">
        <f t="shared" si="14"/>
        <v>2368.4062957763672</v>
      </c>
      <c r="AJ23" s="2">
        <v>2.8743348151238024E-2</v>
      </c>
      <c r="AK23" s="2">
        <f t="shared" si="9"/>
        <v>2368.3881759643555</v>
      </c>
      <c r="AL23" s="2">
        <v>1.3502376477390499E-2</v>
      </c>
      <c r="AM23" s="2">
        <f t="shared" si="10"/>
        <v>-2.3474780793530121E-5</v>
      </c>
      <c r="AN23" s="2">
        <f t="shared" si="11"/>
        <v>3.8810350795872195E-4</v>
      </c>
      <c r="AO23" s="2">
        <f t="shared" si="12"/>
        <v>3.62396240234375E-2</v>
      </c>
    </row>
    <row r="24" spans="2:41" x14ac:dyDescent="0.2">
      <c r="B24" s="31" t="s">
        <v>104</v>
      </c>
      <c r="C24" s="31"/>
      <c r="D24" s="31"/>
      <c r="F24" s="32" t="s">
        <v>81</v>
      </c>
      <c r="G24" s="33"/>
      <c r="H24" s="33"/>
      <c r="J24" s="15" t="s">
        <v>65</v>
      </c>
      <c r="K24" s="6">
        <f>uniform_250!K24</f>
        <v>8.8695808316148437</v>
      </c>
      <c r="L24" s="6" t="s">
        <v>7</v>
      </c>
      <c r="N24" s="6" t="s">
        <v>31</v>
      </c>
      <c r="O24" s="18">
        <f>Z34</f>
        <v>5.3903839085251093E-2</v>
      </c>
      <c r="U24" s="2">
        <v>20</v>
      </c>
      <c r="V24" s="2">
        <f t="shared" si="7"/>
        <v>5.3903579711914062E-2</v>
      </c>
      <c r="W24" s="2">
        <f t="shared" si="0"/>
        <v>2.6000719066665567E-7</v>
      </c>
      <c r="X24" s="2">
        <f t="shared" si="8"/>
        <v>5.3904533386230469E-2</v>
      </c>
      <c r="Y24" s="2">
        <f t="shared" si="1"/>
        <v>-6.9527111806050312E-7</v>
      </c>
      <c r="Z24" s="2">
        <f t="shared" si="3"/>
        <v>5.3904056549072266E-2</v>
      </c>
      <c r="AA24" s="2">
        <f t="shared" si="2"/>
        <v>-2.1763196028645737E-7</v>
      </c>
      <c r="AB24" s="2">
        <f t="shared" si="4"/>
        <v>-5.6585874593358958E-14</v>
      </c>
      <c r="AC24" s="2">
        <f t="shared" si="5"/>
        <v>1.5131321635406424E-13</v>
      </c>
      <c r="AD24" s="2">
        <f t="shared" si="6"/>
        <v>9.5367431640625E-7</v>
      </c>
      <c r="AF24" s="2">
        <v>20</v>
      </c>
      <c r="AG24" s="2">
        <f t="shared" si="13"/>
        <v>2368.3700561523438</v>
      </c>
      <c r="AH24" s="2">
        <v>-1.7385666021709767E-3</v>
      </c>
      <c r="AI24" s="2">
        <f t="shared" si="14"/>
        <v>2368.3881759643555</v>
      </c>
      <c r="AJ24" s="2">
        <v>1.3502376477390499E-2</v>
      </c>
      <c r="AK24" s="2">
        <f t="shared" si="9"/>
        <v>2368.3791160583496</v>
      </c>
      <c r="AL24" s="2">
        <v>5.8771711971985496E-3</v>
      </c>
      <c r="AM24" s="2">
        <f t="shared" si="10"/>
        <v>-1.0217853558690613E-5</v>
      </c>
      <c r="AN24" s="2">
        <f t="shared" si="11"/>
        <v>7.9355778126650653E-5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>uniform_250!K25</f>
        <v>19.11925373288128</v>
      </c>
      <c r="L25" s="6" t="s">
        <v>7</v>
      </c>
      <c r="N25" s="6" t="s">
        <v>32</v>
      </c>
      <c r="O25" s="6">
        <f xml:space="preserve"> O19 * $C$9 * O24 - $C$8 * SIN(O17/180*PI())</f>
        <v>1.0021282882059639</v>
      </c>
      <c r="P25" s="6" t="s">
        <v>10</v>
      </c>
      <c r="U25" s="2">
        <v>21</v>
      </c>
      <c r="V25" s="2">
        <f t="shared" si="7"/>
        <v>5.3903579711914062E-2</v>
      </c>
      <c r="W25" s="2">
        <f t="shared" si="0"/>
        <v>2.6000719066665567E-7</v>
      </c>
      <c r="X25" s="2">
        <f t="shared" si="8"/>
        <v>5.3904056549072266E-2</v>
      </c>
      <c r="Y25" s="2">
        <f t="shared" si="1"/>
        <v>-2.1763196028645737E-7</v>
      </c>
      <c r="Z25" s="2">
        <f t="shared" si="3"/>
        <v>5.3903818130493164E-2</v>
      </c>
      <c r="AA25" s="2">
        <f t="shared" si="2"/>
        <v>2.1187616043583102E-8</v>
      </c>
      <c r="AB25" s="2">
        <f t="shared" si="4"/>
        <v>5.508932524415804E-15</v>
      </c>
      <c r="AC25" s="2">
        <f t="shared" si="5"/>
        <v>-4.6111024133617843E-15</v>
      </c>
      <c r="AD25" s="2">
        <f t="shared" si="6"/>
        <v>4.76837158203125E-7</v>
      </c>
      <c r="AF25" s="2">
        <v>21</v>
      </c>
      <c r="AG25" s="2">
        <f t="shared" si="13"/>
        <v>2368.3700561523438</v>
      </c>
      <c r="AH25" s="2">
        <v>-1.7385666021709767E-3</v>
      </c>
      <c r="AI25" s="2">
        <f t="shared" si="14"/>
        <v>2368.3791160583496</v>
      </c>
      <c r="AJ25" s="2">
        <v>5.8771711971985496E-3</v>
      </c>
      <c r="AK25" s="2">
        <f t="shared" si="9"/>
        <v>2368.3745861053467</v>
      </c>
      <c r="AL25" s="2">
        <v>2.074031565371115E-3</v>
      </c>
      <c r="AM25" s="2">
        <f t="shared" si="10"/>
        <v>-3.6058420114026112E-6</v>
      </c>
      <c r="AN25" s="2">
        <f t="shared" si="11"/>
        <v>1.2189438578079739E-5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>uniform_250!K26</f>
        <v>54.690367675875919</v>
      </c>
      <c r="L26" s="6" t="s">
        <v>7</v>
      </c>
      <c r="N26" s="6" t="s">
        <v>33</v>
      </c>
      <c r="O26" s="6">
        <f xml:space="preserve"> 1/$C$21 - O23 * SQRT( (2*$C$47*PI()*$C$9^2) / O18^3 )</f>
        <v>0.98208551096602759</v>
      </c>
      <c r="U26" s="2">
        <v>22</v>
      </c>
      <c r="V26" s="2">
        <f t="shared" si="7"/>
        <v>5.3903818130493164E-2</v>
      </c>
      <c r="W26" s="2">
        <f t="shared" si="0"/>
        <v>2.1187616043583102E-8</v>
      </c>
      <c r="X26" s="2">
        <f t="shared" si="8"/>
        <v>5.3904056549072266E-2</v>
      </c>
      <c r="Y26" s="2">
        <f t="shared" si="1"/>
        <v>-2.1763196028645737E-7</v>
      </c>
      <c r="Z26" s="2">
        <f t="shared" si="3"/>
        <v>5.3903937339782715E-2</v>
      </c>
      <c r="AA26" s="2">
        <f t="shared" si="2"/>
        <v>-9.8222171909800871E-8</v>
      </c>
      <c r="AB26" s="2">
        <f t="shared" si="4"/>
        <v>-2.0810936653916744E-15</v>
      </c>
      <c r="AC26" s="2">
        <f t="shared" si="5"/>
        <v>2.1376283816323371E-14</v>
      </c>
      <c r="AD26" s="2">
        <f t="shared" si="6"/>
        <v>2.384185791015625E-7</v>
      </c>
      <c r="AF26" s="2">
        <v>22</v>
      </c>
      <c r="AG26" s="2">
        <f t="shared" si="13"/>
        <v>2368.3700561523438</v>
      </c>
      <c r="AH26" s="2">
        <v>-1.7385666021709767E-3</v>
      </c>
      <c r="AI26" s="2">
        <f t="shared" si="14"/>
        <v>2368.3745861053467</v>
      </c>
      <c r="AJ26" s="2">
        <v>2.074031565371115E-3</v>
      </c>
      <c r="AK26" s="2">
        <f t="shared" si="9"/>
        <v>2368.3723211288452</v>
      </c>
      <c r="AL26" s="2">
        <v>1.6300210404551763E-4</v>
      </c>
      <c r="AM26" s="2">
        <f t="shared" si="10"/>
        <v>-2.833900141771356E-7</v>
      </c>
      <c r="AN26" s="2">
        <f t="shared" si="11"/>
        <v>3.3807150901231028E-7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9.4404767492051178E-4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5.3903818130493164E-2</v>
      </c>
      <c r="W27" s="2">
        <f t="shared" si="0"/>
        <v>2.1187616043583102E-8</v>
      </c>
      <c r="X27" s="2">
        <f t="shared" si="8"/>
        <v>5.3903937339782715E-2</v>
      </c>
      <c r="Y27" s="2">
        <f t="shared" si="1"/>
        <v>-9.8222171909800871E-8</v>
      </c>
      <c r="Z27" s="2">
        <f t="shared" si="3"/>
        <v>5.3903877735137939E-2</v>
      </c>
      <c r="AA27" s="2">
        <f t="shared" si="2"/>
        <v>-3.851727788106718E-8</v>
      </c>
      <c r="AB27" s="2">
        <f t="shared" si="4"/>
        <v>-8.1608929478804751E-16</v>
      </c>
      <c r="AC27" s="2">
        <f t="shared" si="5"/>
        <v>3.7832506895317511E-15</v>
      </c>
      <c r="AD27" s="2">
        <f t="shared" si="6"/>
        <v>1.1920928955078125E-7</v>
      </c>
      <c r="AF27" s="2">
        <v>23</v>
      </c>
      <c r="AG27" s="2">
        <f t="shared" si="13"/>
        <v>2368.3700561523438</v>
      </c>
      <c r="AH27" s="2">
        <v>-1.7385666021709767E-3</v>
      </c>
      <c r="AI27" s="2">
        <f t="shared" si="14"/>
        <v>2368.3723211288452</v>
      </c>
      <c r="AJ27" s="2">
        <v>1.6300210404551763E-4</v>
      </c>
      <c r="AK27" s="2">
        <f t="shared" si="9"/>
        <v>2368.3711886405945</v>
      </c>
      <c r="AL27" s="2">
        <v>-7.8778230408715899E-4</v>
      </c>
      <c r="AM27" s="2">
        <f t="shared" si="10"/>
        <v>1.3696120036672352E-6</v>
      </c>
      <c r="AN27" s="2">
        <f t="shared" si="11"/>
        <v>-1.2841017309603269E-7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5803.3973750561727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1.1502156468376759</v>
      </c>
      <c r="U28" s="2">
        <v>24</v>
      </c>
      <c r="V28" s="2">
        <f t="shared" si="7"/>
        <v>5.3903818130493164E-2</v>
      </c>
      <c r="W28" s="2">
        <f t="shared" si="0"/>
        <v>2.1187616043583102E-8</v>
      </c>
      <c r="X28" s="2">
        <f t="shared" si="8"/>
        <v>5.3903877735137939E-2</v>
      </c>
      <c r="Y28" s="2">
        <f t="shared" si="1"/>
        <v>-3.851727788106718E-8</v>
      </c>
      <c r="Z28" s="2">
        <f t="shared" si="3"/>
        <v>5.3903847932815552E-2</v>
      </c>
      <c r="AA28" s="2">
        <f t="shared" si="2"/>
        <v>-8.6648309013948044E-9</v>
      </c>
      <c r="AB28" s="2">
        <f t="shared" si="4"/>
        <v>-1.835871102213272E-16</v>
      </c>
      <c r="AC28" s="2">
        <f t="shared" si="5"/>
        <v>3.337456996214815E-16</v>
      </c>
      <c r="AD28" s="2">
        <f t="shared" si="6"/>
        <v>5.9604644775390625E-8</v>
      </c>
      <c r="AF28" s="2">
        <v>24</v>
      </c>
      <c r="AG28" s="2">
        <f t="shared" si="13"/>
        <v>2368.3711886405945</v>
      </c>
      <c r="AH28" s="2">
        <v>-7.8778230408715899E-4</v>
      </c>
      <c r="AI28" s="2">
        <f t="shared" si="14"/>
        <v>2368.3723211288452</v>
      </c>
      <c r="AJ28" s="2">
        <v>1.6300210404551763E-4</v>
      </c>
      <c r="AK28" s="2">
        <f t="shared" si="9"/>
        <v>2368.3717548847198</v>
      </c>
      <c r="AL28" s="2">
        <v>-3.123901133221807E-4</v>
      </c>
      <c r="AM28" s="2">
        <f t="shared" si="10"/>
        <v>2.460954032469962E-7</v>
      </c>
      <c r="AN28" s="2">
        <f t="shared" si="11"/>
        <v>-5.0920245754533142E-8</v>
      </c>
      <c r="AO28" s="2">
        <f t="shared" si="12"/>
        <v>1.1324882507324219E-3</v>
      </c>
    </row>
    <row r="29" spans="2:41" x14ac:dyDescent="0.2">
      <c r="B29" s="31" t="s">
        <v>108</v>
      </c>
      <c r="C29" s="31"/>
      <c r="D29" s="31"/>
      <c r="F29" t="s">
        <v>97</v>
      </c>
      <c r="G29" s="6">
        <f>G31/$C$18</f>
        <v>62.373326691081708</v>
      </c>
      <c r="H29" t="s">
        <v>18</v>
      </c>
      <c r="U29" s="2">
        <v>25</v>
      </c>
      <c r="V29" s="2">
        <f t="shared" si="7"/>
        <v>5.3903818130493164E-2</v>
      </c>
      <c r="W29" s="2">
        <f t="shared" si="0"/>
        <v>2.1187616043583102E-8</v>
      </c>
      <c r="X29" s="2">
        <f t="shared" si="8"/>
        <v>5.3903847932815552E-2</v>
      </c>
      <c r="Y29" s="2">
        <f t="shared" si="1"/>
        <v>-8.6648309013948044E-9</v>
      </c>
      <c r="Z29" s="2">
        <f t="shared" si="3"/>
        <v>5.3903833031654358E-2</v>
      </c>
      <c r="AA29" s="2">
        <f t="shared" si="2"/>
        <v>6.2613925710941487E-9</v>
      </c>
      <c r="AB29" s="2">
        <f t="shared" si="4"/>
        <v>1.3266398169448643E-16</v>
      </c>
      <c r="AC29" s="2">
        <f t="shared" si="5"/>
        <v>-5.4253907835780443E-17</v>
      </c>
      <c r="AD29" s="2">
        <f t="shared" si="6"/>
        <v>2.9802322387695312E-8</v>
      </c>
      <c r="AF29" s="2">
        <v>25</v>
      </c>
      <c r="AG29" s="2">
        <f t="shared" si="13"/>
        <v>2368.3717548847198</v>
      </c>
      <c r="AH29" s="2">
        <v>-3.123901133221807E-4</v>
      </c>
      <c r="AI29" s="2">
        <f t="shared" si="14"/>
        <v>2368.3723211288452</v>
      </c>
      <c r="AJ29" s="2">
        <v>1.6300210404551763E-4</v>
      </c>
      <c r="AK29" s="2">
        <f t="shared" si="9"/>
        <v>2368.3720380067825</v>
      </c>
      <c r="AL29" s="2">
        <v>-6.9963856276444858E-5</v>
      </c>
      <c r="AM29" s="2">
        <f t="shared" si="10"/>
        <v>2.1856016990655373E-8</v>
      </c>
      <c r="AN29" s="2">
        <f t="shared" si="11"/>
        <v>-1.1404255780198707E-8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9.4927325931799533</v>
      </c>
      <c r="H30" s="6" t="s">
        <v>147</v>
      </c>
      <c r="J30" s="29" t="s">
        <v>111</v>
      </c>
      <c r="K30" s="29"/>
      <c r="L30" s="29"/>
      <c r="U30" s="2">
        <v>26</v>
      </c>
      <c r="V30" s="2">
        <f t="shared" si="7"/>
        <v>5.3903833031654358E-2</v>
      </c>
      <c r="W30" s="2">
        <f t="shared" si="0"/>
        <v>6.2613925710941487E-9</v>
      </c>
      <c r="X30" s="2">
        <f t="shared" si="8"/>
        <v>5.3903847932815552E-2</v>
      </c>
      <c r="Y30" s="2">
        <f t="shared" si="1"/>
        <v>-8.6648309013948044E-9</v>
      </c>
      <c r="Z30" s="2">
        <f t="shared" si="3"/>
        <v>5.3903840482234955E-2</v>
      </c>
      <c r="AA30" s="2">
        <f t="shared" si="2"/>
        <v>-1.2017191616808809E-9</v>
      </c>
      <c r="AB30" s="2">
        <f t="shared" si="4"/>
        <v>-7.5244354314901562E-18</v>
      </c>
      <c r="AC30" s="2">
        <f t="shared" si="5"/>
        <v>1.0412693326930756E-17</v>
      </c>
      <c r="AD30" s="2">
        <f t="shared" si="6"/>
        <v>1.4901161193847656E-8</v>
      </c>
      <c r="AF30" s="2">
        <v>26</v>
      </c>
      <c r="AG30" s="2">
        <f t="shared" si="13"/>
        <v>2368.3720380067825</v>
      </c>
      <c r="AH30" s="2">
        <v>-6.9963856276444858E-5</v>
      </c>
      <c r="AI30" s="2">
        <f t="shared" si="14"/>
        <v>2368.3723211288452</v>
      </c>
      <c r="AJ30" s="2">
        <v>1.6300210404551763E-4</v>
      </c>
      <c r="AK30" s="2">
        <f t="shared" si="9"/>
        <v>2368.3721795678139</v>
      </c>
      <c r="AL30" s="2">
        <v>4.17889718846709E-5</v>
      </c>
      <c r="AM30" s="2">
        <f t="shared" si="10"/>
        <v>-2.9237176228795101E-9</v>
      </c>
      <c r="AN30" s="2">
        <f t="shared" si="11"/>
        <v>6.8116903431003366E-9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249.49330676432683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5.3903833031654358E-2</v>
      </c>
      <c r="W31" s="2">
        <f t="shared" si="0"/>
        <v>6.2613925710941487E-9</v>
      </c>
      <c r="X31" s="2">
        <f t="shared" si="8"/>
        <v>5.3903840482234955E-2</v>
      </c>
      <c r="Y31" s="2">
        <f t="shared" si="1"/>
        <v>-1.2017191616808809E-9</v>
      </c>
      <c r="Z31" s="2">
        <f t="shared" si="3"/>
        <v>5.3903836756944656E-2</v>
      </c>
      <c r="AA31" s="2">
        <f t="shared" si="2"/>
        <v>2.5298367081760809E-9</v>
      </c>
      <c r="AB31" s="2">
        <f t="shared" si="4"/>
        <v>1.5840300770654988E-17</v>
      </c>
      <c r="AC31" s="2">
        <f t="shared" si="5"/>
        <v>-3.0401532481388791E-18</v>
      </c>
      <c r="AD31" s="2">
        <f t="shared" si="6"/>
        <v>7.4505805969238281E-9</v>
      </c>
      <c r="AF31" s="2">
        <v>27</v>
      </c>
      <c r="AG31" s="2">
        <f t="shared" si="13"/>
        <v>2368.3720380067825</v>
      </c>
      <c r="AH31" s="2">
        <v>-6.9963856276444858E-5</v>
      </c>
      <c r="AI31" s="2">
        <f t="shared" si="14"/>
        <v>2368.3721795678139</v>
      </c>
      <c r="AJ31" s="2">
        <v>4.17889718846709E-5</v>
      </c>
      <c r="AK31" s="2">
        <f t="shared" si="9"/>
        <v>2368.3721087872982</v>
      </c>
      <c r="AL31" s="2">
        <v>-9.3572905370820081E-6</v>
      </c>
      <c r="AM31" s="2">
        <f t="shared" si="10"/>
        <v>6.5467213027334313E-10</v>
      </c>
      <c r="AN31" s="2">
        <f t="shared" si="11"/>
        <v>-3.910315511708171E-10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753.44</v>
      </c>
      <c r="L32" s="6" t="s">
        <v>7</v>
      </c>
      <c r="U32" s="2">
        <v>28</v>
      </c>
      <c r="V32" s="2">
        <f t="shared" si="7"/>
        <v>5.3903836756944656E-2</v>
      </c>
      <c r="W32" s="2">
        <f t="shared" si="0"/>
        <v>2.5298367081760809E-9</v>
      </c>
      <c r="X32" s="2">
        <f t="shared" si="8"/>
        <v>5.3903840482234955E-2</v>
      </c>
      <c r="Y32" s="2">
        <f t="shared" si="1"/>
        <v>-1.2017191616808809E-9</v>
      </c>
      <c r="Z32" s="2">
        <f t="shared" si="3"/>
        <v>5.3903838619589806E-2</v>
      </c>
      <c r="AA32" s="2">
        <f t="shared" si="2"/>
        <v>6.6405877324759999E-10</v>
      </c>
      <c r="AB32" s="2">
        <f t="shared" si="4"/>
        <v>1.6799602609481549E-18</v>
      </c>
      <c r="AC32" s="2">
        <f t="shared" si="5"/>
        <v>-7.9801215229393998E-19</v>
      </c>
      <c r="AD32" s="2">
        <f t="shared" si="6"/>
        <v>3.7252902984619141E-9</v>
      </c>
      <c r="AF32" s="2">
        <v>28</v>
      </c>
      <c r="AG32" s="2">
        <f t="shared" si="13"/>
        <v>2368.3721087872982</v>
      </c>
      <c r="AH32" s="2">
        <v>-9.3572905370820081E-6</v>
      </c>
      <c r="AI32" s="2">
        <f t="shared" si="14"/>
        <v>2368.3721795678139</v>
      </c>
      <c r="AJ32" s="2">
        <v>4.17889718846709E-5</v>
      </c>
      <c r="AK32" s="2">
        <f t="shared" si="9"/>
        <v>2368.372144177556</v>
      </c>
      <c r="AL32" s="2">
        <v>1.6215840332733933E-5</v>
      </c>
      <c r="AM32" s="2">
        <f t="shared" si="10"/>
        <v>-1.5173632929632399E-10</v>
      </c>
      <c r="AN32" s="2">
        <f t="shared" si="11"/>
        <v>6.7764329575093074E-10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2" t="s">
        <v>156</v>
      </c>
      <c r="G33" s="33"/>
      <c r="H33" s="33"/>
      <c r="J33" s="19" t="s">
        <v>78</v>
      </c>
      <c r="K33" s="6">
        <f>ROUND(SUM(K14:K17),2)</f>
        <v>669.32</v>
      </c>
      <c r="L33" s="6" t="s">
        <v>7</v>
      </c>
      <c r="U33" s="2">
        <v>29</v>
      </c>
      <c r="V33" s="2">
        <f t="shared" si="7"/>
        <v>5.3903838619589806E-2</v>
      </c>
      <c r="W33" s="2">
        <f t="shared" si="0"/>
        <v>6.6405877324759999E-10</v>
      </c>
      <c r="X33" s="2">
        <f t="shared" si="8"/>
        <v>5.3903840482234955E-2</v>
      </c>
      <c r="Y33" s="2">
        <f t="shared" si="1"/>
        <v>-1.2017191616808809E-9</v>
      </c>
      <c r="Z33" s="2">
        <f t="shared" si="3"/>
        <v>5.390383955091238E-2</v>
      </c>
      <c r="AA33" s="2">
        <f t="shared" si="2"/>
        <v>-2.6883019421664045E-10</v>
      </c>
      <c r="AB33" s="2">
        <f t="shared" si="4"/>
        <v>-1.7851904898341631E-19</v>
      </c>
      <c r="AC33" s="2">
        <f t="shared" si="5"/>
        <v>3.2305839562852956E-19</v>
      </c>
      <c r="AD33" s="2">
        <f t="shared" si="6"/>
        <v>1.862645149230957E-9</v>
      </c>
      <c r="AF33" s="2">
        <v>29</v>
      </c>
      <c r="AG33" s="2">
        <f t="shared" si="13"/>
        <v>2368.3721087872982</v>
      </c>
      <c r="AH33" s="2">
        <v>-9.3572905370820081E-6</v>
      </c>
      <c r="AI33" s="2">
        <f t="shared" si="14"/>
        <v>2368.372144177556</v>
      </c>
      <c r="AJ33" s="2">
        <v>1.6215840332733933E-5</v>
      </c>
      <c r="AK33" s="2">
        <f t="shared" si="9"/>
        <v>2368.3721264824271</v>
      </c>
      <c r="AL33" s="2">
        <v>3.4292743293917738E-6</v>
      </c>
      <c r="AM33" s="2">
        <f t="shared" si="10"/>
        <v>-3.2088716231475894E-11</v>
      </c>
      <c r="AN33" s="2">
        <f t="shared" si="11"/>
        <v>5.5608564982560236E-11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198.89</v>
      </c>
      <c r="L34" s="6" t="s">
        <v>7</v>
      </c>
      <c r="U34" s="2">
        <v>30</v>
      </c>
      <c r="V34" s="2">
        <f t="shared" si="7"/>
        <v>5.3903838619589806E-2</v>
      </c>
      <c r="W34" s="2">
        <f t="shared" si="0"/>
        <v>6.6405877324759999E-10</v>
      </c>
      <c r="X34" s="2">
        <f t="shared" si="8"/>
        <v>5.390383955091238E-2</v>
      </c>
      <c r="Y34" s="2">
        <f t="shared" si="1"/>
        <v>-2.6883019421664045E-10</v>
      </c>
      <c r="Z34" s="2">
        <f t="shared" si="3"/>
        <v>5.3903839085251093E-2</v>
      </c>
      <c r="AA34" s="2">
        <f t="shared" si="2"/>
        <v>1.9761428604603282E-10</v>
      </c>
      <c r="AB34" s="2">
        <f t="shared" si="4"/>
        <v>1.3122750036792887E-19</v>
      </c>
      <c r="AC34" s="2">
        <f t="shared" si="5"/>
        <v>-5.3124686897737743E-20</v>
      </c>
      <c r="AD34" s="2">
        <f>X34-V34</f>
        <v>9.3132257461547852E-10</v>
      </c>
      <c r="AF34" s="2">
        <v>30</v>
      </c>
      <c r="AG34" s="2">
        <f t="shared" si="13"/>
        <v>2368.3721087872982</v>
      </c>
      <c r="AH34" s="2">
        <v>-9.3572905370820081E-6</v>
      </c>
      <c r="AI34" s="2">
        <f t="shared" si="14"/>
        <v>2368.3721264824271</v>
      </c>
      <c r="AJ34" s="2">
        <v>3.4292743293917738E-6</v>
      </c>
      <c r="AK34" s="2">
        <f t="shared" si="9"/>
        <v>2368.3721176348627</v>
      </c>
      <c r="AL34" s="2">
        <v>-2.9640075354109285E-6</v>
      </c>
      <c r="AM34" s="2">
        <f t="shared" si="10"/>
        <v>2.7735079662940447E-11</v>
      </c>
      <c r="AN34" s="2">
        <f t="shared" si="11"/>
        <v>-1.0164394953308476E-11</v>
      </c>
      <c r="AO34" s="2">
        <f t="shared" si="12"/>
        <v>1.7695128917694092E-5</v>
      </c>
    </row>
    <row r="35" spans="2:41" x14ac:dyDescent="0.2">
      <c r="B35" s="29" t="s">
        <v>2</v>
      </c>
      <c r="C35" s="29"/>
      <c r="D35" s="29"/>
      <c r="F35" s="26" t="s">
        <v>132</v>
      </c>
      <c r="G35" s="25">
        <f xml:space="preserve"> G22</f>
        <v>247.28884029923628</v>
      </c>
      <c r="H35" s="25" t="s">
        <v>101</v>
      </c>
      <c r="J35" s="15" t="s">
        <v>70</v>
      </c>
      <c r="K35" s="6">
        <f>ROUND(SUM(K23:K26),2)</f>
        <v>146.72999999999999</v>
      </c>
      <c r="L35" s="6" t="s">
        <v>7</v>
      </c>
      <c r="AF35" s="2">
        <v>31</v>
      </c>
      <c r="AG35" s="2">
        <f t="shared" si="13"/>
        <v>2368.3721176348627</v>
      </c>
      <c r="AH35" s="2">
        <v>-2.9640075354109285E-6</v>
      </c>
      <c r="AI35" s="2">
        <f t="shared" si="14"/>
        <v>2368.3721264824271</v>
      </c>
      <c r="AJ35" s="2">
        <v>3.4292743293917738E-6</v>
      </c>
      <c r="AK35" s="2">
        <f t="shared" si="9"/>
        <v>2368.3721220586449</v>
      </c>
      <c r="AL35" s="2">
        <v>2.3263373805093579E-7</v>
      </c>
      <c r="AM35" s="2">
        <f t="shared" si="10"/>
        <v>-6.8952815257378574E-13</v>
      </c>
      <c r="AN35" s="2">
        <f t="shared" si="11"/>
        <v>7.977649060485244E-13</v>
      </c>
      <c r="AO35" s="2">
        <f t="shared" si="12"/>
        <v>8.8475644588470459E-6</v>
      </c>
    </row>
    <row r="36" spans="2:41" x14ac:dyDescent="0.2">
      <c r="B36" s="6" t="s">
        <v>3</v>
      </c>
      <c r="C36" s="17">
        <v>400</v>
      </c>
      <c r="D36" s="6" t="s">
        <v>4</v>
      </c>
      <c r="J36" s="10" t="s">
        <v>59</v>
      </c>
      <c r="K36" s="10">
        <f>SUM(K31:K35)</f>
        <v>2368.38</v>
      </c>
      <c r="L36" s="6" t="s">
        <v>7</v>
      </c>
      <c r="AF36" s="2">
        <v>32</v>
      </c>
      <c r="AG36" s="2">
        <f t="shared" si="13"/>
        <v>2368.3721176348627</v>
      </c>
      <c r="AH36" s="2">
        <v>-2.9640075354109285E-6</v>
      </c>
      <c r="AI36" s="2">
        <f t="shared" si="14"/>
        <v>2368.3721220586449</v>
      </c>
      <c r="AJ36" s="2">
        <v>2.3263373805093579E-7</v>
      </c>
      <c r="AK36" s="2">
        <f t="shared" si="9"/>
        <v>2368.3721198467538</v>
      </c>
      <c r="AL36" s="2">
        <v>-1.3656872397405095E-6</v>
      </c>
      <c r="AM36" s="2">
        <f t="shared" si="10"/>
        <v>4.0479072696054216E-12</v>
      </c>
      <c r="AN36" s="2">
        <f t="shared" si="11"/>
        <v>-3.1770492758929924E-13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2368.3721198467538</v>
      </c>
      <c r="AH37" s="2">
        <v>-1.3656872397405095E-6</v>
      </c>
      <c r="AI37" s="2">
        <f t="shared" si="14"/>
        <v>2368.3721220586449</v>
      </c>
      <c r="AJ37" s="2">
        <v>2.3263373805093579E-7</v>
      </c>
      <c r="AK37" s="2">
        <f t="shared" si="9"/>
        <v>2368.3721209526993</v>
      </c>
      <c r="AL37" s="2">
        <v>-5.6652720559213776E-7</v>
      </c>
      <c r="AM37" s="2">
        <f t="shared" si="10"/>
        <v>7.7369897564303078E-13</v>
      </c>
      <c r="AN37" s="2">
        <f t="shared" si="11"/>
        <v>-1.3179334154445002E-13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9" t="s">
        <v>56</v>
      </c>
      <c r="K38" s="29"/>
      <c r="L38" s="29"/>
      <c r="AF38" s="2">
        <v>34</v>
      </c>
      <c r="AG38" s="2">
        <f t="shared" si="13"/>
        <v>2368.3721209526993</v>
      </c>
      <c r="AH38" s="2">
        <v>-5.6652720559213776E-7</v>
      </c>
      <c r="AI38" s="2">
        <f t="shared" si="14"/>
        <v>2368.3721220586449</v>
      </c>
      <c r="AJ38" s="2">
        <v>2.3263373805093579E-7</v>
      </c>
      <c r="AK38" s="2">
        <f t="shared" si="9"/>
        <v>2368.3721215056721</v>
      </c>
      <c r="AL38" s="2">
        <v>-1.6694707483111415E-7</v>
      </c>
      <c r="AM38" s="2">
        <f t="shared" si="10"/>
        <v>9.4580059785852614E-14</v>
      </c>
      <c r="AN38" s="2">
        <f t="shared" si="11"/>
        <v>-3.8837522074631385E-14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25.33</v>
      </c>
      <c r="L39" s="6" t="s">
        <v>58</v>
      </c>
      <c r="AF39" s="2">
        <v>35</v>
      </c>
      <c r="AG39" s="2">
        <f t="shared" si="13"/>
        <v>2368.3721215056721</v>
      </c>
      <c r="AH39" s="2">
        <v>-1.6694707483111415E-7</v>
      </c>
      <c r="AI39" s="2">
        <f t="shared" si="14"/>
        <v>2368.3721220586449</v>
      </c>
      <c r="AJ39" s="2">
        <v>2.3263373805093579E-7</v>
      </c>
      <c r="AK39" s="2">
        <f t="shared" si="9"/>
        <v>2368.3721217821585</v>
      </c>
      <c r="AL39" s="2">
        <v>3.2844354791450314E-8</v>
      </c>
      <c r="AM39" s="2">
        <f t="shared" si="10"/>
        <v>-5.4832689571479182E-15</v>
      </c>
      <c r="AN39" s="2">
        <f t="shared" si="11"/>
        <v>7.6407050290062502E-15</v>
      </c>
      <c r="AO39" s="2">
        <f t="shared" si="12"/>
        <v>5.5297277867794037E-7</v>
      </c>
    </row>
    <row r="40" spans="2:41" x14ac:dyDescent="0.2">
      <c r="B40" s="29" t="s">
        <v>144</v>
      </c>
      <c r="C40" s="30"/>
      <c r="D40" s="30"/>
      <c r="J40" s="11" t="s">
        <v>52</v>
      </c>
      <c r="K40" s="6">
        <f>ROUND(K13/$C$5 * 100, 2)</f>
        <v>31.81</v>
      </c>
      <c r="L40" s="6" t="s">
        <v>58</v>
      </c>
      <c r="AF40" s="2">
        <v>36</v>
      </c>
      <c r="AG40" s="2">
        <f t="shared" si="13"/>
        <v>2368.3721215056721</v>
      </c>
      <c r="AH40" s="2">
        <v>-1.6694707483111415E-7</v>
      </c>
      <c r="AI40" s="2">
        <f t="shared" si="14"/>
        <v>2368.3721217821585</v>
      </c>
      <c r="AJ40" s="2">
        <v>3.2844354791450314E-8</v>
      </c>
      <c r="AK40" s="2">
        <f t="shared" si="9"/>
        <v>2368.3721216439153</v>
      </c>
      <c r="AL40" s="2">
        <v>-6.7051587393507361E-8</v>
      </c>
      <c r="AM40" s="2">
        <f t="shared" si="10"/>
        <v>1.1194066378128864E-14</v>
      </c>
      <c r="AN40" s="2">
        <f t="shared" si="11"/>
        <v>-2.202266125682293E-15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28.26</v>
      </c>
      <c r="L41" s="6" t="s">
        <v>58</v>
      </c>
      <c r="AF41" s="2">
        <v>37</v>
      </c>
      <c r="AG41" s="2">
        <f t="shared" si="13"/>
        <v>2368.3721216439153</v>
      </c>
      <c r="AH41" s="2">
        <v>-6.7051587393507361E-8</v>
      </c>
      <c r="AI41" s="2">
        <f t="shared" si="14"/>
        <v>2368.3721217821585</v>
      </c>
      <c r="AJ41" s="2">
        <v>3.2844354791450314E-8</v>
      </c>
      <c r="AK41" s="2">
        <f t="shared" si="9"/>
        <v>2368.3721217130369</v>
      </c>
      <c r="AL41" s="2">
        <v>-1.7103502614190802E-8</v>
      </c>
      <c r="AM41" s="2">
        <f t="shared" si="10"/>
        <v>1.1468170002704962E-15</v>
      </c>
      <c r="AN41" s="2">
        <f t="shared" si="11"/>
        <v>-5.6175350803698064E-16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8.4</v>
      </c>
      <c r="L42" s="6" t="s">
        <v>58</v>
      </c>
      <c r="AF42" s="2">
        <v>38</v>
      </c>
      <c r="AG42" s="2">
        <f t="shared" si="13"/>
        <v>2368.3721217130369</v>
      </c>
      <c r="AH42" s="2">
        <v>-1.7103502614190802E-8</v>
      </c>
      <c r="AI42" s="2">
        <f t="shared" si="14"/>
        <v>2368.3721217821585</v>
      </c>
      <c r="AJ42" s="2">
        <v>3.2844354791450314E-8</v>
      </c>
      <c r="AK42" s="2">
        <f t="shared" si="9"/>
        <v>2368.3721217475977</v>
      </c>
      <c r="AL42" s="2">
        <v>7.8709945228183642E-9</v>
      </c>
      <c r="AM42" s="2">
        <f t="shared" si="10"/>
        <v>-1.3462157539730538E-16</v>
      </c>
      <c r="AN42" s="2">
        <f t="shared" si="11"/>
        <v>2.5851773666900852E-16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6.2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2368.3721217130369</v>
      </c>
      <c r="AH43" s="2">
        <v>-1.7103502614190802E-8</v>
      </c>
      <c r="AI43" s="2">
        <f t="shared" si="14"/>
        <v>2368.3721217475977</v>
      </c>
      <c r="AJ43" s="2">
        <v>7.8709945228183642E-9</v>
      </c>
      <c r="AK43" s="2">
        <f t="shared" si="9"/>
        <v>2368.3721217303173</v>
      </c>
      <c r="AL43" s="2">
        <v>-4.616822479874827E-9</v>
      </c>
      <c r="AM43" s="2">
        <f t="shared" si="10"/>
        <v>7.8963835353793964E-17</v>
      </c>
      <c r="AN43" s="2">
        <f t="shared" si="11"/>
        <v>-3.6338984451919461E-17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100.00000000000001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2368.3721217303173</v>
      </c>
      <c r="AH44" s="2">
        <v>-4.616822479874827E-9</v>
      </c>
      <c r="AI44" s="2">
        <f t="shared" si="14"/>
        <v>2368.3721217475977</v>
      </c>
      <c r="AJ44" s="2">
        <v>7.8709945228183642E-9</v>
      </c>
      <c r="AK44" s="5">
        <f>(AG44+AI44)/2</f>
        <v>2368.3721217389575</v>
      </c>
      <c r="AL44" s="2">
        <v>1.6264039004454389E-9</v>
      </c>
      <c r="AM44" s="2">
        <f t="shared" si="10"/>
        <v>-7.5088180889326025E-18</v>
      </c>
      <c r="AN44" s="2">
        <f t="shared" si="11"/>
        <v>1.2801416192296474E-17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9" t="s">
        <v>145</v>
      </c>
      <c r="C46" s="30"/>
      <c r="D46" s="30"/>
      <c r="J46" s="29" t="s">
        <v>56</v>
      </c>
      <c r="K46" s="29"/>
      <c r="L46" s="29"/>
      <c r="N46" s="6" t="s">
        <v>153</v>
      </c>
      <c r="O46" s="6">
        <f>G12*1000/O45</f>
        <v>2322.7011764687691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25.33</v>
      </c>
      <c r="L47" s="6" t="s">
        <v>58</v>
      </c>
      <c r="N47" s="6" t="s">
        <v>154</v>
      </c>
      <c r="O47" s="6">
        <f>0.377*O46^0.6945</f>
        <v>82.039635996986007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31.81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42.85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99.990000000000009</v>
      </c>
      <c r="L50" s="10" t="s">
        <v>58</v>
      </c>
    </row>
    <row r="52" spans="2:12" x14ac:dyDescent="0.2">
      <c r="B52" s="29" t="s">
        <v>71</v>
      </c>
      <c r="C52" s="29"/>
      <c r="D52" s="29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J7:L7"/>
    <mergeCell ref="B1:D1"/>
    <mergeCell ref="B3:D3"/>
    <mergeCell ref="F3:H3"/>
    <mergeCell ref="J3:L3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38:L38"/>
    <mergeCell ref="B40:D40"/>
    <mergeCell ref="B46:D46"/>
    <mergeCell ref="J46:L46"/>
    <mergeCell ref="B52:D52"/>
  </mergeCells>
  <conditionalFormatting sqref="K28">
    <cfRule type="containsText" dxfId="41" priority="1" operator="containsText" text="FALSE">
      <formula>NOT(ISERROR(SEARCH("FALSE",K28)))</formula>
    </cfRule>
    <cfRule type="containsText" dxfId="40" priority="2" operator="containsText" text="TRUE">
      <formula>NOT(ISERROR(SEARCH("TRUE",K28)))</formula>
    </cfRule>
    <cfRule type="cellIs" dxfId="39" priority="3" operator="equal">
      <formula>1</formula>
    </cfRule>
    <cfRule type="cellIs" dxfId="38" priority="4" operator="equal">
      <formula>TRUE</formula>
    </cfRule>
    <cfRule type="containsText" dxfId="37" priority="5" operator="containsText" text="YES">
      <formula>NOT(ISERROR(SEARCH("YES",K28)))</formula>
    </cfRule>
    <cfRule type="cellIs" dxfId="36" priority="6" operator="equal">
      <formula>"""YES"""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DA725-853A-524C-AA19-CDE8E81561F8}">
  <dimension ref="B1:AO56"/>
  <sheetViews>
    <sheetView topLeftCell="B1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5" t="s">
        <v>0</v>
      </c>
      <c r="C1" s="35"/>
      <c r="D1" s="35"/>
    </row>
    <row r="2" spans="2:41" x14ac:dyDescent="0.2">
      <c r="U2" s="16" t="s">
        <v>93</v>
      </c>
      <c r="AF2" s="16" t="s">
        <v>76</v>
      </c>
    </row>
    <row r="3" spans="2:41" x14ac:dyDescent="0.2">
      <c r="B3" s="32" t="s">
        <v>118</v>
      </c>
      <c r="C3" s="33"/>
      <c r="D3" s="33"/>
      <c r="F3" s="32" t="s">
        <v>80</v>
      </c>
      <c r="G3" s="33"/>
      <c r="H3" s="33"/>
      <c r="J3" s="29" t="s">
        <v>98</v>
      </c>
      <c r="K3" s="29"/>
      <c r="L3" s="29"/>
      <c r="N3" s="29" t="s">
        <v>92</v>
      </c>
      <c r="O3" s="29"/>
      <c r="P3" s="29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378.28529242567663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5.6999390688985491E-2</v>
      </c>
      <c r="X4" s="3">
        <v>1</v>
      </c>
      <c r="Y4" s="2">
        <f t="shared" ref="Y4:Y34" si="1" xml:space="preserve"> $O$20 * TAN($O$17/180*PI()) + $O$21 / (2 * SQRT($O$20^2 + X4^2)) - X4</f>
        <v>-0.94670675034772167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-0.44502152663619565</v>
      </c>
      <c r="AB4" s="2">
        <f>W4*AA4</f>
        <v>-2.5365955861745278E-2</v>
      </c>
      <c r="AC4" s="2">
        <f>Y4*AA4</f>
        <v>0.42130488331653487</v>
      </c>
      <c r="AD4" s="2">
        <f>X4-V4</f>
        <v>1</v>
      </c>
      <c r="AF4" s="2">
        <v>0</v>
      </c>
      <c r="AG4" s="2"/>
      <c r="AH4" s="2">
        <f>K27</f>
        <v>1.7258190172924515E-2</v>
      </c>
      <c r="AI4" s="2"/>
      <c r="AJ4" s="2">
        <f>K27</f>
        <v>1.7258190172924515E-2</v>
      </c>
      <c r="AK4" s="2"/>
      <c r="AL4" s="2">
        <f>K27</f>
        <v>1.7258190172924515E-2</v>
      </c>
      <c r="AM4" s="2"/>
      <c r="AN4" s="2"/>
      <c r="AO4" s="2"/>
    </row>
    <row r="5" spans="2:41" x14ac:dyDescent="0.2">
      <c r="B5" s="10" t="s">
        <v>37</v>
      </c>
      <c r="C5" s="10">
        <v>2136.7597168133202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94.571323106419158</v>
      </c>
      <c r="L5" s="6" t="s">
        <v>101</v>
      </c>
      <c r="N5" s="6" t="s">
        <v>114</v>
      </c>
      <c r="O5" s="6">
        <f xml:space="preserve"> $C$18 * 0.85 * ($C$5/$C$18 *2.20462/1000)^(2/3) * 0.3048^2</f>
        <v>0.35225875988132088</v>
      </c>
      <c r="P5" s="6" t="s">
        <v>115</v>
      </c>
      <c r="U5" s="2">
        <v>1</v>
      </c>
      <c r="V5" s="2">
        <f>IF(AB4&gt;0, Z4, V4)</f>
        <v>0</v>
      </c>
      <c r="W5" s="2">
        <f t="shared" si="0"/>
        <v>5.6999390688985491E-2</v>
      </c>
      <c r="X5" s="2">
        <f>IF(AC4&gt;0, Z4, X4)</f>
        <v>0.5</v>
      </c>
      <c r="Y5" s="2">
        <f t="shared" si="1"/>
        <v>-0.44502152663619565</v>
      </c>
      <c r="Z5" s="2">
        <f t="shared" ref="Z5:Z34" si="3" xml:space="preserve"> (V5 + X5)/2</f>
        <v>0.25</v>
      </c>
      <c r="AA5" s="2">
        <f t="shared" si="2"/>
        <v>-0.19374799613629934</v>
      </c>
      <c r="AB5" s="2">
        <f t="shared" ref="AB5:AB34" si="4">W5*AA5</f>
        <v>-1.1043517726980978E-2</v>
      </c>
      <c r="AC5" s="2">
        <f t="shared" ref="AC5:AC34" si="5">Y5*AA5</f>
        <v>8.6222029023279662E-2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-1476.8172919903043</v>
      </c>
      <c r="AI5" s="3">
        <v>10000</v>
      </c>
      <c r="AJ5" s="2">
        <f t="dataTable" ref="AJ5:AJ44" dt2D="0" dtr="0" r1="C5" ca="1"/>
        <v>6196.3214324863966</v>
      </c>
      <c r="AK5" s="2">
        <f>(AG5+AI5)/2</f>
        <v>5250</v>
      </c>
      <c r="AL5" s="2">
        <f t="dataTable" ref="AL5:AL44" dt2D="0" dtr="0" r1="C5" ca="1"/>
        <v>2645.0230502559257</v>
      </c>
      <c r="AM5" s="2">
        <f>AH5*AL5</f>
        <v>-3906215.7783308905</v>
      </c>
      <c r="AN5" s="2">
        <f>AJ5*AL5</f>
        <v>16389413.015721336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5.6999390688985491E-2</v>
      </c>
      <c r="X6" s="2">
        <f t="shared" ref="X6:X34" si="8">IF(AC5&gt;0, Z5, X5)</f>
        <v>0.25</v>
      </c>
      <c r="Y6" s="2">
        <f t="shared" si="1"/>
        <v>-0.19374799613629934</v>
      </c>
      <c r="Z6" s="2">
        <f t="shared" si="3"/>
        <v>0.125</v>
      </c>
      <c r="AA6" s="2">
        <f t="shared" si="2"/>
        <v>-6.8214463315176277E-2</v>
      </c>
      <c r="AB6" s="2">
        <f t="shared" si="4"/>
        <v>-3.888182845141201E-3</v>
      </c>
      <c r="AC6" s="2">
        <f t="shared" si="5"/>
        <v>1.3216415574828506E-2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-1476.8172919903043</v>
      </c>
      <c r="AI6" s="2">
        <f>IF(AN5&gt;0, AK5, AI5)</f>
        <v>5250</v>
      </c>
      <c r="AJ6" s="2">
        <v>2645.0230502559257</v>
      </c>
      <c r="AK6" s="2">
        <f t="shared" ref="AK6:AK43" si="9">(AG6+AI6)/2</f>
        <v>2875</v>
      </c>
      <c r="AL6" s="2">
        <v>650.69496317723588</v>
      </c>
      <c r="AM6" s="2">
        <f t="shared" ref="AM6:AM44" si="10">AH6*AL6</f>
        <v>-960957.5734311362</v>
      </c>
      <c r="AN6" s="2">
        <f t="shared" ref="AN6:AN44" si="11">AJ6*AL6</f>
        <v>1721103.1762892196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362.71281150121803</v>
      </c>
      <c r="D7" s="6" t="s">
        <v>125</v>
      </c>
      <c r="F7" t="s">
        <v>121</v>
      </c>
      <c r="G7" s="8">
        <f>$C$6*2*PI()/60*$C$9</f>
        <v>154.8803072518057</v>
      </c>
      <c r="H7" s="6" t="s">
        <v>10</v>
      </c>
      <c r="J7" s="29" t="s">
        <v>21</v>
      </c>
      <c r="K7" s="29"/>
      <c r="L7" s="29"/>
      <c r="N7" s="6" t="s">
        <v>159</v>
      </c>
      <c r="O7" s="6">
        <f>O5+$O$6</f>
        <v>0.98253538321641698</v>
      </c>
      <c r="P7" s="6" t="s">
        <v>115</v>
      </c>
      <c r="U7" s="2">
        <v>3</v>
      </c>
      <c r="V7" s="2">
        <f t="shared" si="7"/>
        <v>0</v>
      </c>
      <c r="W7" s="2">
        <f t="shared" si="0"/>
        <v>5.6999390688985491E-2</v>
      </c>
      <c r="X7" s="2">
        <f t="shared" si="8"/>
        <v>0.125</v>
      </c>
      <c r="Y7" s="2">
        <f t="shared" si="1"/>
        <v>-6.8214463315176277E-2</v>
      </c>
      <c r="Z7" s="2">
        <f t="shared" si="3"/>
        <v>6.25E-2</v>
      </c>
      <c r="AA7" s="2">
        <f t="shared" si="2"/>
        <v>-5.5561163066574493E-3</v>
      </c>
      <c r="AB7" s="2">
        <f t="shared" si="4"/>
        <v>-3.1669524407661106E-4</v>
      </c>
      <c r="AC7" s="2">
        <f t="shared" si="5"/>
        <v>3.7900749197533726E-4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-1476.8172919903043</v>
      </c>
      <c r="AI7" s="2">
        <f t="shared" ref="AI7:AI44" si="14">IF(AN6&gt;0, AK6, AI6)</f>
        <v>2875</v>
      </c>
      <c r="AJ7" s="2">
        <v>650.69496317723588</v>
      </c>
      <c r="AK7" s="2">
        <f t="shared" si="9"/>
        <v>1687.5</v>
      </c>
      <c r="AL7" s="2">
        <v>-401.73855635505947</v>
      </c>
      <c r="AM7" s="2">
        <f t="shared" si="10"/>
        <v>593294.4468843732</v>
      </c>
      <c r="AN7" s="2">
        <f t="shared" si="11"/>
        <v>-261409.25513433132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0.46382883458199697</v>
      </c>
      <c r="H8" s="6" t="s">
        <v>122</v>
      </c>
      <c r="J8" s="6" t="s">
        <v>96</v>
      </c>
      <c r="K8" s="6">
        <f xml:space="preserve"> $C$15 * (G12*G6 + G22*G15 + G31*G27 +G35*G34)/3600</f>
        <v>195.15633454243317</v>
      </c>
      <c r="L8" s="6" t="s">
        <v>102</v>
      </c>
      <c r="N8" s="6" t="s">
        <v>38</v>
      </c>
      <c r="O8" s="6">
        <f xml:space="preserve"> O4 *O7</f>
        <v>2227.863399508039</v>
      </c>
      <c r="P8" s="6" t="s">
        <v>20</v>
      </c>
      <c r="U8" s="2">
        <v>4</v>
      </c>
      <c r="V8" s="2">
        <f t="shared" si="7"/>
        <v>0</v>
      </c>
      <c r="W8" s="2">
        <f t="shared" si="0"/>
        <v>5.6999390688985491E-2</v>
      </c>
      <c r="X8" s="2">
        <f t="shared" si="8"/>
        <v>6.25E-2</v>
      </c>
      <c r="Y8" s="2">
        <f t="shared" si="1"/>
        <v>-5.5561163066574493E-3</v>
      </c>
      <c r="Z8" s="2">
        <f t="shared" si="3"/>
        <v>3.125E-2</v>
      </c>
      <c r="AA8" s="2">
        <f t="shared" si="2"/>
        <v>2.5735379355584953E-2</v>
      </c>
      <c r="AB8" s="2">
        <f t="shared" si="4"/>
        <v>1.4669009424182384E-3</v>
      </c>
      <c r="AC8" s="2">
        <f t="shared" si="5"/>
        <v>-1.4298876089558103E-4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-401.73855635505947</v>
      </c>
      <c r="AI8" s="2">
        <f t="shared" si="14"/>
        <v>2875</v>
      </c>
      <c r="AJ8" s="2">
        <v>650.69496317723588</v>
      </c>
      <c r="AK8" s="2">
        <f t="shared" si="9"/>
        <v>2281.25</v>
      </c>
      <c r="AL8" s="2">
        <v>128.33255940717686</v>
      </c>
      <c r="AM8" s="2">
        <f t="shared" si="10"/>
        <v>-51556.137149589136</v>
      </c>
      <c r="AN8" s="2">
        <f t="shared" si="11"/>
        <v>83505.350017893375</v>
      </c>
      <c r="AO8" s="2">
        <f t="shared" si="12"/>
        <v>1187.5</v>
      </c>
    </row>
    <row r="9" spans="2:41" x14ac:dyDescent="0.2">
      <c r="B9" s="6" t="s">
        <v>95</v>
      </c>
      <c r="C9" s="17">
        <v>3.6974949730074602</v>
      </c>
      <c r="D9" s="6" t="s">
        <v>8</v>
      </c>
      <c r="F9" t="s">
        <v>19</v>
      </c>
      <c r="G9" s="6">
        <f xml:space="preserve"> $C$5 * $C$44 / $C$18</f>
        <v>5235.8578861557216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2227.863399508039</v>
      </c>
      <c r="P9" s="6" t="s">
        <v>20</v>
      </c>
      <c r="U9" s="2">
        <v>5</v>
      </c>
      <c r="V9" s="2">
        <f t="shared" si="7"/>
        <v>3.125E-2</v>
      </c>
      <c r="W9" s="2">
        <f t="shared" si="0"/>
        <v>2.5735379355584953E-2</v>
      </c>
      <c r="X9" s="2">
        <f t="shared" si="8"/>
        <v>6.25E-2</v>
      </c>
      <c r="Y9" s="2">
        <f t="shared" si="1"/>
        <v>-5.5561163066574493E-3</v>
      </c>
      <c r="Z9" s="2">
        <f t="shared" si="3"/>
        <v>4.6875E-2</v>
      </c>
      <c r="AA9" s="2">
        <f t="shared" si="2"/>
        <v>1.0092992151487623E-2</v>
      </c>
      <c r="AB9" s="2">
        <f t="shared" si="4"/>
        <v>2.5974698185147555E-4</v>
      </c>
      <c r="AC9" s="2">
        <f t="shared" si="5"/>
        <v>-5.6077838275846035E-5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-401.73855635505947</v>
      </c>
      <c r="AI9" s="2">
        <f t="shared" si="14"/>
        <v>2281.25</v>
      </c>
      <c r="AJ9" s="2">
        <v>128.33255940717686</v>
      </c>
      <c r="AK9" s="2">
        <f t="shared" si="9"/>
        <v>1984.375</v>
      </c>
      <c r="AL9" s="2">
        <v>-135.78947909641897</v>
      </c>
      <c r="AM9" s="2">
        <f t="shared" si="10"/>
        <v>54551.869300400882</v>
      </c>
      <c r="AN9" s="2">
        <f t="shared" si="11"/>
        <v>-17426.211393010788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63.047548737612772</v>
      </c>
      <c r="H10" s="6" t="s">
        <v>101</v>
      </c>
      <c r="N10" s="6" t="s">
        <v>113</v>
      </c>
      <c r="O10" s="6">
        <f>O7/(0.3048^2)/($C$5*2.20462/1000)^(2/3)</f>
        <v>3.7635005761767562</v>
      </c>
      <c r="U10" s="2">
        <v>6</v>
      </c>
      <c r="V10" s="2">
        <f t="shared" si="7"/>
        <v>4.6875E-2</v>
      </c>
      <c r="W10" s="2">
        <f t="shared" si="0"/>
        <v>1.0092992151487623E-2</v>
      </c>
      <c r="X10" s="2">
        <f t="shared" si="8"/>
        <v>6.25E-2</v>
      </c>
      <c r="Y10" s="2">
        <f t="shared" si="1"/>
        <v>-5.5561163066574493E-3</v>
      </c>
      <c r="Z10" s="2">
        <f t="shared" si="3"/>
        <v>5.46875E-2</v>
      </c>
      <c r="AA10" s="2">
        <f t="shared" si="2"/>
        <v>2.2692652910951405E-3</v>
      </c>
      <c r="AB10" s="2">
        <f t="shared" si="4"/>
        <v>2.2903676772666531E-5</v>
      </c>
      <c r="AC10" s="2">
        <f t="shared" si="5"/>
        <v>-1.2608301887985474E-5</v>
      </c>
      <c r="AD10" s="2">
        <f t="shared" si="6"/>
        <v>1.5625E-2</v>
      </c>
      <c r="AF10" s="2">
        <v>6</v>
      </c>
      <c r="AG10" s="2">
        <f t="shared" si="13"/>
        <v>1984.375</v>
      </c>
      <c r="AH10" s="2">
        <v>-135.78947909641897</v>
      </c>
      <c r="AI10" s="2">
        <f t="shared" si="14"/>
        <v>2281.25</v>
      </c>
      <c r="AJ10" s="2">
        <v>128.33255940717686</v>
      </c>
      <c r="AK10" s="2">
        <f t="shared" si="9"/>
        <v>2132.8125</v>
      </c>
      <c r="AL10" s="2">
        <v>-3.4943562418329748</v>
      </c>
      <c r="AM10" s="2">
        <f t="shared" si="10"/>
        <v>474.49681385581988</v>
      </c>
      <c r="AN10" s="2">
        <f t="shared" si="11"/>
        <v>-448.43967999486949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8.4728104406800551</v>
      </c>
      <c r="H11" s="6" t="s">
        <v>147</v>
      </c>
      <c r="J11" s="32" t="s">
        <v>51</v>
      </c>
      <c r="K11" s="32"/>
      <c r="L11" s="32"/>
      <c r="U11" s="2">
        <v>7</v>
      </c>
      <c r="V11" s="2">
        <f t="shared" si="7"/>
        <v>5.46875E-2</v>
      </c>
      <c r="W11" s="2">
        <f t="shared" si="0"/>
        <v>2.2692652910951405E-3</v>
      </c>
      <c r="X11" s="2">
        <f t="shared" si="8"/>
        <v>6.25E-2</v>
      </c>
      <c r="Y11" s="2">
        <f t="shared" si="1"/>
        <v>-5.5561163066574493E-3</v>
      </c>
      <c r="Z11" s="2">
        <f t="shared" si="3"/>
        <v>5.859375E-2</v>
      </c>
      <c r="AA11" s="2">
        <f t="shared" si="2"/>
        <v>-1.6432204661188318E-3</v>
      </c>
      <c r="AB11" s="2">
        <f t="shared" si="4"/>
        <v>-3.7289031693806434E-6</v>
      </c>
      <c r="AC11" s="2">
        <f t="shared" si="5"/>
        <v>9.1299240272360965E-6</v>
      </c>
      <c r="AD11" s="2">
        <f t="shared" si="6"/>
        <v>7.8125E-3</v>
      </c>
      <c r="AF11" s="2">
        <v>7</v>
      </c>
      <c r="AG11" s="2">
        <f t="shared" si="13"/>
        <v>2132.8125</v>
      </c>
      <c r="AH11" s="2">
        <v>-3.4943562418329748</v>
      </c>
      <c r="AI11" s="2">
        <f t="shared" si="14"/>
        <v>2281.25</v>
      </c>
      <c r="AJ11" s="2">
        <v>128.33255940717686</v>
      </c>
      <c r="AK11" s="2">
        <f t="shared" si="9"/>
        <v>2207.03125</v>
      </c>
      <c r="AL11" s="2">
        <v>62.478278378942377</v>
      </c>
      <c r="AM11" s="2">
        <f t="shared" si="10"/>
        <v>-218.3213620324355</v>
      </c>
      <c r="AN11" s="2">
        <f t="shared" si="11"/>
        <v>8017.9973717237563</v>
      </c>
      <c r="AO11" s="2">
        <f t="shared" si="12"/>
        <v>148.4375</v>
      </c>
    </row>
    <row r="12" spans="2:41" x14ac:dyDescent="0.2">
      <c r="B12" s="29" t="s">
        <v>11</v>
      </c>
      <c r="C12" s="29"/>
      <c r="D12" s="29"/>
      <c r="F12" s="24" t="s">
        <v>82</v>
      </c>
      <c r="G12" s="25">
        <f xml:space="preserve"> 1/1000 * (($C$5*$C$44)/$C$21 * ( ($G$4/2) + SQRT( ($G$4/2)^2 + ($C$5*$C$44) / (2*$C$41*PI()*$C$9^2 * $C$18) ) ) )</f>
        <v>252.19019495045109</v>
      </c>
      <c r="H12" s="25" t="s">
        <v>101</v>
      </c>
      <c r="J12" s="10" t="s">
        <v>79</v>
      </c>
      <c r="K12" s="6">
        <f>C5</f>
        <v>2136.7597168133202</v>
      </c>
      <c r="L12" s="6" t="s">
        <v>7</v>
      </c>
      <c r="N12" s="32" t="s">
        <v>73</v>
      </c>
      <c r="O12" s="34"/>
      <c r="P12" s="34"/>
      <c r="U12" s="2">
        <v>8</v>
      </c>
      <c r="V12" s="2">
        <f t="shared" si="7"/>
        <v>5.46875E-2</v>
      </c>
      <c r="W12" s="2">
        <f t="shared" si="0"/>
        <v>2.2692652910951405E-3</v>
      </c>
      <c r="X12" s="2">
        <f t="shared" si="8"/>
        <v>5.859375E-2</v>
      </c>
      <c r="Y12" s="2">
        <f t="shared" si="1"/>
        <v>-1.6432204661188318E-3</v>
      </c>
      <c r="Z12" s="2">
        <f t="shared" si="3"/>
        <v>5.6640625E-2</v>
      </c>
      <c r="AA12" s="2">
        <f t="shared" si="2"/>
        <v>3.130739067088717E-4</v>
      </c>
      <c r="AB12" s="2">
        <f t="shared" si="4"/>
        <v>7.1044775004200056E-7</v>
      </c>
      <c r="AC12" s="2">
        <f t="shared" si="5"/>
        <v>-5.1444945091179584E-7</v>
      </c>
      <c r="AD12" s="2">
        <f t="shared" si="6"/>
        <v>3.90625E-3</v>
      </c>
      <c r="AF12" s="2">
        <v>8</v>
      </c>
      <c r="AG12" s="2">
        <f t="shared" si="13"/>
        <v>2132.8125</v>
      </c>
      <c r="AH12" s="2">
        <v>-3.4943562418329748</v>
      </c>
      <c r="AI12" s="2">
        <f t="shared" si="14"/>
        <v>2207.03125</v>
      </c>
      <c r="AJ12" s="2">
        <v>62.478278378942377</v>
      </c>
      <c r="AK12" s="2">
        <f t="shared" si="9"/>
        <v>2169.921875</v>
      </c>
      <c r="AL12" s="2">
        <v>29.506675787811673</v>
      </c>
      <c r="AM12" s="2">
        <f t="shared" si="10"/>
        <v>-103.10683671488162</v>
      </c>
      <c r="AN12" s="2">
        <f t="shared" si="11"/>
        <v>1843.5263039080967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521.8083811295005</v>
      </c>
      <c r="L13" s="6" t="s">
        <v>7</v>
      </c>
      <c r="N13" s="6" t="s">
        <v>74</v>
      </c>
      <c r="O13" s="6">
        <f xml:space="preserve"> SQRT( ($C$5*$C$50)^2 + O9^2)</f>
        <v>21059.600980362386</v>
      </c>
      <c r="P13" s="6" t="s">
        <v>20</v>
      </c>
      <c r="U13" s="2">
        <v>9</v>
      </c>
      <c r="V13" s="2">
        <f t="shared" si="7"/>
        <v>5.6640625E-2</v>
      </c>
      <c r="W13" s="2">
        <f t="shared" si="0"/>
        <v>3.130739067088717E-4</v>
      </c>
      <c r="X13" s="2">
        <f t="shared" si="8"/>
        <v>5.859375E-2</v>
      </c>
      <c r="Y13" s="2">
        <f t="shared" si="1"/>
        <v>-1.6432204661188318E-3</v>
      </c>
      <c r="Z13" s="2">
        <f t="shared" si="3"/>
        <v>5.76171875E-2</v>
      </c>
      <c r="AA13" s="2">
        <f t="shared" si="2"/>
        <v>-6.6506043483688382E-4</v>
      </c>
      <c r="AB13" s="2">
        <f t="shared" si="4"/>
        <v>-2.082130685318842E-7</v>
      </c>
      <c r="AC13" s="2">
        <f t="shared" si="5"/>
        <v>1.0928409177298572E-6</v>
      </c>
      <c r="AD13" s="2">
        <f t="shared" si="6"/>
        <v>1.953125E-3</v>
      </c>
      <c r="AF13" s="2">
        <v>9</v>
      </c>
      <c r="AG13" s="2">
        <f t="shared" si="13"/>
        <v>2132.8125</v>
      </c>
      <c r="AH13" s="2">
        <v>-3.4943562418329748</v>
      </c>
      <c r="AI13" s="2">
        <f t="shared" si="14"/>
        <v>2169.921875</v>
      </c>
      <c r="AJ13" s="2">
        <v>29.506675787811673</v>
      </c>
      <c r="AK13" s="2">
        <f t="shared" si="9"/>
        <v>2151.3671875</v>
      </c>
      <c r="AL13" s="2">
        <v>13.009822781373032</v>
      </c>
      <c r="AM13" s="2">
        <f t="shared" si="10"/>
        <v>-45.46095544123169</v>
      </c>
      <c r="AN13" s="2">
        <f t="shared" si="11"/>
        <v>383.87662286686037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2" t="s">
        <v>86</v>
      </c>
      <c r="G14" s="33"/>
      <c r="H14" s="33"/>
      <c r="J14" s="12" t="s">
        <v>126</v>
      </c>
      <c r="K14" s="6">
        <f>uniform_250!K14</f>
        <v>217.10859142854926</v>
      </c>
      <c r="L14" s="6" t="s">
        <v>7</v>
      </c>
      <c r="N14" s="6" t="s">
        <v>75</v>
      </c>
      <c r="O14" s="6">
        <f>$C$5*$C$50/O13</f>
        <v>0.99438865403072685</v>
      </c>
      <c r="U14" s="2">
        <v>10</v>
      </c>
      <c r="V14" s="2">
        <f t="shared" si="7"/>
        <v>5.6640625E-2</v>
      </c>
      <c r="W14" s="2">
        <f t="shared" si="0"/>
        <v>3.130739067088717E-4</v>
      </c>
      <c r="X14" s="2">
        <f t="shared" si="8"/>
        <v>5.76171875E-2</v>
      </c>
      <c r="Y14" s="2">
        <f t="shared" si="1"/>
        <v>-6.6506043483688382E-4</v>
      </c>
      <c r="Z14" s="2">
        <f t="shared" si="3"/>
        <v>5.712890625E-2</v>
      </c>
      <c r="AA14" s="2">
        <f t="shared" si="2"/>
        <v>-1.759900492271857E-4</v>
      </c>
      <c r="AB14" s="2">
        <f t="shared" si="4"/>
        <v>-5.5097892253441675E-8</v>
      </c>
      <c r="AC14" s="2">
        <f t="shared" si="5"/>
        <v>1.1704401866599671E-7</v>
      </c>
      <c r="AD14" s="2">
        <f t="shared" si="6"/>
        <v>9.765625E-4</v>
      </c>
      <c r="AF14" s="2">
        <v>10</v>
      </c>
      <c r="AG14" s="2">
        <f t="shared" si="13"/>
        <v>2132.8125</v>
      </c>
      <c r="AH14" s="2">
        <v>-3.4943562418329748</v>
      </c>
      <c r="AI14" s="2">
        <f t="shared" si="14"/>
        <v>2151.3671875</v>
      </c>
      <c r="AJ14" s="2">
        <v>13.009822781373032</v>
      </c>
      <c r="AK14" s="2">
        <f t="shared" si="9"/>
        <v>2142.08984375</v>
      </c>
      <c r="AL14" s="2">
        <v>4.7586466969203229</v>
      </c>
      <c r="AM14" s="2">
        <f t="shared" si="10"/>
        <v>-16.628406788061397</v>
      </c>
      <c r="AN14" s="2">
        <f t="shared" si="11"/>
        <v>61.909150206099547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>uniform_250!K15</f>
        <v>291.87210733785793</v>
      </c>
      <c r="L15" s="6" t="s">
        <v>7</v>
      </c>
      <c r="U15" s="2">
        <v>11</v>
      </c>
      <c r="V15" s="2">
        <f t="shared" si="7"/>
        <v>5.6640625E-2</v>
      </c>
      <c r="W15" s="2">
        <f t="shared" si="0"/>
        <v>3.130739067088717E-4</v>
      </c>
      <c r="X15" s="2">
        <f t="shared" si="8"/>
        <v>5.712890625E-2</v>
      </c>
      <c r="Y15" s="2">
        <f t="shared" si="1"/>
        <v>-1.759900492271857E-4</v>
      </c>
      <c r="Z15" s="2">
        <f t="shared" si="3"/>
        <v>5.6884765625E-2</v>
      </c>
      <c r="AA15" s="2">
        <f t="shared" si="2"/>
        <v>6.8542732899565251E-5</v>
      </c>
      <c r="AB15" s="2">
        <f t="shared" si="4"/>
        <v>2.1458941165369602E-8</v>
      </c>
      <c r="AC15" s="2">
        <f t="shared" si="5"/>
        <v>-1.206283893716033E-8</v>
      </c>
      <c r="AD15" s="2">
        <f t="shared" si="6"/>
        <v>4.8828125E-4</v>
      </c>
      <c r="AF15" s="2">
        <v>11</v>
      </c>
      <c r="AG15" s="2">
        <f t="shared" si="13"/>
        <v>2132.8125</v>
      </c>
      <c r="AH15" s="2">
        <v>-3.4943562418329748</v>
      </c>
      <c r="AI15" s="2">
        <f t="shared" si="14"/>
        <v>2142.08984375</v>
      </c>
      <c r="AJ15" s="2">
        <v>4.7586466969203229</v>
      </c>
      <c r="AK15" s="2">
        <f t="shared" si="9"/>
        <v>2137.451171875</v>
      </c>
      <c r="AL15" s="2">
        <v>0.63237581685802979</v>
      </c>
      <c r="AM15" s="2">
        <f t="shared" si="10"/>
        <v>-2.2097463828220825</v>
      </c>
      <c r="AN15" s="2">
        <f t="shared" si="11"/>
        <v>3.0092530921037546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140.44267922368732</v>
      </c>
      <c r="H16" s="6" t="s">
        <v>10</v>
      </c>
      <c r="J16" s="13" t="s">
        <v>53</v>
      </c>
      <c r="K16" s="6">
        <f>uniform_250!K16</f>
        <v>104.28820317467412</v>
      </c>
      <c r="L16" s="6" t="s">
        <v>7</v>
      </c>
      <c r="N16" s="32" t="s">
        <v>24</v>
      </c>
      <c r="O16" s="34"/>
      <c r="P16" s="34"/>
      <c r="U16" s="2">
        <v>12</v>
      </c>
      <c r="V16" s="2">
        <f t="shared" si="7"/>
        <v>5.6884765625E-2</v>
      </c>
      <c r="W16" s="2">
        <f t="shared" si="0"/>
        <v>6.8542732899565251E-5</v>
      </c>
      <c r="X16" s="2">
        <f t="shared" si="8"/>
        <v>5.712890625E-2</v>
      </c>
      <c r="Y16" s="2">
        <f t="shared" si="1"/>
        <v>-1.759900492271857E-4</v>
      </c>
      <c r="Z16" s="2">
        <f t="shared" si="3"/>
        <v>5.70068359375E-2</v>
      </c>
      <c r="AA16" s="2">
        <f t="shared" si="2"/>
        <v>-5.3723457180188117E-5</v>
      </c>
      <c r="AB16" s="2">
        <f t="shared" si="4"/>
        <v>-3.6823525759428649E-9</v>
      </c>
      <c r="AC16" s="2">
        <f t="shared" si="5"/>
        <v>9.4547938737959089E-9</v>
      </c>
      <c r="AD16" s="2">
        <f t="shared" si="6"/>
        <v>2.44140625E-4</v>
      </c>
      <c r="AF16" s="2">
        <v>12</v>
      </c>
      <c r="AG16" s="2">
        <f t="shared" si="13"/>
        <v>2132.8125</v>
      </c>
      <c r="AH16" s="2">
        <v>-3.4943562418329748</v>
      </c>
      <c r="AI16" s="2">
        <f t="shared" si="14"/>
        <v>2137.451171875</v>
      </c>
      <c r="AJ16" s="2">
        <v>0.63237581685802979</v>
      </c>
      <c r="AK16" s="2">
        <f t="shared" si="9"/>
        <v>2135.1318359375</v>
      </c>
      <c r="AL16" s="2">
        <v>-1.4309365618287302</v>
      </c>
      <c r="AM16" s="2">
        <f t="shared" si="10"/>
        <v>5.0002021064932398</v>
      </c>
      <c r="AN16" s="2">
        <f t="shared" si="11"/>
        <v>-0.90488967715846391</v>
      </c>
      <c r="AO16" s="2">
        <f t="shared" si="12"/>
        <v>4.638671875</v>
      </c>
    </row>
    <row r="17" spans="2:41" x14ac:dyDescent="0.2">
      <c r="B17" s="31" t="s">
        <v>110</v>
      </c>
      <c r="C17" s="31"/>
      <c r="D17" s="31"/>
      <c r="F17" s="6" t="s">
        <v>124</v>
      </c>
      <c r="G17" s="6">
        <f>G16/$C$49</f>
        <v>0.42210248748983775</v>
      </c>
      <c r="H17" s="6" t="s">
        <v>122</v>
      </c>
      <c r="J17" s="13" t="s">
        <v>77</v>
      </c>
      <c r="K17" s="6">
        <f>uniform_250!K17</f>
        <v>56.046372987699051</v>
      </c>
      <c r="L17" s="6" t="s">
        <v>7</v>
      </c>
      <c r="N17" s="6" t="s">
        <v>25</v>
      </c>
      <c r="O17" s="6">
        <f xml:space="preserve"> ACOS(O14)/PI()*180</f>
        <v>6.0725967653849651</v>
      </c>
      <c r="P17" s="6" t="s">
        <v>40</v>
      </c>
      <c r="U17" s="2">
        <v>13</v>
      </c>
      <c r="V17" s="2">
        <f t="shared" si="7"/>
        <v>5.6884765625E-2</v>
      </c>
      <c r="W17" s="2">
        <f t="shared" si="0"/>
        <v>6.8542732899565251E-5</v>
      </c>
      <c r="X17" s="2">
        <f t="shared" si="8"/>
        <v>5.70068359375E-2</v>
      </c>
      <c r="Y17" s="2">
        <f t="shared" si="1"/>
        <v>-5.3723457180188117E-5</v>
      </c>
      <c r="Z17" s="2">
        <f t="shared" si="3"/>
        <v>5.694580078125E-2</v>
      </c>
      <c r="AA17" s="2">
        <f t="shared" si="2"/>
        <v>7.409688112608448E-6</v>
      </c>
      <c r="AB17" s="2">
        <f t="shared" si="4"/>
        <v>5.0788027317160462E-10</v>
      </c>
      <c r="AC17" s="2">
        <f t="shared" si="5"/>
        <v>-3.9807406203626885E-10</v>
      </c>
      <c r="AD17" s="2">
        <f t="shared" si="6"/>
        <v>1.220703125E-4</v>
      </c>
      <c r="AF17" s="2">
        <v>13</v>
      </c>
      <c r="AG17" s="2">
        <f t="shared" si="13"/>
        <v>2135.1318359375</v>
      </c>
      <c r="AH17" s="2">
        <v>-1.4309365618287302</v>
      </c>
      <c r="AI17" s="2">
        <f t="shared" si="14"/>
        <v>2137.451171875</v>
      </c>
      <c r="AJ17" s="2">
        <v>0.63237581685802979</v>
      </c>
      <c r="AK17" s="2">
        <f t="shared" si="9"/>
        <v>2136.29150390625</v>
      </c>
      <c r="AL17" s="2">
        <v>-0.39926762567938567</v>
      </c>
      <c r="AM17" s="2">
        <f t="shared" si="10"/>
        <v>0.57132664353918061</v>
      </c>
      <c r="AN17" s="2">
        <f t="shared" si="11"/>
        <v>-0.2524871909339676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5264.9002450905964</v>
      </c>
      <c r="H18" s="6" t="s">
        <v>20</v>
      </c>
      <c r="J18" s="14" t="s">
        <v>60</v>
      </c>
      <c r="K18" s="6">
        <f>uniform_250!K18</f>
        <v>137.73869334765726</v>
      </c>
      <c r="L18" s="6" t="s">
        <v>7</v>
      </c>
      <c r="N18" s="6" t="s">
        <v>19</v>
      </c>
      <c r="O18" s="6">
        <f xml:space="preserve"> O13 / $C$18</f>
        <v>5264.9002450905964</v>
      </c>
      <c r="P18" s="6" t="s">
        <v>20</v>
      </c>
      <c r="U18" s="2">
        <v>14</v>
      </c>
      <c r="V18" s="2">
        <f t="shared" si="7"/>
        <v>5.694580078125E-2</v>
      </c>
      <c r="W18" s="2">
        <f t="shared" si="0"/>
        <v>7.409688112608448E-6</v>
      </c>
      <c r="X18" s="2">
        <f t="shared" si="8"/>
        <v>5.70068359375E-2</v>
      </c>
      <c r="Y18" s="2">
        <f t="shared" si="1"/>
        <v>-5.3723457180188117E-5</v>
      </c>
      <c r="Z18" s="2">
        <f t="shared" si="3"/>
        <v>5.6976318359375E-2</v>
      </c>
      <c r="AA18" s="2">
        <f t="shared" si="2"/>
        <v>-2.3156871971435899E-5</v>
      </c>
      <c r="AB18" s="2">
        <f t="shared" si="4"/>
        <v>-1.7158519897194433E-10</v>
      </c>
      <c r="AC18" s="2">
        <f t="shared" si="5"/>
        <v>1.244067219784535E-9</v>
      </c>
      <c r="AD18" s="2">
        <f t="shared" si="6"/>
        <v>6.103515625E-5</v>
      </c>
      <c r="AF18" s="2">
        <v>14</v>
      </c>
      <c r="AG18" s="2">
        <f t="shared" si="13"/>
        <v>2136.29150390625</v>
      </c>
      <c r="AH18" s="2">
        <v>-0.39926762567938567</v>
      </c>
      <c r="AI18" s="2">
        <f t="shared" si="14"/>
        <v>2137.451171875</v>
      </c>
      <c r="AJ18" s="2">
        <v>0.63237581685802979</v>
      </c>
      <c r="AK18" s="2">
        <f t="shared" si="9"/>
        <v>2136.871337890625</v>
      </c>
      <c r="AL18" s="2">
        <v>0.1165588488722733</v>
      </c>
      <c r="AM18" s="2">
        <f t="shared" si="10"/>
        <v>-4.6538174841154904E-2</v>
      </c>
      <c r="AN18" s="2">
        <f t="shared" si="11"/>
        <v>7.3708997267635468E-2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59.615439828338069</v>
      </c>
      <c r="H19" s="6" t="s">
        <v>101</v>
      </c>
      <c r="J19" s="14" t="s">
        <v>61</v>
      </c>
      <c r="K19" s="6">
        <f>uniform_250!K19</f>
        <v>33.45869403254224</v>
      </c>
      <c r="L19" s="6" t="s">
        <v>7</v>
      </c>
      <c r="N19" s="6" t="s">
        <v>26</v>
      </c>
      <c r="O19" s="6">
        <f>$C$7*2*PI()/60</f>
        <v>37.983196799170862</v>
      </c>
      <c r="P19" s="6" t="s">
        <v>27</v>
      </c>
      <c r="U19" s="2">
        <v>15</v>
      </c>
      <c r="V19" s="2">
        <f t="shared" si="7"/>
        <v>5.694580078125E-2</v>
      </c>
      <c r="W19" s="2">
        <f t="shared" si="0"/>
        <v>7.409688112608448E-6</v>
      </c>
      <c r="X19" s="2">
        <f t="shared" si="8"/>
        <v>5.6976318359375E-2</v>
      </c>
      <c r="Y19" s="2">
        <f t="shared" si="1"/>
        <v>-2.3156871971435899E-5</v>
      </c>
      <c r="Z19" s="2">
        <f t="shared" si="3"/>
        <v>5.69610595703125E-2</v>
      </c>
      <c r="AA19" s="2">
        <f t="shared" si="2"/>
        <v>-7.8735887887107503E-6</v>
      </c>
      <c r="AB19" s="2">
        <f t="shared" si="4"/>
        <v>-5.8340837251277192E-11</v>
      </c>
      <c r="AC19" s="2">
        <f t="shared" si="5"/>
        <v>1.823276875359079E-10</v>
      </c>
      <c r="AD19" s="2">
        <f t="shared" si="6"/>
        <v>3.0517578125E-5</v>
      </c>
      <c r="AF19" s="2">
        <v>15</v>
      </c>
      <c r="AG19" s="2">
        <f t="shared" si="13"/>
        <v>2136.29150390625</v>
      </c>
      <c r="AH19" s="2">
        <v>-0.39926762567938567</v>
      </c>
      <c r="AI19" s="2">
        <f t="shared" si="14"/>
        <v>2136.871337890625</v>
      </c>
      <c r="AJ19" s="2">
        <v>0.1165588488722733</v>
      </c>
      <c r="AK19" s="2">
        <f t="shared" si="9"/>
        <v>2136.5814208984375</v>
      </c>
      <c r="AL19" s="2">
        <v>-0.14135164921617616</v>
      </c>
      <c r="AM19" s="2">
        <f t="shared" si="10"/>
        <v>5.6437137368408052E-2</v>
      </c>
      <c r="AN19" s="2">
        <f t="shared" si="11"/>
        <v>-1.6475785518834867E-2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9.0111617111203426</v>
      </c>
      <c r="H20" s="6" t="s">
        <v>147</v>
      </c>
      <c r="J20" s="14" t="s">
        <v>62</v>
      </c>
      <c r="K20" s="6">
        <f>uniform_250!K20</f>
        <v>0</v>
      </c>
      <c r="L20" s="6" t="s">
        <v>7</v>
      </c>
      <c r="N20" s="6" t="s">
        <v>28</v>
      </c>
      <c r="O20" s="6">
        <f xml:space="preserve"> $C$8 * COS(O17/180*PI()) / (O19 * $C$9)</f>
        <v>0.47478249456122662</v>
      </c>
      <c r="U20" s="2">
        <v>16</v>
      </c>
      <c r="V20" s="2">
        <f t="shared" si="7"/>
        <v>5.694580078125E-2</v>
      </c>
      <c r="W20" s="2">
        <f t="shared" si="0"/>
        <v>7.409688112608448E-6</v>
      </c>
      <c r="X20" s="2">
        <f t="shared" si="8"/>
        <v>5.69610595703125E-2</v>
      </c>
      <c r="Y20" s="2">
        <f t="shared" si="1"/>
        <v>-7.8735887887107503E-6</v>
      </c>
      <c r="Z20" s="2">
        <f t="shared" si="3"/>
        <v>5.695343017578125E-2</v>
      </c>
      <c r="AA20" s="2">
        <f t="shared" si="2"/>
        <v>-2.3194955286326424E-7</v>
      </c>
      <c r="AB20" s="2">
        <f t="shared" si="4"/>
        <v>-1.7186738445757738E-12</v>
      </c>
      <c r="AC20" s="2">
        <f t="shared" si="5"/>
        <v>1.826275398970669E-12</v>
      </c>
      <c r="AD20" s="2">
        <f t="shared" si="6"/>
        <v>1.52587890625E-5</v>
      </c>
      <c r="AF20" s="2">
        <v>16</v>
      </c>
      <c r="AG20" s="2">
        <f t="shared" si="13"/>
        <v>2136.5814208984375</v>
      </c>
      <c r="AH20" s="2">
        <v>-0.14135164921617616</v>
      </c>
      <c r="AI20" s="2">
        <f t="shared" si="14"/>
        <v>2136.871337890625</v>
      </c>
      <c r="AJ20" s="2">
        <v>0.1165588488722733</v>
      </c>
      <c r="AK20" s="2">
        <f t="shared" si="9"/>
        <v>2136.7263793945312</v>
      </c>
      <c r="AL20" s="2">
        <v>-1.2400373562513778E-2</v>
      </c>
      <c r="AM20" s="2">
        <f t="shared" si="10"/>
        <v>1.7528132539579922E-3</v>
      </c>
      <c r="AN20" s="2">
        <f t="shared" si="11"/>
        <v>-1.4453732680327768E-3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0.10035741236499417</v>
      </c>
      <c r="J21" s="14" t="s">
        <v>63</v>
      </c>
      <c r="K21" s="6">
        <f>uniform_250!K21</f>
        <v>0</v>
      </c>
      <c r="L21" s="6" t="s">
        <v>7</v>
      </c>
      <c r="N21" s="6" t="s">
        <v>29</v>
      </c>
      <c r="O21" s="6">
        <f xml:space="preserve"> O18 / ($C$47 * PI() * $C$9^2 * O19^2 * $C$9^2)</f>
        <v>6.162143530316239E-3</v>
      </c>
      <c r="U21" s="2">
        <v>17</v>
      </c>
      <c r="V21" s="2">
        <f t="shared" si="7"/>
        <v>5.694580078125E-2</v>
      </c>
      <c r="W21" s="2">
        <f t="shared" si="0"/>
        <v>7.409688112608448E-6</v>
      </c>
      <c r="X21" s="2">
        <f t="shared" si="8"/>
        <v>5.695343017578125E-2</v>
      </c>
      <c r="Y21" s="2">
        <f t="shared" si="1"/>
        <v>-2.3194955286326424E-7</v>
      </c>
      <c r="Z21" s="2">
        <f t="shared" si="3"/>
        <v>5.6949615478515625E-2</v>
      </c>
      <c r="AA21" s="2">
        <f t="shared" si="2"/>
        <v>3.5888694761704309E-6</v>
      </c>
      <c r="AB21" s="2">
        <f t="shared" si="4"/>
        <v>2.6592403495283348E-11</v>
      </c>
      <c r="AC21" s="2">
        <f t="shared" si="5"/>
        <v>-8.3243667028234878E-13</v>
      </c>
      <c r="AD21" s="2">
        <f t="shared" si="6"/>
        <v>7.62939453125E-6</v>
      </c>
      <c r="AF21" s="2">
        <v>17</v>
      </c>
      <c r="AG21" s="2">
        <f t="shared" si="13"/>
        <v>2136.7263793945312</v>
      </c>
      <c r="AH21" s="2">
        <v>-1.2400373562513778E-2</v>
      </c>
      <c r="AI21" s="2">
        <f t="shared" si="14"/>
        <v>2136.871337890625</v>
      </c>
      <c r="AJ21" s="2">
        <v>0.1165588488722733</v>
      </c>
      <c r="AK21" s="2">
        <f t="shared" si="9"/>
        <v>2136.7988586425781</v>
      </c>
      <c r="AL21" s="2">
        <v>5.2079020671044418E-2</v>
      </c>
      <c r="AM21" s="2">
        <f t="shared" si="10"/>
        <v>-6.4579931109082776E-4</v>
      </c>
      <c r="AN21" s="2">
        <f t="shared" si="11"/>
        <v>6.0702706998122637E-3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238.46175931335227</v>
      </c>
      <c r="H22" s="25" t="s">
        <v>101</v>
      </c>
      <c r="J22" s="14" t="s">
        <v>112</v>
      </c>
      <c r="K22" s="6">
        <f>uniform_250!K22</f>
        <v>27.692712939142108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5.6949615478515625E-2</v>
      </c>
      <c r="W22" s="2">
        <f t="shared" si="0"/>
        <v>3.5888694761704309E-6</v>
      </c>
      <c r="X22" s="2">
        <f t="shared" si="8"/>
        <v>5.695343017578125E-2</v>
      </c>
      <c r="Y22" s="2">
        <f t="shared" si="1"/>
        <v>-2.3194955286326424E-7</v>
      </c>
      <c r="Z22" s="2">
        <f t="shared" si="3"/>
        <v>5.6951522827148438E-2</v>
      </c>
      <c r="AA22" s="2">
        <f t="shared" si="2"/>
        <v>1.6784600107289105E-6</v>
      </c>
      <c r="AB22" s="2">
        <f t="shared" si="4"/>
        <v>6.0237738994776812E-12</v>
      </c>
      <c r="AC22" s="2">
        <f t="shared" si="5"/>
        <v>-3.8931804898744049E-13</v>
      </c>
      <c r="AD22" s="2">
        <f t="shared" si="6"/>
        <v>3.814697265625E-6</v>
      </c>
      <c r="AF22" s="2">
        <v>18</v>
      </c>
      <c r="AG22" s="2">
        <f t="shared" si="13"/>
        <v>2136.7263793945312</v>
      </c>
      <c r="AH22" s="2">
        <v>-1.2400373562513778E-2</v>
      </c>
      <c r="AI22" s="2">
        <f t="shared" si="14"/>
        <v>2136.7988586425781</v>
      </c>
      <c r="AJ22" s="2">
        <v>5.2079020671044418E-2</v>
      </c>
      <c r="AK22" s="2">
        <f t="shared" si="9"/>
        <v>2136.7626190185547</v>
      </c>
      <c r="AL22" s="2">
        <v>1.9839269308477014E-2</v>
      </c>
      <c r="AM22" s="2">
        <f t="shared" si="10"/>
        <v>-2.4601435063242936E-4</v>
      </c>
      <c r="AN22" s="2">
        <f t="shared" si="11"/>
        <v>1.0332097164145915E-3</v>
      </c>
      <c r="AO22" s="2">
        <f t="shared" si="12"/>
        <v>7.2479248046875E-2</v>
      </c>
    </row>
    <row r="23" spans="2:41" x14ac:dyDescent="0.2">
      <c r="J23" s="15" t="s">
        <v>64</v>
      </c>
      <c r="K23" s="6">
        <f>uniform_250!K23</f>
        <v>64.049500005152296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16788.475255617224</v>
      </c>
      <c r="P23" s="6" t="s">
        <v>18</v>
      </c>
      <c r="U23" s="2">
        <v>19</v>
      </c>
      <c r="V23" s="2">
        <f t="shared" si="7"/>
        <v>5.6951522827148438E-2</v>
      </c>
      <c r="W23" s="2">
        <f t="shared" si="0"/>
        <v>1.6784600107289105E-6</v>
      </c>
      <c r="X23" s="2">
        <f t="shared" si="8"/>
        <v>5.695343017578125E-2</v>
      </c>
      <c r="Y23" s="2">
        <f t="shared" si="1"/>
        <v>-2.3194955286326424E-7</v>
      </c>
      <c r="Z23" s="2">
        <f t="shared" si="3"/>
        <v>5.6952476501464844E-2</v>
      </c>
      <c r="AA23" s="2">
        <f t="shared" si="2"/>
        <v>7.232552411973181E-7</v>
      </c>
      <c r="AB23" s="2">
        <f t="shared" si="4"/>
        <v>1.2139549998997913E-12</v>
      </c>
      <c r="AC23" s="2">
        <f t="shared" si="5"/>
        <v>-1.6775872980173027E-13</v>
      </c>
      <c r="AD23" s="2">
        <f t="shared" si="6"/>
        <v>1.9073486328125E-6</v>
      </c>
      <c r="AF23" s="2">
        <v>19</v>
      </c>
      <c r="AG23" s="2">
        <f t="shared" si="13"/>
        <v>2136.7263793945312</v>
      </c>
      <c r="AH23" s="2">
        <v>-1.2400373562513778E-2</v>
      </c>
      <c r="AI23" s="2">
        <f t="shared" si="14"/>
        <v>2136.7626190185547</v>
      </c>
      <c r="AJ23" s="2">
        <v>1.9839269308477014E-2</v>
      </c>
      <c r="AK23" s="2">
        <f t="shared" si="9"/>
        <v>2136.744499206543</v>
      </c>
      <c r="AL23" s="2">
        <v>3.7194343110513728E-3</v>
      </c>
      <c r="AM23" s="2">
        <f t="shared" si="10"/>
        <v>-4.6122374898268093E-5</v>
      </c>
      <c r="AN23" s="2">
        <f t="shared" si="11"/>
        <v>7.3790858972137854E-5</v>
      </c>
      <c r="AO23" s="2">
        <f t="shared" si="12"/>
        <v>3.62396240234375E-2</v>
      </c>
    </row>
    <row r="24" spans="2:41" x14ac:dyDescent="0.2">
      <c r="B24" s="31" t="s">
        <v>104</v>
      </c>
      <c r="C24" s="31"/>
      <c r="D24" s="31"/>
      <c r="F24" s="32" t="s">
        <v>81</v>
      </c>
      <c r="G24" s="33"/>
      <c r="H24" s="33"/>
      <c r="J24" s="15" t="s">
        <v>65</v>
      </c>
      <c r="K24" s="6">
        <f>uniform_250!K24</f>
        <v>8.8695808316148437</v>
      </c>
      <c r="L24" s="6" t="s">
        <v>7</v>
      </c>
      <c r="N24" s="6" t="s">
        <v>31</v>
      </c>
      <c r="O24" s="18">
        <f>Z34</f>
        <v>5.6953198742121458E-2</v>
      </c>
      <c r="U24" s="2">
        <v>20</v>
      </c>
      <c r="V24" s="2">
        <f t="shared" si="7"/>
        <v>5.6952476501464844E-2</v>
      </c>
      <c r="W24" s="2">
        <f t="shared" si="0"/>
        <v>7.232552411973181E-7</v>
      </c>
      <c r="X24" s="2">
        <f t="shared" si="8"/>
        <v>5.695343017578125E-2</v>
      </c>
      <c r="Y24" s="2">
        <f t="shared" si="1"/>
        <v>-2.3194955286326424E-7</v>
      </c>
      <c r="Z24" s="2">
        <f t="shared" si="3"/>
        <v>5.6952953338623047E-2</v>
      </c>
      <c r="AA24" s="2">
        <f t="shared" si="2"/>
        <v>2.4565284723748748E-7</v>
      </c>
      <c r="AB24" s="2">
        <f t="shared" si="4"/>
        <v>1.7766970927955694E-13</v>
      </c>
      <c r="AC24" s="2">
        <f t="shared" si="5"/>
        <v>-5.6979068076322978E-14</v>
      </c>
      <c r="AD24" s="2">
        <f t="shared" si="6"/>
        <v>9.5367431640625E-7</v>
      </c>
      <c r="AF24" s="2">
        <v>20</v>
      </c>
      <c r="AG24" s="2">
        <f t="shared" si="13"/>
        <v>2136.7263793945312</v>
      </c>
      <c r="AH24" s="2">
        <v>-1.2400373562513778E-2</v>
      </c>
      <c r="AI24" s="2">
        <f t="shared" si="14"/>
        <v>2136.744499206543</v>
      </c>
      <c r="AJ24" s="2">
        <v>3.7194343110513728E-3</v>
      </c>
      <c r="AK24" s="2">
        <f t="shared" si="9"/>
        <v>2136.7354393005371</v>
      </c>
      <c r="AL24" s="2">
        <v>-4.3404730163274508E-3</v>
      </c>
      <c r="AM24" s="2">
        <f t="shared" si="10"/>
        <v>5.3823486840471355E-5</v>
      </c>
      <c r="AN24" s="2">
        <f t="shared" si="11"/>
        <v>-1.6144104263120967E-5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>uniform_250!K25</f>
        <v>19.11925373288128</v>
      </c>
      <c r="L25" s="6" t="s">
        <v>7</v>
      </c>
      <c r="N25" s="6" t="s">
        <v>32</v>
      </c>
      <c r="O25" s="6">
        <f xml:space="preserve"> O19 * $C$9 * O24 - $C$8 * SIN(O17/180*PI())</f>
        <v>0.90490679871252411</v>
      </c>
      <c r="P25" s="6" t="s">
        <v>10</v>
      </c>
      <c r="U25" s="2">
        <v>21</v>
      </c>
      <c r="V25" s="2">
        <f t="shared" si="7"/>
        <v>5.6952953338623047E-2</v>
      </c>
      <c r="W25" s="2">
        <f t="shared" si="0"/>
        <v>2.4565284723748748E-7</v>
      </c>
      <c r="X25" s="2">
        <f t="shared" si="8"/>
        <v>5.695343017578125E-2</v>
      </c>
      <c r="Y25" s="2">
        <f t="shared" si="1"/>
        <v>-2.3194955286326424E-7</v>
      </c>
      <c r="Z25" s="2">
        <f t="shared" si="3"/>
        <v>5.6953191757202148E-2</v>
      </c>
      <c r="AA25" s="2">
        <f t="shared" si="2"/>
        <v>6.8516479503899497E-9</v>
      </c>
      <c r="AB25" s="2">
        <f t="shared" si="4"/>
        <v>1.6831268272821866E-15</v>
      </c>
      <c r="AC25" s="2">
        <f t="shared" si="5"/>
        <v>-1.5892366784694497E-15</v>
      </c>
      <c r="AD25" s="2">
        <f t="shared" si="6"/>
        <v>4.76837158203125E-7</v>
      </c>
      <c r="AF25" s="2">
        <v>21</v>
      </c>
      <c r="AG25" s="2">
        <f t="shared" si="13"/>
        <v>2136.7354393005371</v>
      </c>
      <c r="AH25" s="2">
        <v>-4.3404730163274508E-3</v>
      </c>
      <c r="AI25" s="2">
        <f t="shared" si="14"/>
        <v>2136.744499206543</v>
      </c>
      <c r="AJ25" s="2">
        <v>3.7194343110513728E-3</v>
      </c>
      <c r="AK25" s="2">
        <f t="shared" si="9"/>
        <v>2136.73996925354</v>
      </c>
      <c r="AL25" s="2">
        <v>-3.105202001734142E-4</v>
      </c>
      <c r="AM25" s="2">
        <f t="shared" si="10"/>
        <v>1.3478045498773029E-6</v>
      </c>
      <c r="AN25" s="2">
        <f t="shared" si="11"/>
        <v>-1.1549594867995372E-6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>uniform_250!K26</f>
        <v>54.690367675875919</v>
      </c>
      <c r="L26" s="6" t="s">
        <v>7</v>
      </c>
      <c r="N26" s="6" t="s">
        <v>33</v>
      </c>
      <c r="O26" s="6">
        <f xml:space="preserve"> 1/$C$21 - O23 * SQRT( (2*$C$47*PI()*$C$9^2) / O18^3 )</f>
        <v>0.92428832711877185</v>
      </c>
      <c r="U26" s="2">
        <v>22</v>
      </c>
      <c r="V26" s="2">
        <f t="shared" si="7"/>
        <v>5.6953191757202148E-2</v>
      </c>
      <c r="W26" s="2">
        <f t="shared" si="0"/>
        <v>6.8516479503899497E-9</v>
      </c>
      <c r="X26" s="2">
        <f t="shared" si="8"/>
        <v>5.695343017578125E-2</v>
      </c>
      <c r="Y26" s="2">
        <f t="shared" si="1"/>
        <v>-2.3194955286326424E-7</v>
      </c>
      <c r="Z26" s="2">
        <f t="shared" si="3"/>
        <v>5.6953310966491699E-2</v>
      </c>
      <c r="AA26" s="2">
        <f t="shared" si="2"/>
        <v>-1.1254895226214812E-7</v>
      </c>
      <c r="AB26" s="2">
        <f t="shared" si="4"/>
        <v>-7.7114579808548348E-16</v>
      </c>
      <c r="AC26" s="2">
        <f t="shared" si="5"/>
        <v>2.6105679152434127E-14</v>
      </c>
      <c r="AD26" s="2">
        <f t="shared" si="6"/>
        <v>2.384185791015625E-7</v>
      </c>
      <c r="AF26" s="2">
        <v>22</v>
      </c>
      <c r="AG26" s="2">
        <f t="shared" si="13"/>
        <v>2136.73996925354</v>
      </c>
      <c r="AH26" s="2">
        <v>-3.105202001734142E-4</v>
      </c>
      <c r="AI26" s="2">
        <f t="shared" si="14"/>
        <v>2136.744499206543</v>
      </c>
      <c r="AJ26" s="2">
        <v>3.7194343110513728E-3</v>
      </c>
      <c r="AK26" s="2">
        <f t="shared" si="9"/>
        <v>2136.7422342300415</v>
      </c>
      <c r="AL26" s="2">
        <v>1.7044568435267138E-3</v>
      </c>
      <c r="AM26" s="2">
        <f t="shared" si="10"/>
        <v>-5.2926828023886084E-7</v>
      </c>
      <c r="AN26" s="2">
        <f t="shared" si="11"/>
        <v>6.3396152655195802E-6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1.7258190172924515E-2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5.6953191757202148E-2</v>
      </c>
      <c r="W27" s="2">
        <f t="shared" si="0"/>
        <v>6.8516479503899497E-9</v>
      </c>
      <c r="X27" s="2">
        <f t="shared" si="8"/>
        <v>5.6953310966491699E-2</v>
      </c>
      <c r="Y27" s="2">
        <f t="shared" si="1"/>
        <v>-1.1254895226214812E-7</v>
      </c>
      <c r="Z27" s="2">
        <f t="shared" si="3"/>
        <v>5.6953251361846924E-2</v>
      </c>
      <c r="AA27" s="2">
        <f t="shared" si="2"/>
        <v>-5.2848652107306826E-8</v>
      </c>
      <c r="AB27" s="2">
        <f t="shared" si="4"/>
        <v>-3.6210035889190029E-16</v>
      </c>
      <c r="AC27" s="2">
        <f t="shared" si="5"/>
        <v>5.9480604231441493E-15</v>
      </c>
      <c r="AD27" s="2">
        <f t="shared" si="6"/>
        <v>1.1920928955078125E-7</v>
      </c>
      <c r="AF27" s="2">
        <v>23</v>
      </c>
      <c r="AG27" s="2">
        <f t="shared" si="13"/>
        <v>2136.73996925354</v>
      </c>
      <c r="AH27" s="2">
        <v>-3.105202001734142E-4</v>
      </c>
      <c r="AI27" s="2">
        <f t="shared" si="14"/>
        <v>2136.7422342300415</v>
      </c>
      <c r="AJ27" s="2">
        <v>1.7044568435267138E-3</v>
      </c>
      <c r="AK27" s="2">
        <f t="shared" si="9"/>
        <v>2136.7411017417908</v>
      </c>
      <c r="AL27" s="2">
        <v>6.9696826858489658E-4</v>
      </c>
      <c r="AM27" s="2">
        <f t="shared" si="10"/>
        <v>-2.164227262755E-7</v>
      </c>
      <c r="AN27" s="2">
        <f t="shared" si="11"/>
        <v>1.1879523351104917E-6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5235.8578861557216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1.1500381829923607</v>
      </c>
      <c r="U28" s="2">
        <v>24</v>
      </c>
      <c r="V28" s="2">
        <f t="shared" si="7"/>
        <v>5.6953191757202148E-2</v>
      </c>
      <c r="W28" s="2">
        <f t="shared" si="0"/>
        <v>6.8516479503899497E-9</v>
      </c>
      <c r="X28" s="2">
        <f t="shared" si="8"/>
        <v>5.6953251361846924E-2</v>
      </c>
      <c r="Y28" s="2">
        <f t="shared" si="1"/>
        <v>-5.2848652107306826E-8</v>
      </c>
      <c r="Z28" s="2">
        <f t="shared" si="3"/>
        <v>5.6953221559524536E-2</v>
      </c>
      <c r="AA28" s="2">
        <f t="shared" si="2"/>
        <v>-2.2998502068050097E-8</v>
      </c>
      <c r="AB28" s="2">
        <f t="shared" si="4"/>
        <v>-1.5757763955659447E-16</v>
      </c>
      <c r="AC28" s="2">
        <f t="shared" si="5"/>
        <v>1.2154398347835562E-15</v>
      </c>
      <c r="AD28" s="2">
        <f t="shared" si="6"/>
        <v>5.9604644775390625E-8</v>
      </c>
      <c r="AF28" s="2">
        <v>24</v>
      </c>
      <c r="AG28" s="2">
        <f t="shared" si="13"/>
        <v>2136.73996925354</v>
      </c>
      <c r="AH28" s="2">
        <v>-3.105202001734142E-4</v>
      </c>
      <c r="AI28" s="2">
        <f t="shared" si="14"/>
        <v>2136.7411017417908</v>
      </c>
      <c r="AJ28" s="2">
        <v>6.9696826858489658E-4</v>
      </c>
      <c r="AK28" s="2">
        <f t="shared" si="9"/>
        <v>2136.7405354976654</v>
      </c>
      <c r="AL28" s="2">
        <v>1.9322402090438118E-4</v>
      </c>
      <c r="AM28" s="2">
        <f t="shared" si="10"/>
        <v>-5.9999961649540412E-8</v>
      </c>
      <c r="AN28" s="2">
        <f t="shared" si="11"/>
        <v>1.3467101129873842E-7</v>
      </c>
      <c r="AO28" s="2">
        <f t="shared" si="12"/>
        <v>1.1324882507324219E-3</v>
      </c>
    </row>
    <row r="29" spans="2:41" x14ac:dyDescent="0.2">
      <c r="B29" s="31" t="s">
        <v>108</v>
      </c>
      <c r="C29" s="31"/>
      <c r="D29" s="31"/>
      <c r="F29" t="s">
        <v>97</v>
      </c>
      <c r="G29" s="6">
        <f>G31/$C$18</f>
        <v>53.451170464319127</v>
      </c>
      <c r="H29" t="s">
        <v>18</v>
      </c>
      <c r="U29" s="2">
        <v>25</v>
      </c>
      <c r="V29" s="2">
        <f t="shared" si="7"/>
        <v>5.6953191757202148E-2</v>
      </c>
      <c r="W29" s="2">
        <f t="shared" si="0"/>
        <v>6.8516479503899497E-9</v>
      </c>
      <c r="X29" s="2">
        <f t="shared" si="8"/>
        <v>5.6953221559524536E-2</v>
      </c>
      <c r="Y29" s="2">
        <f t="shared" si="1"/>
        <v>-2.2998502068050097E-8</v>
      </c>
      <c r="Z29" s="2">
        <f t="shared" si="3"/>
        <v>5.6953206658363342E-2</v>
      </c>
      <c r="AA29" s="2">
        <f t="shared" si="2"/>
        <v>-8.0734270518911799E-9</v>
      </c>
      <c r="AB29" s="2">
        <f t="shared" si="4"/>
        <v>-5.5316279912712975E-17</v>
      </c>
      <c r="AC29" s="2">
        <f t="shared" si="5"/>
        <v>1.856767287491709E-16</v>
      </c>
      <c r="AD29" s="2">
        <f t="shared" si="6"/>
        <v>2.9802322387695312E-8</v>
      </c>
      <c r="AF29" s="2">
        <v>25</v>
      </c>
      <c r="AG29" s="2">
        <f t="shared" si="13"/>
        <v>2136.73996925354</v>
      </c>
      <c r="AH29" s="2">
        <v>-3.105202001734142E-4</v>
      </c>
      <c r="AI29" s="2">
        <f t="shared" si="14"/>
        <v>2136.7405354976654</v>
      </c>
      <c r="AJ29" s="2">
        <v>1.9322402090438118E-4</v>
      </c>
      <c r="AK29" s="2">
        <f t="shared" si="9"/>
        <v>2136.7402523756027</v>
      </c>
      <c r="AL29" s="2">
        <v>-5.554240669880528E-5</v>
      </c>
      <c r="AM29" s="2">
        <f t="shared" si="10"/>
        <v>1.7247039246226196E-8</v>
      </c>
      <c r="AN29" s="2">
        <f t="shared" si="11"/>
        <v>-1.0732127153049593E-8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9.9939800113436998</v>
      </c>
      <c r="H30" s="6" t="s">
        <v>147</v>
      </c>
      <c r="J30" s="29" t="s">
        <v>111</v>
      </c>
      <c r="K30" s="29"/>
      <c r="L30" s="29"/>
      <c r="U30" s="2">
        <v>26</v>
      </c>
      <c r="V30" s="2">
        <f t="shared" si="7"/>
        <v>5.6953191757202148E-2</v>
      </c>
      <c r="W30" s="2">
        <f t="shared" si="0"/>
        <v>6.8516479503899497E-9</v>
      </c>
      <c r="X30" s="2">
        <f t="shared" si="8"/>
        <v>5.6953206658363342E-2</v>
      </c>
      <c r="Y30" s="2">
        <f t="shared" si="1"/>
        <v>-8.0734270518911799E-9</v>
      </c>
      <c r="Z30" s="2">
        <f t="shared" si="3"/>
        <v>5.6953199207782745E-2</v>
      </c>
      <c r="AA30" s="2">
        <f t="shared" si="2"/>
        <v>-6.1088954728116818E-10</v>
      </c>
      <c r="AB30" s="2">
        <f t="shared" si="4"/>
        <v>-4.1856001145436599E-18</v>
      </c>
      <c r="AC30" s="2">
        <f t="shared" si="5"/>
        <v>4.9319721967373394E-18</v>
      </c>
      <c r="AD30" s="2">
        <f t="shared" si="6"/>
        <v>1.4901161193847656E-8</v>
      </c>
      <c r="AF30" s="2">
        <v>26</v>
      </c>
      <c r="AG30" s="2">
        <f t="shared" si="13"/>
        <v>2136.7402523756027</v>
      </c>
      <c r="AH30" s="2">
        <v>-5.554240669880528E-5</v>
      </c>
      <c r="AI30" s="2">
        <f t="shared" si="14"/>
        <v>2136.7405354976654</v>
      </c>
      <c r="AJ30" s="2">
        <v>1.9322402090438118E-4</v>
      </c>
      <c r="AK30" s="2">
        <f t="shared" si="9"/>
        <v>2136.7403939366341</v>
      </c>
      <c r="AL30" s="2">
        <v>6.8840806761727436E-5</v>
      </c>
      <c r="AM30" s="2">
        <f t="shared" si="10"/>
        <v>-3.8235840866337297E-9</v>
      </c>
      <c r="AN30" s="2">
        <f t="shared" si="11"/>
        <v>1.3301697484802487E-8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213.80468185727651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5.6953191757202148E-2</v>
      </c>
      <c r="W31" s="2">
        <f t="shared" si="0"/>
        <v>6.8516479503899497E-9</v>
      </c>
      <c r="X31" s="2">
        <f t="shared" si="8"/>
        <v>5.6953199207782745E-2</v>
      </c>
      <c r="Y31" s="2">
        <f t="shared" si="1"/>
        <v>-6.1088954728116818E-10</v>
      </c>
      <c r="Z31" s="2">
        <f t="shared" si="3"/>
        <v>5.6953195482492447E-2</v>
      </c>
      <c r="AA31" s="2">
        <f t="shared" si="2"/>
        <v>3.1203792050238377E-9</v>
      </c>
      <c r="AB31" s="2">
        <f t="shared" si="4"/>
        <v>2.1379739784540999E-17</v>
      </c>
      <c r="AC31" s="2">
        <f t="shared" si="5"/>
        <v>-1.9062070399025837E-18</v>
      </c>
      <c r="AD31" s="2">
        <f t="shared" si="6"/>
        <v>7.4505805969238281E-9</v>
      </c>
      <c r="AF31" s="2">
        <v>27</v>
      </c>
      <c r="AG31" s="2">
        <f t="shared" si="13"/>
        <v>2136.7402523756027</v>
      </c>
      <c r="AH31" s="2">
        <v>-5.554240669880528E-5</v>
      </c>
      <c r="AI31" s="2">
        <f t="shared" si="14"/>
        <v>2136.7403939366341</v>
      </c>
      <c r="AJ31" s="2">
        <v>6.8840806761727436E-5</v>
      </c>
      <c r="AK31" s="2">
        <f t="shared" si="9"/>
        <v>2136.7403231561184</v>
      </c>
      <c r="AL31" s="2">
        <v>6.6491995767137269E-6</v>
      </c>
      <c r="AM31" s="2">
        <f t="shared" si="10"/>
        <v>-3.6931254711135773E-10</v>
      </c>
      <c r="AN31" s="2">
        <f t="shared" si="11"/>
        <v>4.5773626318070953E-10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521.80999999999995</v>
      </c>
      <c r="L32" s="6" t="s">
        <v>7</v>
      </c>
      <c r="U32" s="2">
        <v>28</v>
      </c>
      <c r="V32" s="2">
        <f t="shared" si="7"/>
        <v>5.6953195482492447E-2</v>
      </c>
      <c r="W32" s="2">
        <f t="shared" si="0"/>
        <v>3.1203792050238377E-9</v>
      </c>
      <c r="X32" s="2">
        <f t="shared" si="8"/>
        <v>5.6953199207782745E-2</v>
      </c>
      <c r="Y32" s="2">
        <f t="shared" si="1"/>
        <v>-6.1088954728116818E-10</v>
      </c>
      <c r="Z32" s="2">
        <f t="shared" si="3"/>
        <v>5.6953197345137596E-2</v>
      </c>
      <c r="AA32" s="2">
        <f t="shared" si="2"/>
        <v>1.2547448288713348E-9</v>
      </c>
      <c r="AB32" s="2">
        <f t="shared" si="4"/>
        <v>3.915279671621307E-18</v>
      </c>
      <c r="AC32" s="2">
        <f t="shared" si="5"/>
        <v>-7.6651050046259653E-19</v>
      </c>
      <c r="AD32" s="2">
        <f t="shared" si="6"/>
        <v>3.7252902984619141E-9</v>
      </c>
      <c r="AF32" s="2">
        <v>28</v>
      </c>
      <c r="AG32" s="2">
        <f t="shared" si="13"/>
        <v>2136.7402523756027</v>
      </c>
      <c r="AH32" s="2">
        <v>-5.554240669880528E-5</v>
      </c>
      <c r="AI32" s="2">
        <f t="shared" si="14"/>
        <v>2136.7403231561184</v>
      </c>
      <c r="AJ32" s="2">
        <v>6.6491995767137269E-6</v>
      </c>
      <c r="AK32" s="2">
        <f t="shared" si="9"/>
        <v>2136.7402877658606</v>
      </c>
      <c r="AL32" s="2">
        <v>-2.7552290248422651E-5</v>
      </c>
      <c r="AM32" s="2">
        <f t="shared" si="10"/>
        <v>1.5303205104614176E-9</v>
      </c>
      <c r="AN32" s="2">
        <f t="shared" si="11"/>
        <v>-1.8320067665730563E-10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2" t="s">
        <v>156</v>
      </c>
      <c r="G33" s="33"/>
      <c r="H33" s="33"/>
      <c r="J33" s="19" t="s">
        <v>78</v>
      </c>
      <c r="K33" s="6">
        <f>ROUND(SUM(K14:K17),2)</f>
        <v>669.32</v>
      </c>
      <c r="L33" s="6" t="s">
        <v>7</v>
      </c>
      <c r="U33" s="2">
        <v>29</v>
      </c>
      <c r="V33" s="2">
        <f t="shared" si="7"/>
        <v>5.6953197345137596E-2</v>
      </c>
      <c r="W33" s="2">
        <f t="shared" si="0"/>
        <v>1.2547448288713348E-9</v>
      </c>
      <c r="X33" s="2">
        <f t="shared" si="8"/>
        <v>5.6953199207782745E-2</v>
      </c>
      <c r="Y33" s="2">
        <f t="shared" si="1"/>
        <v>-6.1088954728116818E-10</v>
      </c>
      <c r="Z33" s="2">
        <f t="shared" si="3"/>
        <v>5.6953198276460171E-2</v>
      </c>
      <c r="AA33" s="2">
        <f t="shared" si="2"/>
        <v>3.2192763732563634E-10</v>
      </c>
      <c r="AB33" s="2">
        <f t="shared" si="4"/>
        <v>4.0393703820510869E-19</v>
      </c>
      <c r="AC33" s="2">
        <f t="shared" si="5"/>
        <v>-1.9666222862315408E-19</v>
      </c>
      <c r="AD33" s="2">
        <f t="shared" si="6"/>
        <v>1.862645149230957E-9</v>
      </c>
      <c r="AF33" s="2">
        <v>29</v>
      </c>
      <c r="AG33" s="2">
        <f t="shared" si="13"/>
        <v>2136.7402877658606</v>
      </c>
      <c r="AH33" s="2">
        <v>-2.7552290248422651E-5</v>
      </c>
      <c r="AI33" s="2">
        <f t="shared" si="14"/>
        <v>2136.7403231561184</v>
      </c>
      <c r="AJ33" s="2">
        <v>6.6491995767137269E-6</v>
      </c>
      <c r="AK33" s="2">
        <f t="shared" si="9"/>
        <v>2136.7403054609895</v>
      </c>
      <c r="AL33" s="2">
        <v>-7.3458593305986142E-6</v>
      </c>
      <c r="AM33" s="2">
        <f t="shared" si="10"/>
        <v>2.0239524840073674E-10</v>
      </c>
      <c r="AN33" s="2">
        <f t="shared" si="11"/>
        <v>-4.8844084751614886E-11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198.89</v>
      </c>
      <c r="L34" s="6" t="s">
        <v>7</v>
      </c>
      <c r="U34" s="2">
        <v>30</v>
      </c>
      <c r="V34" s="2">
        <f t="shared" si="7"/>
        <v>5.6953198276460171E-2</v>
      </c>
      <c r="W34" s="2">
        <f t="shared" si="0"/>
        <v>3.2192763732563634E-10</v>
      </c>
      <c r="X34" s="2">
        <f t="shared" si="8"/>
        <v>5.6953199207782745E-2</v>
      </c>
      <c r="Y34" s="2">
        <f t="shared" si="1"/>
        <v>-6.1088954728116818E-10</v>
      </c>
      <c r="Z34" s="2">
        <f t="shared" si="3"/>
        <v>5.6953198742121458E-2</v>
      </c>
      <c r="AA34" s="2">
        <f t="shared" si="2"/>
        <v>-1.4448095497776592E-10</v>
      </c>
      <c r="AB34" s="2">
        <f t="shared" si="4"/>
        <v>-4.6512412474543819E-20</v>
      </c>
      <c r="AC34" s="2">
        <f t="shared" si="5"/>
        <v>8.8261905177118264E-20</v>
      </c>
      <c r="AD34" s="2">
        <f>X34-V34</f>
        <v>9.3132257461547852E-10</v>
      </c>
      <c r="AF34" s="2">
        <v>30</v>
      </c>
      <c r="AG34" s="2">
        <f t="shared" si="13"/>
        <v>2136.7403054609895</v>
      </c>
      <c r="AH34" s="2">
        <v>-7.3458593305986142E-6</v>
      </c>
      <c r="AI34" s="2">
        <f t="shared" si="14"/>
        <v>2136.7403231561184</v>
      </c>
      <c r="AJ34" s="2">
        <v>6.6491995767137269E-6</v>
      </c>
      <c r="AK34" s="2">
        <f t="shared" si="9"/>
        <v>2136.7403143085539</v>
      </c>
      <c r="AL34" s="2">
        <v>-3.4832942219509277E-7</v>
      </c>
      <c r="AM34" s="2">
        <f t="shared" si="10"/>
        <v>2.5587789361538463E-12</v>
      </c>
      <c r="AN34" s="2">
        <f t="shared" si="11"/>
        <v>-2.3161118466165479E-12</v>
      </c>
      <c r="AO34" s="2">
        <f t="shared" si="12"/>
        <v>1.7695128917694092E-5</v>
      </c>
    </row>
    <row r="35" spans="2:41" x14ac:dyDescent="0.2">
      <c r="B35" s="29" t="s">
        <v>2</v>
      </c>
      <c r="C35" s="29"/>
      <c r="D35" s="29"/>
      <c r="F35" s="26" t="s">
        <v>132</v>
      </c>
      <c r="G35" s="25">
        <f xml:space="preserve"> G22</f>
        <v>238.46175931335227</v>
      </c>
      <c r="H35" s="25" t="s">
        <v>101</v>
      </c>
      <c r="J35" s="15" t="s">
        <v>70</v>
      </c>
      <c r="K35" s="6">
        <f>ROUND(SUM(K23:K26),2)</f>
        <v>146.72999999999999</v>
      </c>
      <c r="L35" s="6" t="s">
        <v>7</v>
      </c>
      <c r="AF35" s="2">
        <v>31</v>
      </c>
      <c r="AG35" s="2">
        <f t="shared" si="13"/>
        <v>2136.7403143085539</v>
      </c>
      <c r="AH35" s="2">
        <v>-3.4832942219509277E-7</v>
      </c>
      <c r="AI35" s="2">
        <f t="shared" si="14"/>
        <v>2136.7403231561184</v>
      </c>
      <c r="AJ35" s="2">
        <v>6.6491995767137269E-6</v>
      </c>
      <c r="AK35" s="2">
        <f t="shared" si="9"/>
        <v>2136.7403187323362</v>
      </c>
      <c r="AL35" s="2">
        <v>3.1504348498856416E-6</v>
      </c>
      <c r="AM35" s="2">
        <f t="shared" si="10"/>
        <v>-1.0973891509239494E-12</v>
      </c>
      <c r="AN35" s="2">
        <f t="shared" si="11"/>
        <v>2.0947870070323782E-11</v>
      </c>
      <c r="AO35" s="2">
        <f t="shared" si="12"/>
        <v>8.8475644588470459E-6</v>
      </c>
    </row>
    <row r="36" spans="2:41" x14ac:dyDescent="0.2">
      <c r="B36" s="6" t="s">
        <v>3</v>
      </c>
      <c r="C36" s="17">
        <v>550</v>
      </c>
      <c r="D36" s="6" t="s">
        <v>4</v>
      </c>
      <c r="J36" s="10" t="s">
        <v>59</v>
      </c>
      <c r="K36" s="10">
        <f>SUM(K31:K35)</f>
        <v>2136.75</v>
      </c>
      <c r="L36" s="6" t="s">
        <v>7</v>
      </c>
      <c r="AF36" s="2">
        <v>32</v>
      </c>
      <c r="AG36" s="2">
        <f t="shared" si="13"/>
        <v>2136.7403143085539</v>
      </c>
      <c r="AH36" s="2">
        <v>-3.4832942219509277E-7</v>
      </c>
      <c r="AI36" s="2">
        <f t="shared" si="14"/>
        <v>2136.7403187323362</v>
      </c>
      <c r="AJ36" s="2">
        <v>3.1504348498856416E-6</v>
      </c>
      <c r="AK36" s="2">
        <f t="shared" si="9"/>
        <v>2136.740316520445</v>
      </c>
      <c r="AL36" s="2">
        <v>1.4010529412189499E-6</v>
      </c>
      <c r="AM36" s="2">
        <f t="shared" si="10"/>
        <v>-4.8802796147953208E-13</v>
      </c>
      <c r="AN36" s="2">
        <f t="shared" si="11"/>
        <v>4.4139260125509589E-12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2136.7403143085539</v>
      </c>
      <c r="AH37" s="2">
        <v>-3.4832942219509277E-7</v>
      </c>
      <c r="AI37" s="2">
        <f t="shared" si="14"/>
        <v>2136.740316520445</v>
      </c>
      <c r="AJ37" s="2">
        <v>1.4010529412189499E-6</v>
      </c>
      <c r="AK37" s="2">
        <f t="shared" si="9"/>
        <v>2136.7403154144995</v>
      </c>
      <c r="AL37" s="2">
        <v>5.2636164582509082E-7</v>
      </c>
      <c r="AM37" s="2">
        <f t="shared" si="10"/>
        <v>-1.8334724795591195E-13</v>
      </c>
      <c r="AN37" s="2">
        <f t="shared" si="11"/>
        <v>7.3746053202809067E-13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9" t="s">
        <v>56</v>
      </c>
      <c r="K38" s="29"/>
      <c r="L38" s="29"/>
      <c r="AF38" s="2">
        <v>34</v>
      </c>
      <c r="AG38" s="2">
        <f t="shared" si="13"/>
        <v>2136.7403143085539</v>
      </c>
      <c r="AH38" s="2">
        <v>-3.4832942219509277E-7</v>
      </c>
      <c r="AI38" s="2">
        <f t="shared" si="14"/>
        <v>2136.7403154144995</v>
      </c>
      <c r="AJ38" s="2">
        <v>5.2636164582509082E-7</v>
      </c>
      <c r="AK38" s="2">
        <f t="shared" si="9"/>
        <v>2136.7403148615267</v>
      </c>
      <c r="AL38" s="2">
        <v>8.9015657067648135E-8</v>
      </c>
      <c r="AM38" s="2">
        <f t="shared" si="10"/>
        <v>-3.1006772392690401E-14</v>
      </c>
      <c r="AN38" s="2">
        <f t="shared" si="11"/>
        <v>4.685442775832915E-14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28.08</v>
      </c>
      <c r="L39" s="6" t="s">
        <v>58</v>
      </c>
      <c r="AF39" s="2">
        <v>35</v>
      </c>
      <c r="AG39" s="2">
        <f t="shared" si="13"/>
        <v>2136.7403143085539</v>
      </c>
      <c r="AH39" s="2">
        <v>-3.4832942219509277E-7</v>
      </c>
      <c r="AI39" s="2">
        <f t="shared" si="14"/>
        <v>2136.7403148615267</v>
      </c>
      <c r="AJ39" s="2">
        <v>8.9015657067648135E-8</v>
      </c>
      <c r="AK39" s="2">
        <f t="shared" si="9"/>
        <v>2136.7403145850403</v>
      </c>
      <c r="AL39" s="2">
        <v>-1.2965665519004688E-7</v>
      </c>
      <c r="AM39" s="2">
        <f t="shared" si="10"/>
        <v>4.5163227786097405E-14</v>
      </c>
      <c r="AN39" s="2">
        <f t="shared" si="11"/>
        <v>-1.1541472354935514E-14</v>
      </c>
      <c r="AO39" s="2">
        <f t="shared" si="12"/>
        <v>5.5297277867794037E-7</v>
      </c>
    </row>
    <row r="40" spans="2:41" x14ac:dyDescent="0.2">
      <c r="B40" s="29" t="s">
        <v>144</v>
      </c>
      <c r="C40" s="30"/>
      <c r="D40" s="30"/>
      <c r="J40" s="11" t="s">
        <v>52</v>
      </c>
      <c r="K40" s="6">
        <f>ROUND(K13/$C$5 * 100, 2)</f>
        <v>24.42</v>
      </c>
      <c r="L40" s="6" t="s">
        <v>58</v>
      </c>
      <c r="AF40" s="2">
        <v>36</v>
      </c>
      <c r="AG40" s="2">
        <f t="shared" si="13"/>
        <v>2136.7403145850403</v>
      </c>
      <c r="AH40" s="2">
        <v>-1.2965665519004688E-7</v>
      </c>
      <c r="AI40" s="2">
        <f t="shared" si="14"/>
        <v>2136.7403148615267</v>
      </c>
      <c r="AJ40" s="2">
        <v>8.9015657067648135E-8</v>
      </c>
      <c r="AK40" s="2">
        <f t="shared" si="9"/>
        <v>2136.7403147232835</v>
      </c>
      <c r="AL40" s="2">
        <v>-2.0320840121712536E-8</v>
      </c>
      <c r="AM40" s="2">
        <f t="shared" si="10"/>
        <v>2.6347321608329524E-15</v>
      </c>
      <c r="AN40" s="2">
        <f t="shared" si="11"/>
        <v>-1.8088729356008683E-15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31.32</v>
      </c>
      <c r="L41" s="6" t="s">
        <v>58</v>
      </c>
      <c r="AF41" s="2">
        <v>37</v>
      </c>
      <c r="AG41" s="2">
        <f t="shared" si="13"/>
        <v>2136.7403147232835</v>
      </c>
      <c r="AH41" s="2">
        <v>-2.0320840121712536E-8</v>
      </c>
      <c r="AI41" s="2">
        <f t="shared" si="14"/>
        <v>2136.7403148615267</v>
      </c>
      <c r="AJ41" s="2">
        <v>-2.0320840121712536E-8</v>
      </c>
      <c r="AK41" s="2">
        <f t="shared" si="9"/>
        <v>2136.7403147924051</v>
      </c>
      <c r="AL41" s="2">
        <v>-2.0320840121712536E-8</v>
      </c>
      <c r="AM41" s="2">
        <f t="shared" si="10"/>
        <v>4.1293654325220194E-16</v>
      </c>
      <c r="AN41" s="2">
        <f t="shared" si="11"/>
        <v>4.1293654325220194E-16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9.31</v>
      </c>
      <c r="L42" s="6" t="s">
        <v>58</v>
      </c>
      <c r="AF42" s="2">
        <v>38</v>
      </c>
      <c r="AG42" s="2">
        <f t="shared" si="13"/>
        <v>2136.7403147924051</v>
      </c>
      <c r="AH42" s="2">
        <v>3.4347976907156408E-8</v>
      </c>
      <c r="AI42" s="2">
        <f t="shared" si="14"/>
        <v>2136.7403147924051</v>
      </c>
      <c r="AJ42" s="2">
        <v>-2.0320840121712536E-8</v>
      </c>
      <c r="AK42" s="2">
        <f t="shared" si="9"/>
        <v>2136.7403147924051</v>
      </c>
      <c r="AL42" s="2">
        <v>-2.0320840121712536E-8</v>
      </c>
      <c r="AM42" s="2">
        <f t="shared" si="10"/>
        <v>-6.9797974723459958E-16</v>
      </c>
      <c r="AN42" s="2">
        <f t="shared" si="11"/>
        <v>4.1293654325220194E-16</v>
      </c>
      <c r="AO42" s="2">
        <f t="shared" si="12"/>
        <v>0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6.87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2136.7403147924051</v>
      </c>
      <c r="AH43" s="2">
        <v>3.4347976907156408E-8</v>
      </c>
      <c r="AI43" s="2">
        <f t="shared" si="14"/>
        <v>2136.7403147924051</v>
      </c>
      <c r="AJ43" s="2">
        <v>-2.0320840121712536E-8</v>
      </c>
      <c r="AK43" s="2">
        <f t="shared" si="9"/>
        <v>2136.7403147924051</v>
      </c>
      <c r="AL43" s="2">
        <v>-2.0320840121712536E-8</v>
      </c>
      <c r="AM43" s="2">
        <f t="shared" si="10"/>
        <v>-6.9797974723459958E-16</v>
      </c>
      <c r="AN43" s="2">
        <f t="shared" si="11"/>
        <v>4.1293654325220194E-16</v>
      </c>
      <c r="AO43" s="2">
        <f t="shared" si="12"/>
        <v>0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2136.7403147924051</v>
      </c>
      <c r="AH44" s="2">
        <v>3.4347976907156408E-8</v>
      </c>
      <c r="AI44" s="2">
        <f t="shared" si="14"/>
        <v>2136.7403147924051</v>
      </c>
      <c r="AJ44" s="2">
        <v>-2.0320840121712536E-8</v>
      </c>
      <c r="AK44" s="5">
        <f>(AG44+AI44)/2</f>
        <v>2136.7403147924051</v>
      </c>
      <c r="AL44" s="2">
        <v>-2.0320840121712536E-8</v>
      </c>
      <c r="AM44" s="2">
        <f t="shared" si="10"/>
        <v>-6.9797974723459958E-16</v>
      </c>
      <c r="AN44" s="2">
        <f t="shared" si="11"/>
        <v>4.1293654325220194E-16</v>
      </c>
      <c r="AO44" s="2">
        <f t="shared" si="12"/>
        <v>0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9" t="s">
        <v>145</v>
      </c>
      <c r="C46" s="30"/>
      <c r="D46" s="30"/>
      <c r="J46" s="29" t="s">
        <v>56</v>
      </c>
      <c r="K46" s="29"/>
      <c r="L46" s="29"/>
      <c r="N46" s="6" t="s">
        <v>153</v>
      </c>
      <c r="O46" s="6">
        <f>G12*1000/O45</f>
        <v>2006.8658062836516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28.08</v>
      </c>
      <c r="L47" s="6" t="s">
        <v>58</v>
      </c>
      <c r="N47" s="6" t="s">
        <v>154</v>
      </c>
      <c r="O47" s="6">
        <f>0.377*O46^0.6945</f>
        <v>74.120840043344089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24.42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47.5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29" t="s">
        <v>71</v>
      </c>
      <c r="C52" s="29"/>
      <c r="D52" s="29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J7:L7"/>
    <mergeCell ref="B1:D1"/>
    <mergeCell ref="B3:D3"/>
    <mergeCell ref="F3:H3"/>
    <mergeCell ref="J3:L3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38:L38"/>
    <mergeCell ref="B40:D40"/>
    <mergeCell ref="B46:D46"/>
    <mergeCell ref="J46:L46"/>
    <mergeCell ref="B52:D52"/>
  </mergeCells>
  <conditionalFormatting sqref="K28">
    <cfRule type="containsText" dxfId="35" priority="1" operator="containsText" text="FALSE">
      <formula>NOT(ISERROR(SEARCH("FALSE",K28)))</formula>
    </cfRule>
    <cfRule type="containsText" dxfId="34" priority="2" operator="containsText" text="TRUE">
      <formula>NOT(ISERROR(SEARCH("TRUE",K28)))</formula>
    </cfRule>
    <cfRule type="cellIs" dxfId="33" priority="3" operator="equal">
      <formula>1</formula>
    </cfRule>
    <cfRule type="cellIs" dxfId="32" priority="4" operator="equal">
      <formula>TRUE</formula>
    </cfRule>
    <cfRule type="containsText" dxfId="31" priority="5" operator="containsText" text="YES">
      <formula>NOT(ISERROR(SEARCH("YES",K28)))</formula>
    </cfRule>
    <cfRule type="cellIs" dxfId="30" priority="6" operator="equal">
      <formula>"""YES"""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2912-0727-5D49-BD7C-4F809A12D10B}">
  <dimension ref="B1:AO56"/>
  <sheetViews>
    <sheetView topLeftCell="B1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5" t="s">
        <v>0</v>
      </c>
      <c r="C1" s="35"/>
      <c r="D1" s="35"/>
    </row>
    <row r="2" spans="2:41" x14ac:dyDescent="0.2">
      <c r="U2" s="16" t="s">
        <v>93</v>
      </c>
      <c r="AF2" s="16" t="s">
        <v>76</v>
      </c>
    </row>
    <row r="3" spans="2:41" x14ac:dyDescent="0.2">
      <c r="B3" s="32" t="s">
        <v>118</v>
      </c>
      <c r="C3" s="33"/>
      <c r="D3" s="33"/>
      <c r="F3" s="32" t="s">
        <v>80</v>
      </c>
      <c r="G3" s="33"/>
      <c r="H3" s="33"/>
      <c r="J3" s="29" t="s">
        <v>98</v>
      </c>
      <c r="K3" s="29"/>
      <c r="L3" s="29"/>
      <c r="N3" s="29" t="s">
        <v>92</v>
      </c>
      <c r="O3" s="29"/>
      <c r="P3" s="29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350.91720873289444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5.8933297063074742E-2</v>
      </c>
      <c r="X4" s="3">
        <v>1</v>
      </c>
      <c r="Y4" s="2">
        <f t="shared" ref="Y4:Y34" si="1" xml:space="preserve"> $O$20 * TAN($O$17/180*PI()) + $O$21 / (2 * SQRT($O$20^2 + X4^2)) - X4</f>
        <v>-0.94456550045233223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-0.44297511118859689</v>
      </c>
      <c r="AB4" s="2">
        <f>W4*AA4</f>
        <v>-2.6105983819226145E-2</v>
      </c>
      <c r="AC4" s="2">
        <f>Y4*AA4</f>
        <v>0.41841900758778455</v>
      </c>
      <c r="AD4" s="2">
        <f>X4-V4</f>
        <v>1</v>
      </c>
      <c r="AF4" s="2">
        <v>0</v>
      </c>
      <c r="AG4" s="2"/>
      <c r="AH4" s="2">
        <f>K27</f>
        <v>-1.1647991868812824E-6</v>
      </c>
      <c r="AI4" s="2"/>
      <c r="AJ4" s="2">
        <f>K27</f>
        <v>-1.1647991868812824E-6</v>
      </c>
      <c r="AK4" s="2"/>
      <c r="AL4" s="2">
        <f>K27</f>
        <v>-1.1647991868812824E-6</v>
      </c>
      <c r="AM4" s="2"/>
      <c r="AN4" s="2"/>
      <c r="AO4" s="2"/>
    </row>
    <row r="5" spans="2:41" x14ac:dyDescent="0.2">
      <c r="B5" s="10" t="s">
        <v>37</v>
      </c>
      <c r="C5" s="10">
        <v>2014.4404625729701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87.729302183223609</v>
      </c>
      <c r="L5" s="6" t="s">
        <v>101</v>
      </c>
      <c r="N5" s="6" t="s">
        <v>114</v>
      </c>
      <c r="O5" s="6">
        <f xml:space="preserve"> $C$18 * 0.85 * ($C$5/$C$18 *2.20462/1000)^(2/3) * 0.3048^2</f>
        <v>0.33868370412538856</v>
      </c>
      <c r="P5" s="6" t="s">
        <v>115</v>
      </c>
      <c r="U5" s="2">
        <v>1</v>
      </c>
      <c r="V5" s="2">
        <f>IF(AB4&gt;0, Z4, V4)</f>
        <v>0</v>
      </c>
      <c r="W5" s="2">
        <f t="shared" si="0"/>
        <v>5.8933297063074742E-2</v>
      </c>
      <c r="X5" s="2">
        <f>IF(AC4&gt;0, Z4, X4)</f>
        <v>0.5</v>
      </c>
      <c r="Y5" s="2">
        <f t="shared" si="1"/>
        <v>-0.44297511118859689</v>
      </c>
      <c r="Z5" s="2">
        <f t="shared" ref="Z5:Z34" si="3" xml:space="preserve"> (V5 + X5)/2</f>
        <v>0.25</v>
      </c>
      <c r="AA5" s="2">
        <f t="shared" si="2"/>
        <v>-0.19177266897867462</v>
      </c>
      <c r="AB5" s="2">
        <f t="shared" ref="AB5:AB34" si="4">W5*AA5</f>
        <v>-1.130179566949893E-2</v>
      </c>
      <c r="AC5" s="2">
        <f t="shared" ref="AC5:AC34" si="5">Y5*AA5</f>
        <v>8.495051936376237E-2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-1399.2708888838777</v>
      </c>
      <c r="AI5" s="3">
        <v>10000</v>
      </c>
      <c r="AJ5" s="2">
        <f t="dataTable" ref="AJ5:AJ44" dt2D="0" dtr="0" r1="C5"/>
        <v>6665.3381089192444</v>
      </c>
      <c r="AK5" s="2">
        <f>(AG5+AI5)/2</f>
        <v>5250</v>
      </c>
      <c r="AL5" s="2">
        <f t="dataTable" ref="AL5:AL44" dt2D="0" dtr="0" r1="C5" ca="1"/>
        <v>2857.1750943095885</v>
      </c>
      <c r="AM5" s="2">
        <f>AH5*AL5</f>
        <v>-3997961.9339114549</v>
      </c>
      <c r="AN5" s="2">
        <f>AJ5*AL5</f>
        <v>19044038.039956637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5.8933297063074742E-2</v>
      </c>
      <c r="X6" s="2">
        <f t="shared" ref="X6:X34" si="8">IF(AC5&gt;0, Z5, X5)</f>
        <v>0.25</v>
      </c>
      <c r="Y6" s="2">
        <f t="shared" si="1"/>
        <v>-0.19177266897867462</v>
      </c>
      <c r="Z6" s="2">
        <f t="shared" si="3"/>
        <v>0.125</v>
      </c>
      <c r="AA6" s="2">
        <f t="shared" si="2"/>
        <v>-6.626872995667947E-2</v>
      </c>
      <c r="AB6" s="2">
        <f t="shared" si="4"/>
        <v>-3.9054347485296716E-3</v>
      </c>
      <c r="AC6" s="2">
        <f t="shared" si="5"/>
        <v>1.2708531213619471E-2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-1399.2708888838777</v>
      </c>
      <c r="AI6" s="2">
        <f>IF(AN5&gt;0, AK5, AI5)</f>
        <v>5250</v>
      </c>
      <c r="AJ6" s="2">
        <v>2857.1750943095885</v>
      </c>
      <c r="AK6" s="2">
        <f t="shared" ref="AK6:AK43" si="9">(AG6+AI6)/2</f>
        <v>2875</v>
      </c>
      <c r="AL6" s="2">
        <v>781.27445446204683</v>
      </c>
      <c r="AM6" s="2">
        <f t="shared" ref="AM6:AM44" si="10">AH6*AL6</f>
        <v>-1093214.6003573749</v>
      </c>
      <c r="AN6" s="2">
        <f t="shared" ref="AN6:AN44" si="11">AJ6*AL6</f>
        <v>2232237.9131092709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362.71281150121803</v>
      </c>
      <c r="D7" s="6" t="s">
        <v>125</v>
      </c>
      <c r="F7" t="s">
        <v>121</v>
      </c>
      <c r="G7" s="8">
        <f>$C$6*2*PI()/60*$C$9</f>
        <v>154.8803072518057</v>
      </c>
      <c r="H7" s="6" t="s">
        <v>10</v>
      </c>
      <c r="J7" s="29" t="s">
        <v>21</v>
      </c>
      <c r="K7" s="29"/>
      <c r="L7" s="29"/>
      <c r="N7" s="6" t="s">
        <v>159</v>
      </c>
      <c r="O7" s="6">
        <f>O5+$O$6</f>
        <v>0.96896032746048455</v>
      </c>
      <c r="P7" s="6" t="s">
        <v>115</v>
      </c>
      <c r="U7" s="2">
        <v>3</v>
      </c>
      <c r="V7" s="2">
        <f t="shared" si="7"/>
        <v>0</v>
      </c>
      <c r="W7" s="2">
        <f t="shared" si="0"/>
        <v>5.8933297063074742E-2</v>
      </c>
      <c r="X7" s="2">
        <f t="shared" si="8"/>
        <v>0.125</v>
      </c>
      <c r="Y7" s="2">
        <f t="shared" si="1"/>
        <v>-6.626872995667947E-2</v>
      </c>
      <c r="Z7" s="2">
        <f t="shared" si="3"/>
        <v>6.25E-2</v>
      </c>
      <c r="AA7" s="2">
        <f t="shared" si="2"/>
        <v>-3.6191421694283799E-3</v>
      </c>
      <c r="AB7" s="2">
        <f t="shared" si="4"/>
        <v>-2.1328798058442349E-4</v>
      </c>
      <c r="AC7" s="2">
        <f t="shared" si="5"/>
        <v>2.3983595510068041E-4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-1399.2708888838777</v>
      </c>
      <c r="AI7" s="2">
        <f t="shared" ref="AI7:AI44" si="14">IF(AN6&gt;0, AK6, AI6)</f>
        <v>2875</v>
      </c>
      <c r="AJ7" s="2">
        <v>781.27445446204683</v>
      </c>
      <c r="AK7" s="2">
        <f t="shared" si="9"/>
        <v>1687.5</v>
      </c>
      <c r="AL7" s="2">
        <v>-300.10188231332813</v>
      </c>
      <c r="AM7" s="2">
        <f t="shared" si="10"/>
        <v>419923.82762029552</v>
      </c>
      <c r="AN7" s="2">
        <f t="shared" si="11"/>
        <v>-234461.93438737883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0.46382883458199697</v>
      </c>
      <c r="H8" s="6" t="s">
        <v>122</v>
      </c>
      <c r="J8" s="6" t="s">
        <v>96</v>
      </c>
      <c r="K8" s="6">
        <f xml:space="preserve"> $C$15 * (G12*G6 + G22*G15 + G31*G27 +G35*G34)/3600</f>
        <v>190.16503985220231</v>
      </c>
      <c r="L8" s="6" t="s">
        <v>102</v>
      </c>
      <c r="N8" s="6" t="s">
        <v>38</v>
      </c>
      <c r="O8" s="6">
        <f xml:space="preserve"> O4 *O7</f>
        <v>2197.0824521940417</v>
      </c>
      <c r="P8" s="6" t="s">
        <v>20</v>
      </c>
      <c r="U8" s="2">
        <v>4</v>
      </c>
      <c r="V8" s="2">
        <f t="shared" si="7"/>
        <v>0</v>
      </c>
      <c r="W8" s="2">
        <f t="shared" si="0"/>
        <v>5.8933297063074742E-2</v>
      </c>
      <c r="X8" s="2">
        <f t="shared" si="8"/>
        <v>6.25E-2</v>
      </c>
      <c r="Y8" s="2">
        <f t="shared" si="1"/>
        <v>-3.6191421694283799E-3</v>
      </c>
      <c r="Z8" s="2">
        <f t="shared" si="3"/>
        <v>3.125E-2</v>
      </c>
      <c r="AA8" s="2">
        <f t="shared" si="2"/>
        <v>2.7670059975238019E-2</v>
      </c>
      <c r="AB8" s="2">
        <f t="shared" si="4"/>
        <v>1.6306878642737966E-3</v>
      </c>
      <c r="AC8" s="2">
        <f t="shared" si="5"/>
        <v>-1.0014188088699631E-4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-300.10188231332813</v>
      </c>
      <c r="AI8" s="2">
        <f t="shared" si="14"/>
        <v>2875</v>
      </c>
      <c r="AJ8" s="2">
        <v>781.27445446204683</v>
      </c>
      <c r="AK8" s="2">
        <f t="shared" si="9"/>
        <v>2281.25</v>
      </c>
      <c r="AL8" s="2">
        <v>243.61470864271473</v>
      </c>
      <c r="AM8" s="2">
        <f t="shared" si="10"/>
        <v>-73109.232622891694</v>
      </c>
      <c r="AN8" s="2">
        <f t="shared" si="11"/>
        <v>190329.94859376745</v>
      </c>
      <c r="AO8" s="2">
        <f t="shared" si="12"/>
        <v>1187.5</v>
      </c>
    </row>
    <row r="9" spans="2:41" x14ac:dyDescent="0.2">
      <c r="B9" s="6" t="s">
        <v>95</v>
      </c>
      <c r="C9" s="17">
        <v>3.6974949730074602</v>
      </c>
      <c r="D9" s="6" t="s">
        <v>8</v>
      </c>
      <c r="F9" t="s">
        <v>19</v>
      </c>
      <c r="G9" s="6">
        <f xml:space="preserve"> $C$5 * $C$44 / $C$18</f>
        <v>4936.1301128812602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2197.0824521940417</v>
      </c>
      <c r="P9" s="6" t="s">
        <v>20</v>
      </c>
      <c r="U9" s="2">
        <v>5</v>
      </c>
      <c r="V9" s="2">
        <f t="shared" si="7"/>
        <v>3.125E-2</v>
      </c>
      <c r="W9" s="2">
        <f t="shared" si="0"/>
        <v>2.7670059975238019E-2</v>
      </c>
      <c r="X9" s="2">
        <f t="shared" si="8"/>
        <v>6.25E-2</v>
      </c>
      <c r="Y9" s="2">
        <f t="shared" si="1"/>
        <v>-3.6191421694283799E-3</v>
      </c>
      <c r="Z9" s="2">
        <f t="shared" si="3"/>
        <v>4.6875E-2</v>
      </c>
      <c r="AA9" s="2">
        <f t="shared" si="2"/>
        <v>1.2028633687783827E-2</v>
      </c>
      <c r="AB9" s="2">
        <f t="shared" si="4"/>
        <v>3.3283301556114698E-4</v>
      </c>
      <c r="AC9" s="2">
        <f t="shared" si="5"/>
        <v>-4.3533335420065249E-5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-300.10188231332813</v>
      </c>
      <c r="AI9" s="2">
        <f t="shared" si="14"/>
        <v>2281.25</v>
      </c>
      <c r="AJ9" s="2">
        <v>243.61470864271473</v>
      </c>
      <c r="AK9" s="2">
        <f t="shared" si="9"/>
        <v>1984.375</v>
      </c>
      <c r="AL9" s="2">
        <v>-27.525821610110597</v>
      </c>
      <c r="AM9" s="2">
        <f t="shared" si="10"/>
        <v>8260.5508774150749</v>
      </c>
      <c r="AN9" s="2">
        <f t="shared" si="11"/>
        <v>-6705.6950116984344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57.995098464877877</v>
      </c>
      <c r="H10" s="6" t="s">
        <v>101</v>
      </c>
      <c r="N10" s="6" t="s">
        <v>113</v>
      </c>
      <c r="O10" s="6">
        <f>O7/(0.3048^2)/($C$5*2.20462/1000)^(2/3)</f>
        <v>3.8602664690748076</v>
      </c>
      <c r="U10" s="2">
        <v>6</v>
      </c>
      <c r="V10" s="2">
        <f t="shared" si="7"/>
        <v>4.6875E-2</v>
      </c>
      <c r="W10" s="2">
        <f t="shared" si="0"/>
        <v>1.2028633687783827E-2</v>
      </c>
      <c r="X10" s="2">
        <f t="shared" si="8"/>
        <v>6.25E-2</v>
      </c>
      <c r="Y10" s="2">
        <f t="shared" si="1"/>
        <v>-3.6191421694283799E-3</v>
      </c>
      <c r="Z10" s="2">
        <f t="shared" si="3"/>
        <v>5.46875E-2</v>
      </c>
      <c r="AA10" s="2">
        <f t="shared" si="2"/>
        <v>4.2055273617618433E-3</v>
      </c>
      <c r="AB10" s="2">
        <f t="shared" si="4"/>
        <v>5.0586748098585148E-5</v>
      </c>
      <c r="AC10" s="2">
        <f t="shared" si="5"/>
        <v>-1.5220401419637168E-5</v>
      </c>
      <c r="AD10" s="2">
        <f t="shared" si="6"/>
        <v>1.5625E-2</v>
      </c>
      <c r="AF10" s="2">
        <v>6</v>
      </c>
      <c r="AG10" s="2">
        <f t="shared" si="13"/>
        <v>1984.375</v>
      </c>
      <c r="AH10" s="2">
        <v>-27.525821610110597</v>
      </c>
      <c r="AI10" s="2">
        <f t="shared" si="14"/>
        <v>2281.25</v>
      </c>
      <c r="AJ10" s="2">
        <v>243.61470864271473</v>
      </c>
      <c r="AK10" s="2">
        <f t="shared" si="9"/>
        <v>2132.8125</v>
      </c>
      <c r="AL10" s="2">
        <v>108.22838206134975</v>
      </c>
      <c r="AM10" s="2">
        <f t="shared" si="10"/>
        <v>-2979.0751377716069</v>
      </c>
      <c r="AN10" s="2">
        <f t="shared" si="11"/>
        <v>26366.025762748133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8.6836668783006097</v>
      </c>
      <c r="H11" s="6" t="s">
        <v>147</v>
      </c>
      <c r="J11" s="32" t="s">
        <v>51</v>
      </c>
      <c r="K11" s="32"/>
      <c r="L11" s="32"/>
      <c r="U11" s="2">
        <v>7</v>
      </c>
      <c r="V11" s="2">
        <f t="shared" si="7"/>
        <v>5.46875E-2</v>
      </c>
      <c r="W11" s="2">
        <f t="shared" si="0"/>
        <v>4.2055273617618433E-3</v>
      </c>
      <c r="X11" s="2">
        <f t="shared" si="8"/>
        <v>6.25E-2</v>
      </c>
      <c r="Y11" s="2">
        <f t="shared" si="1"/>
        <v>-3.6191421694283799E-3</v>
      </c>
      <c r="Z11" s="2">
        <f t="shared" si="3"/>
        <v>5.859375E-2</v>
      </c>
      <c r="AA11" s="2">
        <f t="shared" si="2"/>
        <v>2.9338629410083361E-4</v>
      </c>
      <c r="AB11" s="2">
        <f t="shared" si="4"/>
        <v>1.233844087406963E-6</v>
      </c>
      <c r="AC11" s="2">
        <f t="shared" si="5"/>
        <v>-1.0618067089126436E-6</v>
      </c>
      <c r="AD11" s="2">
        <f t="shared" si="6"/>
        <v>7.8125E-3</v>
      </c>
      <c r="AF11" s="2">
        <v>7</v>
      </c>
      <c r="AG11" s="2">
        <f t="shared" si="13"/>
        <v>1984.375</v>
      </c>
      <c r="AH11" s="2">
        <v>-27.525821610110597</v>
      </c>
      <c r="AI11" s="2">
        <f t="shared" si="14"/>
        <v>2132.8125</v>
      </c>
      <c r="AJ11" s="2">
        <v>108.22838206134975</v>
      </c>
      <c r="AK11" s="2">
        <f t="shared" si="9"/>
        <v>2058.59375</v>
      </c>
      <c r="AL11" s="2">
        <v>40.396748327762225</v>
      </c>
      <c r="AM11" s="2">
        <f t="shared" si="10"/>
        <v>-1111.9536880985165</v>
      </c>
      <c r="AN11" s="2">
        <f t="shared" si="11"/>
        <v>4372.0747120532415</v>
      </c>
      <c r="AO11" s="2">
        <f t="shared" si="12"/>
        <v>148.4375</v>
      </c>
    </row>
    <row r="12" spans="2:41" x14ac:dyDescent="0.2">
      <c r="B12" s="29" t="s">
        <v>11</v>
      </c>
      <c r="C12" s="29"/>
      <c r="D12" s="29"/>
      <c r="F12" s="24" t="s">
        <v>82</v>
      </c>
      <c r="G12" s="25">
        <f xml:space="preserve"> 1/1000 * (($C$5*$C$44)/$C$21 * ( ($G$4/2) + SQRT( ($G$4/2)^2 + ($C$5*$C$44) / (2*$C$41*PI()*$C$9^2 * $C$18) ) ) )</f>
        <v>231.98039385951151</v>
      </c>
      <c r="H12" s="25" t="s">
        <v>101</v>
      </c>
      <c r="J12" s="10" t="s">
        <v>79</v>
      </c>
      <c r="K12" s="6">
        <f>C5</f>
        <v>2014.4404625729701</v>
      </c>
      <c r="L12" s="6" t="s">
        <v>7</v>
      </c>
      <c r="N12" s="32" t="s">
        <v>73</v>
      </c>
      <c r="O12" s="34"/>
      <c r="P12" s="34"/>
      <c r="U12" s="2">
        <v>8</v>
      </c>
      <c r="V12" s="2">
        <f t="shared" si="7"/>
        <v>5.859375E-2</v>
      </c>
      <c r="W12" s="2">
        <f t="shared" si="0"/>
        <v>2.9338629410083361E-4</v>
      </c>
      <c r="X12" s="2">
        <f t="shared" si="8"/>
        <v>6.25E-2</v>
      </c>
      <c r="Y12" s="2">
        <f t="shared" si="1"/>
        <v>-3.6191421694283799E-3</v>
      </c>
      <c r="Z12" s="2">
        <f t="shared" si="3"/>
        <v>6.0546875E-2</v>
      </c>
      <c r="AA12" s="2">
        <f t="shared" si="2"/>
        <v>-1.662829737530791E-3</v>
      </c>
      <c r="AB12" s="2">
        <f t="shared" si="4"/>
        <v>-4.8785145441482062E-7</v>
      </c>
      <c r="AC12" s="2">
        <f t="shared" si="5"/>
        <v>6.0180172236772106E-6</v>
      </c>
      <c r="AD12" s="2">
        <f t="shared" si="6"/>
        <v>3.90625E-3</v>
      </c>
      <c r="AF12" s="2">
        <v>8</v>
      </c>
      <c r="AG12" s="2">
        <f t="shared" si="13"/>
        <v>1984.375</v>
      </c>
      <c r="AH12" s="2">
        <v>-27.525821610110597</v>
      </c>
      <c r="AI12" s="2">
        <f t="shared" si="14"/>
        <v>2058.59375</v>
      </c>
      <c r="AJ12" s="2">
        <v>40.396748327762225</v>
      </c>
      <c r="AK12" s="2">
        <f t="shared" si="9"/>
        <v>2021.484375</v>
      </c>
      <c r="AL12" s="2">
        <v>6.4467649581981732</v>
      </c>
      <c r="AM12" s="2">
        <f t="shared" si="10"/>
        <v>-177.452502201675</v>
      </c>
      <c r="AN12" s="2">
        <f t="shared" si="11"/>
        <v>260.42834154456818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399.5063862441225</v>
      </c>
      <c r="L13" s="6" t="s">
        <v>7</v>
      </c>
      <c r="N13" s="6" t="s">
        <v>74</v>
      </c>
      <c r="O13" s="6">
        <f xml:space="preserve"> SQRT( ($C$5*$C$50)^2 + O9^2)</f>
        <v>19864.508148384692</v>
      </c>
      <c r="P13" s="6" t="s">
        <v>20</v>
      </c>
      <c r="U13" s="2">
        <v>9</v>
      </c>
      <c r="V13" s="2">
        <f t="shared" si="7"/>
        <v>5.859375E-2</v>
      </c>
      <c r="W13" s="2">
        <f t="shared" si="0"/>
        <v>2.9338629410083361E-4</v>
      </c>
      <c r="X13" s="2">
        <f t="shared" si="8"/>
        <v>6.0546875E-2</v>
      </c>
      <c r="Y13" s="2">
        <f t="shared" si="1"/>
        <v>-1.662829737530791E-3</v>
      </c>
      <c r="Z13" s="2">
        <f t="shared" si="3"/>
        <v>5.95703125E-2</v>
      </c>
      <c r="AA13" s="2">
        <f t="shared" si="2"/>
        <v>-6.8470964313284421E-4</v>
      </c>
      <c r="AB13" s="2">
        <f t="shared" si="4"/>
        <v>-2.0088442473384946E-7</v>
      </c>
      <c r="AC13" s="2">
        <f t="shared" si="5"/>
        <v>1.1385555561753889E-6</v>
      </c>
      <c r="AD13" s="2">
        <f t="shared" si="6"/>
        <v>1.953125E-3</v>
      </c>
      <c r="AF13" s="2">
        <v>9</v>
      </c>
      <c r="AG13" s="2">
        <f t="shared" si="13"/>
        <v>1984.375</v>
      </c>
      <c r="AH13" s="2">
        <v>-27.525821610110597</v>
      </c>
      <c r="AI13" s="2">
        <f t="shared" si="14"/>
        <v>2021.484375</v>
      </c>
      <c r="AJ13" s="2">
        <v>6.4467649581981732</v>
      </c>
      <c r="AK13" s="2">
        <f t="shared" si="9"/>
        <v>2002.9296875</v>
      </c>
      <c r="AL13" s="2">
        <v>-10.536711840909675</v>
      </c>
      <c r="AM13" s="2">
        <f t="shared" si="10"/>
        <v>290.03165049001973</v>
      </c>
      <c r="AN13" s="2">
        <f t="shared" si="11"/>
        <v>-67.92770467060825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2" t="s">
        <v>86</v>
      </c>
      <c r="G14" s="33"/>
      <c r="H14" s="33"/>
      <c r="J14" s="12" t="s">
        <v>126</v>
      </c>
      <c r="K14" s="6">
        <f>uniform_250!K14</f>
        <v>217.10859142854926</v>
      </c>
      <c r="L14" s="6" t="s">
        <v>7</v>
      </c>
      <c r="N14" s="6" t="s">
        <v>75</v>
      </c>
      <c r="O14" s="6">
        <f>$C$5*$C$50/O13</f>
        <v>0.99386462077987181</v>
      </c>
      <c r="U14" s="2">
        <v>10</v>
      </c>
      <c r="V14" s="2">
        <f t="shared" si="7"/>
        <v>5.859375E-2</v>
      </c>
      <c r="W14" s="2">
        <f t="shared" si="0"/>
        <v>2.9338629410083361E-4</v>
      </c>
      <c r="X14" s="2">
        <f t="shared" si="8"/>
        <v>5.95703125E-2</v>
      </c>
      <c r="Y14" s="2">
        <f t="shared" si="1"/>
        <v>-6.8470964313284421E-4</v>
      </c>
      <c r="Z14" s="2">
        <f t="shared" si="3"/>
        <v>5.908203125E-2</v>
      </c>
      <c r="AA14" s="2">
        <f t="shared" si="2"/>
        <v>-1.9565865134577726E-4</v>
      </c>
      <c r="AB14" s="2">
        <f t="shared" si="4"/>
        <v>-5.740356662710467E-8</v>
      </c>
      <c r="AC14" s="2">
        <f t="shared" si="5"/>
        <v>1.3396936533882072E-7</v>
      </c>
      <c r="AD14" s="2">
        <f t="shared" si="6"/>
        <v>9.765625E-4</v>
      </c>
      <c r="AF14" s="2">
        <v>10</v>
      </c>
      <c r="AG14" s="2">
        <f t="shared" si="13"/>
        <v>2002.9296875</v>
      </c>
      <c r="AH14" s="2">
        <v>-10.536711840909675</v>
      </c>
      <c r="AI14" s="2">
        <f t="shared" si="14"/>
        <v>2021.484375</v>
      </c>
      <c r="AJ14" s="2">
        <v>6.4467649581981732</v>
      </c>
      <c r="AK14" s="2">
        <f t="shared" si="9"/>
        <v>2012.20703125</v>
      </c>
      <c r="AL14" s="2">
        <v>-2.0442671155938115</v>
      </c>
      <c r="AM14" s="2">
        <f t="shared" si="10"/>
        <v>21.53985352285958</v>
      </c>
      <c r="AN14" s="2">
        <f t="shared" si="11"/>
        <v>-13.178909606007037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>uniform_250!K15</f>
        <v>291.87210733785793</v>
      </c>
      <c r="L15" s="6" t="s">
        <v>7</v>
      </c>
      <c r="U15" s="2">
        <v>11</v>
      </c>
      <c r="V15" s="2">
        <f t="shared" si="7"/>
        <v>5.859375E-2</v>
      </c>
      <c r="W15" s="2">
        <f t="shared" si="0"/>
        <v>2.9338629410083361E-4</v>
      </c>
      <c r="X15" s="2">
        <f t="shared" si="8"/>
        <v>5.908203125E-2</v>
      </c>
      <c r="Y15" s="2">
        <f t="shared" si="1"/>
        <v>-1.9565865134577726E-4</v>
      </c>
      <c r="Z15" s="2">
        <f t="shared" si="3"/>
        <v>5.8837890625E-2</v>
      </c>
      <c r="AA15" s="2">
        <f t="shared" si="2"/>
        <v>4.8864577607908577E-5</v>
      </c>
      <c r="AB15" s="2">
        <f t="shared" si="4"/>
        <v>1.4336197337186874E-8</v>
      </c>
      <c r="AC15" s="2">
        <f t="shared" si="5"/>
        <v>-9.560777353344458E-9</v>
      </c>
      <c r="AD15" s="2">
        <f t="shared" si="6"/>
        <v>4.8828125E-4</v>
      </c>
      <c r="AF15" s="2">
        <v>11</v>
      </c>
      <c r="AG15" s="2">
        <f t="shared" si="13"/>
        <v>2012.20703125</v>
      </c>
      <c r="AH15" s="2">
        <v>-2.0442671155938115</v>
      </c>
      <c r="AI15" s="2">
        <f t="shared" si="14"/>
        <v>2021.484375</v>
      </c>
      <c r="AJ15" s="2">
        <v>6.4467649581981732</v>
      </c>
      <c r="AK15" s="2">
        <f t="shared" si="9"/>
        <v>2016.845703125</v>
      </c>
      <c r="AL15" s="2">
        <v>2.2014258204853832</v>
      </c>
      <c r="AM15" s="2">
        <f t="shared" si="10"/>
        <v>-4.500302412237394</v>
      </c>
      <c r="AN15" s="2">
        <f t="shared" si="11"/>
        <v>14.192074837577831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140.44267922368732</v>
      </c>
      <c r="H16" s="6" t="s">
        <v>10</v>
      </c>
      <c r="J16" s="13" t="s">
        <v>53</v>
      </c>
      <c r="K16" s="6">
        <f>uniform_250!K16</f>
        <v>104.28820317467412</v>
      </c>
      <c r="L16" s="6" t="s">
        <v>7</v>
      </c>
      <c r="N16" s="32" t="s">
        <v>24</v>
      </c>
      <c r="O16" s="34"/>
      <c r="P16" s="34"/>
      <c r="U16" s="2">
        <v>12</v>
      </c>
      <c r="V16" s="2">
        <f t="shared" si="7"/>
        <v>5.8837890625E-2</v>
      </c>
      <c r="W16" s="2">
        <f t="shared" si="0"/>
        <v>4.8864577607908577E-5</v>
      </c>
      <c r="X16" s="2">
        <f t="shared" si="8"/>
        <v>5.908203125E-2</v>
      </c>
      <c r="Y16" s="2">
        <f t="shared" si="1"/>
        <v>-1.9565865134577726E-4</v>
      </c>
      <c r="Z16" s="2">
        <f t="shared" si="3"/>
        <v>5.89599609375E-2</v>
      </c>
      <c r="AA16" s="2">
        <f t="shared" si="2"/>
        <v>-7.3396847865947468E-5</v>
      </c>
      <c r="AB16" s="2">
        <f t="shared" si="4"/>
        <v>-3.5865059687214491E-9</v>
      </c>
      <c r="AC16" s="2">
        <f t="shared" si="5"/>
        <v>1.4360728266482471E-8</v>
      </c>
      <c r="AD16" s="2">
        <f t="shared" si="6"/>
        <v>2.44140625E-4</v>
      </c>
      <c r="AF16" s="2">
        <v>12</v>
      </c>
      <c r="AG16" s="2">
        <f t="shared" si="13"/>
        <v>2012.20703125</v>
      </c>
      <c r="AH16" s="2">
        <v>-2.0442671155938115</v>
      </c>
      <c r="AI16" s="2">
        <f t="shared" si="14"/>
        <v>2016.845703125</v>
      </c>
      <c r="AJ16" s="2">
        <v>2.2014258204853832</v>
      </c>
      <c r="AK16" s="2">
        <f t="shared" si="9"/>
        <v>2014.5263671875</v>
      </c>
      <c r="AL16" s="2">
        <v>7.8624477062476217E-2</v>
      </c>
      <c r="AM16" s="2">
        <f t="shared" si="10"/>
        <v>-0.16072943293958006</v>
      </c>
      <c r="AN16" s="2">
        <f t="shared" si="11"/>
        <v>0.1730859539274959</v>
      </c>
      <c r="AO16" s="2">
        <f t="shared" si="12"/>
        <v>4.638671875</v>
      </c>
    </row>
    <row r="17" spans="2:41" x14ac:dyDescent="0.2">
      <c r="B17" s="31" t="s">
        <v>110</v>
      </c>
      <c r="C17" s="31"/>
      <c r="D17" s="31"/>
      <c r="F17" s="6" t="s">
        <v>124</v>
      </c>
      <c r="G17" s="6">
        <f>G16/$C$49</f>
        <v>0.42210248748983775</v>
      </c>
      <c r="H17" s="6" t="s">
        <v>122</v>
      </c>
      <c r="J17" s="13" t="s">
        <v>77</v>
      </c>
      <c r="K17" s="6">
        <f>uniform_250!K17</f>
        <v>56.046372987699051</v>
      </c>
      <c r="L17" s="6" t="s">
        <v>7</v>
      </c>
      <c r="N17" s="6" t="s">
        <v>25</v>
      </c>
      <c r="O17" s="6">
        <f xml:space="preserve"> ACOS(O14)/PI()*180</f>
        <v>6.3501009976354537</v>
      </c>
      <c r="P17" s="6" t="s">
        <v>40</v>
      </c>
      <c r="U17" s="2">
        <v>13</v>
      </c>
      <c r="V17" s="2">
        <f t="shared" si="7"/>
        <v>5.8837890625E-2</v>
      </c>
      <c r="W17" s="2">
        <f t="shared" si="0"/>
        <v>4.8864577607908577E-5</v>
      </c>
      <c r="X17" s="2">
        <f t="shared" si="8"/>
        <v>5.89599609375E-2</v>
      </c>
      <c r="Y17" s="2">
        <f t="shared" si="1"/>
        <v>-7.3396847865947468E-5</v>
      </c>
      <c r="Z17" s="2">
        <f t="shared" si="3"/>
        <v>5.889892578125E-2</v>
      </c>
      <c r="AA17" s="2">
        <f t="shared" si="2"/>
        <v>-1.2266087871436182E-5</v>
      </c>
      <c r="AB17" s="2">
        <f t="shared" si="4"/>
        <v>-5.9937720273921944E-10</v>
      </c>
      <c r="AC17" s="2">
        <f t="shared" si="5"/>
        <v>9.0029218541014491E-10</v>
      </c>
      <c r="AD17" s="2">
        <f t="shared" si="6"/>
        <v>1.220703125E-4</v>
      </c>
      <c r="AF17" s="2">
        <v>13</v>
      </c>
      <c r="AG17" s="2">
        <f t="shared" si="13"/>
        <v>2012.20703125</v>
      </c>
      <c r="AH17" s="2">
        <v>-2.0442671155938115</v>
      </c>
      <c r="AI17" s="2">
        <f t="shared" si="14"/>
        <v>2014.5263671875</v>
      </c>
      <c r="AJ17" s="2">
        <v>7.8624477062476217E-2</v>
      </c>
      <c r="AK17" s="2">
        <f t="shared" si="9"/>
        <v>2013.36669921875</v>
      </c>
      <c r="AL17" s="2">
        <v>-0.98281186750250527</v>
      </c>
      <c r="AM17" s="2">
        <f t="shared" si="10"/>
        <v>2.0091299815507138</v>
      </c>
      <c r="AN17" s="2">
        <f t="shared" si="11"/>
        <v>-7.7273069133180133E-2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4966.1270370961729</v>
      </c>
      <c r="H18" s="6" t="s">
        <v>20</v>
      </c>
      <c r="J18" s="14" t="s">
        <v>60</v>
      </c>
      <c r="K18" s="6">
        <f>uniform_250!K18</f>
        <v>137.73869334765726</v>
      </c>
      <c r="L18" s="6" t="s">
        <v>7</v>
      </c>
      <c r="N18" s="6" t="s">
        <v>19</v>
      </c>
      <c r="O18" s="6">
        <f xml:space="preserve"> O13 / $C$18</f>
        <v>4966.1270370961729</v>
      </c>
      <c r="P18" s="6" t="s">
        <v>20</v>
      </c>
      <c r="U18" s="2">
        <v>14</v>
      </c>
      <c r="V18" s="2">
        <f t="shared" si="7"/>
        <v>5.8837890625E-2</v>
      </c>
      <c r="W18" s="2">
        <f t="shared" si="0"/>
        <v>4.8864577607908577E-5</v>
      </c>
      <c r="X18" s="2">
        <f t="shared" si="8"/>
        <v>5.889892578125E-2</v>
      </c>
      <c r="Y18" s="2">
        <f t="shared" si="1"/>
        <v>-1.2266087871436182E-5</v>
      </c>
      <c r="Z18" s="2">
        <f t="shared" si="3"/>
        <v>5.8868408203125E-2</v>
      </c>
      <c r="AA18" s="2">
        <f t="shared" si="2"/>
        <v>1.8299256683486365E-5</v>
      </c>
      <c r="AB18" s="2">
        <f t="shared" si="4"/>
        <v>8.9418544837725919E-10</v>
      </c>
      <c r="AC18" s="2">
        <f t="shared" si="5"/>
        <v>-2.2446029046160958E-10</v>
      </c>
      <c r="AD18" s="2">
        <f t="shared" si="6"/>
        <v>6.103515625E-5</v>
      </c>
      <c r="AF18" s="2">
        <v>14</v>
      </c>
      <c r="AG18" s="2">
        <f t="shared" si="13"/>
        <v>2013.36669921875</v>
      </c>
      <c r="AH18" s="2">
        <v>-0.98281186750250527</v>
      </c>
      <c r="AI18" s="2">
        <f t="shared" si="14"/>
        <v>2014.5263671875</v>
      </c>
      <c r="AJ18" s="2">
        <v>7.8624477062476217E-2</v>
      </c>
      <c r="AK18" s="2">
        <f t="shared" si="9"/>
        <v>2013.946533203125</v>
      </c>
      <c r="AL18" s="2">
        <v>-0.45209247020125076</v>
      </c>
      <c r="AM18" s="2">
        <f t="shared" si="10"/>
        <v>0.44432184492231197</v>
      </c>
      <c r="AN18" s="2">
        <f t="shared" si="11"/>
        <v>-3.5545534053456451E-2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58.486201455482401</v>
      </c>
      <c r="H19" s="6" t="s">
        <v>101</v>
      </c>
      <c r="J19" s="14" t="s">
        <v>61</v>
      </c>
      <c r="K19" s="6">
        <f>uniform_250!K19</f>
        <v>33.45869403254224</v>
      </c>
      <c r="L19" s="6" t="s">
        <v>7</v>
      </c>
      <c r="N19" s="6" t="s">
        <v>26</v>
      </c>
      <c r="O19" s="6">
        <f>$C$7*2*PI()/60</f>
        <v>37.983196799170862</v>
      </c>
      <c r="P19" s="6" t="s">
        <v>27</v>
      </c>
      <c r="U19" s="2">
        <v>15</v>
      </c>
      <c r="V19" s="2">
        <f t="shared" si="7"/>
        <v>5.8868408203125E-2</v>
      </c>
      <c r="W19" s="2">
        <f t="shared" si="0"/>
        <v>1.8299256683486365E-5</v>
      </c>
      <c r="X19" s="2">
        <f t="shared" si="8"/>
        <v>5.889892578125E-2</v>
      </c>
      <c r="Y19" s="2">
        <f t="shared" si="1"/>
        <v>-1.2266087871436182E-5</v>
      </c>
      <c r="Z19" s="2">
        <f t="shared" si="3"/>
        <v>5.88836669921875E-2</v>
      </c>
      <c r="AA19" s="2">
        <f t="shared" si="2"/>
        <v>3.0165873597318149E-6</v>
      </c>
      <c r="AB19" s="2">
        <f t="shared" si="4"/>
        <v>5.5201306403892898E-11</v>
      </c>
      <c r="AC19" s="2">
        <f t="shared" si="5"/>
        <v>-3.7001725626334111E-11</v>
      </c>
      <c r="AD19" s="2">
        <f t="shared" si="6"/>
        <v>3.0517578125E-5</v>
      </c>
      <c r="AF19" s="2">
        <v>15</v>
      </c>
      <c r="AG19" s="2">
        <f t="shared" si="13"/>
        <v>2013.946533203125</v>
      </c>
      <c r="AH19" s="2">
        <v>-0.45209247020125076</v>
      </c>
      <c r="AI19" s="2">
        <f t="shared" si="14"/>
        <v>2014.5263671875</v>
      </c>
      <c r="AJ19" s="2">
        <v>7.8624477062476217E-2</v>
      </c>
      <c r="AK19" s="2">
        <f t="shared" si="9"/>
        <v>2014.2364501953125</v>
      </c>
      <c r="AL19" s="2">
        <v>-0.18673253813631163</v>
      </c>
      <c r="AM19" s="2">
        <f t="shared" si="10"/>
        <v>8.4420374432994383E-2</v>
      </c>
      <c r="AN19" s="2">
        <f t="shared" si="11"/>
        <v>-1.4681748161516399E-2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8.6639073223139995</v>
      </c>
      <c r="H20" s="6" t="s">
        <v>147</v>
      </c>
      <c r="J20" s="14" t="s">
        <v>62</v>
      </c>
      <c r="K20" s="6">
        <f>uniform_250!K20</f>
        <v>0</v>
      </c>
      <c r="L20" s="6" t="s">
        <v>7</v>
      </c>
      <c r="N20" s="6" t="s">
        <v>28</v>
      </c>
      <c r="O20" s="6">
        <f xml:space="preserve"> $C$8 * COS(O17/180*PI()) / (O19 * $C$9)</f>
        <v>0.47453228875581493</v>
      </c>
      <c r="U20" s="2">
        <v>16</v>
      </c>
      <c r="V20" s="2">
        <f t="shared" si="7"/>
        <v>5.88836669921875E-2</v>
      </c>
      <c r="W20" s="2">
        <f t="shared" si="0"/>
        <v>3.0165873597318149E-6</v>
      </c>
      <c r="X20" s="2">
        <f t="shared" si="8"/>
        <v>5.889892578125E-2</v>
      </c>
      <c r="Y20" s="2">
        <f t="shared" si="1"/>
        <v>-1.2266087871436182E-5</v>
      </c>
      <c r="Z20" s="2">
        <f t="shared" si="3"/>
        <v>5.889129638671875E-2</v>
      </c>
      <c r="AA20" s="2">
        <f t="shared" si="2"/>
        <v>-4.6247495174428499E-6</v>
      </c>
      <c r="AB20" s="2">
        <f t="shared" si="4"/>
        <v>-1.3950960936243912E-11</v>
      </c>
      <c r="AC20" s="2">
        <f t="shared" si="5"/>
        <v>5.6727583964336078E-11</v>
      </c>
      <c r="AD20" s="2">
        <f t="shared" si="6"/>
        <v>1.52587890625E-5</v>
      </c>
      <c r="AF20" s="2">
        <v>16</v>
      </c>
      <c r="AG20" s="2">
        <f t="shared" si="13"/>
        <v>2014.2364501953125</v>
      </c>
      <c r="AH20" s="2">
        <v>-0.18673253813631163</v>
      </c>
      <c r="AI20" s="2">
        <f t="shared" si="14"/>
        <v>2014.5263671875</v>
      </c>
      <c r="AJ20" s="2">
        <v>7.8624477062476217E-2</v>
      </c>
      <c r="AK20" s="2">
        <f t="shared" si="9"/>
        <v>2014.3814086914062</v>
      </c>
      <c r="AL20" s="2">
        <v>-5.4052514880822855E-2</v>
      </c>
      <c r="AM20" s="2">
        <f t="shared" si="10"/>
        <v>1.0093363296346806E-2</v>
      </c>
      <c r="AN20" s="2">
        <f t="shared" si="11"/>
        <v>-4.2498507164164109E-3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9.4662317559300921E-2</v>
      </c>
      <c r="J21" s="14" t="s">
        <v>63</v>
      </c>
      <c r="K21" s="6">
        <f>uniform_250!K21</f>
        <v>0</v>
      </c>
      <c r="L21" s="6" t="s">
        <v>7</v>
      </c>
      <c r="N21" s="6" t="s">
        <v>29</v>
      </c>
      <c r="O21" s="6">
        <f xml:space="preserve"> O18 / ($C$47 * PI() * $C$9^2 * O19^2 * $C$9^2)</f>
        <v>5.8124534497887995E-3</v>
      </c>
      <c r="U21" s="2">
        <v>17</v>
      </c>
      <c r="V21" s="2">
        <f t="shared" si="7"/>
        <v>5.88836669921875E-2</v>
      </c>
      <c r="W21" s="2">
        <f t="shared" si="0"/>
        <v>3.0165873597318149E-6</v>
      </c>
      <c r="X21" s="2">
        <f t="shared" si="8"/>
        <v>5.889129638671875E-2</v>
      </c>
      <c r="Y21" s="2">
        <f t="shared" si="1"/>
        <v>-4.6247495174428499E-6</v>
      </c>
      <c r="Z21" s="2">
        <f t="shared" si="3"/>
        <v>5.8887481689453125E-2</v>
      </c>
      <c r="AA21" s="2">
        <f t="shared" si="2"/>
        <v>-8.0408089424971463E-7</v>
      </c>
      <c r="AB21" s="2">
        <f t="shared" si="4"/>
        <v>-2.4255802617955434E-12</v>
      </c>
      <c r="AC21" s="2">
        <f t="shared" si="5"/>
        <v>3.7186727276663827E-12</v>
      </c>
      <c r="AD21" s="2">
        <f t="shared" si="6"/>
        <v>7.62939453125E-6</v>
      </c>
      <c r="AF21" s="2">
        <v>17</v>
      </c>
      <c r="AG21" s="2">
        <f t="shared" si="13"/>
        <v>2014.3814086914062</v>
      </c>
      <c r="AH21" s="2">
        <v>-5.4052514880822855E-2</v>
      </c>
      <c r="AI21" s="2">
        <f t="shared" si="14"/>
        <v>2014.5263671875</v>
      </c>
      <c r="AJ21" s="2">
        <v>7.8624477062476217E-2</v>
      </c>
      <c r="AK21" s="2">
        <f t="shared" si="9"/>
        <v>2014.4538879394531</v>
      </c>
      <c r="AL21" s="2">
        <v>1.2285784643381703E-2</v>
      </c>
      <c r="AM21" s="2">
        <f t="shared" si="10"/>
        <v>-6.6407755725897443E-4</v>
      </c>
      <c r="AN21" s="2">
        <f t="shared" si="11"/>
        <v>9.6596339288808721E-4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233.94480582192961</v>
      </c>
      <c r="H22" s="25" t="s">
        <v>101</v>
      </c>
      <c r="J22" s="14" t="s">
        <v>112</v>
      </c>
      <c r="K22" s="6">
        <f>uniform_250!K22</f>
        <v>27.692712939142108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5.88836669921875E-2</v>
      </c>
      <c r="W22" s="2">
        <f t="shared" si="0"/>
        <v>3.0165873597318149E-6</v>
      </c>
      <c r="X22" s="2">
        <f t="shared" si="8"/>
        <v>5.8887481689453125E-2</v>
      </c>
      <c r="Y22" s="2">
        <f t="shared" si="1"/>
        <v>-8.0408089424971463E-7</v>
      </c>
      <c r="Z22" s="2">
        <f t="shared" si="3"/>
        <v>5.8885574340820312E-2</v>
      </c>
      <c r="AA22" s="2">
        <f t="shared" si="2"/>
        <v>1.1062532788916335E-6</v>
      </c>
      <c r="AB22" s="2">
        <f t="shared" si="4"/>
        <v>3.3371096577663757E-12</v>
      </c>
      <c r="AC22" s="2">
        <f t="shared" si="5"/>
        <v>-8.8951712575786363E-13</v>
      </c>
      <c r="AD22" s="2">
        <f t="shared" si="6"/>
        <v>3.814697265625E-6</v>
      </c>
      <c r="AF22" s="2">
        <v>18</v>
      </c>
      <c r="AG22" s="2">
        <f t="shared" si="13"/>
        <v>2014.3814086914062</v>
      </c>
      <c r="AH22" s="2">
        <v>-5.4052514880822855E-2</v>
      </c>
      <c r="AI22" s="2">
        <f t="shared" si="14"/>
        <v>2014.4538879394531</v>
      </c>
      <c r="AJ22" s="2">
        <v>1.2285784643381703E-2</v>
      </c>
      <c r="AK22" s="2">
        <f t="shared" si="9"/>
        <v>2014.4176483154297</v>
      </c>
      <c r="AL22" s="2">
        <v>-2.0885715880012867E-2</v>
      </c>
      <c r="AM22" s="2">
        <f t="shared" si="10"/>
        <v>1.1289254684010337E-3</v>
      </c>
      <c r="AN22" s="2">
        <f t="shared" si="11"/>
        <v>-2.5659740742469545E-4</v>
      </c>
      <c r="AO22" s="2">
        <f t="shared" si="12"/>
        <v>7.2479248046875E-2</v>
      </c>
    </row>
    <row r="23" spans="2:41" x14ac:dyDescent="0.2">
      <c r="J23" s="15" t="s">
        <v>64</v>
      </c>
      <c r="K23" s="6">
        <f>uniform_250!K23</f>
        <v>64.049500005152296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16779.422091429467</v>
      </c>
      <c r="P23" s="6" t="s">
        <v>18</v>
      </c>
      <c r="U23" s="2">
        <v>19</v>
      </c>
      <c r="V23" s="2">
        <f t="shared" si="7"/>
        <v>5.8885574340820312E-2</v>
      </c>
      <c r="W23" s="2">
        <f t="shared" si="0"/>
        <v>1.1062532788916335E-6</v>
      </c>
      <c r="X23" s="2">
        <f t="shared" si="8"/>
        <v>5.8887481689453125E-2</v>
      </c>
      <c r="Y23" s="2">
        <f t="shared" si="1"/>
        <v>-8.0408089424971463E-7</v>
      </c>
      <c r="Z23" s="2">
        <f t="shared" si="3"/>
        <v>5.8886528015136719E-2</v>
      </c>
      <c r="AA23" s="2">
        <f t="shared" si="2"/>
        <v>1.5108620386034E-7</v>
      </c>
      <c r="AB23" s="2">
        <f t="shared" si="4"/>
        <v>1.6713960841579089E-13</v>
      </c>
      <c r="AC23" s="2">
        <f t="shared" si="5"/>
        <v>-1.2148552990881687E-13</v>
      </c>
      <c r="AD23" s="2">
        <f t="shared" si="6"/>
        <v>1.9073486328125E-6</v>
      </c>
      <c r="AF23" s="2">
        <v>19</v>
      </c>
      <c r="AG23" s="2">
        <f t="shared" si="13"/>
        <v>2014.4176483154297</v>
      </c>
      <c r="AH23" s="2">
        <v>-2.0885715880012867E-2</v>
      </c>
      <c r="AI23" s="2">
        <f t="shared" si="14"/>
        <v>2014.4538879394531</v>
      </c>
      <c r="AJ23" s="2">
        <v>1.2285784643381703E-2</v>
      </c>
      <c r="AK23" s="2">
        <f t="shared" si="9"/>
        <v>2014.4357681274414</v>
      </c>
      <c r="AL23" s="2">
        <v>-4.3022795769047661E-3</v>
      </c>
      <c r="AM23" s="2">
        <f t="shared" si="10"/>
        <v>8.9856188879614912E-5</v>
      </c>
      <c r="AN23" s="2">
        <f t="shared" si="11"/>
        <v>-5.2856880357471306E-5</v>
      </c>
      <c r="AO23" s="2">
        <f t="shared" si="12"/>
        <v>3.62396240234375E-2</v>
      </c>
    </row>
    <row r="24" spans="2:41" x14ac:dyDescent="0.2">
      <c r="B24" s="31" t="s">
        <v>104</v>
      </c>
      <c r="C24" s="31"/>
      <c r="D24" s="31"/>
      <c r="F24" s="32" t="s">
        <v>81</v>
      </c>
      <c r="G24" s="33"/>
      <c r="H24" s="33"/>
      <c r="J24" s="15" t="s">
        <v>65</v>
      </c>
      <c r="K24" s="6">
        <f>uniform_250!K24</f>
        <v>8.8695808316148437</v>
      </c>
      <c r="L24" s="6" t="s">
        <v>7</v>
      </c>
      <c r="N24" s="6" t="s">
        <v>31</v>
      </c>
      <c r="O24" s="18">
        <f>Z34</f>
        <v>5.8886678423732519E-2</v>
      </c>
      <c r="U24" s="2">
        <v>20</v>
      </c>
      <c r="V24" s="2">
        <f t="shared" si="7"/>
        <v>5.8886528015136719E-2</v>
      </c>
      <c r="W24" s="2">
        <f t="shared" si="0"/>
        <v>1.5108620386034E-7</v>
      </c>
      <c r="X24" s="2">
        <f t="shared" si="8"/>
        <v>5.8887481689453125E-2</v>
      </c>
      <c r="Y24" s="2">
        <f t="shared" si="1"/>
        <v>-8.0408089424971463E-7</v>
      </c>
      <c r="Z24" s="2">
        <f t="shared" si="3"/>
        <v>5.8887004852294922E-2</v>
      </c>
      <c r="AA24" s="2">
        <f t="shared" si="2"/>
        <v>-3.2649734230810745E-7</v>
      </c>
      <c r="AB24" s="2">
        <f t="shared" si="4"/>
        <v>-4.9329244019821935E-14</v>
      </c>
      <c r="AC24" s="2">
        <f t="shared" si="5"/>
        <v>2.6253027497325825E-13</v>
      </c>
      <c r="AD24" s="2">
        <f t="shared" si="6"/>
        <v>9.5367431640625E-7</v>
      </c>
      <c r="AF24" s="2">
        <v>20</v>
      </c>
      <c r="AG24" s="2">
        <f t="shared" si="13"/>
        <v>2014.4357681274414</v>
      </c>
      <c r="AH24" s="2">
        <v>-4.3022795769047661E-3</v>
      </c>
      <c r="AI24" s="2">
        <f t="shared" si="14"/>
        <v>2014.4538879394531</v>
      </c>
      <c r="AJ24" s="2">
        <v>1.2285784643381703E-2</v>
      </c>
      <c r="AK24" s="2">
        <f t="shared" si="9"/>
        <v>2014.4448280334473</v>
      </c>
      <c r="AL24" s="2">
        <v>3.994051136487542E-3</v>
      </c>
      <c r="AM24" s="2">
        <f t="shared" si="10"/>
        <v>-1.7183524633623621E-5</v>
      </c>
      <c r="AN24" s="2">
        <f t="shared" si="11"/>
        <v>4.9070052117539881E-5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>uniform_250!K25</f>
        <v>19.11925373288128</v>
      </c>
      <c r="L25" s="6" t="s">
        <v>7</v>
      </c>
      <c r="N25" s="6" t="s">
        <v>32</v>
      </c>
      <c r="O25" s="6">
        <f xml:space="preserve"> O19 * $C$9 * O24 - $C$8 * SIN(O17/180*PI())</f>
        <v>0.85358024596872895</v>
      </c>
      <c r="P25" s="6" t="s">
        <v>10</v>
      </c>
      <c r="U25" s="2">
        <v>21</v>
      </c>
      <c r="V25" s="2">
        <f t="shared" si="7"/>
        <v>5.8886528015136719E-2</v>
      </c>
      <c r="W25" s="2">
        <f t="shared" si="0"/>
        <v>1.5108620386034E-7</v>
      </c>
      <c r="X25" s="2">
        <f t="shared" si="8"/>
        <v>5.8887004852294922E-2</v>
      </c>
      <c r="Y25" s="2">
        <f t="shared" si="1"/>
        <v>-3.2649734230810745E-7</v>
      </c>
      <c r="Z25" s="2">
        <f t="shared" si="3"/>
        <v>5.888676643371582E-2</v>
      </c>
      <c r="AA25" s="2">
        <f t="shared" si="2"/>
        <v>-8.7705568502238762E-8</v>
      </c>
      <c r="AB25" s="2">
        <f t="shared" si="4"/>
        <v>-1.325110140241626E-14</v>
      </c>
      <c r="AC25" s="2">
        <f t="shared" si="5"/>
        <v>2.8635635021602617E-14</v>
      </c>
      <c r="AD25" s="2">
        <f t="shared" si="6"/>
        <v>4.76837158203125E-7</v>
      </c>
      <c r="AF25" s="2">
        <v>21</v>
      </c>
      <c r="AG25" s="2">
        <f t="shared" si="13"/>
        <v>2014.4357681274414</v>
      </c>
      <c r="AH25" s="2">
        <v>-4.3022795769047661E-3</v>
      </c>
      <c r="AI25" s="2">
        <f t="shared" si="14"/>
        <v>2014.4448280334473</v>
      </c>
      <c r="AJ25" s="2">
        <v>3.994051136487542E-3</v>
      </c>
      <c r="AK25" s="2">
        <f t="shared" si="9"/>
        <v>2014.4402980804443</v>
      </c>
      <c r="AL25" s="2">
        <v>-1.5181331673375098E-4</v>
      </c>
      <c r="AM25" s="2">
        <f t="shared" si="10"/>
        <v>6.5314333208579142E-7</v>
      </c>
      <c r="AN25" s="2">
        <f t="shared" si="11"/>
        <v>-6.0635015023438126E-7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>uniform_250!K26</f>
        <v>54.690367675875919</v>
      </c>
      <c r="L26" s="6" t="s">
        <v>7</v>
      </c>
      <c r="N26" s="6" t="s">
        <v>33</v>
      </c>
      <c r="O26" s="6">
        <f xml:space="preserve"> 1/$C$21 - O23 * SQRT( (2*$C$47*PI()*$C$9^2) / O18^3 )</f>
        <v>0.88706576945362814</v>
      </c>
      <c r="U26" s="2">
        <v>22</v>
      </c>
      <c r="V26" s="2">
        <f t="shared" si="7"/>
        <v>5.8886528015136719E-2</v>
      </c>
      <c r="W26" s="2">
        <f t="shared" si="0"/>
        <v>1.5108620386034E-7</v>
      </c>
      <c r="X26" s="2">
        <f t="shared" si="8"/>
        <v>5.888676643371582E-2</v>
      </c>
      <c r="Y26" s="2">
        <f t="shared" si="1"/>
        <v>-8.7705568502238762E-8</v>
      </c>
      <c r="Z26" s="2">
        <f t="shared" si="3"/>
        <v>5.888664722442627E-2</v>
      </c>
      <c r="AA26" s="2">
        <f t="shared" si="2"/>
        <v>3.1690317855992411E-8</v>
      </c>
      <c r="AB26" s="2">
        <f t="shared" si="4"/>
        <v>4.787969823989442E-15</v>
      </c>
      <c r="AC26" s="2">
        <f t="shared" si="5"/>
        <v>-2.7794173435764628E-15</v>
      </c>
      <c r="AD26" s="2">
        <f t="shared" si="6"/>
        <v>2.384185791015625E-7</v>
      </c>
      <c r="AF26" s="2">
        <v>22</v>
      </c>
      <c r="AG26" s="2">
        <f t="shared" si="13"/>
        <v>2014.4402980804443</v>
      </c>
      <c r="AH26" s="2">
        <v>-1.5181331673375098E-4</v>
      </c>
      <c r="AI26" s="2">
        <f t="shared" si="14"/>
        <v>2014.4448280334473</v>
      </c>
      <c r="AJ26" s="2">
        <v>3.994051136487542E-3</v>
      </c>
      <c r="AK26" s="2">
        <f t="shared" si="9"/>
        <v>2014.4425630569458</v>
      </c>
      <c r="AL26" s="2">
        <v>1.9211187182008871E-3</v>
      </c>
      <c r="AM26" s="2">
        <f t="shared" si="10"/>
        <v>-2.9165140444936898E-7</v>
      </c>
      <c r="AN26" s="2">
        <f t="shared" si="11"/>
        <v>7.6730463997577433E-6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-1.1647991868812824E-6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5.888664722442627E-2</v>
      </c>
      <c r="W27" s="2">
        <f t="shared" si="0"/>
        <v>3.1690317855992411E-8</v>
      </c>
      <c r="X27" s="2">
        <f t="shared" si="8"/>
        <v>5.888676643371582E-2</v>
      </c>
      <c r="Y27" s="2">
        <f t="shared" si="1"/>
        <v>-8.7705568502238762E-8</v>
      </c>
      <c r="Z27" s="2">
        <f t="shared" si="3"/>
        <v>5.8886706829071045E-2</v>
      </c>
      <c r="AA27" s="2">
        <f t="shared" si="2"/>
        <v>-2.8007625281489812E-8</v>
      </c>
      <c r="AB27" s="2">
        <f t="shared" si="4"/>
        <v>-8.8757054756194111E-16</v>
      </c>
      <c r="AC27" s="2">
        <f t="shared" si="5"/>
        <v>2.4564246977107388E-15</v>
      </c>
      <c r="AD27" s="2">
        <f t="shared" si="6"/>
        <v>1.1920928955078125E-7</v>
      </c>
      <c r="AF27" s="2">
        <v>23</v>
      </c>
      <c r="AG27" s="2">
        <f t="shared" si="13"/>
        <v>2014.4402980804443</v>
      </c>
      <c r="AH27" s="2">
        <v>-1.5181331673375098E-4</v>
      </c>
      <c r="AI27" s="2">
        <f t="shared" si="14"/>
        <v>2014.4425630569458</v>
      </c>
      <c r="AJ27" s="2">
        <v>1.9211187182008871E-3</v>
      </c>
      <c r="AK27" s="2">
        <f t="shared" si="9"/>
        <v>2014.4414305686951</v>
      </c>
      <c r="AL27" s="2">
        <v>8.8235097609867807E-4</v>
      </c>
      <c r="AM27" s="2">
        <f t="shared" si="10"/>
        <v>-1.3395262820480297E-7</v>
      </c>
      <c r="AN27" s="2">
        <f t="shared" si="11"/>
        <v>1.695100976205994E-6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4936.1301128812602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1.1500125046263603</v>
      </c>
      <c r="U28" s="2">
        <v>24</v>
      </c>
      <c r="V28" s="2">
        <f t="shared" si="7"/>
        <v>5.888664722442627E-2</v>
      </c>
      <c r="W28" s="2">
        <f t="shared" si="0"/>
        <v>3.1690317855992411E-8</v>
      </c>
      <c r="X28" s="2">
        <f t="shared" si="8"/>
        <v>5.8886706829071045E-2</v>
      </c>
      <c r="Y28" s="2">
        <f t="shared" si="1"/>
        <v>-2.8007625281489812E-8</v>
      </c>
      <c r="Z28" s="2">
        <f t="shared" si="3"/>
        <v>5.8886677026748657E-2</v>
      </c>
      <c r="AA28" s="2">
        <f t="shared" si="2"/>
        <v>1.8413462976596406E-9</v>
      </c>
      <c r="AB28" s="2">
        <f t="shared" si="4"/>
        <v>5.8352849455788829E-17</v>
      </c>
      <c r="AC28" s="2">
        <f t="shared" si="5"/>
        <v>-5.1571737118309818E-17</v>
      </c>
      <c r="AD28" s="2">
        <f t="shared" si="6"/>
        <v>5.9604644775390625E-8</v>
      </c>
      <c r="AF28" s="2">
        <v>24</v>
      </c>
      <c r="AG28" s="2">
        <f t="shared" si="13"/>
        <v>2014.4402980804443</v>
      </c>
      <c r="AH28" s="2">
        <v>-1.5181331673375098E-4</v>
      </c>
      <c r="AI28" s="2">
        <f t="shared" si="14"/>
        <v>2014.4414305686951</v>
      </c>
      <c r="AJ28" s="2">
        <v>8.8235097609867807E-4</v>
      </c>
      <c r="AK28" s="2">
        <f t="shared" si="9"/>
        <v>2014.4408643245697</v>
      </c>
      <c r="AL28" s="2">
        <v>3.6526881785903242E-4</v>
      </c>
      <c r="AM28" s="2">
        <f t="shared" si="10"/>
        <v>-5.5452670738596088E-8</v>
      </c>
      <c r="AN28" s="2">
        <f t="shared" si="11"/>
        <v>3.222952979763275E-7</v>
      </c>
      <c r="AO28" s="2">
        <f t="shared" si="12"/>
        <v>1.1324882507324219E-3</v>
      </c>
    </row>
    <row r="29" spans="2:41" x14ac:dyDescent="0.2">
      <c r="B29" s="31" t="s">
        <v>108</v>
      </c>
      <c r="C29" s="31"/>
      <c r="D29" s="31"/>
      <c r="F29" t="s">
        <v>97</v>
      </c>
      <c r="G29" s="6">
        <f>G31/$C$18</f>
        <v>48.927761043615945</v>
      </c>
      <c r="H29" t="s">
        <v>18</v>
      </c>
      <c r="U29" s="2">
        <v>25</v>
      </c>
      <c r="V29" s="2">
        <f t="shared" si="7"/>
        <v>5.8886677026748657E-2</v>
      </c>
      <c r="W29" s="2">
        <f t="shared" si="0"/>
        <v>1.8413462976596406E-9</v>
      </c>
      <c r="X29" s="2">
        <f t="shared" si="8"/>
        <v>5.8886706829071045E-2</v>
      </c>
      <c r="Y29" s="2">
        <f t="shared" si="1"/>
        <v>-2.8007625281489812E-8</v>
      </c>
      <c r="Z29" s="2">
        <f t="shared" si="3"/>
        <v>5.8886691927909851E-2</v>
      </c>
      <c r="AA29" s="2">
        <f t="shared" si="2"/>
        <v>-1.3083139488445639E-8</v>
      </c>
      <c r="AB29" s="2">
        <f t="shared" si="4"/>
        <v>-2.4090590458814022E-17</v>
      </c>
      <c r="AC29" s="2">
        <f t="shared" si="5"/>
        <v>3.6642766829784775E-16</v>
      </c>
      <c r="AD29" s="2">
        <f t="shared" si="6"/>
        <v>2.9802322387695312E-8</v>
      </c>
      <c r="AF29" s="2">
        <v>25</v>
      </c>
      <c r="AG29" s="2">
        <f t="shared" si="13"/>
        <v>2014.4402980804443</v>
      </c>
      <c r="AH29" s="2">
        <v>-1.5181331673375098E-4</v>
      </c>
      <c r="AI29" s="2">
        <f t="shared" si="14"/>
        <v>2014.4408643245697</v>
      </c>
      <c r="AJ29" s="2">
        <v>3.6526881785903242E-4</v>
      </c>
      <c r="AK29" s="2">
        <f t="shared" si="9"/>
        <v>2014.440581202507</v>
      </c>
      <c r="AL29" s="2">
        <v>1.0672774783415662E-4</v>
      </c>
      <c r="AM29" s="2">
        <f t="shared" si="10"/>
        <v>-1.6202693386226723E-8</v>
      </c>
      <c r="AN29" s="2">
        <f t="shared" si="11"/>
        <v>3.8984318284139296E-8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10.29293196543996</v>
      </c>
      <c r="H30" s="6" t="s">
        <v>147</v>
      </c>
      <c r="J30" s="29" t="s">
        <v>111</v>
      </c>
      <c r="K30" s="29"/>
      <c r="L30" s="29"/>
      <c r="U30" s="2">
        <v>26</v>
      </c>
      <c r="V30" s="2">
        <f t="shared" si="7"/>
        <v>5.8886677026748657E-2</v>
      </c>
      <c r="W30" s="2">
        <f t="shared" si="0"/>
        <v>1.8413462976596406E-9</v>
      </c>
      <c r="X30" s="2">
        <f t="shared" si="8"/>
        <v>5.8886691927909851E-2</v>
      </c>
      <c r="Y30" s="2">
        <f t="shared" si="1"/>
        <v>-1.3083139488445639E-8</v>
      </c>
      <c r="Z30" s="2">
        <f t="shared" si="3"/>
        <v>5.8886684477329254E-2</v>
      </c>
      <c r="AA30" s="2">
        <f t="shared" si="2"/>
        <v>-5.620896595392999E-9</v>
      </c>
      <c r="AB30" s="2">
        <f t="shared" si="4"/>
        <v>-1.0350017135454578E-17</v>
      </c>
      <c r="AC30" s="2">
        <f t="shared" si="5"/>
        <v>7.3538974207655788E-17</v>
      </c>
      <c r="AD30" s="2">
        <f t="shared" si="6"/>
        <v>1.4901161193847656E-8</v>
      </c>
      <c r="AF30" s="2">
        <v>26</v>
      </c>
      <c r="AG30" s="2">
        <f t="shared" si="13"/>
        <v>2014.4402980804443</v>
      </c>
      <c r="AH30" s="2">
        <v>-1.5181331673375098E-4</v>
      </c>
      <c r="AI30" s="2">
        <f t="shared" si="14"/>
        <v>2014.440581202507</v>
      </c>
      <c r="AJ30" s="2">
        <v>1.0672774783415662E-4</v>
      </c>
      <c r="AK30" s="2">
        <f t="shared" si="9"/>
        <v>2014.4404396414757</v>
      </c>
      <c r="AL30" s="2">
        <v>-2.4844460540407454E-5</v>
      </c>
      <c r="AM30" s="2">
        <f t="shared" si="10"/>
        <v>3.771719957100055E-9</v>
      </c>
      <c r="AN30" s="2">
        <f t="shared" si="11"/>
        <v>-2.651593319632261E-9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195.71104417446378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5.8886677026748657E-2</v>
      </c>
      <c r="W31" s="2">
        <f t="shared" si="0"/>
        <v>1.8413462976596406E-9</v>
      </c>
      <c r="X31" s="2">
        <f t="shared" si="8"/>
        <v>5.8886684477329254E-2</v>
      </c>
      <c r="Y31" s="2">
        <f t="shared" si="1"/>
        <v>-5.620896595392999E-9</v>
      </c>
      <c r="Z31" s="2">
        <f t="shared" si="3"/>
        <v>5.8886680752038956E-2</v>
      </c>
      <c r="AA31" s="2">
        <f t="shared" si="2"/>
        <v>-1.8897751488666792E-9</v>
      </c>
      <c r="AB31" s="2">
        <f t="shared" si="4"/>
        <v>-3.479730473774856E-18</v>
      </c>
      <c r="AC31" s="2">
        <f t="shared" si="5"/>
        <v>1.0622230700323015E-17</v>
      </c>
      <c r="AD31" s="2">
        <f t="shared" si="6"/>
        <v>7.4505805969238281E-9</v>
      </c>
      <c r="AF31" s="2">
        <v>27</v>
      </c>
      <c r="AG31" s="2">
        <f t="shared" si="13"/>
        <v>2014.4404396414757</v>
      </c>
      <c r="AH31" s="2">
        <v>-2.4844460540407454E-5</v>
      </c>
      <c r="AI31" s="2">
        <f t="shared" si="14"/>
        <v>2014.440581202507</v>
      </c>
      <c r="AJ31" s="2">
        <v>1.0672774783415662E-4</v>
      </c>
      <c r="AK31" s="2">
        <f t="shared" si="9"/>
        <v>2014.4405104219913</v>
      </c>
      <c r="AL31" s="2">
        <v>3.8639967669951147E-5</v>
      </c>
      <c r="AM31" s="2">
        <f t="shared" si="10"/>
        <v>-9.5998915205872107E-10</v>
      </c>
      <c r="AN31" s="2">
        <f t="shared" si="11"/>
        <v>4.1239567257985106E-9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399.51</v>
      </c>
      <c r="L32" s="6" t="s">
        <v>7</v>
      </c>
      <c r="U32" s="2">
        <v>28</v>
      </c>
      <c r="V32" s="2">
        <f t="shared" si="7"/>
        <v>5.8886677026748657E-2</v>
      </c>
      <c r="W32" s="2">
        <f t="shared" si="0"/>
        <v>1.8413462976596406E-9</v>
      </c>
      <c r="X32" s="2">
        <f t="shared" si="8"/>
        <v>5.8886680752038956E-2</v>
      </c>
      <c r="Y32" s="2">
        <f t="shared" si="1"/>
        <v>-1.8897751488666792E-9</v>
      </c>
      <c r="Z32" s="2">
        <f t="shared" si="3"/>
        <v>5.8886678889393806E-2</v>
      </c>
      <c r="AA32" s="2">
        <f t="shared" si="2"/>
        <v>-2.4214422134072322E-11</v>
      </c>
      <c r="AB32" s="2">
        <f t="shared" si="4"/>
        <v>-4.4587136546541725E-20</v>
      </c>
      <c r="AC32" s="2">
        <f t="shared" si="5"/>
        <v>4.5759813193137134E-20</v>
      </c>
      <c r="AD32" s="2">
        <f t="shared" si="6"/>
        <v>3.7252902984619141E-9</v>
      </c>
      <c r="AF32" s="2">
        <v>28</v>
      </c>
      <c r="AG32" s="2">
        <f t="shared" si="13"/>
        <v>2014.4404396414757</v>
      </c>
      <c r="AH32" s="2">
        <v>-2.4844460540407454E-5</v>
      </c>
      <c r="AI32" s="2">
        <f t="shared" si="14"/>
        <v>2014.4405104219913</v>
      </c>
      <c r="AJ32" s="2">
        <v>3.8639967669951147E-5</v>
      </c>
      <c r="AK32" s="2">
        <f t="shared" si="9"/>
        <v>2014.4404750317335</v>
      </c>
      <c r="AL32" s="2">
        <v>9.19942908694793E-6</v>
      </c>
      <c r="AM32" s="2">
        <f t="shared" si="10"/>
        <v>-2.2855485294495442E-10</v>
      </c>
      <c r="AN32" s="2">
        <f t="shared" si="11"/>
        <v>3.5546564250167622E-10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2" t="s">
        <v>156</v>
      </c>
      <c r="G33" s="33"/>
      <c r="H33" s="33"/>
      <c r="J33" s="19" t="s">
        <v>78</v>
      </c>
      <c r="K33" s="6">
        <f>ROUND(SUM(K14:K17),2)</f>
        <v>669.32</v>
      </c>
      <c r="L33" s="6" t="s">
        <v>7</v>
      </c>
      <c r="U33" s="2">
        <v>29</v>
      </c>
      <c r="V33" s="2">
        <f t="shared" si="7"/>
        <v>5.8886677026748657E-2</v>
      </c>
      <c r="W33" s="2">
        <f t="shared" si="0"/>
        <v>1.8413462976596406E-9</v>
      </c>
      <c r="X33" s="2">
        <f t="shared" si="8"/>
        <v>5.8886678889393806E-2</v>
      </c>
      <c r="Y33" s="2">
        <f t="shared" si="1"/>
        <v>-2.4214422134072322E-11</v>
      </c>
      <c r="Z33" s="2">
        <f t="shared" si="3"/>
        <v>5.8886677958071232E-2</v>
      </c>
      <c r="AA33" s="2">
        <f t="shared" si="2"/>
        <v>9.0856593776278416E-10</v>
      </c>
      <c r="AB33" s="2">
        <f t="shared" si="4"/>
        <v>1.6729845256791621E-18</v>
      </c>
      <c r="AC33" s="2">
        <f t="shared" si="5"/>
        <v>-2.2000399153627337E-20</v>
      </c>
      <c r="AD33" s="2">
        <f t="shared" si="6"/>
        <v>1.862645149230957E-9</v>
      </c>
      <c r="AF33" s="2">
        <v>29</v>
      </c>
      <c r="AG33" s="2">
        <f t="shared" si="13"/>
        <v>2014.4404396414757</v>
      </c>
      <c r="AH33" s="2">
        <v>-2.4844460540407454E-5</v>
      </c>
      <c r="AI33" s="2">
        <f t="shared" si="14"/>
        <v>2014.4404750317335</v>
      </c>
      <c r="AJ33" s="2">
        <v>9.19942908694793E-6</v>
      </c>
      <c r="AK33" s="2">
        <f t="shared" si="9"/>
        <v>2014.4404573366046</v>
      </c>
      <c r="AL33" s="2">
        <v>-1.0124191248905845E-5</v>
      </c>
      <c r="AM33" s="2">
        <f t="shared" si="10"/>
        <v>2.5153006998697972E-10</v>
      </c>
      <c r="AN33" s="2">
        <f t="shared" si="11"/>
        <v>-9.3136779457008121E-11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198.89</v>
      </c>
      <c r="L34" s="6" t="s">
        <v>7</v>
      </c>
      <c r="U34" s="2">
        <v>30</v>
      </c>
      <c r="V34" s="2">
        <f t="shared" si="7"/>
        <v>5.8886677958071232E-2</v>
      </c>
      <c r="W34" s="2">
        <f t="shared" si="0"/>
        <v>9.0856593776278416E-10</v>
      </c>
      <c r="X34" s="2">
        <f t="shared" si="8"/>
        <v>5.8886678889393806E-2</v>
      </c>
      <c r="Y34" s="2">
        <f t="shared" si="1"/>
        <v>-2.4214422134072322E-11</v>
      </c>
      <c r="Z34" s="2">
        <f t="shared" si="3"/>
        <v>5.8886678423732519E-2</v>
      </c>
      <c r="AA34" s="2">
        <f t="shared" si="2"/>
        <v>4.4217575434490897E-10</v>
      </c>
      <c r="AB34" s="2">
        <f t="shared" si="4"/>
        <v>4.017458289023487E-19</v>
      </c>
      <c r="AC34" s="2">
        <f t="shared" si="5"/>
        <v>-1.0707030373159489E-20</v>
      </c>
      <c r="AD34" s="2">
        <f>X34-V34</f>
        <v>9.3132257461547852E-10</v>
      </c>
      <c r="AF34" s="2">
        <v>30</v>
      </c>
      <c r="AG34" s="2">
        <f t="shared" si="13"/>
        <v>2014.4404573366046</v>
      </c>
      <c r="AH34" s="2">
        <v>-1.0124191248905845E-5</v>
      </c>
      <c r="AI34" s="2">
        <f t="shared" si="14"/>
        <v>2014.4404750317335</v>
      </c>
      <c r="AJ34" s="2">
        <v>9.19942908694793E-6</v>
      </c>
      <c r="AK34" s="2">
        <f t="shared" si="9"/>
        <v>2014.4404661841691</v>
      </c>
      <c r="AL34" s="2">
        <v>1.8392945548839634E-6</v>
      </c>
      <c r="AM34" s="2">
        <f t="shared" si="10"/>
        <v>-1.8621369836716394E-11</v>
      </c>
      <c r="AN34" s="2">
        <f t="shared" si="11"/>
        <v>1.6920459827664479E-11</v>
      </c>
      <c r="AO34" s="2">
        <f t="shared" si="12"/>
        <v>1.7695128917694092E-5</v>
      </c>
    </row>
    <row r="35" spans="2:41" x14ac:dyDescent="0.2">
      <c r="B35" s="29" t="s">
        <v>2</v>
      </c>
      <c r="C35" s="29"/>
      <c r="D35" s="29"/>
      <c r="F35" s="26" t="s">
        <v>132</v>
      </c>
      <c r="G35" s="25">
        <f xml:space="preserve"> G22</f>
        <v>233.94480582192961</v>
      </c>
      <c r="H35" s="25" t="s">
        <v>101</v>
      </c>
      <c r="J35" s="15" t="s">
        <v>70</v>
      </c>
      <c r="K35" s="6">
        <f>ROUND(SUM(K23:K26),2)</f>
        <v>146.72999999999999</v>
      </c>
      <c r="L35" s="6" t="s">
        <v>7</v>
      </c>
      <c r="AF35" s="2">
        <v>31</v>
      </c>
      <c r="AG35" s="2">
        <f t="shared" si="13"/>
        <v>2014.4404573366046</v>
      </c>
      <c r="AH35" s="2">
        <v>-1.0124191248905845E-5</v>
      </c>
      <c r="AI35" s="2">
        <f t="shared" si="14"/>
        <v>2014.4404661841691</v>
      </c>
      <c r="AJ35" s="2">
        <v>1.8392945548839634E-6</v>
      </c>
      <c r="AK35" s="2">
        <f t="shared" si="9"/>
        <v>2014.4404617603868</v>
      </c>
      <c r="AL35" s="2">
        <v>-1.8407729385216953E-6</v>
      </c>
      <c r="AM35" s="2">
        <f t="shared" si="10"/>
        <v>1.8636337275404045E-11</v>
      </c>
      <c r="AN35" s="2">
        <f t="shared" si="11"/>
        <v>-3.385723642600707E-12</v>
      </c>
      <c r="AO35" s="2">
        <f t="shared" si="12"/>
        <v>8.8475644588470459E-6</v>
      </c>
    </row>
    <row r="36" spans="2:41" x14ac:dyDescent="0.2">
      <c r="B36" s="6" t="s">
        <v>3</v>
      </c>
      <c r="C36" s="17">
        <v>700</v>
      </c>
      <c r="D36" s="6" t="s">
        <v>4</v>
      </c>
      <c r="J36" s="10" t="s">
        <v>59</v>
      </c>
      <c r="K36" s="10">
        <f>SUM(K31:K35)</f>
        <v>2014.4499999999998</v>
      </c>
      <c r="L36" s="6" t="s">
        <v>7</v>
      </c>
      <c r="AF36" s="2">
        <v>32</v>
      </c>
      <c r="AG36" s="2">
        <f t="shared" si="13"/>
        <v>2014.4404617603868</v>
      </c>
      <c r="AH36" s="2">
        <v>-1.8407729385216953E-6</v>
      </c>
      <c r="AI36" s="2">
        <f t="shared" si="14"/>
        <v>2014.4404661841691</v>
      </c>
      <c r="AJ36" s="2">
        <v>1.8392945548839634E-6</v>
      </c>
      <c r="AK36" s="2">
        <f t="shared" si="9"/>
        <v>2014.4404639722779</v>
      </c>
      <c r="AL36" s="2">
        <v>-7.3919181886594743E-10</v>
      </c>
      <c r="AM36" s="2">
        <f t="shared" si="10"/>
        <v>1.3606842965450668E-15</v>
      </c>
      <c r="AN36" s="2">
        <f t="shared" si="11"/>
        <v>-1.3595914874549101E-15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2014.4404639722779</v>
      </c>
      <c r="AH37" s="2">
        <v>-7.3919181886594743E-10</v>
      </c>
      <c r="AI37" s="2">
        <f t="shared" si="14"/>
        <v>2014.4404661841691</v>
      </c>
      <c r="AJ37" s="2">
        <v>1.8392945548839634E-6</v>
      </c>
      <c r="AK37" s="2">
        <f t="shared" si="9"/>
        <v>2014.4404650782235</v>
      </c>
      <c r="AL37" s="2">
        <v>9.1927768153254874E-7</v>
      </c>
      <c r="AM37" s="2">
        <f t="shared" si="10"/>
        <v>-6.7952254145491587E-16</v>
      </c>
      <c r="AN37" s="2">
        <f t="shared" si="11"/>
        <v>1.6908224340691711E-12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9" t="s">
        <v>56</v>
      </c>
      <c r="K38" s="29"/>
      <c r="L38" s="29"/>
      <c r="AF38" s="2">
        <v>34</v>
      </c>
      <c r="AG38" s="2">
        <f t="shared" si="13"/>
        <v>2014.4404639722779</v>
      </c>
      <c r="AH38" s="2">
        <v>-7.3919181886594743E-10</v>
      </c>
      <c r="AI38" s="2">
        <f t="shared" si="14"/>
        <v>2014.4404650782235</v>
      </c>
      <c r="AJ38" s="2">
        <v>9.1927768153254874E-7</v>
      </c>
      <c r="AK38" s="2">
        <f t="shared" si="9"/>
        <v>2014.4404645252507</v>
      </c>
      <c r="AL38" s="2">
        <v>4.5926935854367912E-7</v>
      </c>
      <c r="AM38" s="2">
        <f t="shared" si="10"/>
        <v>-3.3948815249129912E-16</v>
      </c>
      <c r="AN38" s="2">
        <f t="shared" si="11"/>
        <v>4.221960711209742E-13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29.78</v>
      </c>
      <c r="L39" s="6" t="s">
        <v>58</v>
      </c>
      <c r="AF39" s="2">
        <v>35</v>
      </c>
      <c r="AG39" s="2">
        <f t="shared" si="13"/>
        <v>2014.4404639722779</v>
      </c>
      <c r="AH39" s="2">
        <v>-7.3919181886594743E-10</v>
      </c>
      <c r="AI39" s="2">
        <f t="shared" si="14"/>
        <v>2014.4404645252507</v>
      </c>
      <c r="AJ39" s="2">
        <v>4.5926935854367912E-7</v>
      </c>
      <c r="AK39" s="2">
        <f t="shared" si="9"/>
        <v>2014.4404642487643</v>
      </c>
      <c r="AL39" s="2">
        <v>2.2926474230189342E-7</v>
      </c>
      <c r="AM39" s="2">
        <f t="shared" si="10"/>
        <v>-1.6947062186396932E-16</v>
      </c>
      <c r="AN39" s="2">
        <f t="shared" si="11"/>
        <v>1.0529427113367249E-13</v>
      </c>
      <c r="AO39" s="2">
        <f t="shared" si="12"/>
        <v>5.5297277867794037E-7</v>
      </c>
    </row>
    <row r="40" spans="2:41" x14ac:dyDescent="0.2">
      <c r="B40" s="29" t="s">
        <v>144</v>
      </c>
      <c r="C40" s="30"/>
      <c r="D40" s="30"/>
      <c r="J40" s="11" t="s">
        <v>52</v>
      </c>
      <c r="K40" s="6">
        <f>ROUND(K13/$C$5 * 100, 2)</f>
        <v>19.829999999999998</v>
      </c>
      <c r="L40" s="6" t="s">
        <v>58</v>
      </c>
      <c r="AF40" s="2">
        <v>36</v>
      </c>
      <c r="AG40" s="2">
        <f t="shared" si="13"/>
        <v>2014.4404639722779</v>
      </c>
      <c r="AH40" s="2">
        <v>-7.3919181886594743E-10</v>
      </c>
      <c r="AI40" s="2">
        <f t="shared" si="14"/>
        <v>2014.4404642487643</v>
      </c>
      <c r="AJ40" s="2">
        <v>2.2926474230189342E-7</v>
      </c>
      <c r="AK40" s="2">
        <f t="shared" si="9"/>
        <v>2014.4404641105211</v>
      </c>
      <c r="AL40" s="2">
        <v>1.1426277524151374E-7</v>
      </c>
      <c r="AM40" s="2">
        <f t="shared" si="10"/>
        <v>-8.4462108659445484E-17</v>
      </c>
      <c r="AN40" s="2">
        <f t="shared" si="11"/>
        <v>2.6196425720444815E-14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33.229999999999997</v>
      </c>
      <c r="L41" s="6" t="s">
        <v>58</v>
      </c>
      <c r="AF41" s="2">
        <v>37</v>
      </c>
      <c r="AG41" s="2">
        <f t="shared" si="13"/>
        <v>2014.4404639722779</v>
      </c>
      <c r="AH41" s="2">
        <v>-7.3919181886594743E-10</v>
      </c>
      <c r="AI41" s="2">
        <f t="shared" si="14"/>
        <v>2014.4404641105211</v>
      </c>
      <c r="AJ41" s="2">
        <v>1.1426277524151374E-7</v>
      </c>
      <c r="AK41" s="2">
        <f t="shared" si="9"/>
        <v>2014.4404640413995</v>
      </c>
      <c r="AL41" s="2">
        <v>5.6761564337648451E-8</v>
      </c>
      <c r="AM41" s="2">
        <f t="shared" si="10"/>
        <v>-4.1957683984422855E-17</v>
      </c>
      <c r="AN41" s="2">
        <f t="shared" si="11"/>
        <v>6.4857338682694465E-15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9.8699999999999992</v>
      </c>
      <c r="L42" s="6" t="s">
        <v>58</v>
      </c>
      <c r="AF42" s="2">
        <v>38</v>
      </c>
      <c r="AG42" s="2">
        <f t="shared" si="13"/>
        <v>2014.4404639722779</v>
      </c>
      <c r="AH42" s="2">
        <v>-7.3919181886594743E-10</v>
      </c>
      <c r="AI42" s="2">
        <f t="shared" si="14"/>
        <v>2014.4404640413995</v>
      </c>
      <c r="AJ42" s="2">
        <v>5.6761564337648451E-8</v>
      </c>
      <c r="AK42" s="2">
        <f t="shared" si="9"/>
        <v>2014.4404640068387</v>
      </c>
      <c r="AL42" s="2">
        <v>2.8011527319904417E-8</v>
      </c>
      <c r="AM42" s="2">
        <f t="shared" si="10"/>
        <v>-2.0705891828813323E-17</v>
      </c>
      <c r="AN42" s="2">
        <f t="shared" si="11"/>
        <v>1.5899781101645518E-15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7.28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2014.4404639722779</v>
      </c>
      <c r="AH43" s="2">
        <v>-7.3919181886594743E-10</v>
      </c>
      <c r="AI43" s="2">
        <f t="shared" si="14"/>
        <v>2014.4404640068387</v>
      </c>
      <c r="AJ43" s="2">
        <v>2.8011527319904417E-8</v>
      </c>
      <c r="AK43" s="2">
        <f t="shared" si="9"/>
        <v>2014.4404639895583</v>
      </c>
      <c r="AL43" s="2">
        <v>1.363582669000607E-8</v>
      </c>
      <c r="AM43" s="2">
        <f t="shared" si="10"/>
        <v>-1.0079491532726418E-17</v>
      </c>
      <c r="AN43" s="2">
        <f t="shared" si="11"/>
        <v>3.8196033185658684E-16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99.990000000000009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2014.4404639722779</v>
      </c>
      <c r="AH44" s="2">
        <v>-7.3919181886594743E-10</v>
      </c>
      <c r="AI44" s="2">
        <f t="shared" si="14"/>
        <v>2014.4404639895583</v>
      </c>
      <c r="AJ44" s="2">
        <v>1.363582669000607E-8</v>
      </c>
      <c r="AK44" s="5">
        <f>(AG44+AI44)/2</f>
        <v>2014.4404639809181</v>
      </c>
      <c r="AL44" s="2">
        <v>6.4485448092455044E-9</v>
      </c>
      <c r="AM44" s="2">
        <f t="shared" si="10"/>
        <v>-4.7667115665847484E-18</v>
      </c>
      <c r="AN44" s="2">
        <f t="shared" si="11"/>
        <v>8.793123942160995E-17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9" t="s">
        <v>145</v>
      </c>
      <c r="C46" s="30"/>
      <c r="D46" s="30"/>
      <c r="J46" s="29" t="s">
        <v>56</v>
      </c>
      <c r="K46" s="29"/>
      <c r="L46" s="29"/>
      <c r="N46" s="6" t="s">
        <v>153</v>
      </c>
      <c r="O46" s="6">
        <f>G12*1000/O45</f>
        <v>1846.0413191573011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29.78</v>
      </c>
      <c r="L47" s="6" t="s">
        <v>58</v>
      </c>
      <c r="N47" s="6" t="s">
        <v>154</v>
      </c>
      <c r="O47" s="6">
        <f>0.377*O46^0.6945</f>
        <v>69.943283198000074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19.829999999999998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50.38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99.990000000000009</v>
      </c>
      <c r="L50" s="10" t="s">
        <v>58</v>
      </c>
    </row>
    <row r="52" spans="2:12" x14ac:dyDescent="0.2">
      <c r="B52" s="29" t="s">
        <v>71</v>
      </c>
      <c r="C52" s="29"/>
      <c r="D52" s="29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J7:L7"/>
    <mergeCell ref="B1:D1"/>
    <mergeCell ref="B3:D3"/>
    <mergeCell ref="F3:H3"/>
    <mergeCell ref="J3:L3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38:L38"/>
    <mergeCell ref="B40:D40"/>
    <mergeCell ref="B46:D46"/>
    <mergeCell ref="J46:L46"/>
    <mergeCell ref="B52:D52"/>
  </mergeCells>
  <conditionalFormatting sqref="K28">
    <cfRule type="containsText" dxfId="29" priority="1" operator="containsText" text="FALSE">
      <formula>NOT(ISERROR(SEARCH("FALSE",K28)))</formula>
    </cfRule>
    <cfRule type="containsText" dxfId="28" priority="2" operator="containsText" text="TRUE">
      <formula>NOT(ISERROR(SEARCH("TRUE",K28)))</formula>
    </cfRule>
    <cfRule type="cellIs" dxfId="27" priority="3" operator="equal">
      <formula>1</formula>
    </cfRule>
    <cfRule type="cellIs" dxfId="26" priority="4" operator="equal">
      <formula>TRUE</formula>
    </cfRule>
    <cfRule type="containsText" dxfId="25" priority="5" operator="containsText" text="YES">
      <formula>NOT(ISERROR(SEARCH("YES",K28)))</formula>
    </cfRule>
    <cfRule type="cellIs" dxfId="24" priority="6" operator="equal">
      <formula>"""YES"""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7D87-B951-4841-B7CA-13CC46090773}">
  <dimension ref="B1:AO56"/>
  <sheetViews>
    <sheetView topLeftCell="B1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5" t="s">
        <v>0</v>
      </c>
      <c r="C1" s="35"/>
      <c r="D1" s="35"/>
    </row>
    <row r="2" spans="2:41" x14ac:dyDescent="0.2">
      <c r="U2" s="16" t="s">
        <v>93</v>
      </c>
      <c r="AF2" s="16" t="s">
        <v>76</v>
      </c>
    </row>
    <row r="3" spans="2:41" x14ac:dyDescent="0.2">
      <c r="B3" s="32" t="s">
        <v>118</v>
      </c>
      <c r="C3" s="33"/>
      <c r="D3" s="33"/>
      <c r="F3" s="32" t="s">
        <v>80</v>
      </c>
      <c r="G3" s="33"/>
      <c r="H3" s="33"/>
      <c r="J3" s="29" t="s">
        <v>98</v>
      </c>
      <c r="K3" s="29"/>
      <c r="L3" s="29"/>
      <c r="N3" s="29" t="s">
        <v>92</v>
      </c>
      <c r="O3" s="29"/>
      <c r="P3" s="29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622.37097800365405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4.7799065881011099E-2</v>
      </c>
      <c r="X4" s="3">
        <v>1</v>
      </c>
      <c r="Y4" s="2">
        <f t="shared" ref="Y4:Y34" si="1" xml:space="preserve"> $O$20 * TAN($O$17/180*PI()) + $O$21 / (2 * SQRT($O$20^2 + X4^2)) - X4</f>
        <v>-0.95752249434987391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-0.45513142685708585</v>
      </c>
      <c r="AB4" s="2">
        <f>W4*AA4</f>
        <v>-2.1754857056860432E-2</v>
      </c>
      <c r="AC4" s="2">
        <f>Y4*AA4</f>
        <v>0.43579857910121406</v>
      </c>
      <c r="AD4" s="2">
        <f>X4-V4</f>
        <v>1</v>
      </c>
      <c r="AF4" s="2">
        <v>0</v>
      </c>
      <c r="AG4" s="2"/>
      <c r="AH4" s="2">
        <f>K27</f>
        <v>-5.3798314706909878E-3</v>
      </c>
      <c r="AI4" s="2"/>
      <c r="AJ4" s="2">
        <f>K27</f>
        <v>-5.3798314706909878E-3</v>
      </c>
      <c r="AK4" s="2"/>
      <c r="AL4" s="2">
        <f>K27</f>
        <v>-5.3798314706909878E-3</v>
      </c>
      <c r="AM4" s="2"/>
      <c r="AN4" s="2"/>
      <c r="AO4" s="2"/>
    </row>
    <row r="5" spans="2:41" x14ac:dyDescent="0.2">
      <c r="B5" s="10" t="s">
        <v>37</v>
      </c>
      <c r="C5" s="10">
        <v>2996.6864208530801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155.59274450091351</v>
      </c>
      <c r="L5" s="6" t="s">
        <v>101</v>
      </c>
      <c r="N5" s="6" t="s">
        <v>114</v>
      </c>
      <c r="O5" s="6">
        <f xml:space="preserve"> $C$18 * 0.85 * ($C$5/$C$18 *2.20462/1000)^(2/3) * 0.3048^2</f>
        <v>0.44135245166828108</v>
      </c>
      <c r="P5" s="6" t="s">
        <v>115</v>
      </c>
      <c r="U5" s="2">
        <v>1</v>
      </c>
      <c r="V5" s="2">
        <f>IF(AB4&gt;0, Z4, V4)</f>
        <v>0</v>
      </c>
      <c r="W5" s="2">
        <f t="shared" si="0"/>
        <v>4.7799065881011099E-2</v>
      </c>
      <c r="X5" s="2">
        <f>IF(AC4&gt;0, Z4, X4)</f>
        <v>0.5</v>
      </c>
      <c r="Y5" s="2">
        <f t="shared" si="1"/>
        <v>-0.45513142685708585</v>
      </c>
      <c r="Z5" s="2">
        <f t="shared" ref="Z5:Z34" si="3" xml:space="preserve"> (V5 + X5)/2</f>
        <v>0.25</v>
      </c>
      <c r="AA5" s="2">
        <f t="shared" si="2"/>
        <v>-0.20329463976146803</v>
      </c>
      <c r="AB5" s="2">
        <f t="shared" ref="AB5:AB34" si="4">W5*AA5</f>
        <v>-9.7172938792148295E-3</v>
      </c>
      <c r="AC5" s="2">
        <f t="shared" ref="AC5:AC34" si="5">Y5*AA5</f>
        <v>9.2525779467034205E-2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-1247.6659182905553</v>
      </c>
      <c r="AI5" s="3">
        <v>10000</v>
      </c>
      <c r="AJ5" s="2">
        <f t="dataTable" ref="AJ5:AJ44" dt2D="0" dtr="0" r1="C5" ca="1"/>
        <v>1256.9728223394413</v>
      </c>
      <c r="AK5" s="2">
        <f>(AG5+AI5)/2</f>
        <v>5250</v>
      </c>
      <c r="AL5" s="2">
        <f t="dataTable" ref="AL5:AL44" dt2D="0" dtr="0" r1="C5" ca="1"/>
        <v>760.38664601279925</v>
      </c>
      <c r="AM5" s="2">
        <f>AH5*AL5</f>
        <v>-948708.5029534346</v>
      </c>
      <c r="AN5" s="2">
        <f>AJ5*AL5</f>
        <v>955785.34850792994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4.7799065881011099E-2</v>
      </c>
      <c r="X6" s="2">
        <f t="shared" ref="X6:X34" si="8">IF(AC5&gt;0, Z5, X5)</f>
        <v>0.25</v>
      </c>
      <c r="Y6" s="2">
        <f t="shared" si="1"/>
        <v>-0.20329463976146803</v>
      </c>
      <c r="Z6" s="2">
        <f t="shared" si="3"/>
        <v>0.125</v>
      </c>
      <c r="AA6" s="2">
        <f t="shared" si="2"/>
        <v>-7.7515220965996529E-2</v>
      </c>
      <c r="AB6" s="2">
        <f t="shared" si="4"/>
        <v>-3.7051551537348008E-3</v>
      </c>
      <c r="AC6" s="2">
        <f t="shared" si="5"/>
        <v>1.5758428922312859E-2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-1247.6659182905553</v>
      </c>
      <c r="AI6" s="2">
        <f>IF(AN5&gt;0, AK5, AI5)</f>
        <v>5250</v>
      </c>
      <c r="AJ6" s="2">
        <v>760.38664601279925</v>
      </c>
      <c r="AK6" s="2">
        <f t="shared" ref="AK6:AK43" si="9">(AG6+AI6)/2</f>
        <v>2875</v>
      </c>
      <c r="AL6" s="2">
        <v>-51.323094283293813</v>
      </c>
      <c r="AM6" s="2">
        <f t="shared" ref="AM6:AM44" si="10">AH6*AL6</f>
        <v>64034.075558478522</v>
      </c>
      <c r="AN6" s="2">
        <f t="shared" ref="AN6:AN44" si="11">AJ6*AL6</f>
        <v>-39025.395525072454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377.06789735604701</v>
      </c>
      <c r="D7" s="6" t="s">
        <v>125</v>
      </c>
      <c r="F7" t="s">
        <v>121</v>
      </c>
      <c r="G7" s="8">
        <f>$C$6*2*PI()/60*$C$9</f>
        <v>152.0210902715402</v>
      </c>
      <c r="H7" s="6" t="s">
        <v>10</v>
      </c>
      <c r="J7" s="29" t="s">
        <v>21</v>
      </c>
      <c r="K7" s="29"/>
      <c r="L7" s="29"/>
      <c r="N7" s="6" t="s">
        <v>159</v>
      </c>
      <c r="O7" s="6">
        <f>O5+$O$6</f>
        <v>1.071629075003377</v>
      </c>
      <c r="P7" s="6" t="s">
        <v>115</v>
      </c>
      <c r="U7" s="2">
        <v>3</v>
      </c>
      <c r="V7" s="2">
        <f t="shared" si="7"/>
        <v>0</v>
      </c>
      <c r="W7" s="2">
        <f t="shared" si="0"/>
        <v>4.7799065881011099E-2</v>
      </c>
      <c r="X7" s="2">
        <f t="shared" si="8"/>
        <v>0.125</v>
      </c>
      <c r="Y7" s="2">
        <f t="shared" si="1"/>
        <v>-7.7515220965996529E-2</v>
      </c>
      <c r="Z7" s="2">
        <f t="shared" si="3"/>
        <v>6.25E-2</v>
      </c>
      <c r="AA7" s="2">
        <f t="shared" si="2"/>
        <v>-1.4782616653319418E-2</v>
      </c>
      <c r="AB7" s="2">
        <f t="shared" si="4"/>
        <v>-7.0659526730574662E-4</v>
      </c>
      <c r="AC7" s="2">
        <f t="shared" si="5"/>
        <v>1.1458777963376748E-3</v>
      </c>
      <c r="AD7" s="2">
        <f t="shared" si="6"/>
        <v>0.125</v>
      </c>
      <c r="AF7" s="2">
        <v>3</v>
      </c>
      <c r="AG7" s="2">
        <f t="shared" ref="AG7:AG44" si="13">IF(AM6&gt;0, AK6, AG6)</f>
        <v>2875</v>
      </c>
      <c r="AH7" s="2">
        <v>-51.323094283293813</v>
      </c>
      <c r="AI7" s="2">
        <f t="shared" ref="AI7:AI44" si="14">IF(AN6&gt;0, AK6, AI6)</f>
        <v>5250</v>
      </c>
      <c r="AJ7" s="2">
        <v>760.38664601279925</v>
      </c>
      <c r="AK7" s="2">
        <f t="shared" si="9"/>
        <v>4062.5</v>
      </c>
      <c r="AL7" s="2">
        <v>404.38356020039464</v>
      </c>
      <c r="AM7" s="2">
        <f t="shared" si="10"/>
        <v>-20754.215586778875</v>
      </c>
      <c r="AN7" s="2">
        <f t="shared" si="11"/>
        <v>307487.85904349299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0.45526617543374598</v>
      </c>
      <c r="H8" s="6" t="s">
        <v>122</v>
      </c>
      <c r="J8" s="6" t="s">
        <v>96</v>
      </c>
      <c r="K8" s="6">
        <f xml:space="preserve"> $C$15 * (G12*G6 + G22*G15 + G31*G27 +G35*G34)/3600</f>
        <v>235.7111684256505</v>
      </c>
      <c r="L8" s="6" t="s">
        <v>102</v>
      </c>
      <c r="N8" s="6" t="s">
        <v>38</v>
      </c>
      <c r="O8" s="6">
        <f xml:space="preserve"> O4 *O7</f>
        <v>2429.8801191598527</v>
      </c>
      <c r="P8" s="6" t="s">
        <v>20</v>
      </c>
      <c r="U8" s="2">
        <v>4</v>
      </c>
      <c r="V8" s="2">
        <f t="shared" si="7"/>
        <v>0</v>
      </c>
      <c r="W8" s="2">
        <f t="shared" si="0"/>
        <v>4.7799065881011099E-2</v>
      </c>
      <c r="X8" s="2">
        <f t="shared" si="8"/>
        <v>6.25E-2</v>
      </c>
      <c r="Y8" s="2">
        <f t="shared" si="1"/>
        <v>-1.4782616653319418E-2</v>
      </c>
      <c r="Z8" s="2">
        <f t="shared" si="3"/>
        <v>3.125E-2</v>
      </c>
      <c r="AA8" s="2">
        <f t="shared" si="2"/>
        <v>1.6528439989232264E-2</v>
      </c>
      <c r="AB8" s="2">
        <f t="shared" si="4"/>
        <v>7.9004399195565134E-4</v>
      </c>
      <c r="AC8" s="2">
        <f t="shared" si="5"/>
        <v>-2.4433359223821551E-4</v>
      </c>
      <c r="AD8" s="2">
        <f t="shared" si="6"/>
        <v>6.25E-2</v>
      </c>
      <c r="AF8" s="2">
        <v>4</v>
      </c>
      <c r="AG8" s="2">
        <f t="shared" si="13"/>
        <v>2875</v>
      </c>
      <c r="AH8" s="2">
        <v>-51.323094283293813</v>
      </c>
      <c r="AI8" s="2">
        <f t="shared" si="14"/>
        <v>4062.5</v>
      </c>
      <c r="AJ8" s="2">
        <v>404.38356020039464</v>
      </c>
      <c r="AK8" s="2">
        <f t="shared" si="9"/>
        <v>3468.75</v>
      </c>
      <c r="AL8" s="2">
        <v>189.31126163152885</v>
      </c>
      <c r="AM8" s="2">
        <f t="shared" si="10"/>
        <v>-9716.0397296042574</v>
      </c>
      <c r="AN8" s="2">
        <f t="shared" si="11"/>
        <v>76554.361964586002</v>
      </c>
      <c r="AO8" s="2">
        <f t="shared" si="12"/>
        <v>1187.5</v>
      </c>
    </row>
    <row r="9" spans="2:41" x14ac:dyDescent="0.2">
      <c r="B9" s="6" t="s">
        <v>95</v>
      </c>
      <c r="C9" s="17">
        <v>3.6292361956402299</v>
      </c>
      <c r="D9" s="6" t="s">
        <v>8</v>
      </c>
      <c r="F9" t="s">
        <v>19</v>
      </c>
      <c r="G9" s="6">
        <f xml:space="preserve"> $C$5 * $C$44 / $C$18</f>
        <v>7342.9988900947401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2429.8801191598527</v>
      </c>
      <c r="P9" s="6" t="s">
        <v>20</v>
      </c>
      <c r="U9" s="2">
        <v>5</v>
      </c>
      <c r="V9" s="2">
        <f t="shared" si="7"/>
        <v>3.125E-2</v>
      </c>
      <c r="W9" s="2">
        <f t="shared" si="0"/>
        <v>1.6528439989232264E-2</v>
      </c>
      <c r="X9" s="2">
        <f t="shared" si="8"/>
        <v>6.25E-2</v>
      </c>
      <c r="Y9" s="2">
        <f t="shared" si="1"/>
        <v>-1.4782616653319418E-2</v>
      </c>
      <c r="Z9" s="2">
        <f t="shared" si="3"/>
        <v>4.6875E-2</v>
      </c>
      <c r="AA9" s="2">
        <f t="shared" si="2"/>
        <v>8.7785130208260786E-4</v>
      </c>
      <c r="AB9" s="2">
        <f t="shared" si="4"/>
        <v>1.4509512565941789E-5</v>
      </c>
      <c r="AC9" s="2">
        <f t="shared" si="5"/>
        <v>-1.2976939277304493E-5</v>
      </c>
      <c r="AD9" s="2">
        <f t="shared" si="6"/>
        <v>3.125E-2</v>
      </c>
      <c r="AF9" s="2">
        <v>5</v>
      </c>
      <c r="AG9" s="2">
        <f t="shared" si="13"/>
        <v>2875</v>
      </c>
      <c r="AH9" s="2">
        <v>-51.323094283293813</v>
      </c>
      <c r="AI9" s="2">
        <f t="shared" si="14"/>
        <v>3468.75</v>
      </c>
      <c r="AJ9" s="2">
        <v>189.31126163152885</v>
      </c>
      <c r="AK9" s="2">
        <f t="shared" si="9"/>
        <v>3171.875</v>
      </c>
      <c r="AL9" s="2">
        <v>72.108255400954022</v>
      </c>
      <c r="AM9" s="2">
        <f t="shared" si="10"/>
        <v>-3700.8187905469936</v>
      </c>
      <c r="AN9" s="2">
        <f t="shared" si="11"/>
        <v>13650.90480400311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103.72849633394233</v>
      </c>
      <c r="H10" s="6" t="s">
        <v>101</v>
      </c>
      <c r="N10" s="6" t="s">
        <v>113</v>
      </c>
      <c r="O10" s="6">
        <f>O7/(0.3048^2)/($C$5*2.20462/1000)^(2/3)</f>
        <v>3.276155705870694</v>
      </c>
      <c r="U10" s="2">
        <v>6</v>
      </c>
      <c r="V10" s="2">
        <f t="shared" si="7"/>
        <v>4.6875E-2</v>
      </c>
      <c r="W10" s="2">
        <f t="shared" si="0"/>
        <v>8.7785130208260786E-4</v>
      </c>
      <c r="X10" s="2">
        <f t="shared" si="8"/>
        <v>6.25E-2</v>
      </c>
      <c r="Y10" s="2">
        <f t="shared" si="1"/>
        <v>-1.4782616653319418E-2</v>
      </c>
      <c r="Z10" s="2">
        <f t="shared" si="3"/>
        <v>5.46875E-2</v>
      </c>
      <c r="AA10" s="2">
        <f t="shared" si="2"/>
        <v>-6.9511672510571693E-3</v>
      </c>
      <c r="AB10" s="2">
        <f t="shared" si="4"/>
        <v>-6.102091222334518E-6</v>
      </c>
      <c r="AC10" s="2">
        <f t="shared" si="5"/>
        <v>1.0275644076548627E-4</v>
      </c>
      <c r="AD10" s="2">
        <f t="shared" si="6"/>
        <v>1.5625E-2</v>
      </c>
      <c r="AF10" s="2">
        <v>6</v>
      </c>
      <c r="AG10" s="2">
        <f t="shared" si="13"/>
        <v>2875</v>
      </c>
      <c r="AH10" s="2">
        <v>-51.323094283293813</v>
      </c>
      <c r="AI10" s="2">
        <f t="shared" si="14"/>
        <v>3171.875</v>
      </c>
      <c r="AJ10" s="2">
        <v>72.108255400954022</v>
      </c>
      <c r="AK10" s="2">
        <f t="shared" si="9"/>
        <v>3023.4375</v>
      </c>
      <c r="AL10" s="2">
        <v>11.143261959100073</v>
      </c>
      <c r="AM10" s="2">
        <f t="shared" si="10"/>
        <v>-571.9066841503344</v>
      </c>
      <c r="AN10" s="2">
        <f t="shared" si="11"/>
        <v>803.52117934652335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7.22242808573447</v>
      </c>
      <c r="H11" s="6" t="s">
        <v>147</v>
      </c>
      <c r="J11" s="32" t="s">
        <v>51</v>
      </c>
      <c r="K11" s="32"/>
      <c r="L11" s="32"/>
      <c r="U11" s="2">
        <v>7</v>
      </c>
      <c r="V11" s="2">
        <f t="shared" si="7"/>
        <v>4.6875E-2</v>
      </c>
      <c r="W11" s="2">
        <f t="shared" si="0"/>
        <v>8.7785130208260786E-4</v>
      </c>
      <c r="X11" s="2">
        <f t="shared" si="8"/>
        <v>5.46875E-2</v>
      </c>
      <c r="Y11" s="2">
        <f t="shared" si="1"/>
        <v>-6.9511672510571693E-3</v>
      </c>
      <c r="Z11" s="2">
        <f t="shared" si="3"/>
        <v>5.078125E-2</v>
      </c>
      <c r="AA11" s="2">
        <f t="shared" si="2"/>
        <v>-3.0363514617647303E-3</v>
      </c>
      <c r="AB11" s="2">
        <f t="shared" si="4"/>
        <v>-2.6654650842905981E-6</v>
      </c>
      <c r="AC11" s="2">
        <f t="shared" si="5"/>
        <v>2.1106186843718558E-5</v>
      </c>
      <c r="AD11" s="2">
        <f t="shared" si="6"/>
        <v>7.8125E-3</v>
      </c>
      <c r="AF11" s="2">
        <v>7</v>
      </c>
      <c r="AG11" s="2">
        <f t="shared" si="13"/>
        <v>2875</v>
      </c>
      <c r="AH11" s="2">
        <v>-51.323094283293813</v>
      </c>
      <c r="AI11" s="2">
        <f t="shared" si="14"/>
        <v>3023.4375</v>
      </c>
      <c r="AJ11" s="2">
        <v>11.143261959100073</v>
      </c>
      <c r="AK11" s="2">
        <f t="shared" si="9"/>
        <v>2949.21875</v>
      </c>
      <c r="AL11" s="2">
        <v>-19.906627311233933</v>
      </c>
      <c r="AM11" s="2">
        <f t="shared" si="10"/>
        <v>1021.6697103568507</v>
      </c>
      <c r="AN11" s="2">
        <f t="shared" si="11"/>
        <v>-221.82476285125566</v>
      </c>
      <c r="AO11" s="2">
        <f t="shared" si="12"/>
        <v>148.4375</v>
      </c>
    </row>
    <row r="12" spans="2:41" x14ac:dyDescent="0.2">
      <c r="B12" s="29" t="s">
        <v>11</v>
      </c>
      <c r="C12" s="29"/>
      <c r="D12" s="29"/>
      <c r="F12" s="24" t="s">
        <v>82</v>
      </c>
      <c r="G12" s="25">
        <f xml:space="preserve"> 1/1000 * (($C$5*$C$44)/$C$21 * ( ($G$4/2) + SQRT( ($G$4/2)^2 + ($C$5*$C$44) / (2*$C$41*PI()*$C$9^2 * $C$18) ) ) )</f>
        <v>414.91398533576933</v>
      </c>
      <c r="H12" s="25" t="s">
        <v>101</v>
      </c>
      <c r="J12" s="10" t="s">
        <v>79</v>
      </c>
      <c r="K12" s="6">
        <f>C5</f>
        <v>2996.6864208530801</v>
      </c>
      <c r="L12" s="6" t="s">
        <v>7</v>
      </c>
      <c r="N12" s="32" t="s">
        <v>73</v>
      </c>
      <c r="O12" s="34"/>
      <c r="P12" s="34"/>
      <c r="U12" s="2">
        <v>8</v>
      </c>
      <c r="V12" s="2">
        <f t="shared" si="7"/>
        <v>4.6875E-2</v>
      </c>
      <c r="W12" s="2">
        <f t="shared" si="0"/>
        <v>8.7785130208260786E-4</v>
      </c>
      <c r="X12" s="2">
        <f t="shared" si="8"/>
        <v>5.078125E-2</v>
      </c>
      <c r="Y12" s="2">
        <f t="shared" si="1"/>
        <v>-3.0363514617647303E-3</v>
      </c>
      <c r="Z12" s="2">
        <f t="shared" si="3"/>
        <v>4.8828125E-2</v>
      </c>
      <c r="AA12" s="2">
        <f t="shared" si="2"/>
        <v>-1.0791731385279973E-3</v>
      </c>
      <c r="AB12" s="2">
        <f t="shared" si="4"/>
        <v>-9.4735354482937704E-7</v>
      </c>
      <c r="AC12" s="2">
        <f t="shared" si="5"/>
        <v>3.2767489366667165E-6</v>
      </c>
      <c r="AD12" s="2">
        <f t="shared" si="6"/>
        <v>3.90625E-3</v>
      </c>
      <c r="AF12" s="2">
        <v>8</v>
      </c>
      <c r="AG12" s="2">
        <f t="shared" si="13"/>
        <v>2949.21875</v>
      </c>
      <c r="AH12" s="2">
        <v>-19.906627311233933</v>
      </c>
      <c r="AI12" s="2">
        <f t="shared" si="14"/>
        <v>3023.4375</v>
      </c>
      <c r="AJ12" s="2">
        <v>11.143261959100073</v>
      </c>
      <c r="AK12" s="2">
        <f t="shared" si="9"/>
        <v>2986.328125</v>
      </c>
      <c r="AL12" s="2">
        <v>-4.3352738026778752</v>
      </c>
      <c r="AM12" s="2">
        <f t="shared" si="10"/>
        <v>86.300679882064387</v>
      </c>
      <c r="AN12" s="2">
        <f t="shared" si="11"/>
        <v>-48.309091647663486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1386.5362848567677</v>
      </c>
      <c r="L13" s="6" t="s">
        <v>7</v>
      </c>
      <c r="N13" s="6" t="s">
        <v>74</v>
      </c>
      <c r="O13" s="6">
        <f xml:space="preserve"> SQRT( ($C$5*$C$50)^2 + O9^2)</f>
        <v>29469.533566524282</v>
      </c>
      <c r="P13" s="6" t="s">
        <v>20</v>
      </c>
      <c r="U13" s="2">
        <v>9</v>
      </c>
      <c r="V13" s="2">
        <f t="shared" si="7"/>
        <v>4.6875E-2</v>
      </c>
      <c r="W13" s="2">
        <f t="shared" si="0"/>
        <v>8.7785130208260786E-4</v>
      </c>
      <c r="X13" s="2">
        <f t="shared" si="8"/>
        <v>4.8828125E-2</v>
      </c>
      <c r="Y13" s="2">
        <f t="shared" si="1"/>
        <v>-1.0791731385279973E-3</v>
      </c>
      <c r="Z13" s="2">
        <f t="shared" si="3"/>
        <v>4.78515625E-2</v>
      </c>
      <c r="AA13" s="2">
        <f t="shared" si="2"/>
        <v>-1.006416449586961E-4</v>
      </c>
      <c r="AB13" s="2">
        <f t="shared" si="4"/>
        <v>-8.834839907072689E-8</v>
      </c>
      <c r="AC13" s="2">
        <f t="shared" si="5"/>
        <v>1.0860975985669647E-7</v>
      </c>
      <c r="AD13" s="2">
        <f t="shared" si="6"/>
        <v>1.953125E-3</v>
      </c>
      <c r="AF13" s="2">
        <v>9</v>
      </c>
      <c r="AG13" s="2">
        <f t="shared" si="13"/>
        <v>2986.328125</v>
      </c>
      <c r="AH13" s="2">
        <v>-4.3352738026778752</v>
      </c>
      <c r="AI13" s="2">
        <f t="shared" si="14"/>
        <v>3023.4375</v>
      </c>
      <c r="AJ13" s="2">
        <v>11.143261959100073</v>
      </c>
      <c r="AK13" s="2">
        <f t="shared" si="9"/>
        <v>3004.8828125</v>
      </c>
      <c r="AL13" s="2">
        <v>3.4156617796975297</v>
      </c>
      <c r="AM13" s="2">
        <f t="shared" si="10"/>
        <v>-14.807829032330789</v>
      </c>
      <c r="AN13" s="2">
        <f t="shared" si="11"/>
        <v>38.06161397485554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2" t="s">
        <v>86</v>
      </c>
      <c r="G14" s="33"/>
      <c r="H14" s="33"/>
      <c r="J14" s="12" t="s">
        <v>126</v>
      </c>
      <c r="K14" s="6">
        <f xml:space="preserve"> $C$54 * $C$18 * (0.0095 * MAX(G9,O18,G28) - 1.9275)</f>
        <v>217.80045510558458</v>
      </c>
      <c r="L14" s="6" t="s">
        <v>7</v>
      </c>
      <c r="N14" s="6" t="s">
        <v>75</v>
      </c>
      <c r="O14" s="6">
        <f>$C$5*$C$50/O13</f>
        <v>0.99659487374222921</v>
      </c>
      <c r="U14" s="2">
        <v>10</v>
      </c>
      <c r="V14" s="2">
        <f t="shared" si="7"/>
        <v>4.6875E-2</v>
      </c>
      <c r="W14" s="2">
        <f t="shared" si="0"/>
        <v>8.7785130208260786E-4</v>
      </c>
      <c r="X14" s="2">
        <f t="shared" si="8"/>
        <v>4.78515625E-2</v>
      </c>
      <c r="Y14" s="2">
        <f t="shared" si="1"/>
        <v>-1.006416449586961E-4</v>
      </c>
      <c r="Z14" s="2">
        <f t="shared" si="3"/>
        <v>4.736328125E-2</v>
      </c>
      <c r="AA14" s="2">
        <f t="shared" si="2"/>
        <v>3.8860965154389332E-4</v>
      </c>
      <c r="AB14" s="2">
        <f t="shared" si="4"/>
        <v>3.4114148860967525E-7</v>
      </c>
      <c r="AC14" s="2">
        <f t="shared" si="5"/>
        <v>-3.9110314578203118E-8</v>
      </c>
      <c r="AD14" s="2">
        <f t="shared" si="6"/>
        <v>9.765625E-4</v>
      </c>
      <c r="AF14" s="2">
        <v>10</v>
      </c>
      <c r="AG14" s="2">
        <f t="shared" si="13"/>
        <v>2986.328125</v>
      </c>
      <c r="AH14" s="2">
        <v>-4.3352738026778752</v>
      </c>
      <c r="AI14" s="2">
        <f t="shared" si="14"/>
        <v>3004.8828125</v>
      </c>
      <c r="AJ14" s="2">
        <v>3.4156617796975297</v>
      </c>
      <c r="AK14" s="2">
        <f t="shared" si="9"/>
        <v>2995.60546875</v>
      </c>
      <c r="AL14" s="2">
        <v>-0.45690228373223363</v>
      </c>
      <c r="AM14" s="2">
        <f t="shared" si="10"/>
        <v>1.9807965010480459</v>
      </c>
      <c r="AN14" s="2">
        <f t="shared" si="11"/>
        <v>-1.5606236676007068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281.8460329751004</v>
      </c>
      <c r="L15" s="6" t="s">
        <v>7</v>
      </c>
      <c r="U15" s="2">
        <v>11</v>
      </c>
      <c r="V15" s="2">
        <f t="shared" si="7"/>
        <v>4.736328125E-2</v>
      </c>
      <c r="W15" s="2">
        <f t="shared" si="0"/>
        <v>3.8860965154389332E-4</v>
      </c>
      <c r="X15" s="2">
        <f t="shared" si="8"/>
        <v>4.78515625E-2</v>
      </c>
      <c r="Y15" s="2">
        <f t="shared" si="1"/>
        <v>-1.006416449586961E-4</v>
      </c>
      <c r="Z15" s="2">
        <f t="shared" si="3"/>
        <v>4.7607421875E-2</v>
      </c>
      <c r="AA15" s="2">
        <f t="shared" si="2"/>
        <v>1.4398520845824991E-4</v>
      </c>
      <c r="AB15" s="2">
        <f t="shared" si="4"/>
        <v>5.5954041686435337E-8</v>
      </c>
      <c r="AC15" s="2">
        <f t="shared" si="5"/>
        <v>-1.4490908228959033E-8</v>
      </c>
      <c r="AD15" s="2">
        <f t="shared" si="6"/>
        <v>4.8828125E-4</v>
      </c>
      <c r="AF15" s="2">
        <v>11</v>
      </c>
      <c r="AG15" s="2">
        <f t="shared" si="13"/>
        <v>2995.60546875</v>
      </c>
      <c r="AH15" s="2">
        <v>-0.45690228373223363</v>
      </c>
      <c r="AI15" s="2">
        <f t="shared" si="14"/>
        <v>3004.8828125</v>
      </c>
      <c r="AJ15" s="2">
        <v>3.4156617796975297</v>
      </c>
      <c r="AK15" s="2">
        <f t="shared" si="9"/>
        <v>3000.244140625</v>
      </c>
      <c r="AL15" s="2">
        <v>1.4801125863632478</v>
      </c>
      <c r="AM15" s="2">
        <f t="shared" si="10"/>
        <v>-0.67626682089019086</v>
      </c>
      <c r="AN15" s="2">
        <f t="shared" si="11"/>
        <v>5.0555639908902048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143.3056821561587</v>
      </c>
      <c r="H16" s="6" t="s">
        <v>10</v>
      </c>
      <c r="J16" s="13" t="s">
        <v>53</v>
      </c>
      <c r="K16" s="6">
        <f xml:space="preserve"> $C$54 * 0.2138 * K4</f>
        <v>106.45033207774499</v>
      </c>
      <c r="L16" s="6" t="s">
        <v>7</v>
      </c>
      <c r="N16" s="32" t="s">
        <v>24</v>
      </c>
      <c r="O16" s="34"/>
      <c r="P16" s="34"/>
      <c r="U16" s="2">
        <v>12</v>
      </c>
      <c r="V16" s="2">
        <f t="shared" si="7"/>
        <v>4.7607421875E-2</v>
      </c>
      <c r="W16" s="2">
        <f t="shared" si="0"/>
        <v>1.4398520845824991E-4</v>
      </c>
      <c r="X16" s="2">
        <f t="shared" si="8"/>
        <v>4.78515625E-2</v>
      </c>
      <c r="Y16" s="2">
        <f t="shared" si="1"/>
        <v>-1.006416449586961E-4</v>
      </c>
      <c r="Z16" s="2">
        <f t="shared" si="3"/>
        <v>4.77294921875E-2</v>
      </c>
      <c r="AA16" s="2">
        <f t="shared" si="2"/>
        <v>2.1672082968410278E-5</v>
      </c>
      <c r="AB16" s="2">
        <f t="shared" si="4"/>
        <v>3.1204593839310414E-9</v>
      </c>
      <c r="AC16" s="2">
        <f t="shared" si="5"/>
        <v>-2.1811140796221519E-9</v>
      </c>
      <c r="AD16" s="2">
        <f t="shared" si="6"/>
        <v>2.44140625E-4</v>
      </c>
      <c r="AF16" s="2">
        <v>12</v>
      </c>
      <c r="AG16" s="2">
        <f t="shared" si="13"/>
        <v>2995.60546875</v>
      </c>
      <c r="AH16" s="2">
        <v>-0.45690228373223363</v>
      </c>
      <c r="AI16" s="2">
        <f t="shared" si="14"/>
        <v>3000.244140625</v>
      </c>
      <c r="AJ16" s="2">
        <v>1.4801125863632478</v>
      </c>
      <c r="AK16" s="2">
        <f t="shared" si="9"/>
        <v>2997.9248046875</v>
      </c>
      <c r="AL16" s="2">
        <v>0.51179484973545186</v>
      </c>
      <c r="AM16" s="2">
        <f t="shared" si="10"/>
        <v>-0.23384023564652331</v>
      </c>
      <c r="AN16" s="2">
        <f t="shared" si="11"/>
        <v>0.75751399872932945</v>
      </c>
      <c r="AO16" s="2">
        <f t="shared" si="12"/>
        <v>4.638671875</v>
      </c>
    </row>
    <row r="17" spans="2:41" x14ac:dyDescent="0.2">
      <c r="B17" s="31" t="s">
        <v>110</v>
      </c>
      <c r="C17" s="31"/>
      <c r="D17" s="31"/>
      <c r="F17" s="6" t="s">
        <v>124</v>
      </c>
      <c r="G17" s="6">
        <f>G16/$C$49</f>
        <v>0.43070728388198065</v>
      </c>
      <c r="H17" s="6" t="s">
        <v>122</v>
      </c>
      <c r="J17" s="13" t="s">
        <v>77</v>
      </c>
      <c r="K17" s="6">
        <f xml:space="preserve"> $C$54 * 0.1149 * K4</f>
        <v>57.208340298095884</v>
      </c>
      <c r="L17" s="6" t="s">
        <v>7</v>
      </c>
      <c r="N17" s="6" t="s">
        <v>25</v>
      </c>
      <c r="O17" s="6">
        <f xml:space="preserve"> ACOS(O14)/PI()*180</f>
        <v>4.7296341991114774</v>
      </c>
      <c r="P17" s="6" t="s">
        <v>40</v>
      </c>
      <c r="U17" s="2">
        <v>13</v>
      </c>
      <c r="V17" s="2">
        <f t="shared" si="7"/>
        <v>4.77294921875E-2</v>
      </c>
      <c r="W17" s="2">
        <f t="shared" si="0"/>
        <v>2.1672082968410278E-5</v>
      </c>
      <c r="X17" s="2">
        <f t="shared" si="8"/>
        <v>4.78515625E-2</v>
      </c>
      <c r="Y17" s="2">
        <f t="shared" si="1"/>
        <v>-1.006416449586961E-4</v>
      </c>
      <c r="Z17" s="2">
        <f t="shared" si="3"/>
        <v>4.779052734375E-2</v>
      </c>
      <c r="AA17" s="2">
        <f t="shared" si="2"/>
        <v>-3.9484705699602274E-5</v>
      </c>
      <c r="AB17" s="2">
        <f t="shared" si="4"/>
        <v>-8.5571581790504269E-10</v>
      </c>
      <c r="AC17" s="2">
        <f t="shared" si="5"/>
        <v>3.9738057323179761E-9</v>
      </c>
      <c r="AD17" s="2">
        <f t="shared" si="6"/>
        <v>1.220703125E-4</v>
      </c>
      <c r="AF17" s="2">
        <v>13</v>
      </c>
      <c r="AG17" s="2">
        <f t="shared" si="13"/>
        <v>2995.60546875</v>
      </c>
      <c r="AH17" s="2">
        <v>-0.45690228373223363</v>
      </c>
      <c r="AI17" s="2">
        <f t="shared" si="14"/>
        <v>2997.9248046875</v>
      </c>
      <c r="AJ17" s="2">
        <v>0.51179484973545186</v>
      </c>
      <c r="AK17" s="2">
        <f t="shared" si="9"/>
        <v>2996.76513671875</v>
      </c>
      <c r="AL17" s="2">
        <v>2.7478899480229302E-2</v>
      </c>
      <c r="AM17" s="2">
        <f t="shared" si="10"/>
        <v>-1.2555171926965255E-2</v>
      </c>
      <c r="AN17" s="2">
        <f t="shared" si="11"/>
        <v>1.4063559230379542E-2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7367.3833916310705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137.80037749483429</v>
      </c>
      <c r="L18" s="6" t="s">
        <v>7</v>
      </c>
      <c r="N18" s="6" t="s">
        <v>19</v>
      </c>
      <c r="O18" s="6">
        <f xml:space="preserve"> O13 / $C$18</f>
        <v>7367.3833916310705</v>
      </c>
      <c r="P18" s="6" t="s">
        <v>20</v>
      </c>
      <c r="U18" s="2">
        <v>14</v>
      </c>
      <c r="V18" s="2">
        <f t="shared" si="7"/>
        <v>4.77294921875E-2</v>
      </c>
      <c r="W18" s="2">
        <f t="shared" si="0"/>
        <v>2.1672082968410278E-5</v>
      </c>
      <c r="X18" s="2">
        <f t="shared" si="8"/>
        <v>4.779052734375E-2</v>
      </c>
      <c r="Y18" s="2">
        <f t="shared" si="1"/>
        <v>-3.9484705699602274E-5</v>
      </c>
      <c r="Z18" s="2">
        <f t="shared" si="3"/>
        <v>4.7760009765625E-2</v>
      </c>
      <c r="AA18" s="2">
        <f t="shared" si="2"/>
        <v>-8.9062925405711257E-6</v>
      </c>
      <c r="AB18" s="2">
        <f t="shared" si="4"/>
        <v>-1.9301791088019099E-10</v>
      </c>
      <c r="AC18" s="2">
        <f t="shared" si="5"/>
        <v>3.5166233983901394E-10</v>
      </c>
      <c r="AD18" s="2">
        <f t="shared" si="6"/>
        <v>6.103515625E-5</v>
      </c>
      <c r="AF18" s="2">
        <v>14</v>
      </c>
      <c r="AG18" s="2">
        <f t="shared" si="13"/>
        <v>2995.60546875</v>
      </c>
      <c r="AH18" s="2">
        <v>-0.45690228373223363</v>
      </c>
      <c r="AI18" s="2">
        <f t="shared" si="14"/>
        <v>2996.76513671875</v>
      </c>
      <c r="AJ18" s="2">
        <v>2.7478899480229302E-2</v>
      </c>
      <c r="AK18" s="2">
        <f t="shared" si="9"/>
        <v>2996.185302734375</v>
      </c>
      <c r="AL18" s="2">
        <v>-0.21470110038126222</v>
      </c>
      <c r="AM18" s="2">
        <f t="shared" si="10"/>
        <v>9.8097423084022251E-2</v>
      </c>
      <c r="AN18" s="2">
        <f t="shared" si="11"/>
        <v>-5.8997499556713252E-3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68.789358149326475</v>
      </c>
      <c r="H19" s="6" t="s">
        <v>101</v>
      </c>
      <c r="J19" s="14" t="s">
        <v>61</v>
      </c>
      <c r="K19" s="6">
        <f xml:space="preserve"> $C$55 * C31 * $C$5</f>
        <v>33.562887913554505</v>
      </c>
      <c r="L19" s="6" t="s">
        <v>7</v>
      </c>
      <c r="N19" s="6" t="s">
        <v>26</v>
      </c>
      <c r="O19" s="6">
        <f>$C$7*2*PI()/60</f>
        <v>39.486457874610245</v>
      </c>
      <c r="P19" s="6" t="s">
        <v>27</v>
      </c>
      <c r="U19" s="2">
        <v>15</v>
      </c>
      <c r="V19" s="2">
        <f t="shared" si="7"/>
        <v>4.77294921875E-2</v>
      </c>
      <c r="W19" s="2">
        <f t="shared" si="0"/>
        <v>2.1672082968410278E-5</v>
      </c>
      <c r="X19" s="2">
        <f t="shared" si="8"/>
        <v>4.7760009765625E-2</v>
      </c>
      <c r="Y19" s="2">
        <f t="shared" si="1"/>
        <v>-8.9062925405711257E-6</v>
      </c>
      <c r="Z19" s="2">
        <f t="shared" si="3"/>
        <v>4.77447509765625E-2</v>
      </c>
      <c r="AA19" s="2">
        <f t="shared" si="2"/>
        <v>6.3828999203180414E-6</v>
      </c>
      <c r="AB19" s="2">
        <f t="shared" si="4"/>
        <v>1.3833073665219194E-10</v>
      </c>
      <c r="AC19" s="2">
        <f t="shared" si="5"/>
        <v>-5.6847973947540603E-11</v>
      </c>
      <c r="AD19" s="2">
        <f t="shared" si="6"/>
        <v>3.0517578125E-5</v>
      </c>
      <c r="AF19" s="2">
        <v>15</v>
      </c>
      <c r="AG19" s="2">
        <f t="shared" si="13"/>
        <v>2996.185302734375</v>
      </c>
      <c r="AH19" s="2">
        <v>-0.21470110038126222</v>
      </c>
      <c r="AI19" s="2">
        <f t="shared" si="14"/>
        <v>2996.76513671875</v>
      </c>
      <c r="AJ19" s="2">
        <v>2.7478899480229302E-2</v>
      </c>
      <c r="AK19" s="2">
        <f t="shared" si="9"/>
        <v>2996.4752197265625</v>
      </c>
      <c r="AL19" s="2">
        <v>-9.3593754359517334E-2</v>
      </c>
      <c r="AM19" s="2">
        <f t="shared" si="10"/>
        <v>2.0094682049801929E-2</v>
      </c>
      <c r="AN19" s="2">
        <f t="shared" si="11"/>
        <v>-2.57185336802245E-3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10.928018018779722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0.4663294912537907</v>
      </c>
      <c r="U20" s="2">
        <v>16</v>
      </c>
      <c r="V20" s="2">
        <f t="shared" si="7"/>
        <v>4.77447509765625E-2</v>
      </c>
      <c r="W20" s="2">
        <f t="shared" si="0"/>
        <v>6.3828999203180414E-6</v>
      </c>
      <c r="X20" s="2">
        <f t="shared" si="8"/>
        <v>4.7760009765625E-2</v>
      </c>
      <c r="Y20" s="2">
        <f t="shared" si="1"/>
        <v>-8.9062925405711257E-6</v>
      </c>
      <c r="Z20" s="2">
        <f t="shared" si="3"/>
        <v>4.775238037109375E-2</v>
      </c>
      <c r="AA20" s="2">
        <f t="shared" si="2"/>
        <v>-1.2616951335434057E-6</v>
      </c>
      <c r="AB20" s="2">
        <f t="shared" si="4"/>
        <v>-8.0532737673598653E-12</v>
      </c>
      <c r="AC20" s="2">
        <f t="shared" si="5"/>
        <v>1.1237025956352524E-11</v>
      </c>
      <c r="AD20" s="2">
        <f t="shared" si="6"/>
        <v>1.52587890625E-5</v>
      </c>
      <c r="AF20" s="2">
        <v>16</v>
      </c>
      <c r="AG20" s="2">
        <f t="shared" si="13"/>
        <v>2996.4752197265625</v>
      </c>
      <c r="AH20" s="2">
        <v>-9.3593754359517334E-2</v>
      </c>
      <c r="AI20" s="2">
        <f t="shared" si="14"/>
        <v>2996.76513671875</v>
      </c>
      <c r="AJ20" s="2">
        <v>2.7478899480229302E-2</v>
      </c>
      <c r="AK20" s="2">
        <f t="shared" si="9"/>
        <v>2996.6201782226562</v>
      </c>
      <c r="AL20" s="2">
        <v>-3.3057989247481601E-2</v>
      </c>
      <c r="AM20" s="2">
        <f t="shared" si="10"/>
        <v>3.0940213252483584E-3</v>
      </c>
      <c r="AN20" s="2">
        <f t="shared" si="11"/>
        <v>-9.0839716355004799E-4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0.14000020967567625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8.5962896607805084E-3</v>
      </c>
      <c r="U21" s="2">
        <v>17</v>
      </c>
      <c r="V21" s="2">
        <f t="shared" si="7"/>
        <v>4.77447509765625E-2</v>
      </c>
      <c r="W21" s="2">
        <f t="shared" si="0"/>
        <v>6.3828999203180414E-6</v>
      </c>
      <c r="X21" s="2">
        <f t="shared" si="8"/>
        <v>4.775238037109375E-2</v>
      </c>
      <c r="Y21" s="2">
        <f t="shared" si="1"/>
        <v>-1.2616951335434057E-6</v>
      </c>
      <c r="Z21" s="2">
        <f t="shared" si="3"/>
        <v>4.7748565673828125E-2</v>
      </c>
      <c r="AA21" s="2">
        <f t="shared" si="2"/>
        <v>2.5606026875374388E-6</v>
      </c>
      <c r="AB21" s="2">
        <f t="shared" si="4"/>
        <v>1.6344070690248881E-11</v>
      </c>
      <c r="AC21" s="2">
        <f t="shared" si="5"/>
        <v>-3.2306999498041524E-12</v>
      </c>
      <c r="AD21" s="2">
        <f t="shared" si="6"/>
        <v>7.62939453125E-6</v>
      </c>
      <c r="AF21" s="2">
        <v>17</v>
      </c>
      <c r="AG21" s="2">
        <f t="shared" si="13"/>
        <v>2996.6201782226562</v>
      </c>
      <c r="AH21" s="2">
        <v>-3.3057989247481601E-2</v>
      </c>
      <c r="AI21" s="2">
        <f t="shared" si="14"/>
        <v>2996.76513671875</v>
      </c>
      <c r="AJ21" s="2">
        <v>2.7478899480229302E-2</v>
      </c>
      <c r="AK21" s="2">
        <f t="shared" si="9"/>
        <v>2996.6926574707031</v>
      </c>
      <c r="AL21" s="2">
        <v>-2.7896853330275917E-3</v>
      </c>
      <c r="AM21" s="2">
        <f t="shared" si="10"/>
        <v>9.2221387743083257E-5</v>
      </c>
      <c r="AN21" s="2">
        <f t="shared" si="11"/>
        <v>-7.6657482847735192E-5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275.1574325973059</v>
      </c>
      <c r="H22" s="25" t="s">
        <v>101</v>
      </c>
      <c r="J22" s="14" t="s">
        <v>112</v>
      </c>
      <c r="K22" s="6">
        <f>$C$55*(0.14*$G$12*1000/745.7)*0.453592</f>
        <v>28.266845134610833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4.7748565673828125E-2</v>
      </c>
      <c r="W22" s="2">
        <f t="shared" si="0"/>
        <v>2.5606026875374388E-6</v>
      </c>
      <c r="X22" s="2">
        <f t="shared" si="8"/>
        <v>4.775238037109375E-2</v>
      </c>
      <c r="Y22" s="2">
        <f t="shared" si="1"/>
        <v>-1.2616951335434057E-6</v>
      </c>
      <c r="Z22" s="2">
        <f t="shared" si="3"/>
        <v>4.7750473022460938E-2</v>
      </c>
      <c r="AA22" s="2">
        <f t="shared" si="2"/>
        <v>6.4945385053194471E-7</v>
      </c>
      <c r="AB22" s="2">
        <f t="shared" si="4"/>
        <v>1.6629932751036357E-12</v>
      </c>
      <c r="AC22" s="2">
        <f t="shared" si="5"/>
        <v>-8.1941276267718106E-13</v>
      </c>
      <c r="AD22" s="2">
        <f t="shared" si="6"/>
        <v>3.814697265625E-6</v>
      </c>
      <c r="AF22" s="2">
        <v>18</v>
      </c>
      <c r="AG22" s="2">
        <f t="shared" si="13"/>
        <v>2996.6926574707031</v>
      </c>
      <c r="AH22" s="2">
        <v>-2.7896853330275917E-3</v>
      </c>
      <c r="AI22" s="2">
        <f t="shared" si="14"/>
        <v>2996.76513671875</v>
      </c>
      <c r="AJ22" s="2">
        <v>2.7478899480229302E-2</v>
      </c>
      <c r="AK22" s="2">
        <f t="shared" si="9"/>
        <v>2996.7288970947266</v>
      </c>
      <c r="AL22" s="2">
        <v>1.2354370506272971E-2</v>
      </c>
      <c r="AM22" s="2">
        <f t="shared" si="10"/>
        <v>-3.4464806200138373E-5</v>
      </c>
      <c r="AN22" s="2">
        <f t="shared" si="11"/>
        <v>3.3948450528338455E-4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64.248956863090044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16873.458496351213</v>
      </c>
      <c r="P23" s="6" t="s">
        <v>18</v>
      </c>
      <c r="U23" s="2">
        <v>19</v>
      </c>
      <c r="V23" s="2">
        <f t="shared" si="7"/>
        <v>4.7750473022460938E-2</v>
      </c>
      <c r="W23" s="2">
        <f t="shared" si="0"/>
        <v>6.4945385053194471E-7</v>
      </c>
      <c r="X23" s="2">
        <f t="shared" si="8"/>
        <v>4.775238037109375E-2</v>
      </c>
      <c r="Y23" s="2">
        <f t="shared" si="1"/>
        <v>-1.2616951335434057E-6</v>
      </c>
      <c r="Z23" s="2">
        <f t="shared" si="3"/>
        <v>4.7751426696777344E-2</v>
      </c>
      <c r="AA23" s="2">
        <f t="shared" si="2"/>
        <v>-3.0612062312113109E-7</v>
      </c>
      <c r="AB23" s="2">
        <f t="shared" si="4"/>
        <v>-1.9881121741325685E-13</v>
      </c>
      <c r="AC23" s="2">
        <f t="shared" si="5"/>
        <v>3.8623090046920606E-13</v>
      </c>
      <c r="AD23" s="2">
        <f t="shared" si="6"/>
        <v>1.9073486328125E-6</v>
      </c>
      <c r="AF23" s="2">
        <v>19</v>
      </c>
      <c r="AG23" s="2">
        <f t="shared" si="13"/>
        <v>2996.6926574707031</v>
      </c>
      <c r="AH23" s="2">
        <v>-2.7896853330275917E-3</v>
      </c>
      <c r="AI23" s="2">
        <f t="shared" si="14"/>
        <v>2996.7288970947266</v>
      </c>
      <c r="AJ23" s="2">
        <v>1.2354370506272971E-2</v>
      </c>
      <c r="AK23" s="2">
        <f t="shared" si="9"/>
        <v>2996.7107772827148</v>
      </c>
      <c r="AL23" s="2">
        <v>4.7921322625370522E-3</v>
      </c>
      <c r="AM23" s="2">
        <f t="shared" si="10"/>
        <v>-1.3368541086727944E-5</v>
      </c>
      <c r="AN23" s="2">
        <f t="shared" si="11"/>
        <v>5.9203777486446923E-5</v>
      </c>
      <c r="AO23" s="2">
        <f t="shared" si="12"/>
        <v>3.62396240234375E-2</v>
      </c>
    </row>
    <row r="24" spans="2:41" x14ac:dyDescent="0.2">
      <c r="B24" s="31" t="s">
        <v>104</v>
      </c>
      <c r="C24" s="31"/>
      <c r="D24" s="31"/>
      <c r="F24" s="32" t="s">
        <v>81</v>
      </c>
      <c r="G24" s="33"/>
      <c r="H24" s="33"/>
      <c r="J24" s="15" t="s">
        <v>65</v>
      </c>
      <c r="K24" s="6">
        <f xml:space="preserve"> $C$56 * (11.5 * ($C$5*2.20462/1000)^0.4 * 0.453592)</f>
        <v>8.8806188488703679</v>
      </c>
      <c r="L24" s="6" t="s">
        <v>7</v>
      </c>
      <c r="N24" s="6" t="s">
        <v>31</v>
      </c>
      <c r="O24" s="18">
        <f>Z34</f>
        <v>4.7751120757311583E-2</v>
      </c>
      <c r="U24" s="2">
        <v>20</v>
      </c>
      <c r="V24" s="2">
        <f t="shared" si="7"/>
        <v>4.7750473022460938E-2</v>
      </c>
      <c r="W24" s="2">
        <f t="shared" si="0"/>
        <v>6.4945385053194471E-7</v>
      </c>
      <c r="X24" s="2">
        <f t="shared" si="8"/>
        <v>4.7751426696777344E-2</v>
      </c>
      <c r="Y24" s="2">
        <f t="shared" si="1"/>
        <v>-3.0612062312113109E-7</v>
      </c>
      <c r="Z24" s="2">
        <f t="shared" si="3"/>
        <v>4.7750949859619141E-2</v>
      </c>
      <c r="AA24" s="2">
        <f t="shared" si="2"/>
        <v>1.7166661829548513E-7</v>
      </c>
      <c r="AB24" s="2">
        <f t="shared" si="4"/>
        <v>1.114895462598004E-13</v>
      </c>
      <c r="AC24" s="2">
        <f t="shared" si="5"/>
        <v>-5.2550692161711269E-14</v>
      </c>
      <c r="AD24" s="2">
        <f t="shared" si="6"/>
        <v>9.5367431640625E-7</v>
      </c>
      <c r="AF24" s="2">
        <v>20</v>
      </c>
      <c r="AG24" s="2">
        <f t="shared" si="13"/>
        <v>2996.6926574707031</v>
      </c>
      <c r="AH24" s="2">
        <v>-2.7896853330275917E-3</v>
      </c>
      <c r="AI24" s="2">
        <f t="shared" si="14"/>
        <v>2996.7107772827148</v>
      </c>
      <c r="AJ24" s="2">
        <v>4.7921322625370522E-3</v>
      </c>
      <c r="AK24" s="2">
        <f t="shared" si="9"/>
        <v>2996.701717376709</v>
      </c>
      <c r="AL24" s="2">
        <v>1.0012212474066473E-3</v>
      </c>
      <c r="AM24" s="2">
        <f t="shared" si="10"/>
        <v>-2.7930922290059136E-6</v>
      </c>
      <c r="AN24" s="2">
        <f t="shared" si="11"/>
        <v>4.797984641634986E-6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19.178793093459714</v>
      </c>
      <c r="L25" s="6" t="s">
        <v>7</v>
      </c>
      <c r="N25" s="6" t="s">
        <v>32</v>
      </c>
      <c r="O25" s="6">
        <f xml:space="preserve"> O19 * $C$9 * O24 - $C$8 * SIN(O17/180*PI())</f>
        <v>1.3139733336866408</v>
      </c>
      <c r="P25" s="6" t="s">
        <v>10</v>
      </c>
      <c r="U25" s="2">
        <v>21</v>
      </c>
      <c r="V25" s="2">
        <f t="shared" si="7"/>
        <v>4.7750949859619141E-2</v>
      </c>
      <c r="W25" s="2">
        <f t="shared" si="0"/>
        <v>1.7166661829548513E-7</v>
      </c>
      <c r="X25" s="2">
        <f t="shared" si="8"/>
        <v>4.7751426696777344E-2</v>
      </c>
      <c r="Y25" s="2">
        <f t="shared" si="1"/>
        <v>-3.0612062312113109E-7</v>
      </c>
      <c r="Z25" s="2">
        <f t="shared" si="3"/>
        <v>4.7751188278198242E-2</v>
      </c>
      <c r="AA25" s="2">
        <f t="shared" si="2"/>
        <v>-6.7227001264436037E-8</v>
      </c>
      <c r="AB25" s="2">
        <f t="shared" si="4"/>
        <v>-1.1540631965212038E-14</v>
      </c>
      <c r="AC25" s="2">
        <f t="shared" si="5"/>
        <v>2.0579571517634226E-14</v>
      </c>
      <c r="AD25" s="2">
        <f t="shared" si="6"/>
        <v>4.76837158203125E-7</v>
      </c>
      <c r="AF25" s="2">
        <v>21</v>
      </c>
      <c r="AG25" s="2">
        <f t="shared" si="13"/>
        <v>2996.6926574707031</v>
      </c>
      <c r="AH25" s="2">
        <v>-2.7896853330275917E-3</v>
      </c>
      <c r="AI25" s="2">
        <f t="shared" si="14"/>
        <v>2996.701717376709</v>
      </c>
      <c r="AJ25" s="2">
        <v>1.0012212474066473E-3</v>
      </c>
      <c r="AK25" s="2">
        <f t="shared" si="9"/>
        <v>2996.6971874237061</v>
      </c>
      <c r="AL25" s="2">
        <v>-8.8443415825167904E-4</v>
      </c>
      <c r="AM25" s="2">
        <f t="shared" si="10"/>
        <v>2.467292999303313E-6</v>
      </c>
      <c r="AN25" s="2">
        <f t="shared" si="11"/>
        <v>-8.8551427117379414E-7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54.91187602283798</v>
      </c>
      <c r="L26" s="6" t="s">
        <v>7</v>
      </c>
      <c r="N26" s="6" t="s">
        <v>33</v>
      </c>
      <c r="O26" s="6">
        <f xml:space="preserve"> 1/$C$21 - O23 * SQRT( (2*$C$47*PI()*$C$9^2) / O18^3 )</f>
        <v>1.0895596028507657</v>
      </c>
      <c r="U26" s="2">
        <v>22</v>
      </c>
      <c r="V26" s="2">
        <f t="shared" si="7"/>
        <v>4.7750949859619141E-2</v>
      </c>
      <c r="W26" s="2">
        <f t="shared" si="0"/>
        <v>1.7166661829548513E-7</v>
      </c>
      <c r="X26" s="2">
        <f t="shared" si="8"/>
        <v>4.7751188278198242E-2</v>
      </c>
      <c r="Y26" s="2">
        <f t="shared" si="1"/>
        <v>-6.7227001264436037E-8</v>
      </c>
      <c r="Z26" s="2">
        <f t="shared" si="3"/>
        <v>4.7751069068908691E-2</v>
      </c>
      <c r="AA26" s="2">
        <f t="shared" si="2"/>
        <v>5.2219808810427537E-8</v>
      </c>
      <c r="AB26" s="2">
        <f t="shared" si="4"/>
        <v>8.9643979865228753E-15</v>
      </c>
      <c r="AC26" s="2">
        <f t="shared" si="5"/>
        <v>-3.51058115292722E-15</v>
      </c>
      <c r="AD26" s="2">
        <f t="shared" si="6"/>
        <v>2.384185791015625E-7</v>
      </c>
      <c r="AF26" s="2">
        <v>22</v>
      </c>
      <c r="AG26" s="2">
        <f t="shared" si="13"/>
        <v>2996.6971874237061</v>
      </c>
      <c r="AH26" s="2">
        <v>-8.8443415825167904E-4</v>
      </c>
      <c r="AI26" s="2">
        <f t="shared" si="14"/>
        <v>2996.701717376709</v>
      </c>
      <c r="AJ26" s="2">
        <v>1.0012212474066473E-3</v>
      </c>
      <c r="AK26" s="2">
        <f t="shared" si="9"/>
        <v>2996.6994524002075</v>
      </c>
      <c r="AL26" s="2">
        <v>5.8393410654389299E-5</v>
      </c>
      <c r="AM26" s="2">
        <f t="shared" si="10"/>
        <v>-5.1645126999559425E-8</v>
      </c>
      <c r="AN26" s="2">
        <f t="shared" si="11"/>
        <v>5.8464723455716261E-8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-5.3798314706909878E-3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4.7751069068908691E-2</v>
      </c>
      <c r="W27" s="2">
        <f t="shared" si="0"/>
        <v>5.2219808810427537E-8</v>
      </c>
      <c r="X27" s="2">
        <f t="shared" si="8"/>
        <v>4.7751188278198242E-2</v>
      </c>
      <c r="Y27" s="2">
        <f t="shared" si="1"/>
        <v>-6.7227001264436037E-8</v>
      </c>
      <c r="Z27" s="2">
        <f t="shared" si="3"/>
        <v>4.7751128673553467E-2</v>
      </c>
      <c r="AA27" s="2">
        <f t="shared" si="2"/>
        <v>-7.5035961610847579E-9</v>
      </c>
      <c r="AB27" s="2">
        <f t="shared" si="4"/>
        <v>-3.9183635692250411E-16</v>
      </c>
      <c r="AC27" s="2">
        <f t="shared" si="5"/>
        <v>5.044442686090624E-16</v>
      </c>
      <c r="AD27" s="2">
        <f t="shared" si="6"/>
        <v>1.1920928955078125E-7</v>
      </c>
      <c r="AF27" s="2">
        <v>23</v>
      </c>
      <c r="AG27" s="2">
        <f t="shared" si="13"/>
        <v>2996.6971874237061</v>
      </c>
      <c r="AH27" s="2">
        <v>-8.8443415825167904E-4</v>
      </c>
      <c r="AI27" s="2">
        <f t="shared" si="14"/>
        <v>2996.6994524002075</v>
      </c>
      <c r="AJ27" s="2">
        <v>5.8393410654389299E-5</v>
      </c>
      <c r="AK27" s="2">
        <f t="shared" si="9"/>
        <v>2996.6983199119568</v>
      </c>
      <c r="AL27" s="2">
        <v>-4.2281885180273093E-4</v>
      </c>
      <c r="AM27" s="2">
        <f t="shared" si="10"/>
        <v>3.7395543528708975E-7</v>
      </c>
      <c r="AN27" s="2">
        <f t="shared" si="11"/>
        <v>-2.4689834845734239E-8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7342.9988900947401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1.1550371359042846</v>
      </c>
      <c r="U28" s="2">
        <v>24</v>
      </c>
      <c r="V28" s="2">
        <f t="shared" si="7"/>
        <v>4.7751069068908691E-2</v>
      </c>
      <c r="W28" s="2">
        <f t="shared" si="0"/>
        <v>5.2219808810427537E-8</v>
      </c>
      <c r="X28" s="2">
        <f t="shared" si="8"/>
        <v>4.7751128673553467E-2</v>
      </c>
      <c r="Y28" s="2">
        <f t="shared" si="1"/>
        <v>-7.5035961610847579E-9</v>
      </c>
      <c r="Z28" s="2">
        <f t="shared" si="3"/>
        <v>4.7751098871231079E-2</v>
      </c>
      <c r="AA28" s="2">
        <f t="shared" si="2"/>
        <v>2.2358106338549177E-8</v>
      </c>
      <c r="AB28" s="2">
        <f t="shared" si="4"/>
        <v>1.167536038362246E-15</v>
      </c>
      <c r="AC28" s="2">
        <f t="shared" si="5"/>
        <v>-1.677662008910624E-16</v>
      </c>
      <c r="AD28" s="2">
        <f t="shared" si="6"/>
        <v>5.9604644775390625E-8</v>
      </c>
      <c r="AF28" s="2">
        <v>24</v>
      </c>
      <c r="AG28" s="2">
        <f t="shared" si="13"/>
        <v>2996.6983199119568</v>
      </c>
      <c r="AH28" s="2">
        <v>-4.2281885180273093E-4</v>
      </c>
      <c r="AI28" s="2">
        <f t="shared" si="14"/>
        <v>2996.6994524002075</v>
      </c>
      <c r="AJ28" s="2">
        <v>-4.2281885180273093E-4</v>
      </c>
      <c r="AK28" s="2">
        <f t="shared" si="9"/>
        <v>2996.6988861560822</v>
      </c>
      <c r="AL28" s="2">
        <v>-6.6342495165372384E-4</v>
      </c>
      <c r="AM28" s="2">
        <f t="shared" si="10"/>
        <v>2.805085763155098E-7</v>
      </c>
      <c r="AN28" s="2">
        <f t="shared" si="11"/>
        <v>2.805085763155098E-7</v>
      </c>
      <c r="AO28" s="2">
        <f t="shared" si="12"/>
        <v>1.1324882507324219E-3</v>
      </c>
    </row>
    <row r="29" spans="2:41" x14ac:dyDescent="0.2">
      <c r="B29" s="31" t="s">
        <v>108</v>
      </c>
      <c r="C29" s="31"/>
      <c r="D29" s="31"/>
      <c r="F29" t="s">
        <v>97</v>
      </c>
      <c r="G29" s="6">
        <f>G31/$C$18</f>
        <v>90.443632543952475</v>
      </c>
      <c r="H29" t="s">
        <v>18</v>
      </c>
      <c r="U29" s="2">
        <v>25</v>
      </c>
      <c r="V29" s="2">
        <f t="shared" si="7"/>
        <v>4.7751098871231079E-2</v>
      </c>
      <c r="W29" s="2">
        <f t="shared" si="0"/>
        <v>2.2358106338549177E-8</v>
      </c>
      <c r="X29" s="2">
        <f t="shared" si="8"/>
        <v>4.7751128673553467E-2</v>
      </c>
      <c r="Y29" s="2">
        <f t="shared" si="1"/>
        <v>-7.5035961610847579E-9</v>
      </c>
      <c r="Z29" s="2">
        <f t="shared" si="3"/>
        <v>4.7751113772392273E-2</v>
      </c>
      <c r="AA29" s="2">
        <f t="shared" si="2"/>
        <v>7.4272550956711036E-9</v>
      </c>
      <c r="AB29" s="2">
        <f t="shared" si="4"/>
        <v>1.6605935923254577E-16</v>
      </c>
      <c r="AC29" s="2">
        <f t="shared" si="5"/>
        <v>-5.5731122823274894E-17</v>
      </c>
      <c r="AD29" s="2">
        <f t="shared" si="6"/>
        <v>2.9802322387695312E-8</v>
      </c>
      <c r="AF29" s="2">
        <v>25</v>
      </c>
      <c r="AG29" s="2">
        <f t="shared" si="13"/>
        <v>2996.6988861560822</v>
      </c>
      <c r="AH29" s="2">
        <v>-1.8221273103335989E-4</v>
      </c>
      <c r="AI29" s="2">
        <f t="shared" si="14"/>
        <v>2996.6988861560822</v>
      </c>
      <c r="AJ29" s="2">
        <v>-6.6342495165372384E-4</v>
      </c>
      <c r="AK29" s="2">
        <f t="shared" si="9"/>
        <v>2996.6988861560822</v>
      </c>
      <c r="AL29" s="2">
        <v>-6.6342495165372384E-4</v>
      </c>
      <c r="AM29" s="2">
        <f t="shared" si="10"/>
        <v>1.2088447227649977E-7</v>
      </c>
      <c r="AN29" s="2">
        <f t="shared" si="11"/>
        <v>4.4013266647674582E-7</v>
      </c>
      <c r="AO29" s="2">
        <f t="shared" si="12"/>
        <v>0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8.2832984936689549</v>
      </c>
      <c r="H30" s="6" t="s">
        <v>147</v>
      </c>
      <c r="J30" s="29" t="s">
        <v>111</v>
      </c>
      <c r="K30" s="29"/>
      <c r="L30" s="29"/>
      <c r="U30" s="2">
        <v>26</v>
      </c>
      <c r="V30" s="2">
        <f t="shared" si="7"/>
        <v>4.7751113772392273E-2</v>
      </c>
      <c r="W30" s="2">
        <f t="shared" si="0"/>
        <v>7.4272550956711036E-9</v>
      </c>
      <c r="X30" s="2">
        <f t="shared" si="8"/>
        <v>4.7751128673553467E-2</v>
      </c>
      <c r="Y30" s="2">
        <f t="shared" si="1"/>
        <v>-7.5035961610847579E-9</v>
      </c>
      <c r="Z30" s="2">
        <f t="shared" si="3"/>
        <v>4.775112122297287E-2</v>
      </c>
      <c r="AA30" s="2">
        <f t="shared" si="2"/>
        <v>-3.817052923738018E-11</v>
      </c>
      <c r="AB30" s="2">
        <f t="shared" si="4"/>
        <v>-2.8350225778279479E-19</v>
      </c>
      <c r="AC30" s="2">
        <f t="shared" si="5"/>
        <v>2.8641623665217943E-19</v>
      </c>
      <c r="AD30" s="2">
        <f t="shared" si="6"/>
        <v>1.4901161193847656E-8</v>
      </c>
      <c r="AF30" s="2">
        <v>26</v>
      </c>
      <c r="AG30" s="2">
        <f t="shared" si="13"/>
        <v>2996.6988861560822</v>
      </c>
      <c r="AH30" s="2">
        <v>-1.8221273103335989E-4</v>
      </c>
      <c r="AI30" s="2">
        <f t="shared" si="14"/>
        <v>2996.6988861560822</v>
      </c>
      <c r="AJ30" s="2">
        <v>-7.6413111628426122E-4</v>
      </c>
      <c r="AK30" s="2">
        <f t="shared" si="9"/>
        <v>2996.6988861560822</v>
      </c>
      <c r="AL30" s="2">
        <v>-6.6342495165372384E-4</v>
      </c>
      <c r="AM30" s="2">
        <f t="shared" si="10"/>
        <v>1.2088447227649977E-7</v>
      </c>
      <c r="AN30" s="2">
        <f t="shared" si="11"/>
        <v>5.0694364887799201E-7</v>
      </c>
      <c r="AO30" s="2">
        <f t="shared" si="12"/>
        <v>0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361.7745301758099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4.7751113772392273E-2</v>
      </c>
      <c r="W31" s="2">
        <f t="shared" si="0"/>
        <v>7.4272550956711036E-9</v>
      </c>
      <c r="X31" s="2">
        <f t="shared" si="8"/>
        <v>4.775112122297287E-2</v>
      </c>
      <c r="Y31" s="2">
        <f t="shared" si="1"/>
        <v>-3.817052923738018E-11</v>
      </c>
      <c r="Z31" s="2">
        <f t="shared" si="3"/>
        <v>4.7751117497682571E-2</v>
      </c>
      <c r="AA31" s="2">
        <f t="shared" si="2"/>
        <v>3.6945422832168617E-9</v>
      </c>
      <c r="AB31" s="2">
        <f t="shared" si="4"/>
        <v>2.7440307999194791E-17</v>
      </c>
      <c r="AC31" s="2">
        <f t="shared" si="5"/>
        <v>-1.4102263424026655E-19</v>
      </c>
      <c r="AD31" s="2">
        <f t="shared" si="6"/>
        <v>7.4505805969238281E-9</v>
      </c>
      <c r="AF31" s="2">
        <v>27</v>
      </c>
      <c r="AG31" s="2">
        <f t="shared" si="13"/>
        <v>2996.6988861560822</v>
      </c>
      <c r="AH31" s="2">
        <v>-1.8221273103335989E-4</v>
      </c>
      <c r="AI31" s="2">
        <f t="shared" si="14"/>
        <v>2996.6988861560822</v>
      </c>
      <c r="AJ31" s="2">
        <v>-8.2428263795009116E-4</v>
      </c>
      <c r="AK31" s="2">
        <f t="shared" si="9"/>
        <v>2996.6988861560822</v>
      </c>
      <c r="AL31" s="2">
        <v>-6.6342495165372384E-4</v>
      </c>
      <c r="AM31" s="2">
        <f t="shared" si="10"/>
        <v>1.2088447227649977E-7</v>
      </c>
      <c r="AN31" s="2">
        <f t="shared" si="11"/>
        <v>5.4684966923104313E-7</v>
      </c>
      <c r="AO31" s="2">
        <f t="shared" si="12"/>
        <v>0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1386.54</v>
      </c>
      <c r="L32" s="6" t="s">
        <v>7</v>
      </c>
      <c r="U32" s="2">
        <v>28</v>
      </c>
      <c r="V32" s="2">
        <f t="shared" si="7"/>
        <v>4.7751117497682571E-2</v>
      </c>
      <c r="W32" s="2">
        <f t="shared" si="0"/>
        <v>3.6945422832168617E-9</v>
      </c>
      <c r="X32" s="2">
        <f t="shared" si="8"/>
        <v>4.775112122297287E-2</v>
      </c>
      <c r="Y32" s="2">
        <f t="shared" si="1"/>
        <v>-3.817052923738018E-11</v>
      </c>
      <c r="Z32" s="2">
        <f t="shared" si="3"/>
        <v>4.7751119360327721E-2</v>
      </c>
      <c r="AA32" s="2">
        <f t="shared" si="2"/>
        <v>1.8281858804591877E-9</v>
      </c>
      <c r="AB32" s="2">
        <f t="shared" si="4"/>
        <v>6.7543100369365161E-18</v>
      </c>
      <c r="AC32" s="2">
        <f t="shared" si="5"/>
        <v>-6.9782822601433051E-20</v>
      </c>
      <c r="AD32" s="2">
        <f t="shared" si="6"/>
        <v>3.7252902984619141E-9</v>
      </c>
      <c r="AF32" s="2">
        <v>28</v>
      </c>
      <c r="AG32" s="2">
        <f t="shared" si="13"/>
        <v>2996.6988861560822</v>
      </c>
      <c r="AH32" s="2">
        <v>-1.8221273103335989E-4</v>
      </c>
      <c r="AI32" s="2">
        <f t="shared" si="14"/>
        <v>2996.6988861560822</v>
      </c>
      <c r="AJ32" s="2">
        <v>-8.6415683881568839E-4</v>
      </c>
      <c r="AK32" s="2">
        <f t="shared" si="9"/>
        <v>2996.6988861560822</v>
      </c>
      <c r="AL32" s="2">
        <v>-6.6342495165372384E-4</v>
      </c>
      <c r="AM32" s="2">
        <f t="shared" si="10"/>
        <v>1.2088447227649977E-7</v>
      </c>
      <c r="AN32" s="2">
        <f t="shared" si="11"/>
        <v>5.7330320901253288E-7</v>
      </c>
      <c r="AO32" s="2">
        <f t="shared" si="12"/>
        <v>0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2" t="s">
        <v>156</v>
      </c>
      <c r="G33" s="33"/>
      <c r="H33" s="33"/>
      <c r="J33" s="19" t="s">
        <v>78</v>
      </c>
      <c r="K33" s="6">
        <f>ROUND(SUM(K14:K17),2)</f>
        <v>663.31</v>
      </c>
      <c r="L33" s="6" t="s">
        <v>7</v>
      </c>
      <c r="U33" s="2">
        <v>29</v>
      </c>
      <c r="V33" s="2">
        <f t="shared" si="7"/>
        <v>4.7751119360327721E-2</v>
      </c>
      <c r="W33" s="2">
        <f t="shared" si="0"/>
        <v>1.8281858804591877E-9</v>
      </c>
      <c r="X33" s="2">
        <f t="shared" si="8"/>
        <v>4.775112122297287E-2</v>
      </c>
      <c r="Y33" s="2">
        <f t="shared" si="1"/>
        <v>-3.817052923738018E-11</v>
      </c>
      <c r="Z33" s="2">
        <f t="shared" si="3"/>
        <v>4.7751120291650295E-2</v>
      </c>
      <c r="AA33" s="2">
        <f t="shared" si="2"/>
        <v>8.9500767908035073E-10</v>
      </c>
      <c r="AB33" s="2">
        <f t="shared" si="4"/>
        <v>1.6362404017972451E-18</v>
      </c>
      <c r="AC33" s="2">
        <f t="shared" si="5"/>
        <v>-3.4162916782016304E-20</v>
      </c>
      <c r="AD33" s="2">
        <f t="shared" si="6"/>
        <v>1.862645149230957E-9</v>
      </c>
      <c r="AF33" s="2">
        <v>29</v>
      </c>
      <c r="AG33" s="2">
        <f t="shared" si="13"/>
        <v>2996.6988861560822</v>
      </c>
      <c r="AH33" s="2">
        <v>-1.8221273103335989E-4</v>
      </c>
      <c r="AI33" s="2">
        <f t="shared" si="14"/>
        <v>2996.6988861560822</v>
      </c>
      <c r="AJ33" s="2">
        <v>-8.7429549830631004E-4</v>
      </c>
      <c r="AK33" s="2">
        <f t="shared" si="9"/>
        <v>2996.6988861560822</v>
      </c>
      <c r="AL33" s="2">
        <v>-6.6342495165372384E-4</v>
      </c>
      <c r="AM33" s="2">
        <f t="shared" si="10"/>
        <v>1.2088447227649977E-7</v>
      </c>
      <c r="AN33" s="2">
        <f t="shared" si="11"/>
        <v>5.8002944869493214E-7</v>
      </c>
      <c r="AO33" s="2">
        <f t="shared" si="12"/>
        <v>0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199.63</v>
      </c>
      <c r="L34" s="6" t="s">
        <v>7</v>
      </c>
      <c r="U34" s="2">
        <v>30</v>
      </c>
      <c r="V34" s="2">
        <f t="shared" si="7"/>
        <v>4.7751120291650295E-2</v>
      </c>
      <c r="W34" s="2">
        <f t="shared" si="0"/>
        <v>8.9500767908035073E-10</v>
      </c>
      <c r="X34" s="2">
        <f t="shared" si="8"/>
        <v>4.775112122297287E-2</v>
      </c>
      <c r="Y34" s="2">
        <f t="shared" si="1"/>
        <v>-3.817052923738018E-11</v>
      </c>
      <c r="Z34" s="2">
        <f t="shared" si="3"/>
        <v>4.7751120757311583E-2</v>
      </c>
      <c r="AA34" s="2">
        <f t="shared" si="2"/>
        <v>4.2841857145203832E-10</v>
      </c>
      <c r="AB34" s="2">
        <f t="shared" si="4"/>
        <v>3.8343791131020822E-19</v>
      </c>
      <c r="AC34" s="2">
        <f t="shared" si="5"/>
        <v>-1.6352963607446678E-20</v>
      </c>
      <c r="AD34" s="2">
        <f>X34-V34</f>
        <v>9.3132257461547852E-10</v>
      </c>
      <c r="AF34" s="2">
        <v>30</v>
      </c>
      <c r="AG34" s="2">
        <f t="shared" si="13"/>
        <v>2996.6988861560822</v>
      </c>
      <c r="AH34" s="2">
        <v>-1.8221273103335989E-4</v>
      </c>
      <c r="AI34" s="2">
        <f t="shared" si="14"/>
        <v>2996.6988861560822</v>
      </c>
      <c r="AJ34" s="2">
        <v>-8.7936482850636821E-4</v>
      </c>
      <c r="AK34" s="2">
        <f t="shared" si="9"/>
        <v>2996.6988861560822</v>
      </c>
      <c r="AL34" s="2">
        <v>-6.6342495165372384E-4</v>
      </c>
      <c r="AM34" s="2">
        <f t="shared" si="10"/>
        <v>1.2088447227649977E-7</v>
      </c>
      <c r="AN34" s="2">
        <f t="shared" si="11"/>
        <v>5.8339256883782245E-7</v>
      </c>
      <c r="AO34" s="2">
        <f t="shared" si="12"/>
        <v>0</v>
      </c>
    </row>
    <row r="35" spans="2:41" x14ac:dyDescent="0.2">
      <c r="B35" s="29" t="s">
        <v>2</v>
      </c>
      <c r="C35" s="29"/>
      <c r="D35" s="29"/>
      <c r="F35" s="26" t="s">
        <v>132</v>
      </c>
      <c r="G35" s="25">
        <f xml:space="preserve"> G22</f>
        <v>275.1574325973059</v>
      </c>
      <c r="H35" s="25" t="s">
        <v>101</v>
      </c>
      <c r="J35" s="15" t="s">
        <v>70</v>
      </c>
      <c r="K35" s="6">
        <f>ROUND(SUM(K23:K26),2)</f>
        <v>147.22</v>
      </c>
      <c r="L35" s="6" t="s">
        <v>7</v>
      </c>
      <c r="AF35" s="2">
        <v>31</v>
      </c>
      <c r="AG35" s="2">
        <f t="shared" si="13"/>
        <v>2996.6988861560822</v>
      </c>
      <c r="AH35" s="2">
        <v>-1.8221273103335989E-4</v>
      </c>
      <c r="AI35" s="2">
        <f t="shared" si="14"/>
        <v>2996.6988861560822</v>
      </c>
      <c r="AJ35" s="2">
        <v>-8.8189949292427627E-4</v>
      </c>
      <c r="AK35" s="2">
        <f t="shared" si="9"/>
        <v>2996.6988861560822</v>
      </c>
      <c r="AL35" s="2">
        <v>-6.6342495165372384E-4</v>
      </c>
      <c r="AM35" s="2">
        <f t="shared" si="10"/>
        <v>1.2088447227649977E-7</v>
      </c>
      <c r="AN35" s="2">
        <f t="shared" si="11"/>
        <v>5.8507412845673158E-7</v>
      </c>
      <c r="AO35" s="2">
        <f t="shared" si="12"/>
        <v>0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59</v>
      </c>
      <c r="K36" s="10">
        <f>SUM(K31:K35)</f>
        <v>2996.7</v>
      </c>
      <c r="L36" s="6" t="s">
        <v>7</v>
      </c>
      <c r="AF36" s="2">
        <v>32</v>
      </c>
      <c r="AG36" s="2">
        <f t="shared" si="13"/>
        <v>2996.6988861560822</v>
      </c>
      <c r="AH36" s="2">
        <v>-1.8221273103335989E-4</v>
      </c>
      <c r="AI36" s="2">
        <f t="shared" si="14"/>
        <v>2996.6988861560822</v>
      </c>
      <c r="AJ36" s="2">
        <v>-8.8316682831646176E-4</v>
      </c>
      <c r="AK36" s="2">
        <f t="shared" si="9"/>
        <v>2996.6988861560822</v>
      </c>
      <c r="AL36" s="2">
        <v>-6.6342495165372384E-4</v>
      </c>
      <c r="AM36" s="2">
        <f t="shared" si="10"/>
        <v>1.2088447227649977E-7</v>
      </c>
      <c r="AN36" s="2">
        <f t="shared" si="11"/>
        <v>5.8591491037802123E-7</v>
      </c>
      <c r="AO36" s="2">
        <f t="shared" si="12"/>
        <v>0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2996.6988861560822</v>
      </c>
      <c r="AH37" s="2">
        <v>-1.8221273103335989E-4</v>
      </c>
      <c r="AI37" s="2">
        <f t="shared" si="14"/>
        <v>2996.6988861560822</v>
      </c>
      <c r="AJ37" s="2">
        <v>-8.838004932840704E-4</v>
      </c>
      <c r="AK37" s="2">
        <f t="shared" si="9"/>
        <v>2996.6988861560822</v>
      </c>
      <c r="AL37" s="2">
        <v>-6.6342495165372384E-4</v>
      </c>
      <c r="AM37" s="2">
        <f t="shared" si="10"/>
        <v>1.2088447227649977E-7</v>
      </c>
      <c r="AN37" s="2">
        <f t="shared" si="11"/>
        <v>5.8633529952852171E-7</v>
      </c>
      <c r="AO37" s="2">
        <f t="shared" si="12"/>
        <v>0</v>
      </c>
    </row>
    <row r="38" spans="2:41" x14ac:dyDescent="0.2">
      <c r="B38" s="6" t="s">
        <v>6</v>
      </c>
      <c r="C38" s="17">
        <v>0.8</v>
      </c>
      <c r="J38" s="29" t="s">
        <v>56</v>
      </c>
      <c r="K38" s="29"/>
      <c r="L38" s="29"/>
      <c r="AF38" s="2">
        <v>34</v>
      </c>
      <c r="AG38" s="2">
        <f t="shared" si="13"/>
        <v>2996.6988861560822</v>
      </c>
      <c r="AH38" s="2">
        <v>-1.8221273103335989E-4</v>
      </c>
      <c r="AI38" s="2">
        <f t="shared" si="14"/>
        <v>2996.6988861560822</v>
      </c>
      <c r="AJ38" s="2">
        <v>-8.8411732485838002E-4</v>
      </c>
      <c r="AK38" s="2">
        <f t="shared" si="9"/>
        <v>2996.6988861560822</v>
      </c>
      <c r="AL38" s="2">
        <v>-6.6342495165372384E-4</v>
      </c>
      <c r="AM38" s="2">
        <f t="shared" si="10"/>
        <v>1.2088447227649977E-7</v>
      </c>
      <c r="AN38" s="2">
        <f t="shared" si="11"/>
        <v>5.8654549350039041E-7</v>
      </c>
      <c r="AO38" s="2">
        <f t="shared" si="12"/>
        <v>0</v>
      </c>
    </row>
    <row r="39" spans="2:41" x14ac:dyDescent="0.2">
      <c r="J39" s="6" t="s">
        <v>57</v>
      </c>
      <c r="K39" s="6">
        <f>ROUND($C$13/$C$5 * 100, 2)</f>
        <v>20.02</v>
      </c>
      <c r="L39" s="6" t="s">
        <v>58</v>
      </c>
      <c r="AF39" s="2">
        <v>35</v>
      </c>
      <c r="AG39" s="2">
        <f t="shared" si="13"/>
        <v>2996.6988861560822</v>
      </c>
      <c r="AH39" s="2">
        <v>-1.8221273103335989E-4</v>
      </c>
      <c r="AI39" s="2">
        <f t="shared" si="14"/>
        <v>2996.6988861560822</v>
      </c>
      <c r="AJ39" s="2">
        <v>-8.8427574064553482E-4</v>
      </c>
      <c r="AK39" s="2">
        <f t="shared" si="9"/>
        <v>2996.6988861560822</v>
      </c>
      <c r="AL39" s="2">
        <v>-6.6342495165372384E-4</v>
      </c>
      <c r="AM39" s="2">
        <f t="shared" si="10"/>
        <v>1.2088447227649977E-7</v>
      </c>
      <c r="AN39" s="2">
        <f t="shared" si="11"/>
        <v>5.8665059048632476E-7</v>
      </c>
      <c r="AO39" s="2">
        <f t="shared" si="12"/>
        <v>0</v>
      </c>
    </row>
    <row r="40" spans="2:41" x14ac:dyDescent="0.2">
      <c r="B40" s="29" t="s">
        <v>144</v>
      </c>
      <c r="C40" s="30"/>
      <c r="D40" s="30"/>
      <c r="J40" s="11" t="s">
        <v>52</v>
      </c>
      <c r="K40" s="6">
        <f>ROUND(K13/$C$5 * 100, 2)</f>
        <v>46.27</v>
      </c>
      <c r="L40" s="6" t="s">
        <v>58</v>
      </c>
      <c r="AF40" s="2">
        <v>36</v>
      </c>
      <c r="AG40" s="2">
        <f t="shared" si="13"/>
        <v>2996.6988861560822</v>
      </c>
      <c r="AH40" s="2">
        <v>-1.8221273103335989E-4</v>
      </c>
      <c r="AI40" s="2">
        <f t="shared" si="14"/>
        <v>2996.6988861560822</v>
      </c>
      <c r="AJ40" s="2">
        <v>-8.8435495172234369E-4</v>
      </c>
      <c r="AK40" s="2">
        <f t="shared" si="9"/>
        <v>2996.6988861560822</v>
      </c>
      <c r="AL40" s="2">
        <v>-6.6342495165372384E-4</v>
      </c>
      <c r="AM40" s="2">
        <f t="shared" si="10"/>
        <v>1.2088447227649977E-7</v>
      </c>
      <c r="AN40" s="2">
        <f t="shared" si="11"/>
        <v>5.8670314109112718E-7</v>
      </c>
      <c r="AO40" s="2">
        <f t="shared" si="12"/>
        <v>0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22.13</v>
      </c>
      <c r="L41" s="6" t="s">
        <v>58</v>
      </c>
      <c r="AF41" s="2">
        <v>37</v>
      </c>
      <c r="AG41" s="2">
        <f t="shared" si="13"/>
        <v>2996.6988861560822</v>
      </c>
      <c r="AH41" s="2">
        <v>-1.8221273103335989E-4</v>
      </c>
      <c r="AI41" s="2">
        <f t="shared" si="14"/>
        <v>2996.6988861560822</v>
      </c>
      <c r="AJ41" s="2">
        <v>-8.8439455521438504E-4</v>
      </c>
      <c r="AK41" s="2">
        <f t="shared" si="9"/>
        <v>2996.6988861560822</v>
      </c>
      <c r="AL41" s="2">
        <v>-6.6342495165372384E-4</v>
      </c>
      <c r="AM41" s="2">
        <f t="shared" si="10"/>
        <v>1.2088447227649977E-7</v>
      </c>
      <c r="AN41" s="2">
        <f t="shared" si="11"/>
        <v>5.8672941503592003E-7</v>
      </c>
      <c r="AO41" s="2">
        <f t="shared" si="12"/>
        <v>0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6.66</v>
      </c>
      <c r="L42" s="6" t="s">
        <v>58</v>
      </c>
      <c r="AF42" s="2">
        <v>38</v>
      </c>
      <c r="AG42" s="2">
        <f t="shared" si="13"/>
        <v>2996.6988861560822</v>
      </c>
      <c r="AH42" s="2">
        <v>-1.8221273103335989E-4</v>
      </c>
      <c r="AI42" s="2">
        <f t="shared" si="14"/>
        <v>2996.6988861560822</v>
      </c>
      <c r="AJ42" s="2">
        <v>-8.8441435809727409E-4</v>
      </c>
      <c r="AK42" s="2">
        <f t="shared" si="9"/>
        <v>2996.6988861560822</v>
      </c>
      <c r="AL42" s="2">
        <v>-6.6342495165372384E-4</v>
      </c>
      <c r="AM42" s="2">
        <f t="shared" si="10"/>
        <v>1.2088447227649977E-7</v>
      </c>
      <c r="AN42" s="2">
        <f t="shared" si="11"/>
        <v>5.8674255276254323E-7</v>
      </c>
      <c r="AO42" s="2">
        <f t="shared" si="12"/>
        <v>0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4.91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2996.6988861560822</v>
      </c>
      <c r="AH43" s="2">
        <v>-1.8221273103335989E-4</v>
      </c>
      <c r="AI43" s="2">
        <f t="shared" si="14"/>
        <v>2996.6988861560822</v>
      </c>
      <c r="AJ43" s="2">
        <v>-8.8442425794710289E-4</v>
      </c>
      <c r="AK43" s="2">
        <f t="shared" si="9"/>
        <v>2996.6988861560822</v>
      </c>
      <c r="AL43" s="2">
        <v>-6.6342495165372384E-4</v>
      </c>
      <c r="AM43" s="2">
        <f t="shared" si="10"/>
        <v>1.2088447227649977E-7</v>
      </c>
      <c r="AN43" s="2">
        <f t="shared" si="11"/>
        <v>5.8674912056993736E-7</v>
      </c>
      <c r="AO43" s="2">
        <f t="shared" si="12"/>
        <v>0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99.99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2996.6988861560822</v>
      </c>
      <c r="AH44" s="2">
        <v>-1.8221273103335989E-4</v>
      </c>
      <c r="AI44" s="2">
        <f t="shared" si="14"/>
        <v>2996.6988861560822</v>
      </c>
      <c r="AJ44" s="2">
        <v>-8.8442920787201729E-4</v>
      </c>
      <c r="AK44" s="5">
        <f>(AG44+AI44)/2</f>
        <v>2996.6988861560822</v>
      </c>
      <c r="AL44" s="2">
        <v>-6.6342495165372384E-4</v>
      </c>
      <c r="AM44" s="2">
        <f t="shared" si="10"/>
        <v>1.2088447227649977E-7</v>
      </c>
      <c r="AN44" s="2">
        <f t="shared" si="11"/>
        <v>5.8675240447363432E-7</v>
      </c>
      <c r="AO44" s="2">
        <f t="shared" si="12"/>
        <v>0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9" t="s">
        <v>145</v>
      </c>
      <c r="C46" s="30"/>
      <c r="D46" s="30"/>
      <c r="J46" s="29" t="s">
        <v>56</v>
      </c>
      <c r="K46" s="29"/>
      <c r="L46" s="29"/>
      <c r="N46" s="6" t="s">
        <v>153</v>
      </c>
      <c r="O46" s="6">
        <f>G12*1000/O45</f>
        <v>3301.7805862072933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20.02</v>
      </c>
      <c r="L47" s="6" t="s">
        <v>58</v>
      </c>
      <c r="N47" s="6" t="s">
        <v>154</v>
      </c>
      <c r="O47" s="6">
        <f>0.377*O46^0.6945</f>
        <v>104.7398582472308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46.27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33.71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29" t="s">
        <v>71</v>
      </c>
      <c r="C52" s="29"/>
      <c r="D52" s="29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B46:D46"/>
    <mergeCell ref="J46:L46"/>
    <mergeCell ref="B52:D52"/>
    <mergeCell ref="B24:D24"/>
    <mergeCell ref="F24:H24"/>
    <mergeCell ref="B29:D29"/>
    <mergeCell ref="J30:L30"/>
    <mergeCell ref="B35:D35"/>
    <mergeCell ref="B40:D40"/>
    <mergeCell ref="J38:L38"/>
    <mergeCell ref="F33:H33"/>
    <mergeCell ref="B17:D17"/>
    <mergeCell ref="N16:P16"/>
    <mergeCell ref="B1:D1"/>
    <mergeCell ref="B3:D3"/>
    <mergeCell ref="F3:H3"/>
    <mergeCell ref="J3:L3"/>
    <mergeCell ref="N3:P3"/>
    <mergeCell ref="J7:L7"/>
    <mergeCell ref="B12:D12"/>
    <mergeCell ref="J11:L11"/>
    <mergeCell ref="F14:H14"/>
    <mergeCell ref="N12:P12"/>
  </mergeCells>
  <conditionalFormatting sqref="K28">
    <cfRule type="containsText" dxfId="23" priority="1" operator="containsText" text="FALSE">
      <formula>NOT(ISERROR(SEARCH("FALSE",K28)))</formula>
    </cfRule>
    <cfRule type="containsText" dxfId="22" priority="2" operator="containsText" text="TRUE">
      <formula>NOT(ISERROR(SEARCH("TRUE",K28)))</formula>
    </cfRule>
    <cfRule type="cellIs" dxfId="21" priority="3" operator="equal">
      <formula>1</formula>
    </cfRule>
    <cfRule type="cellIs" dxfId="20" priority="4" operator="equal">
      <formula>TRUE</formula>
    </cfRule>
    <cfRule type="containsText" dxfId="19" priority="5" operator="containsText" text="YES">
      <formula>NOT(ISERROR(SEARCH("YES",K28)))</formula>
    </cfRule>
    <cfRule type="cellIs" dxfId="18" priority="6" operator="equal">
      <formula>"""YES"""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FB96-3706-9748-9EF1-0E21478048DF}">
  <dimension ref="B1:AO56"/>
  <sheetViews>
    <sheetView topLeftCell="B1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5" t="s">
        <v>0</v>
      </c>
      <c r="C1" s="35"/>
      <c r="D1" s="35"/>
    </row>
    <row r="2" spans="2:41" x14ac:dyDescent="0.2">
      <c r="U2" s="16" t="s">
        <v>93</v>
      </c>
      <c r="AF2" s="16" t="s">
        <v>76</v>
      </c>
    </row>
    <row r="3" spans="2:41" x14ac:dyDescent="0.2">
      <c r="B3" s="32" t="s">
        <v>118</v>
      </c>
      <c r="C3" s="33"/>
      <c r="D3" s="33"/>
      <c r="F3" s="32" t="s">
        <v>80</v>
      </c>
      <c r="G3" s="33"/>
      <c r="H3" s="33"/>
      <c r="J3" s="29" t="s">
        <v>98</v>
      </c>
      <c r="K3" s="29"/>
      <c r="L3" s="29"/>
      <c r="N3" s="29" t="s">
        <v>92</v>
      </c>
      <c r="O3" s="29"/>
      <c r="P3" s="29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444.77567076196294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5.3138910947750834E-2</v>
      </c>
      <c r="X4" s="3">
        <v>1</v>
      </c>
      <c r="Y4" s="2">
        <f t="shared" ref="Y4:Y34" si="1" xml:space="preserve"> $O$20 * TAN($O$17/180*PI()) + $O$21 / (2 * SQRT($O$20^2 + X4^2)) - X4</f>
        <v>-0.95108234283055204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-0.44918745086635042</v>
      </c>
      <c r="AB4" s="2">
        <f>W4*AA4</f>
        <v>-2.3869331950434197E-2</v>
      </c>
      <c r="AC4" s="2">
        <f>Y4*AA4</f>
        <v>0.42721425314005207</v>
      </c>
      <c r="AD4" s="2">
        <f>X4-V4</f>
        <v>1</v>
      </c>
      <c r="AF4" s="2">
        <v>0</v>
      </c>
      <c r="AG4" s="2"/>
      <c r="AH4" s="2">
        <f>K27</f>
        <v>9.6851863349911582E-4</v>
      </c>
      <c r="AI4" s="2"/>
      <c r="AJ4" s="2">
        <f>K27</f>
        <v>9.6851863349911582E-4</v>
      </c>
      <c r="AK4" s="2"/>
      <c r="AL4" s="2">
        <f>K27</f>
        <v>9.6851863349911582E-4</v>
      </c>
      <c r="AM4" s="2"/>
      <c r="AN4" s="2"/>
      <c r="AO4" s="2"/>
    </row>
    <row r="5" spans="2:41" x14ac:dyDescent="0.2">
      <c r="B5" s="10" t="s">
        <v>37</v>
      </c>
      <c r="C5" s="10">
        <v>2368.3818841204402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111.19391769049074</v>
      </c>
      <c r="L5" s="6" t="s">
        <v>101</v>
      </c>
      <c r="N5" s="6" t="s">
        <v>114</v>
      </c>
      <c r="O5" s="6">
        <f xml:space="preserve"> $C$18 * 0.85 * ($C$5/$C$18 *2.20462/1000)^(2/3) * 0.3048^2</f>
        <v>0.37727598685670183</v>
      </c>
      <c r="P5" s="6" t="s">
        <v>115</v>
      </c>
      <c r="U5" s="2">
        <v>1</v>
      </c>
      <c r="V5" s="2">
        <f>IF(AB4&gt;0, Z4, V4)</f>
        <v>0</v>
      </c>
      <c r="W5" s="2">
        <f t="shared" si="0"/>
        <v>5.3138910947750834E-2</v>
      </c>
      <c r="X5" s="2">
        <f>IF(AC4&gt;0, Z4, X4)</f>
        <v>0.5</v>
      </c>
      <c r="Y5" s="2">
        <f t="shared" si="1"/>
        <v>-0.44918745086635042</v>
      </c>
      <c r="Z5" s="2">
        <f t="shared" ref="Z5:Z34" si="3" xml:space="preserve"> (V5 + X5)/2</f>
        <v>0.25</v>
      </c>
      <c r="AA5" s="2">
        <f t="shared" si="2"/>
        <v>-0.19772994925680276</v>
      </c>
      <c r="AB5" s="2">
        <f t="shared" ref="AB5:AB34" si="4">W5*AA5</f>
        <v>-1.0507154165260534E-2</v>
      </c>
      <c r="AC5" s="2">
        <f t="shared" ref="AC5:AC34" si="5">Y5*AA5</f>
        <v>8.8817811866596055E-2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-1608.6977295587972</v>
      </c>
      <c r="AI5" s="3">
        <v>10000</v>
      </c>
      <c r="AJ5" s="2">
        <f t="dataTable" ref="AJ5:AJ44" dt2D="0" dtr="0" r1="C5"/>
        <v>5311.6040196368831</v>
      </c>
      <c r="AK5" s="2">
        <f>(AG5+AI5)/2</f>
        <v>5250</v>
      </c>
      <c r="AL5" s="2">
        <f t="dataTable" ref="AL5:AL44" dt2D="0" dtr="0" r1="C5" ca="1"/>
        <v>2258.191019618549</v>
      </c>
      <c r="AM5" s="2">
        <f>AH5*AL5</f>
        <v>-3632746.7661704249</v>
      </c>
      <c r="AN5" s="2">
        <f>AJ5*AL5</f>
        <v>11994616.496913796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5.3138910947750834E-2</v>
      </c>
      <c r="X6" s="2">
        <f t="shared" ref="X6:X34" si="8">IF(AC5&gt;0, Z5, X5)</f>
        <v>0.25</v>
      </c>
      <c r="Y6" s="2">
        <f t="shared" si="1"/>
        <v>-0.19772994925680276</v>
      </c>
      <c r="Z6" s="2">
        <f t="shared" si="3"/>
        <v>0.125</v>
      </c>
      <c r="AA6" s="2">
        <f t="shared" si="2"/>
        <v>-7.2110849231884322E-2</v>
      </c>
      <c r="AB6" s="2">
        <f t="shared" si="4"/>
        <v>-3.8318919956997874E-3</v>
      </c>
      <c r="AC6" s="2">
        <f t="shared" si="5"/>
        <v>1.4258474559485441E-2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-1608.6977295587972</v>
      </c>
      <c r="AI6" s="2">
        <f>IF(AN5&gt;0, AK5, AI5)</f>
        <v>5250</v>
      </c>
      <c r="AJ6" s="2">
        <v>2258.191019618549</v>
      </c>
      <c r="AK6" s="2">
        <f t="shared" ref="AK6:AK43" si="9">(AG6+AI6)/2</f>
        <v>2875</v>
      </c>
      <c r="AL6" s="2">
        <v>420.32867601281305</v>
      </c>
      <c r="AM6" s="2">
        <f t="shared" ref="AM6:AM44" si="10">AH6*AL6</f>
        <v>-676181.78677026764</v>
      </c>
      <c r="AN6" s="2">
        <f t="shared" ref="AN6:AN44" si="11">AJ6*AL6</f>
        <v>949182.44146028906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377.06789735604701</v>
      </c>
      <c r="D7" s="6" t="s">
        <v>125</v>
      </c>
      <c r="F7" t="s">
        <v>121</v>
      </c>
      <c r="G7" s="8">
        <f>$C$6*2*PI()/60*$C$9</f>
        <v>152.0210902715402</v>
      </c>
      <c r="H7" s="6" t="s">
        <v>10</v>
      </c>
      <c r="J7" s="29" t="s">
        <v>21</v>
      </c>
      <c r="K7" s="29"/>
      <c r="L7" s="29"/>
      <c r="N7" s="6" t="s">
        <v>159</v>
      </c>
      <c r="O7" s="6">
        <f>O5+$O$6</f>
        <v>1.007552610191798</v>
      </c>
      <c r="P7" s="6" t="s">
        <v>115</v>
      </c>
      <c r="U7" s="2">
        <v>3</v>
      </c>
      <c r="V7" s="2">
        <f t="shared" si="7"/>
        <v>0</v>
      </c>
      <c r="W7" s="2">
        <f t="shared" si="0"/>
        <v>5.3138910947750834E-2</v>
      </c>
      <c r="X7" s="2">
        <f t="shared" si="8"/>
        <v>0.125</v>
      </c>
      <c r="Y7" s="2">
        <f t="shared" si="1"/>
        <v>-7.2110849231884322E-2</v>
      </c>
      <c r="Z7" s="2">
        <f t="shared" si="3"/>
        <v>6.25E-2</v>
      </c>
      <c r="AA7" s="2">
        <f t="shared" si="2"/>
        <v>-9.4260080694449425E-3</v>
      </c>
      <c r="AB7" s="2">
        <f t="shared" si="4"/>
        <v>-5.0088780339501554E-4</v>
      </c>
      <c r="AC7" s="2">
        <f t="shared" si="5"/>
        <v>6.7971744675426925E-4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-1608.6977295587972</v>
      </c>
      <c r="AI7" s="2">
        <f t="shared" ref="AI7:AI44" si="14">IF(AN6&gt;0, AK6, AI6)</f>
        <v>2875</v>
      </c>
      <c r="AJ7" s="2">
        <v>420.32867601281305</v>
      </c>
      <c r="AK7" s="2">
        <f t="shared" si="9"/>
        <v>1687.5</v>
      </c>
      <c r="AL7" s="2">
        <v>-577.66442899069739</v>
      </c>
      <c r="AM7" s="2">
        <f t="shared" si="10"/>
        <v>929287.45536421391</v>
      </c>
      <c r="AN7" s="2">
        <f t="shared" si="11"/>
        <v>-242808.92461735749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0.45526617543374598</v>
      </c>
      <c r="H8" s="6" t="s">
        <v>122</v>
      </c>
      <c r="J8" s="6" t="s">
        <v>96</v>
      </c>
      <c r="K8" s="6">
        <f xml:space="preserve"> $C$15 * (G12*G6 + G22*G15 + G31*G27 +G35*G34)/3600</f>
        <v>206.23730873853424</v>
      </c>
      <c r="L8" s="6" t="s">
        <v>102</v>
      </c>
      <c r="N8" s="6" t="s">
        <v>38</v>
      </c>
      <c r="O8" s="6">
        <f xml:space="preserve"> O4 *O7</f>
        <v>2284.5890556907029</v>
      </c>
      <c r="P8" s="6" t="s">
        <v>20</v>
      </c>
      <c r="U8" s="2">
        <v>4</v>
      </c>
      <c r="V8" s="2">
        <f t="shared" si="7"/>
        <v>0</v>
      </c>
      <c r="W8" s="2">
        <f t="shared" si="0"/>
        <v>5.3138910947750834E-2</v>
      </c>
      <c r="X8" s="2">
        <f t="shared" si="8"/>
        <v>6.25E-2</v>
      </c>
      <c r="Y8" s="2">
        <f t="shared" si="1"/>
        <v>-9.4260080694449425E-3</v>
      </c>
      <c r="Z8" s="2">
        <f t="shared" si="3"/>
        <v>3.125E-2</v>
      </c>
      <c r="AA8" s="2">
        <f t="shared" si="2"/>
        <v>2.1872517601796086E-2</v>
      </c>
      <c r="AB8" s="2">
        <f t="shared" si="4"/>
        <v>1.1622817650449549E-3</v>
      </c>
      <c r="AC8" s="2">
        <f t="shared" si="5"/>
        <v>-2.0617052741360645E-4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-577.66442899069739</v>
      </c>
      <c r="AI8" s="2">
        <f t="shared" si="14"/>
        <v>2875</v>
      </c>
      <c r="AJ8" s="2">
        <v>420.32867601281305</v>
      </c>
      <c r="AK8" s="2">
        <f t="shared" si="9"/>
        <v>2281.25</v>
      </c>
      <c r="AL8" s="2">
        <v>-73.137358797225943</v>
      </c>
      <c r="AM8" s="2">
        <f t="shared" si="10"/>
        <v>42248.850607487286</v>
      </c>
      <c r="AN8" s="2">
        <f t="shared" si="11"/>
        <v>-30741.729190312046</v>
      </c>
      <c r="AO8" s="2">
        <f t="shared" si="12"/>
        <v>1187.5</v>
      </c>
    </row>
    <row r="9" spans="2:41" x14ac:dyDescent="0.2">
      <c r="B9" s="6" t="s">
        <v>95</v>
      </c>
      <c r="C9" s="17">
        <v>3.6292361956402299</v>
      </c>
      <c r="D9" s="6" t="s">
        <v>8</v>
      </c>
      <c r="F9" t="s">
        <v>19</v>
      </c>
      <c r="G9" s="6">
        <f xml:space="preserve"> $C$5 * $C$44 / $C$18</f>
        <v>5803.41854436211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2284.5890556907029</v>
      </c>
      <c r="P9" s="6" t="s">
        <v>20</v>
      </c>
      <c r="U9" s="2">
        <v>5</v>
      </c>
      <c r="V9" s="2">
        <f t="shared" si="7"/>
        <v>3.125E-2</v>
      </c>
      <c r="W9" s="2">
        <f t="shared" si="0"/>
        <v>2.1872517601796086E-2</v>
      </c>
      <c r="X9" s="2">
        <f t="shared" si="8"/>
        <v>6.25E-2</v>
      </c>
      <c r="Y9" s="2">
        <f t="shared" si="1"/>
        <v>-9.4260080694449425E-3</v>
      </c>
      <c r="Z9" s="2">
        <f t="shared" si="3"/>
        <v>4.6875E-2</v>
      </c>
      <c r="AA9" s="2">
        <f t="shared" si="2"/>
        <v>6.2271802839838977E-3</v>
      </c>
      <c r="AB9" s="2">
        <f t="shared" si="4"/>
        <v>1.3620411037099534E-4</v>
      </c>
      <c r="AC9" s="2">
        <f t="shared" si="5"/>
        <v>-5.8697451606720665E-5</v>
      </c>
      <c r="AD9" s="2">
        <f t="shared" si="6"/>
        <v>3.125E-2</v>
      </c>
      <c r="AF9" s="2">
        <v>5</v>
      </c>
      <c r="AG9" s="2">
        <f t="shared" si="13"/>
        <v>2281.25</v>
      </c>
      <c r="AH9" s="2">
        <v>-73.137358797225943</v>
      </c>
      <c r="AI9" s="2">
        <f t="shared" si="14"/>
        <v>2875</v>
      </c>
      <c r="AJ9" s="2">
        <v>420.32867601281305</v>
      </c>
      <c r="AK9" s="2">
        <f t="shared" si="9"/>
        <v>2578.125</v>
      </c>
      <c r="AL9" s="2">
        <v>175.06500677970439</v>
      </c>
      <c r="AM9" s="2">
        <f t="shared" si="10"/>
        <v>-12803.792213686032</v>
      </c>
      <c r="AN9" s="2">
        <f t="shared" si="11"/>
        <v>73584.842515887285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74.129278460327157</v>
      </c>
      <c r="H10" s="6" t="s">
        <v>101</v>
      </c>
      <c r="N10" s="6" t="s">
        <v>113</v>
      </c>
      <c r="O10" s="6">
        <f>O7/(0.3048^2)/($C$5*2.20462/1000)^(2/3)</f>
        <v>3.6034139719800482</v>
      </c>
      <c r="U10" s="2">
        <v>6</v>
      </c>
      <c r="V10" s="2">
        <f t="shared" si="7"/>
        <v>4.6875E-2</v>
      </c>
      <c r="W10" s="2">
        <f t="shared" si="0"/>
        <v>6.2271802839838977E-3</v>
      </c>
      <c r="X10" s="2">
        <f t="shared" si="8"/>
        <v>6.25E-2</v>
      </c>
      <c r="Y10" s="2">
        <f t="shared" si="1"/>
        <v>-9.4260080694449425E-3</v>
      </c>
      <c r="Z10" s="2">
        <f t="shared" si="3"/>
        <v>5.46875E-2</v>
      </c>
      <c r="AA10" s="2">
        <f t="shared" si="2"/>
        <v>-1.5984480408467658E-3</v>
      </c>
      <c r="AB10" s="2">
        <f t="shared" si="4"/>
        <v>-9.9538241249336685E-6</v>
      </c>
      <c r="AC10" s="2">
        <f t="shared" si="5"/>
        <v>1.5066984131610073E-5</v>
      </c>
      <c r="AD10" s="2">
        <f t="shared" si="6"/>
        <v>1.5625E-2</v>
      </c>
      <c r="AF10" s="2">
        <v>6</v>
      </c>
      <c r="AG10" s="2">
        <f t="shared" si="13"/>
        <v>2281.25</v>
      </c>
      <c r="AH10" s="2">
        <v>-73.137358797225943</v>
      </c>
      <c r="AI10" s="2">
        <f t="shared" si="14"/>
        <v>2578.125</v>
      </c>
      <c r="AJ10" s="2">
        <v>175.06500677970439</v>
      </c>
      <c r="AK10" s="2">
        <f t="shared" si="9"/>
        <v>2429.6875</v>
      </c>
      <c r="AL10" s="2">
        <v>51.317027175883823</v>
      </c>
      <c r="AM10" s="2">
        <f t="shared" si="10"/>
        <v>-3753.1918289696096</v>
      </c>
      <c r="AN10" s="2">
        <f t="shared" si="11"/>
        <v>8983.8157104603761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7.9873362229876603</v>
      </c>
      <c r="H11" s="6" t="s">
        <v>147</v>
      </c>
      <c r="J11" s="32" t="s">
        <v>51</v>
      </c>
      <c r="K11" s="32"/>
      <c r="L11" s="32"/>
      <c r="U11" s="2">
        <v>7</v>
      </c>
      <c r="V11" s="2">
        <f t="shared" si="7"/>
        <v>4.6875E-2</v>
      </c>
      <c r="W11" s="2">
        <f t="shared" si="0"/>
        <v>6.2271802839838977E-3</v>
      </c>
      <c r="X11" s="2">
        <f t="shared" si="8"/>
        <v>5.46875E-2</v>
      </c>
      <c r="Y11" s="2">
        <f t="shared" si="1"/>
        <v>-1.5984480408467658E-3</v>
      </c>
      <c r="Z11" s="2">
        <f t="shared" si="3"/>
        <v>5.078125E-2</v>
      </c>
      <c r="AA11" s="2">
        <f t="shared" si="2"/>
        <v>2.3146097016278552E-3</v>
      </c>
      <c r="AB11" s="2">
        <f t="shared" si="4"/>
        <v>1.4413491899094832E-5</v>
      </c>
      <c r="AC11" s="2">
        <f t="shared" si="5"/>
        <v>-3.6997833428919622E-6</v>
      </c>
      <c r="AD11" s="2">
        <f t="shared" si="6"/>
        <v>7.8125E-3</v>
      </c>
      <c r="AF11" s="2">
        <v>7</v>
      </c>
      <c r="AG11" s="2">
        <f t="shared" si="13"/>
        <v>2281.25</v>
      </c>
      <c r="AH11" s="2">
        <v>-73.137358797225943</v>
      </c>
      <c r="AI11" s="2">
        <f t="shared" si="14"/>
        <v>2429.6875</v>
      </c>
      <c r="AJ11" s="2">
        <v>51.317027175883823</v>
      </c>
      <c r="AK11" s="2">
        <f t="shared" si="9"/>
        <v>2355.46875</v>
      </c>
      <c r="AL11" s="2">
        <v>-10.823221628941837</v>
      </c>
      <c r="AM11" s="2">
        <f t="shared" si="10"/>
        <v>791.58184361781537</v>
      </c>
      <c r="AN11" s="2">
        <f t="shared" si="11"/>
        <v>-555.41555846302185</v>
      </c>
      <c r="AO11" s="2">
        <f t="shared" si="12"/>
        <v>148.4375</v>
      </c>
    </row>
    <row r="12" spans="2:41" x14ac:dyDescent="0.2">
      <c r="B12" s="29" t="s">
        <v>11</v>
      </c>
      <c r="C12" s="29"/>
      <c r="D12" s="29"/>
      <c r="F12" s="24" t="s">
        <v>82</v>
      </c>
      <c r="G12" s="25">
        <f xml:space="preserve"> 1/1000 * (($C$5*$C$44)/$C$21 * ( ($G$4/2) + SQRT( ($G$4/2)^2 + ($C$5*$C$44) / (2*$C$41*PI()*$C$9^2 * $C$18) ) ) )</f>
        <v>296.51711384130863</v>
      </c>
      <c r="H12" s="25" t="s">
        <v>101</v>
      </c>
      <c r="J12" s="10" t="s">
        <v>79</v>
      </c>
      <c r="K12" s="6">
        <f>C5</f>
        <v>2368.3818841204402</v>
      </c>
      <c r="L12" s="6" t="s">
        <v>7</v>
      </c>
      <c r="N12" s="32" t="s">
        <v>73</v>
      </c>
      <c r="O12" s="34"/>
      <c r="P12" s="34"/>
      <c r="U12" s="2">
        <v>8</v>
      </c>
      <c r="V12" s="2">
        <f t="shared" si="7"/>
        <v>5.078125E-2</v>
      </c>
      <c r="W12" s="2">
        <f t="shared" si="0"/>
        <v>2.3146097016278552E-3</v>
      </c>
      <c r="X12" s="2">
        <f t="shared" si="8"/>
        <v>5.46875E-2</v>
      </c>
      <c r="Y12" s="2">
        <f t="shared" si="1"/>
        <v>-1.5984480408467658E-3</v>
      </c>
      <c r="Z12" s="2">
        <f t="shared" si="3"/>
        <v>5.2734375E-2</v>
      </c>
      <c r="AA12" s="2">
        <f t="shared" si="2"/>
        <v>3.5814147149287878E-4</v>
      </c>
      <c r="AB12" s="2">
        <f t="shared" si="4"/>
        <v>8.2895772447269318E-7</v>
      </c>
      <c r="AC12" s="2">
        <f t="shared" si="5"/>
        <v>-5.7247053345376991E-7</v>
      </c>
      <c r="AD12" s="2">
        <f t="shared" si="6"/>
        <v>3.90625E-3</v>
      </c>
      <c r="AF12" s="2">
        <v>8</v>
      </c>
      <c r="AG12" s="2">
        <f t="shared" si="13"/>
        <v>2355.46875</v>
      </c>
      <c r="AH12" s="2">
        <v>-10.823221628941837</v>
      </c>
      <c r="AI12" s="2">
        <f t="shared" si="14"/>
        <v>2429.6875</v>
      </c>
      <c r="AJ12" s="2">
        <v>51.317027175883823</v>
      </c>
      <c r="AK12" s="2">
        <f t="shared" si="9"/>
        <v>2392.578125</v>
      </c>
      <c r="AL12" s="2">
        <v>20.26879661291764</v>
      </c>
      <c r="AM12" s="2">
        <f t="shared" si="10"/>
        <v>-219.37367789355326</v>
      </c>
      <c r="AN12" s="2">
        <f t="shared" si="11"/>
        <v>1040.1343866075565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758.225399774023</v>
      </c>
      <c r="L13" s="6" t="s">
        <v>7</v>
      </c>
      <c r="N13" s="6" t="s">
        <v>74</v>
      </c>
      <c r="O13" s="6">
        <f xml:space="preserve"> SQRT( ($C$5*$C$50)^2 + O9^2)</f>
        <v>23323.613196156573</v>
      </c>
      <c r="P13" s="6" t="s">
        <v>20</v>
      </c>
      <c r="U13" s="2">
        <v>9</v>
      </c>
      <c r="V13" s="2">
        <f t="shared" si="7"/>
        <v>5.2734375E-2</v>
      </c>
      <c r="W13" s="2">
        <f t="shared" si="0"/>
        <v>3.5814147149287878E-4</v>
      </c>
      <c r="X13" s="2">
        <f t="shared" si="8"/>
        <v>5.46875E-2</v>
      </c>
      <c r="Y13" s="2">
        <f t="shared" si="1"/>
        <v>-1.5984480408467658E-3</v>
      </c>
      <c r="Z13" s="2">
        <f t="shared" si="3"/>
        <v>5.37109375E-2</v>
      </c>
      <c r="AA13" s="2">
        <f t="shared" si="2"/>
        <v>-6.2013815708956282E-4</v>
      </c>
      <c r="AB13" s="2">
        <f t="shared" si="4"/>
        <v>-2.2209719210893806E-7</v>
      </c>
      <c r="AC13" s="2">
        <f t="shared" si="5"/>
        <v>9.9125862225413548E-7</v>
      </c>
      <c r="AD13" s="2">
        <f t="shared" si="6"/>
        <v>1.953125E-3</v>
      </c>
      <c r="AF13" s="2">
        <v>9</v>
      </c>
      <c r="AG13" s="2">
        <f t="shared" si="13"/>
        <v>2355.46875</v>
      </c>
      <c r="AH13" s="2">
        <v>-10.823221628941837</v>
      </c>
      <c r="AI13" s="2">
        <f t="shared" si="14"/>
        <v>2392.578125</v>
      </c>
      <c r="AJ13" s="2">
        <v>20.26879661291764</v>
      </c>
      <c r="AK13" s="2">
        <f t="shared" si="9"/>
        <v>2374.0234375</v>
      </c>
      <c r="AL13" s="2">
        <v>4.7282432804490782</v>
      </c>
      <c r="AM13" s="2">
        <f t="shared" si="10"/>
        <v>-51.17482493985537</v>
      </c>
      <c r="AN13" s="2">
        <f t="shared" si="11"/>
        <v>95.835801387816872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2" t="s">
        <v>86</v>
      </c>
      <c r="G14" s="33"/>
      <c r="H14" s="33"/>
      <c r="J14" s="12" t="s">
        <v>126</v>
      </c>
      <c r="K14" s="6">
        <f>linear_250!K14</f>
        <v>217.80045510558458</v>
      </c>
      <c r="L14" s="6" t="s">
        <v>7</v>
      </c>
      <c r="N14" s="6" t="s">
        <v>75</v>
      </c>
      <c r="O14" s="6">
        <f>$C$5*$C$50/O13</f>
        <v>0.99519116350929848</v>
      </c>
      <c r="U14" s="2">
        <v>10</v>
      </c>
      <c r="V14" s="2">
        <f t="shared" si="7"/>
        <v>5.2734375E-2</v>
      </c>
      <c r="W14" s="2">
        <f t="shared" si="0"/>
        <v>3.5814147149287878E-4</v>
      </c>
      <c r="X14" s="2">
        <f t="shared" si="8"/>
        <v>5.37109375E-2</v>
      </c>
      <c r="Y14" s="2">
        <f t="shared" si="1"/>
        <v>-6.2013815708956282E-4</v>
      </c>
      <c r="Z14" s="2">
        <f t="shared" si="3"/>
        <v>5.322265625E-2</v>
      </c>
      <c r="AA14" s="2">
        <f t="shared" si="2"/>
        <v>-1.3099455677344218E-4</v>
      </c>
      <c r="AB14" s="2">
        <f t="shared" si="4"/>
        <v>-4.6914583320398037E-8</v>
      </c>
      <c r="AC14" s="2">
        <f t="shared" si="5"/>
        <v>8.1234723026246547E-8</v>
      </c>
      <c r="AD14" s="2">
        <f t="shared" si="6"/>
        <v>9.765625E-4</v>
      </c>
      <c r="AF14" s="2">
        <v>10</v>
      </c>
      <c r="AG14" s="2">
        <f t="shared" si="13"/>
        <v>2355.46875</v>
      </c>
      <c r="AH14" s="2">
        <v>-10.823221628941837</v>
      </c>
      <c r="AI14" s="2">
        <f t="shared" si="14"/>
        <v>2374.0234375</v>
      </c>
      <c r="AJ14" s="2">
        <v>4.7282432804490782</v>
      </c>
      <c r="AK14" s="2">
        <f t="shared" si="9"/>
        <v>2364.74609375</v>
      </c>
      <c r="AL14" s="2">
        <v>-3.0461241643215544</v>
      </c>
      <c r="AM14" s="2">
        <f t="shared" si="10"/>
        <v>32.96887693972743</v>
      </c>
      <c r="AN14" s="2">
        <f t="shared" si="11"/>
        <v>-14.402816111366953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>linear_250!K15</f>
        <v>281.8460329751004</v>
      </c>
      <c r="L15" s="6" t="s">
        <v>7</v>
      </c>
      <c r="U15" s="2">
        <v>11</v>
      </c>
      <c r="V15" s="2">
        <f t="shared" si="7"/>
        <v>5.2734375E-2</v>
      </c>
      <c r="W15" s="2">
        <f t="shared" si="0"/>
        <v>3.5814147149287878E-4</v>
      </c>
      <c r="X15" s="2">
        <f t="shared" si="8"/>
        <v>5.322265625E-2</v>
      </c>
      <c r="Y15" s="2">
        <f t="shared" si="1"/>
        <v>-1.3099455677344218E-4</v>
      </c>
      <c r="Z15" s="2">
        <f t="shared" si="3"/>
        <v>5.2978515625E-2</v>
      </c>
      <c r="AA15" s="2">
        <f t="shared" si="2"/>
        <v>1.1357440437828603E-4</v>
      </c>
      <c r="AB15" s="2">
        <f t="shared" si="4"/>
        <v>4.0675704307966613E-8</v>
      </c>
      <c r="AC15" s="2">
        <f t="shared" si="5"/>
        <v>-1.4877628762341269E-8</v>
      </c>
      <c r="AD15" s="2">
        <f t="shared" si="6"/>
        <v>4.8828125E-4</v>
      </c>
      <c r="AF15" s="2">
        <v>11</v>
      </c>
      <c r="AG15" s="2">
        <f t="shared" si="13"/>
        <v>2364.74609375</v>
      </c>
      <c r="AH15" s="2">
        <v>-3.0461241643215544</v>
      </c>
      <c r="AI15" s="2">
        <f t="shared" si="14"/>
        <v>2374.0234375</v>
      </c>
      <c r="AJ15" s="2">
        <v>4.7282432804490782</v>
      </c>
      <c r="AK15" s="2">
        <f t="shared" si="9"/>
        <v>2369.384765625</v>
      </c>
      <c r="AL15" s="2">
        <v>0.84139621886561144</v>
      </c>
      <c r="AM15" s="2">
        <f t="shared" si="10"/>
        <v>-2.5629973540553266</v>
      </c>
      <c r="AN15" s="2">
        <f t="shared" si="11"/>
        <v>3.9783260180465891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143.3056821561587</v>
      </c>
      <c r="H16" s="6" t="s">
        <v>10</v>
      </c>
      <c r="J16" s="13" t="s">
        <v>53</v>
      </c>
      <c r="K16" s="6">
        <f>linear_250!K16</f>
        <v>106.45033207774499</v>
      </c>
      <c r="L16" s="6" t="s">
        <v>7</v>
      </c>
      <c r="N16" s="32" t="s">
        <v>24</v>
      </c>
      <c r="O16" s="34"/>
      <c r="P16" s="34"/>
      <c r="U16" s="2">
        <v>12</v>
      </c>
      <c r="V16" s="2">
        <f t="shared" si="7"/>
        <v>5.2978515625E-2</v>
      </c>
      <c r="W16" s="2">
        <f t="shared" si="0"/>
        <v>1.1357440437828603E-4</v>
      </c>
      <c r="X16" s="2">
        <f t="shared" si="8"/>
        <v>5.322265625E-2</v>
      </c>
      <c r="Y16" s="2">
        <f t="shared" si="1"/>
        <v>-1.3099455677344218E-4</v>
      </c>
      <c r="Z16" s="2">
        <f t="shared" si="3"/>
        <v>5.31005859375E-2</v>
      </c>
      <c r="AA16" s="2">
        <f t="shared" si="2"/>
        <v>-8.7098395068138657E-6</v>
      </c>
      <c r="AB16" s="2">
        <f t="shared" si="4"/>
        <v>-9.8921483421684925E-10</v>
      </c>
      <c r="AC16" s="2">
        <f t="shared" si="5"/>
        <v>1.1409415657628986E-9</v>
      </c>
      <c r="AD16" s="2">
        <f t="shared" si="6"/>
        <v>2.44140625E-4</v>
      </c>
      <c r="AF16" s="2">
        <v>12</v>
      </c>
      <c r="AG16" s="2">
        <f t="shared" si="13"/>
        <v>2364.74609375</v>
      </c>
      <c r="AH16" s="2">
        <v>-3.0461241643215544</v>
      </c>
      <c r="AI16" s="2">
        <f t="shared" si="14"/>
        <v>2369.384765625</v>
      </c>
      <c r="AJ16" s="2">
        <v>0.84139621886561144</v>
      </c>
      <c r="AK16" s="2">
        <f t="shared" si="9"/>
        <v>2367.0654296875</v>
      </c>
      <c r="AL16" s="2">
        <v>-1.1022819400943717</v>
      </c>
      <c r="AM16" s="2">
        <f t="shared" si="10"/>
        <v>3.35768765361671</v>
      </c>
      <c r="AN16" s="2">
        <f t="shared" si="11"/>
        <v>-0.92745585651925477</v>
      </c>
      <c r="AO16" s="2">
        <f t="shared" si="12"/>
        <v>4.638671875</v>
      </c>
    </row>
    <row r="17" spans="2:41" x14ac:dyDescent="0.2">
      <c r="B17" s="31" t="s">
        <v>110</v>
      </c>
      <c r="C17" s="31"/>
      <c r="D17" s="31"/>
      <c r="F17" s="6" t="s">
        <v>124</v>
      </c>
      <c r="G17" s="6">
        <f>G16/$C$49</f>
        <v>0.43070728388198065</v>
      </c>
      <c r="H17" s="6" t="s">
        <v>122</v>
      </c>
      <c r="J17" s="13" t="s">
        <v>77</v>
      </c>
      <c r="K17" s="6">
        <f>linear_250!K17</f>
        <v>57.208340298095884</v>
      </c>
      <c r="L17" s="6" t="s">
        <v>7</v>
      </c>
      <c r="N17" s="6" t="s">
        <v>25</v>
      </c>
      <c r="O17" s="6">
        <f xml:space="preserve"> ACOS(O14)/PI()*180</f>
        <v>5.6212361008197496</v>
      </c>
      <c r="P17" s="6" t="s">
        <v>40</v>
      </c>
      <c r="U17" s="2">
        <v>13</v>
      </c>
      <c r="V17" s="2">
        <f t="shared" si="7"/>
        <v>5.2978515625E-2</v>
      </c>
      <c r="W17" s="2">
        <f t="shared" si="0"/>
        <v>1.1357440437828603E-4</v>
      </c>
      <c r="X17" s="2">
        <f t="shared" si="8"/>
        <v>5.31005859375E-2</v>
      </c>
      <c r="Y17" s="2">
        <f t="shared" si="1"/>
        <v>-8.7098395068138657E-6</v>
      </c>
      <c r="Z17" s="2">
        <f t="shared" si="3"/>
        <v>5.303955078125E-2</v>
      </c>
      <c r="AA17" s="2">
        <f t="shared" si="2"/>
        <v>5.2432341616420741E-5</v>
      </c>
      <c r="AB17" s="2">
        <f t="shared" si="4"/>
        <v>5.9549719692438048E-9</v>
      </c>
      <c r="AC17" s="2">
        <f t="shared" si="5"/>
        <v>-4.5667728044546214E-10</v>
      </c>
      <c r="AD17" s="2">
        <f t="shared" si="6"/>
        <v>1.220703125E-4</v>
      </c>
      <c r="AF17" s="2">
        <v>13</v>
      </c>
      <c r="AG17" s="2">
        <f t="shared" si="13"/>
        <v>2367.0654296875</v>
      </c>
      <c r="AH17" s="2">
        <v>-1.1022819400943717</v>
      </c>
      <c r="AI17" s="2">
        <f t="shared" si="14"/>
        <v>2369.384765625</v>
      </c>
      <c r="AJ17" s="2">
        <v>0.84139621886561144</v>
      </c>
      <c r="AK17" s="2">
        <f t="shared" si="9"/>
        <v>2368.22509765625</v>
      </c>
      <c r="AL17" s="2">
        <v>-0.13041861726856041</v>
      </c>
      <c r="AM17" s="2">
        <f t="shared" si="10"/>
        <v>0.14375808646721411</v>
      </c>
      <c r="AN17" s="2">
        <f t="shared" si="11"/>
        <v>-0.10973373143944806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5830.9032990391433</v>
      </c>
      <c r="H18" s="6" t="s">
        <v>20</v>
      </c>
      <c r="J18" s="14" t="s">
        <v>60</v>
      </c>
      <c r="K18" s="6">
        <f>linear_250!K18</f>
        <v>137.80037749483429</v>
      </c>
      <c r="L18" s="6" t="s">
        <v>7</v>
      </c>
      <c r="N18" s="6" t="s">
        <v>19</v>
      </c>
      <c r="O18" s="6">
        <f xml:space="preserve"> O13 / $C$18</f>
        <v>5830.9032990391433</v>
      </c>
      <c r="P18" s="6" t="s">
        <v>20</v>
      </c>
      <c r="U18" s="2">
        <v>14</v>
      </c>
      <c r="V18" s="2">
        <f t="shared" si="7"/>
        <v>5.303955078125E-2</v>
      </c>
      <c r="W18" s="2">
        <f t="shared" si="0"/>
        <v>5.2432341616420741E-5</v>
      </c>
      <c r="X18" s="2">
        <f t="shared" si="8"/>
        <v>5.31005859375E-2</v>
      </c>
      <c r="Y18" s="2">
        <f t="shared" si="1"/>
        <v>-8.7098395068138657E-6</v>
      </c>
      <c r="Z18" s="2">
        <f t="shared" si="3"/>
        <v>5.3070068359375E-2</v>
      </c>
      <c r="AA18" s="2">
        <f t="shared" si="2"/>
        <v>2.18612658489728E-5</v>
      </c>
      <c r="AB18" s="2">
        <f t="shared" si="4"/>
        <v>1.1462373591607341E-9</v>
      </c>
      <c r="AC18" s="2">
        <f t="shared" si="5"/>
        <v>-1.9040811696034404E-10</v>
      </c>
      <c r="AD18" s="2">
        <f t="shared" si="6"/>
        <v>6.103515625E-5</v>
      </c>
      <c r="AF18" s="2">
        <v>14</v>
      </c>
      <c r="AG18" s="2">
        <f t="shared" si="13"/>
        <v>2368.22509765625</v>
      </c>
      <c r="AH18" s="2">
        <v>-0.13041861726856041</v>
      </c>
      <c r="AI18" s="2">
        <f t="shared" si="14"/>
        <v>2369.384765625</v>
      </c>
      <c r="AJ18" s="2">
        <v>0.84139621886561144</v>
      </c>
      <c r="AK18" s="2">
        <f t="shared" si="9"/>
        <v>2368.804931640625</v>
      </c>
      <c r="AL18" s="2">
        <v>0.35549366981354069</v>
      </c>
      <c r="AM18" s="2">
        <f t="shared" si="10"/>
        <v>-4.6362992864808147E-2</v>
      </c>
      <c r="AN18" s="2">
        <f t="shared" si="11"/>
        <v>0.29911102961177327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62.124509739052868</v>
      </c>
      <c r="H19" s="6" t="s">
        <v>101</v>
      </c>
      <c r="J19" s="14" t="s">
        <v>61</v>
      </c>
      <c r="K19" s="6">
        <f>linear_250!K19</f>
        <v>33.562887913554505</v>
      </c>
      <c r="L19" s="6" t="s">
        <v>7</v>
      </c>
      <c r="N19" s="6" t="s">
        <v>26</v>
      </c>
      <c r="O19" s="6">
        <f>$C$7*2*PI()/60</f>
        <v>39.486457874610245</v>
      </c>
      <c r="P19" s="6" t="s">
        <v>27</v>
      </c>
      <c r="U19" s="2">
        <v>15</v>
      </c>
      <c r="V19" s="2">
        <f t="shared" si="7"/>
        <v>5.3070068359375E-2</v>
      </c>
      <c r="W19" s="2">
        <f t="shared" si="0"/>
        <v>2.18612658489728E-5</v>
      </c>
      <c r="X19" s="2">
        <f t="shared" si="8"/>
        <v>5.31005859375E-2</v>
      </c>
      <c r="Y19" s="2">
        <f t="shared" si="1"/>
        <v>-8.7098395068138657E-6</v>
      </c>
      <c r="Z19" s="2">
        <f t="shared" si="3"/>
        <v>5.30853271484375E-2</v>
      </c>
      <c r="AA19" s="2">
        <f t="shared" si="2"/>
        <v>6.57571686949604E-6</v>
      </c>
      <c r="AB19" s="2">
        <f t="shared" si="4"/>
        <v>1.4375349463162809E-10</v>
      </c>
      <c r="AC19" s="2">
        <f t="shared" si="5"/>
        <v>-5.7273438575559004E-11</v>
      </c>
      <c r="AD19" s="2">
        <f t="shared" si="6"/>
        <v>3.0517578125E-5</v>
      </c>
      <c r="AF19" s="2">
        <v>15</v>
      </c>
      <c r="AG19" s="2">
        <f t="shared" si="13"/>
        <v>2368.22509765625</v>
      </c>
      <c r="AH19" s="2">
        <v>-0.13041861726856041</v>
      </c>
      <c r="AI19" s="2">
        <f t="shared" si="14"/>
        <v>2368.804931640625</v>
      </c>
      <c r="AJ19" s="2">
        <v>0.35549366981354069</v>
      </c>
      <c r="AK19" s="2">
        <f t="shared" si="9"/>
        <v>2368.5150146484375</v>
      </c>
      <c r="AL19" s="2">
        <v>0.11253391471950636</v>
      </c>
      <c r="AM19" s="2">
        <f t="shared" si="10"/>
        <v>-1.4676517553536116E-2</v>
      </c>
      <c r="AN19" s="2">
        <f t="shared" si="11"/>
        <v>4.0005094322121341E-2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9.5768404797276219</v>
      </c>
      <c r="H20" s="6" t="s">
        <v>147</v>
      </c>
      <c r="J20" s="14" t="s">
        <v>62</v>
      </c>
      <c r="K20" s="6">
        <f>linear_250!K20</f>
        <v>0</v>
      </c>
      <c r="L20" s="6" t="s">
        <v>7</v>
      </c>
      <c r="N20" s="6" t="s">
        <v>28</v>
      </c>
      <c r="O20" s="6">
        <f xml:space="preserve"> $C$8 * COS(O17/180*PI()) / (O19 * $C$9)</f>
        <v>0.46567266319252215</v>
      </c>
      <c r="U20" s="2">
        <v>16</v>
      </c>
      <c r="V20" s="2">
        <f t="shared" si="7"/>
        <v>5.30853271484375E-2</v>
      </c>
      <c r="W20" s="2">
        <f t="shared" si="0"/>
        <v>6.57571686949604E-6</v>
      </c>
      <c r="X20" s="2">
        <f t="shared" si="8"/>
        <v>5.31005859375E-2</v>
      </c>
      <c r="Y20" s="2">
        <f t="shared" si="1"/>
        <v>-8.7098395068138657E-6</v>
      </c>
      <c r="Z20" s="2">
        <f t="shared" si="3"/>
        <v>5.309295654296875E-2</v>
      </c>
      <c r="AA20" s="2">
        <f t="shared" si="2"/>
        <v>-1.0670603940721168E-6</v>
      </c>
      <c r="AB20" s="2">
        <f t="shared" si="4"/>
        <v>-7.0166870340711106E-12</v>
      </c>
      <c r="AC20" s="2">
        <f t="shared" si="5"/>
        <v>9.293924776445696E-12</v>
      </c>
      <c r="AD20" s="2">
        <f t="shared" si="6"/>
        <v>1.52587890625E-5</v>
      </c>
      <c r="AF20" s="2">
        <v>16</v>
      </c>
      <c r="AG20" s="2">
        <f t="shared" si="13"/>
        <v>2368.22509765625</v>
      </c>
      <c r="AH20" s="2">
        <v>-0.13041861726856041</v>
      </c>
      <c r="AI20" s="2">
        <f t="shared" si="14"/>
        <v>2368.5150146484375</v>
      </c>
      <c r="AJ20" s="2">
        <v>0.11253391471950636</v>
      </c>
      <c r="AK20" s="2">
        <f t="shared" si="9"/>
        <v>2368.3700561523438</v>
      </c>
      <c r="AL20" s="2">
        <v>-8.9432541635687812E-3</v>
      </c>
      <c r="AM20" s="2">
        <f t="shared" si="10"/>
        <v>1.1663668418939361E-3</v>
      </c>
      <c r="AN20" s="2">
        <f t="shared" si="11"/>
        <v>-1.0064194013579193E-3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0.11080293247550742</v>
      </c>
      <c r="J21" s="14" t="s">
        <v>63</v>
      </c>
      <c r="K21" s="6">
        <f>linear_250!K21</f>
        <v>0</v>
      </c>
      <c r="L21" s="6" t="s">
        <v>7</v>
      </c>
      <c r="N21" s="6" t="s">
        <v>29</v>
      </c>
      <c r="O21" s="6">
        <f xml:space="preserve"> O18 / ($C$47 * PI() * $C$9^2 * O19^2 * $C$9^2)</f>
        <v>6.8035191163635265E-3</v>
      </c>
      <c r="U21" s="2">
        <v>17</v>
      </c>
      <c r="V21" s="2">
        <f t="shared" si="7"/>
        <v>5.30853271484375E-2</v>
      </c>
      <c r="W21" s="2">
        <f t="shared" si="0"/>
        <v>6.57571686949604E-6</v>
      </c>
      <c r="X21" s="2">
        <f t="shared" si="8"/>
        <v>5.309295654296875E-2</v>
      </c>
      <c r="Y21" s="2">
        <f t="shared" si="1"/>
        <v>-1.0670603940721168E-6</v>
      </c>
      <c r="Z21" s="2">
        <f t="shared" si="3"/>
        <v>5.3089141845703125E-2</v>
      </c>
      <c r="AA21" s="2">
        <f t="shared" si="2"/>
        <v>2.7543284688638647E-6</v>
      </c>
      <c r="AB21" s="2">
        <f t="shared" si="4"/>
        <v>1.8111684176841314E-11</v>
      </c>
      <c r="AC21" s="2">
        <f t="shared" si="5"/>
        <v>-2.9390348213899255E-12</v>
      </c>
      <c r="AD21" s="2">
        <f t="shared" si="6"/>
        <v>7.62939453125E-6</v>
      </c>
      <c r="AF21" s="2">
        <v>17</v>
      </c>
      <c r="AG21" s="2">
        <f t="shared" si="13"/>
        <v>2368.3700561523438</v>
      </c>
      <c r="AH21" s="2">
        <v>-0.13041861726856041</v>
      </c>
      <c r="AI21" s="2">
        <f t="shared" si="14"/>
        <v>2368.5150146484375</v>
      </c>
      <c r="AJ21" s="2">
        <v>0.11253391471950636</v>
      </c>
      <c r="AK21" s="2">
        <f t="shared" si="9"/>
        <v>2368.4425354003906</v>
      </c>
      <c r="AL21" s="2">
        <v>-6.9676334849191335E-2</v>
      </c>
      <c r="AM21" s="2">
        <f t="shared" si="10"/>
        <v>9.0870912473727423E-3</v>
      </c>
      <c r="AN21" s="2">
        <f t="shared" si="11"/>
        <v>-7.8409507238866669E-3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248.49803895621147</v>
      </c>
      <c r="H22" s="25" t="s">
        <v>101</v>
      </c>
      <c r="J22" s="14" t="s">
        <v>112</v>
      </c>
      <c r="K22" s="6">
        <f>linear_250!K22</f>
        <v>28.266845134610833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5.3089141845703125E-2</v>
      </c>
      <c r="W22" s="2">
        <f t="shared" si="0"/>
        <v>2.7543284688638647E-6</v>
      </c>
      <c r="X22" s="2">
        <f t="shared" si="8"/>
        <v>5.309295654296875E-2</v>
      </c>
      <c r="Y22" s="2">
        <f t="shared" si="1"/>
        <v>-1.0670603940721168E-6</v>
      </c>
      <c r="Z22" s="2">
        <f t="shared" si="3"/>
        <v>5.3091049194335938E-2</v>
      </c>
      <c r="AA22" s="2">
        <f t="shared" si="2"/>
        <v>8.4363409518645183E-7</v>
      </c>
      <c r="AB22" s="2">
        <f t="shared" si="4"/>
        <v>2.3236454056762518E-12</v>
      </c>
      <c r="AC22" s="2">
        <f t="shared" si="5"/>
        <v>-9.0020853006232901E-13</v>
      </c>
      <c r="AD22" s="2">
        <f t="shared" si="6"/>
        <v>3.814697265625E-6</v>
      </c>
      <c r="AF22" s="2">
        <v>18</v>
      </c>
      <c r="AG22" s="2">
        <f t="shared" si="13"/>
        <v>2368.4425354003906</v>
      </c>
      <c r="AH22" s="2">
        <v>-0.13041861726856041</v>
      </c>
      <c r="AI22" s="2">
        <f t="shared" si="14"/>
        <v>2368.5150146484375</v>
      </c>
      <c r="AJ22" s="2">
        <v>0.11253391471950636</v>
      </c>
      <c r="AK22" s="2">
        <f t="shared" si="9"/>
        <v>2368.4787750244141</v>
      </c>
      <c r="AL22" s="2">
        <v>-0.10005235904304755</v>
      </c>
      <c r="AM22" s="2">
        <f t="shared" si="10"/>
        <v>1.3048690320851807E-2</v>
      </c>
      <c r="AN22" s="2">
        <f t="shared" si="11"/>
        <v>-1.1259283640035743E-2</v>
      </c>
      <c r="AO22" s="2">
        <f t="shared" si="12"/>
        <v>7.2479248046875E-2</v>
      </c>
    </row>
    <row r="23" spans="2:41" x14ac:dyDescent="0.2">
      <c r="J23" s="15" t="s">
        <v>64</v>
      </c>
      <c r="K23" s="6">
        <f>linear_250!K23</f>
        <v>64.248956863090044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16849.576557456054</v>
      </c>
      <c r="P23" s="6" t="s">
        <v>18</v>
      </c>
      <c r="U23" s="2">
        <v>19</v>
      </c>
      <c r="V23" s="2">
        <f t="shared" si="7"/>
        <v>5.3091049194335938E-2</v>
      </c>
      <c r="W23" s="2">
        <f t="shared" si="0"/>
        <v>8.4363409518645183E-7</v>
      </c>
      <c r="X23" s="2">
        <f t="shared" si="8"/>
        <v>5.309295654296875E-2</v>
      </c>
      <c r="Y23" s="2">
        <f t="shared" si="1"/>
        <v>-1.0670603940721168E-6</v>
      </c>
      <c r="Z23" s="2">
        <f t="shared" si="3"/>
        <v>5.3092002868652344E-2</v>
      </c>
      <c r="AA23" s="2">
        <f t="shared" si="2"/>
        <v>-1.1171313499258595E-7</v>
      </c>
      <c r="AB23" s="2">
        <f t="shared" si="4"/>
        <v>-9.4245009559912201E-14</v>
      </c>
      <c r="AC23" s="2">
        <f t="shared" si="5"/>
        <v>1.1920466184822035E-13</v>
      </c>
      <c r="AD23" s="2">
        <f t="shared" si="6"/>
        <v>1.9073486328125E-6</v>
      </c>
      <c r="AF23" s="2">
        <v>19</v>
      </c>
      <c r="AG23" s="2">
        <f t="shared" si="13"/>
        <v>2368.4787750244141</v>
      </c>
      <c r="AH23" s="2">
        <v>-0.13041861726856041</v>
      </c>
      <c r="AI23" s="2">
        <f t="shared" si="14"/>
        <v>2368.5150146484375</v>
      </c>
      <c r="AJ23" s="2">
        <v>0.11253391471950636</v>
      </c>
      <c r="AK23" s="2">
        <f t="shared" si="9"/>
        <v>2368.4968948364258</v>
      </c>
      <c r="AL23" s="2">
        <v>-0.1152403287328525</v>
      </c>
      <c r="AM23" s="2">
        <f t="shared" si="10"/>
        <v>1.5029484326912977E-2</v>
      </c>
      <c r="AN23" s="2">
        <f t="shared" si="11"/>
        <v>-1.2968445325870702E-2</v>
      </c>
      <c r="AO23" s="2">
        <f t="shared" si="12"/>
        <v>3.62396240234375E-2</v>
      </c>
    </row>
    <row r="24" spans="2:41" x14ac:dyDescent="0.2">
      <c r="B24" s="31" t="s">
        <v>104</v>
      </c>
      <c r="C24" s="31"/>
      <c r="D24" s="31"/>
      <c r="F24" s="32" t="s">
        <v>81</v>
      </c>
      <c r="G24" s="33"/>
      <c r="H24" s="33"/>
      <c r="J24" s="15" t="s">
        <v>65</v>
      </c>
      <c r="K24" s="6">
        <f>linear_250!K24</f>
        <v>8.8806188488703679</v>
      </c>
      <c r="L24" s="6" t="s">
        <v>7</v>
      </c>
      <c r="N24" s="6" t="s">
        <v>31</v>
      </c>
      <c r="O24" s="18">
        <f>Z34</f>
        <v>5.3091891575604677E-2</v>
      </c>
      <c r="U24" s="2">
        <v>20</v>
      </c>
      <c r="V24" s="2">
        <f t="shared" si="7"/>
        <v>5.3091049194335938E-2</v>
      </c>
      <c r="W24" s="2">
        <f t="shared" si="0"/>
        <v>8.4363409518645183E-7</v>
      </c>
      <c r="X24" s="2">
        <f t="shared" si="8"/>
        <v>5.3092002868652344E-2</v>
      </c>
      <c r="Y24" s="2">
        <f t="shared" si="1"/>
        <v>-1.1171313499258595E-7</v>
      </c>
      <c r="Z24" s="2">
        <f t="shared" si="3"/>
        <v>5.3091526031494141E-2</v>
      </c>
      <c r="AA24" s="2">
        <f t="shared" si="2"/>
        <v>3.6596048370862722E-7</v>
      </c>
      <c r="AB24" s="2">
        <f t="shared" si="4"/>
        <v>3.0873674154752397E-13</v>
      </c>
      <c r="AC24" s="2">
        <f t="shared" si="5"/>
        <v>-4.0882592918493924E-14</v>
      </c>
      <c r="AD24" s="2">
        <f t="shared" si="6"/>
        <v>9.5367431640625E-7</v>
      </c>
      <c r="AF24" s="2">
        <v>20</v>
      </c>
      <c r="AG24" s="2">
        <f t="shared" si="13"/>
        <v>2368.4968948364258</v>
      </c>
      <c r="AH24" s="2">
        <v>-0.13041861726856041</v>
      </c>
      <c r="AI24" s="2">
        <f t="shared" si="14"/>
        <v>2368.5150146484375</v>
      </c>
      <c r="AJ24" s="2">
        <v>0.11253391471950636</v>
      </c>
      <c r="AK24" s="2">
        <f t="shared" si="9"/>
        <v>2368.5059547424316</v>
      </c>
      <c r="AL24" s="2">
        <v>-0.12282947651647191</v>
      </c>
      <c r="AM24" s="2">
        <f t="shared" si="10"/>
        <v>1.601925048709938E-2</v>
      </c>
      <c r="AN24" s="2">
        <f t="shared" si="11"/>
        <v>-1.3822481835346258E-2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>linear_250!K25</f>
        <v>19.178793093459714</v>
      </c>
      <c r="L25" s="6" t="s">
        <v>7</v>
      </c>
      <c r="N25" s="6" t="s">
        <v>32</v>
      </c>
      <c r="O25" s="6">
        <f xml:space="preserve"> O19 * $C$9 * O24 - $C$8 * SIN(O17/180*PI())</f>
        <v>1.0401162516325941</v>
      </c>
      <c r="P25" s="6" t="s">
        <v>10</v>
      </c>
      <c r="U25" s="2">
        <v>21</v>
      </c>
      <c r="V25" s="2">
        <f t="shared" si="7"/>
        <v>5.3091526031494141E-2</v>
      </c>
      <c r="W25" s="2">
        <f t="shared" si="0"/>
        <v>3.6596048370862722E-7</v>
      </c>
      <c r="X25" s="2">
        <f t="shared" si="8"/>
        <v>5.3092002868652344E-2</v>
      </c>
      <c r="Y25" s="2">
        <f t="shared" si="1"/>
        <v>-1.1171313499258595E-7</v>
      </c>
      <c r="Z25" s="2">
        <f t="shared" si="3"/>
        <v>5.3091764450073242E-2</v>
      </c>
      <c r="AA25" s="2">
        <f t="shared" si="2"/>
        <v>1.2712367526007684E-7</v>
      </c>
      <c r="AB25" s="2">
        <f t="shared" si="4"/>
        <v>4.652224168899617E-14</v>
      </c>
      <c r="AC25" s="2">
        <f t="shared" si="5"/>
        <v>-1.4201384295082623E-14</v>
      </c>
      <c r="AD25" s="2">
        <f t="shared" si="6"/>
        <v>4.76837158203125E-7</v>
      </c>
      <c r="AF25" s="2">
        <v>21</v>
      </c>
      <c r="AG25" s="2">
        <f t="shared" si="13"/>
        <v>2368.5059547424316</v>
      </c>
      <c r="AH25" s="2">
        <v>-0.13041861726856041</v>
      </c>
      <c r="AI25" s="2">
        <f t="shared" si="14"/>
        <v>2368.5150146484375</v>
      </c>
      <c r="AJ25" s="2">
        <v>0.11253391471950636</v>
      </c>
      <c r="AK25" s="2">
        <f t="shared" si="9"/>
        <v>2368.5104846954346</v>
      </c>
      <c r="AL25" s="2">
        <v>-0.12662404777120173</v>
      </c>
      <c r="AM25" s="2">
        <f t="shared" si="10"/>
        <v>1.6514133223268269E-2</v>
      </c>
      <c r="AN25" s="2">
        <f t="shared" si="11"/>
        <v>-1.4249499793323114E-2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>linear_250!K26</f>
        <v>54.91187602283798</v>
      </c>
      <c r="L26" s="6" t="s">
        <v>7</v>
      </c>
      <c r="N26" s="6" t="s">
        <v>33</v>
      </c>
      <c r="O26" s="6">
        <f xml:space="preserve"> 1/$C$21 - O23 * SQRT( (2*$C$47*PI()*$C$9^2) / O18^3 )</f>
        <v>0.98760264207605986</v>
      </c>
      <c r="U26" s="2">
        <v>22</v>
      </c>
      <c r="V26" s="2">
        <f t="shared" si="7"/>
        <v>5.3091764450073242E-2</v>
      </c>
      <c r="W26" s="2">
        <f t="shared" si="0"/>
        <v>1.2712367526007684E-7</v>
      </c>
      <c r="X26" s="2">
        <f t="shared" si="8"/>
        <v>5.3092002868652344E-2</v>
      </c>
      <c r="Y26" s="2">
        <f t="shared" si="1"/>
        <v>-1.1171313499258595E-7</v>
      </c>
      <c r="Z26" s="2">
        <f t="shared" si="3"/>
        <v>5.3091883659362793E-2</v>
      </c>
      <c r="AA26" s="2">
        <f t="shared" si="2"/>
        <v>7.7052703592594973E-9</v>
      </c>
      <c r="AB26" s="2">
        <f t="shared" si="4"/>
        <v>9.7952228694160005E-16</v>
      </c>
      <c r="AC26" s="2">
        <f t="shared" si="5"/>
        <v>-8.6077990779832745E-16</v>
      </c>
      <c r="AD26" s="2">
        <f t="shared" si="6"/>
        <v>2.384185791015625E-7</v>
      </c>
      <c r="AF26" s="2">
        <v>22</v>
      </c>
      <c r="AG26" s="2">
        <f t="shared" si="13"/>
        <v>2368.5104846954346</v>
      </c>
      <c r="AH26" s="2">
        <v>-0.13041861726856041</v>
      </c>
      <c r="AI26" s="2">
        <f t="shared" si="14"/>
        <v>2368.5150146484375</v>
      </c>
      <c r="AJ26" s="2">
        <v>0.11253391471950636</v>
      </c>
      <c r="AK26" s="2">
        <f t="shared" si="9"/>
        <v>2368.512749671936</v>
      </c>
      <c r="AL26" s="2">
        <v>-0.12852615918609445</v>
      </c>
      <c r="AM26" s="2">
        <f t="shared" si="10"/>
        <v>1.6762203963889322E-2</v>
      </c>
      <c r="AN26" s="2">
        <f t="shared" si="11"/>
        <v>-1.4463551837073652E-2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9.6851863349911582E-4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5.3091883659362793E-2</v>
      </c>
      <c r="W27" s="2">
        <f t="shared" si="0"/>
        <v>7.7052703592594973E-9</v>
      </c>
      <c r="X27" s="2">
        <f t="shared" si="8"/>
        <v>5.3092002868652344E-2</v>
      </c>
      <c r="Y27" s="2">
        <f t="shared" si="1"/>
        <v>-1.1171313499258595E-7</v>
      </c>
      <c r="Z27" s="2">
        <f t="shared" si="3"/>
        <v>5.3091943264007568E-2</v>
      </c>
      <c r="AA27" s="2">
        <f t="shared" si="2"/>
        <v>-5.2003932264621522E-8</v>
      </c>
      <c r="AB27" s="2">
        <f t="shared" si="4"/>
        <v>-4.0070435784352682E-16</v>
      </c>
      <c r="AC27" s="2">
        <f t="shared" si="5"/>
        <v>5.8095223052229599E-15</v>
      </c>
      <c r="AD27" s="2">
        <f t="shared" si="6"/>
        <v>1.1920928955078125E-7</v>
      </c>
      <c r="AF27" s="2">
        <v>23</v>
      </c>
      <c r="AG27" s="2">
        <f t="shared" si="13"/>
        <v>2368.512749671936</v>
      </c>
      <c r="AH27" s="2">
        <v>-0.13041861726856041</v>
      </c>
      <c r="AI27" s="2">
        <f t="shared" si="14"/>
        <v>2368.5150146484375</v>
      </c>
      <c r="AJ27" s="2">
        <v>0.11253391471950636</v>
      </c>
      <c r="AK27" s="2">
        <f t="shared" si="9"/>
        <v>2368.5138821601868</v>
      </c>
      <c r="AL27" s="2">
        <v>-0.12946756183760044</v>
      </c>
      <c r="AM27" s="2">
        <f t="shared" si="10"/>
        <v>1.6884980395991688E-2</v>
      </c>
      <c r="AN27" s="2">
        <f t="shared" si="11"/>
        <v>-1.4569491562774943E-2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5803.41854436211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1.1502543154134865</v>
      </c>
      <c r="U28" s="2">
        <v>24</v>
      </c>
      <c r="V28" s="2">
        <f t="shared" si="7"/>
        <v>5.3091883659362793E-2</v>
      </c>
      <c r="W28" s="2">
        <f t="shared" si="0"/>
        <v>7.7052703592594973E-9</v>
      </c>
      <c r="X28" s="2">
        <f t="shared" si="8"/>
        <v>5.3091943264007568E-2</v>
      </c>
      <c r="Y28" s="2">
        <f t="shared" si="1"/>
        <v>-5.2003932264621522E-8</v>
      </c>
      <c r="Z28" s="2">
        <f t="shared" si="3"/>
        <v>5.3091913461685181E-2</v>
      </c>
      <c r="AA28" s="2">
        <f t="shared" si="2"/>
        <v>-2.2149330938803224E-8</v>
      </c>
      <c r="AB28" s="2">
        <f t="shared" si="4"/>
        <v>-1.7066658316018982E-16</v>
      </c>
      <c r="AC28" s="2">
        <f t="shared" si="5"/>
        <v>1.1518523058482086E-15</v>
      </c>
      <c r="AD28" s="2">
        <f t="shared" si="6"/>
        <v>5.9604644775390625E-8</v>
      </c>
      <c r="AF28" s="2">
        <v>24</v>
      </c>
      <c r="AG28" s="2">
        <f t="shared" si="13"/>
        <v>2368.5138821601868</v>
      </c>
      <c r="AH28" s="2">
        <v>-0.13041861726856041</v>
      </c>
      <c r="AI28" s="2">
        <f t="shared" si="14"/>
        <v>2368.5150146484375</v>
      </c>
      <c r="AJ28" s="2">
        <v>0.11253391471950636</v>
      </c>
      <c r="AK28" s="2">
        <f t="shared" si="9"/>
        <v>2368.5144484043121</v>
      </c>
      <c r="AL28" s="2">
        <v>-0.12994308956740497</v>
      </c>
      <c r="AM28" s="2">
        <f t="shared" si="10"/>
        <v>1.6946998064985654E-2</v>
      </c>
      <c r="AN28" s="2">
        <f t="shared" si="11"/>
        <v>-1.4623004559767526E-2</v>
      </c>
      <c r="AO28" s="2">
        <f t="shared" si="12"/>
        <v>1.1324882507324219E-3</v>
      </c>
    </row>
    <row r="29" spans="2:41" x14ac:dyDescent="0.2">
      <c r="B29" s="31" t="s">
        <v>108</v>
      </c>
      <c r="C29" s="31"/>
      <c r="D29" s="31"/>
      <c r="F29" t="s">
        <v>97</v>
      </c>
      <c r="G29" s="6">
        <f>G31/$C$18</f>
        <v>63.546793691709901</v>
      </c>
      <c r="H29" t="s">
        <v>18</v>
      </c>
      <c r="U29" s="2">
        <v>25</v>
      </c>
      <c r="V29" s="2">
        <f t="shared" si="7"/>
        <v>5.3091883659362793E-2</v>
      </c>
      <c r="W29" s="2">
        <f t="shared" si="0"/>
        <v>7.7052703592594973E-9</v>
      </c>
      <c r="X29" s="2">
        <f t="shared" si="8"/>
        <v>5.3091913461685181E-2</v>
      </c>
      <c r="Y29" s="2">
        <f t="shared" si="1"/>
        <v>-2.2149330938803224E-8</v>
      </c>
      <c r="Z29" s="2">
        <f t="shared" si="3"/>
        <v>5.3091898560523987E-2</v>
      </c>
      <c r="AA29" s="2">
        <f t="shared" si="2"/>
        <v>-7.2220302863024166E-9</v>
      </c>
      <c r="AB29" s="2">
        <f t="shared" si="4"/>
        <v>-5.5647695898720397E-17</v>
      </c>
      <c r="AC29" s="2">
        <f t="shared" si="5"/>
        <v>1.5996313886137202E-16</v>
      </c>
      <c r="AD29" s="2">
        <f t="shared" si="6"/>
        <v>2.9802322387695312E-8</v>
      </c>
      <c r="AF29" s="2">
        <v>25</v>
      </c>
      <c r="AG29" s="2">
        <f t="shared" si="13"/>
        <v>2368.5144484043121</v>
      </c>
      <c r="AH29" s="2">
        <v>-0.13041861726856041</v>
      </c>
      <c r="AI29" s="2">
        <f t="shared" si="14"/>
        <v>2368.5150146484375</v>
      </c>
      <c r="AJ29" s="2">
        <v>0.11253391471950636</v>
      </c>
      <c r="AK29" s="2">
        <f t="shared" si="9"/>
        <v>2368.5147315263748</v>
      </c>
      <c r="AL29" s="2">
        <v>-0.13018567986478047</v>
      </c>
      <c r="AM29" s="2">
        <f t="shared" si="10"/>
        <v>1.6978636356132136E-2</v>
      </c>
      <c r="AN29" s="2">
        <f t="shared" si="11"/>
        <v>-1.4650304195604161E-2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9.317472001854167</v>
      </c>
      <c r="H30" s="6" t="s">
        <v>147</v>
      </c>
      <c r="J30" s="29" t="s">
        <v>111</v>
      </c>
      <c r="K30" s="29"/>
      <c r="L30" s="29"/>
      <c r="U30" s="2">
        <v>26</v>
      </c>
      <c r="V30" s="2">
        <f t="shared" si="7"/>
        <v>5.3091883659362793E-2</v>
      </c>
      <c r="W30" s="2">
        <f t="shared" si="0"/>
        <v>7.7052703592594973E-9</v>
      </c>
      <c r="X30" s="2">
        <f t="shared" si="8"/>
        <v>5.3091898560523987E-2</v>
      </c>
      <c r="Y30" s="2">
        <f t="shared" si="1"/>
        <v>-7.2220302863024166E-9</v>
      </c>
      <c r="Z30" s="2">
        <f t="shared" si="3"/>
        <v>5.309189110994339E-2</v>
      </c>
      <c r="AA30" s="2">
        <f t="shared" si="2"/>
        <v>2.4162003647854036E-10</v>
      </c>
      <c r="AB30" s="2">
        <f t="shared" si="4"/>
        <v>1.8617477052812954E-18</v>
      </c>
      <c r="AC30" s="2">
        <f t="shared" si="5"/>
        <v>-1.7449872212255131E-18</v>
      </c>
      <c r="AD30" s="2">
        <f t="shared" si="6"/>
        <v>1.4901161193847656E-8</v>
      </c>
      <c r="AF30" s="2">
        <v>26</v>
      </c>
      <c r="AG30" s="2">
        <f t="shared" si="13"/>
        <v>2368.5147315263748</v>
      </c>
      <c r="AH30" s="2">
        <v>-0.13041861726856041</v>
      </c>
      <c r="AI30" s="2">
        <f t="shared" si="14"/>
        <v>2368.5150146484375</v>
      </c>
      <c r="AJ30" s="2">
        <v>0.11253391471950636</v>
      </c>
      <c r="AK30" s="2">
        <f t="shared" si="9"/>
        <v>2368.5148730874062</v>
      </c>
      <c r="AL30" s="2">
        <v>-0.13030697501085342</v>
      </c>
      <c r="AM30" s="2">
        <f t="shared" si="10"/>
        <v>1.6994455501364358E-2</v>
      </c>
      <c r="AN30" s="2">
        <f t="shared" si="11"/>
        <v>-1.4663954013228224E-2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254.1871747668396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5.309189110994339E-2</v>
      </c>
      <c r="W31" s="2">
        <f t="shared" si="0"/>
        <v>2.4162003647854036E-10</v>
      </c>
      <c r="X31" s="2">
        <f t="shared" si="8"/>
        <v>5.3091898560523987E-2</v>
      </c>
      <c r="Y31" s="2">
        <f t="shared" si="1"/>
        <v>-7.2220302863024166E-9</v>
      </c>
      <c r="Z31" s="2">
        <f t="shared" si="3"/>
        <v>5.3091894835233688E-2</v>
      </c>
      <c r="AA31" s="2">
        <f t="shared" si="2"/>
        <v>-3.4902051249119381E-9</v>
      </c>
      <c r="AB31" s="2">
        <f t="shared" si="4"/>
        <v>-8.4330348959881099E-19</v>
      </c>
      <c r="AC31" s="2">
        <f t="shared" si="5"/>
        <v>2.5206367117521925E-17</v>
      </c>
      <c r="AD31" s="2">
        <f t="shared" si="6"/>
        <v>7.4505805969238281E-9</v>
      </c>
      <c r="AF31" s="2">
        <v>27</v>
      </c>
      <c r="AG31" s="2">
        <f t="shared" si="13"/>
        <v>2368.5148730874062</v>
      </c>
      <c r="AH31" s="2">
        <v>-0.13041861726856041</v>
      </c>
      <c r="AI31" s="2">
        <f t="shared" si="14"/>
        <v>2368.5150146484375</v>
      </c>
      <c r="AJ31" s="2">
        <v>0.11253391471950636</v>
      </c>
      <c r="AK31" s="2">
        <f t="shared" si="9"/>
        <v>2368.5149438679218</v>
      </c>
      <c r="AL31" s="2">
        <v>-0.13035796969711555</v>
      </c>
      <c r="AM31" s="2">
        <f t="shared" si="10"/>
        <v>1.7001106157834709E-2</v>
      </c>
      <c r="AN31" s="2">
        <f t="shared" si="11"/>
        <v>-1.4669692644903195E-2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758.23</v>
      </c>
      <c r="L32" s="6" t="s">
        <v>7</v>
      </c>
      <c r="U32" s="2">
        <v>28</v>
      </c>
      <c r="V32" s="2">
        <f t="shared" si="7"/>
        <v>5.309189110994339E-2</v>
      </c>
      <c r="W32" s="2">
        <f t="shared" si="0"/>
        <v>2.4162003647854036E-10</v>
      </c>
      <c r="X32" s="2">
        <f t="shared" si="8"/>
        <v>5.3091894835233688E-2</v>
      </c>
      <c r="Y32" s="2">
        <f t="shared" si="1"/>
        <v>-3.4902051249119381E-9</v>
      </c>
      <c r="Z32" s="2">
        <f t="shared" si="3"/>
        <v>5.3091892972588539E-2</v>
      </c>
      <c r="AA32" s="2">
        <f t="shared" si="2"/>
        <v>-1.6242925476861458E-9</v>
      </c>
      <c r="AB32" s="2">
        <f t="shared" si="4"/>
        <v>-3.9246162462374781E-19</v>
      </c>
      <c r="AC32" s="2">
        <f t="shared" si="5"/>
        <v>5.6691141742904549E-18</v>
      </c>
      <c r="AD32" s="2">
        <f t="shared" si="6"/>
        <v>3.7252902984619141E-9</v>
      </c>
      <c r="AF32" s="2">
        <v>28</v>
      </c>
      <c r="AG32" s="2">
        <f t="shared" si="13"/>
        <v>2368.5149438679218</v>
      </c>
      <c r="AH32" s="2">
        <v>-0.13041861726856041</v>
      </c>
      <c r="AI32" s="2">
        <f t="shared" si="14"/>
        <v>2368.5150146484375</v>
      </c>
      <c r="AJ32" s="2">
        <v>0.11253391471950636</v>
      </c>
      <c r="AK32" s="2">
        <f t="shared" si="9"/>
        <v>2368.5149792581797</v>
      </c>
      <c r="AL32" s="2">
        <v>-0.1303931199249746</v>
      </c>
      <c r="AM32" s="2">
        <f t="shared" si="10"/>
        <v>1.7005690401948759E-2</v>
      </c>
      <c r="AN32" s="2">
        <f t="shared" si="11"/>
        <v>-1.4673648237647456E-2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2" t="s">
        <v>156</v>
      </c>
      <c r="G33" s="33"/>
      <c r="H33" s="33"/>
      <c r="J33" s="19" t="s">
        <v>78</v>
      </c>
      <c r="K33" s="6">
        <f>ROUND(SUM(K14:K17),2)</f>
        <v>663.31</v>
      </c>
      <c r="L33" s="6" t="s">
        <v>7</v>
      </c>
      <c r="U33" s="2">
        <v>29</v>
      </c>
      <c r="V33" s="2">
        <f t="shared" si="7"/>
        <v>5.309189110994339E-2</v>
      </c>
      <c r="W33" s="2">
        <f t="shared" si="0"/>
        <v>2.4162003647854036E-10</v>
      </c>
      <c r="X33" s="2">
        <f t="shared" si="8"/>
        <v>5.3091892972588539E-2</v>
      </c>
      <c r="Y33" s="2">
        <f t="shared" si="1"/>
        <v>-1.6242925476861458E-9</v>
      </c>
      <c r="Z33" s="2">
        <f t="shared" si="3"/>
        <v>5.3091892041265965E-2</v>
      </c>
      <c r="AA33" s="2">
        <f t="shared" si="2"/>
        <v>-6.9133625213435579E-10</v>
      </c>
      <c r="AB33" s="2">
        <f t="shared" si="4"/>
        <v>-1.6704069045964042E-19</v>
      </c>
      <c r="AC33" s="2">
        <f t="shared" si="5"/>
        <v>1.1229323222871044E-18</v>
      </c>
      <c r="AD33" s="2">
        <f t="shared" si="6"/>
        <v>1.862645149230957E-9</v>
      </c>
      <c r="AF33" s="2">
        <v>29</v>
      </c>
      <c r="AG33" s="2">
        <f t="shared" si="13"/>
        <v>2368.5149792581797</v>
      </c>
      <c r="AH33" s="2">
        <v>-0.13041861726856041</v>
      </c>
      <c r="AI33" s="2">
        <f t="shared" si="14"/>
        <v>2368.5150146484375</v>
      </c>
      <c r="AJ33" s="2">
        <v>0.11253391471950636</v>
      </c>
      <c r="AK33" s="2">
        <f t="shared" si="9"/>
        <v>2368.5149969533086</v>
      </c>
      <c r="AL33" s="2">
        <v>-0.13040586859688119</v>
      </c>
      <c r="AM33" s="2">
        <f t="shared" si="10"/>
        <v>1.7007353066110828E-2</v>
      </c>
      <c r="AN33" s="2">
        <f t="shared" si="11"/>
        <v>-1.4675082895604581E-2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199.63</v>
      </c>
      <c r="L34" s="6" t="s">
        <v>7</v>
      </c>
      <c r="U34" s="2">
        <v>30</v>
      </c>
      <c r="V34" s="2">
        <f t="shared" si="7"/>
        <v>5.309189110994339E-2</v>
      </c>
      <c r="W34" s="2">
        <f t="shared" si="0"/>
        <v>2.4162003647854036E-10</v>
      </c>
      <c r="X34" s="2">
        <f t="shared" si="8"/>
        <v>5.3091892041265965E-2</v>
      </c>
      <c r="Y34" s="2">
        <f t="shared" si="1"/>
        <v>-6.9133625213435579E-10</v>
      </c>
      <c r="Z34" s="2">
        <f t="shared" si="3"/>
        <v>5.3091891575604677E-2</v>
      </c>
      <c r="AA34" s="2">
        <f t="shared" si="2"/>
        <v>-2.2485811129735467E-10</v>
      </c>
      <c r="AB34" s="2">
        <f t="shared" si="4"/>
        <v>-5.4330225054162522E-20</v>
      </c>
      <c r="AC34" s="2">
        <f t="shared" si="5"/>
        <v>1.5545256392632302E-19</v>
      </c>
      <c r="AD34" s="2">
        <f>X34-V34</f>
        <v>9.3132257461547852E-10</v>
      </c>
      <c r="AF34" s="2">
        <v>30</v>
      </c>
      <c r="AG34" s="2">
        <f t="shared" si="13"/>
        <v>2368.5149969533086</v>
      </c>
      <c r="AH34" s="2">
        <v>-0.13041861726856041</v>
      </c>
      <c r="AI34" s="2">
        <f t="shared" si="14"/>
        <v>2368.5150146484375</v>
      </c>
      <c r="AJ34" s="2">
        <v>0.11253391471950636</v>
      </c>
      <c r="AK34" s="2">
        <f t="shared" si="9"/>
        <v>2368.515005800873</v>
      </c>
      <c r="AL34" s="2">
        <v>-0.13041224293328924</v>
      </c>
      <c r="AM34" s="2">
        <f t="shared" si="10"/>
        <v>1.7008184398251171E-2</v>
      </c>
      <c r="AN34" s="2">
        <f t="shared" si="11"/>
        <v>-1.4675800224634316E-2</v>
      </c>
      <c r="AO34" s="2">
        <f t="shared" si="12"/>
        <v>1.7695128917694092E-5</v>
      </c>
    </row>
    <row r="35" spans="2:41" x14ac:dyDescent="0.2">
      <c r="B35" s="29" t="s">
        <v>2</v>
      </c>
      <c r="C35" s="29"/>
      <c r="D35" s="29"/>
      <c r="F35" s="26" t="s">
        <v>132</v>
      </c>
      <c r="G35" s="25">
        <f xml:space="preserve"> G22</f>
        <v>248.49803895621147</v>
      </c>
      <c r="H35" s="25" t="s">
        <v>101</v>
      </c>
      <c r="J35" s="15" t="s">
        <v>70</v>
      </c>
      <c r="K35" s="6">
        <f>ROUND(SUM(K23:K26),2)</f>
        <v>147.22</v>
      </c>
      <c r="L35" s="6" t="s">
        <v>7</v>
      </c>
      <c r="AF35" s="2">
        <v>31</v>
      </c>
      <c r="AG35" s="2">
        <f t="shared" si="13"/>
        <v>2368.515005800873</v>
      </c>
      <c r="AH35" s="2">
        <v>-0.13041861726856041</v>
      </c>
      <c r="AI35" s="2">
        <f t="shared" si="14"/>
        <v>2368.5150146484375</v>
      </c>
      <c r="AJ35" s="2">
        <v>0.11253391471950636</v>
      </c>
      <c r="AK35" s="2">
        <f t="shared" si="9"/>
        <v>2368.5150102246553</v>
      </c>
      <c r="AL35" s="2">
        <v>-0.13041543010012902</v>
      </c>
      <c r="AM35" s="2">
        <f t="shared" si="10"/>
        <v>1.7008600064143418E-2</v>
      </c>
      <c r="AN35" s="2">
        <f t="shared" si="11"/>
        <v>-1.4676158888995662E-2</v>
      </c>
      <c r="AO35" s="2">
        <f t="shared" si="12"/>
        <v>8.8475644588470459E-6</v>
      </c>
    </row>
    <row r="36" spans="2:41" x14ac:dyDescent="0.2">
      <c r="B36" s="6" t="s">
        <v>3</v>
      </c>
      <c r="C36" s="17">
        <v>400</v>
      </c>
      <c r="D36" s="6" t="s">
        <v>4</v>
      </c>
      <c r="J36" s="10" t="s">
        <v>59</v>
      </c>
      <c r="K36" s="10">
        <f>SUM(K31:K35)</f>
        <v>2368.39</v>
      </c>
      <c r="L36" s="6" t="s">
        <v>7</v>
      </c>
      <c r="AF36" s="2">
        <v>32</v>
      </c>
      <c r="AG36" s="2">
        <f t="shared" si="13"/>
        <v>2368.5150102246553</v>
      </c>
      <c r="AH36" s="2">
        <v>-0.13041861726856041</v>
      </c>
      <c r="AI36" s="2">
        <f t="shared" si="14"/>
        <v>2368.5150146484375</v>
      </c>
      <c r="AJ36" s="2">
        <v>0.11253391471950636</v>
      </c>
      <c r="AK36" s="2">
        <f t="shared" si="9"/>
        <v>2368.5150124365464</v>
      </c>
      <c r="AL36" s="2">
        <v>-0.1304170236844584</v>
      </c>
      <c r="AM36" s="2">
        <f t="shared" si="10"/>
        <v>1.7008807897208159E-2</v>
      </c>
      <c r="AN36" s="2">
        <f t="shared" si="11"/>
        <v>-1.4676338221278682E-2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2368.5150124365464</v>
      </c>
      <c r="AH37" s="2">
        <v>-0.13041861726856041</v>
      </c>
      <c r="AI37" s="2">
        <f t="shared" si="14"/>
        <v>2368.5150146484375</v>
      </c>
      <c r="AJ37" s="2">
        <v>0.11253391471950636</v>
      </c>
      <c r="AK37" s="2">
        <f t="shared" si="9"/>
        <v>2368.5150135424919</v>
      </c>
      <c r="AL37" s="2">
        <v>-0.13041782047685047</v>
      </c>
      <c r="AM37" s="2">
        <f t="shared" si="10"/>
        <v>1.7008911813770181E-2</v>
      </c>
      <c r="AN37" s="2">
        <f t="shared" si="11"/>
        <v>-1.4676427887445781E-2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9" t="s">
        <v>56</v>
      </c>
      <c r="K38" s="29"/>
      <c r="L38" s="29"/>
      <c r="AF38" s="2">
        <v>34</v>
      </c>
      <c r="AG38" s="2">
        <f t="shared" si="13"/>
        <v>2368.5150135424919</v>
      </c>
      <c r="AH38" s="2">
        <v>-0.13041861726856041</v>
      </c>
      <c r="AI38" s="2">
        <f t="shared" si="14"/>
        <v>2368.5150146484375</v>
      </c>
      <c r="AJ38" s="2">
        <v>0.11253391471950636</v>
      </c>
      <c r="AK38" s="2">
        <f t="shared" si="9"/>
        <v>2368.5150140954647</v>
      </c>
      <c r="AL38" s="2">
        <v>-0.13041821887372862</v>
      </c>
      <c r="AM38" s="2">
        <f t="shared" si="10"/>
        <v>1.7008963772140156E-2</v>
      </c>
      <c r="AN38" s="2">
        <f t="shared" si="11"/>
        <v>-1.4676472720606092E-2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25.33</v>
      </c>
      <c r="L39" s="6" t="s">
        <v>58</v>
      </c>
      <c r="AF39" s="2">
        <v>35</v>
      </c>
      <c r="AG39" s="2">
        <f t="shared" si="13"/>
        <v>2368.5150140954647</v>
      </c>
      <c r="AH39" s="2">
        <v>-0.13041861726856041</v>
      </c>
      <c r="AI39" s="2">
        <f t="shared" si="14"/>
        <v>2368.5150146484375</v>
      </c>
      <c r="AJ39" s="2">
        <v>0.11253391471950636</v>
      </c>
      <c r="AK39" s="2">
        <f t="shared" si="9"/>
        <v>2368.5150143719511</v>
      </c>
      <c r="AL39" s="2">
        <v>-0.13041841807034871</v>
      </c>
      <c r="AM39" s="2">
        <f t="shared" si="10"/>
        <v>1.7008989751087909E-2</v>
      </c>
      <c r="AN39" s="2">
        <f t="shared" si="11"/>
        <v>-1.4676495136981549E-2</v>
      </c>
      <c r="AO39" s="2">
        <f t="shared" si="12"/>
        <v>5.5297277867794037E-7</v>
      </c>
    </row>
    <row r="40" spans="2:41" x14ac:dyDescent="0.2">
      <c r="B40" s="29" t="s">
        <v>144</v>
      </c>
      <c r="C40" s="30"/>
      <c r="D40" s="30"/>
      <c r="J40" s="11" t="s">
        <v>52</v>
      </c>
      <c r="K40" s="6">
        <f>ROUND(K13/$C$5 * 100, 2)</f>
        <v>32.01</v>
      </c>
      <c r="L40" s="6" t="s">
        <v>58</v>
      </c>
      <c r="AF40" s="2">
        <v>36</v>
      </c>
      <c r="AG40" s="2">
        <f t="shared" si="13"/>
        <v>2368.5150143719511</v>
      </c>
      <c r="AH40" s="2">
        <v>-0.13041861726856041</v>
      </c>
      <c r="AI40" s="2">
        <f t="shared" si="14"/>
        <v>2368.5150146484375</v>
      </c>
      <c r="AJ40" s="2">
        <v>0.11253391471950636</v>
      </c>
      <c r="AK40" s="2">
        <f t="shared" si="9"/>
        <v>2368.5150145101943</v>
      </c>
      <c r="AL40" s="2">
        <v>-0.13041851766979562</v>
      </c>
      <c r="AM40" s="2">
        <f t="shared" si="10"/>
        <v>1.7009002740710058E-2</v>
      </c>
      <c r="AN40" s="2">
        <f t="shared" si="11"/>
        <v>-1.4676506345297213E-2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28.01</v>
      </c>
      <c r="L41" s="6" t="s">
        <v>58</v>
      </c>
      <c r="AF41" s="2">
        <v>37</v>
      </c>
      <c r="AG41" s="2">
        <f t="shared" si="13"/>
        <v>2368.5150145101943</v>
      </c>
      <c r="AH41" s="2">
        <v>-0.13041861726856041</v>
      </c>
      <c r="AI41" s="2">
        <f t="shared" si="14"/>
        <v>2368.5150146484375</v>
      </c>
      <c r="AJ41" s="2">
        <v>0.11253391471950636</v>
      </c>
      <c r="AK41" s="2">
        <f t="shared" si="9"/>
        <v>2368.5150145793159</v>
      </c>
      <c r="AL41" s="2">
        <v>-0.13041856746826852</v>
      </c>
      <c r="AM41" s="2">
        <f t="shared" si="10"/>
        <v>1.7009009235358037E-2</v>
      </c>
      <c r="AN41" s="2">
        <f t="shared" si="11"/>
        <v>-1.4676511949314316E-2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8.43</v>
      </c>
      <c r="L42" s="6" t="s">
        <v>58</v>
      </c>
      <c r="AF42" s="2">
        <v>38</v>
      </c>
      <c r="AG42" s="2">
        <f t="shared" si="13"/>
        <v>2368.5150145793159</v>
      </c>
      <c r="AH42" s="2">
        <v>-0.13041861726856041</v>
      </c>
      <c r="AI42" s="2">
        <f t="shared" si="14"/>
        <v>2368.5150146484375</v>
      </c>
      <c r="AJ42" s="2">
        <v>0.11253391471950636</v>
      </c>
      <c r="AK42" s="2">
        <f t="shared" si="9"/>
        <v>2368.5150146138767</v>
      </c>
      <c r="AL42" s="2">
        <v>-0.13041859236955133</v>
      </c>
      <c r="AM42" s="2">
        <f t="shared" si="10"/>
        <v>1.7009012482948907E-2</v>
      </c>
      <c r="AN42" s="2">
        <f t="shared" si="11"/>
        <v>-1.4676514751553153E-2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6.22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2368.5150146138767</v>
      </c>
      <c r="AH43" s="2">
        <v>-0.13041861726856041</v>
      </c>
      <c r="AI43" s="2">
        <f t="shared" si="14"/>
        <v>2368.5150146484375</v>
      </c>
      <c r="AJ43" s="2">
        <v>0.11253391471950636</v>
      </c>
      <c r="AK43" s="2">
        <f t="shared" si="9"/>
        <v>2368.5150146311571</v>
      </c>
      <c r="AL43" s="2">
        <v>-0.13041860481871481</v>
      </c>
      <c r="AM43" s="2">
        <f t="shared" si="10"/>
        <v>1.7009014106551597E-2</v>
      </c>
      <c r="AN43" s="2">
        <f t="shared" si="11"/>
        <v>-1.4676516152506253E-2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2368.5150146311571</v>
      </c>
      <c r="AH44" s="2">
        <v>-0.13041861726856041</v>
      </c>
      <c r="AI44" s="2">
        <f t="shared" si="14"/>
        <v>2368.5150146484375</v>
      </c>
      <c r="AJ44" s="2">
        <v>0.11253391471950636</v>
      </c>
      <c r="AK44" s="5">
        <f>(AG44+AI44)/2</f>
        <v>2368.5150146397973</v>
      </c>
      <c r="AL44" s="2">
        <v>-0.13041861104397867</v>
      </c>
      <c r="AM44" s="2">
        <f t="shared" si="10"/>
        <v>1.7009014918441902E-2</v>
      </c>
      <c r="AN44" s="2">
        <f t="shared" si="11"/>
        <v>-1.4676516853059566E-2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9" t="s">
        <v>145</v>
      </c>
      <c r="C46" s="30"/>
      <c r="D46" s="30"/>
      <c r="J46" s="29" t="s">
        <v>56</v>
      </c>
      <c r="K46" s="29"/>
      <c r="L46" s="29"/>
      <c r="N46" s="6" t="s">
        <v>153</v>
      </c>
      <c r="O46" s="6">
        <f>G12*1000/O45</f>
        <v>2359.6082189593262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25.33</v>
      </c>
      <c r="L47" s="6" t="s">
        <v>58</v>
      </c>
      <c r="N47" s="6" t="s">
        <v>154</v>
      </c>
      <c r="O47" s="6">
        <f>0.377*O46^0.6945</f>
        <v>82.942794010308248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32.01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42.65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99.99</v>
      </c>
      <c r="L50" s="10" t="s">
        <v>58</v>
      </c>
    </row>
    <row r="52" spans="2:12" x14ac:dyDescent="0.2">
      <c r="B52" s="29" t="s">
        <v>71</v>
      </c>
      <c r="C52" s="29"/>
      <c r="D52" s="29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B1:D1"/>
    <mergeCell ref="B3:D3"/>
    <mergeCell ref="F3:H3"/>
    <mergeCell ref="J3:L3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7:L7"/>
    <mergeCell ref="J38:L38"/>
    <mergeCell ref="B40:D40"/>
    <mergeCell ref="B46:D46"/>
    <mergeCell ref="J46:L46"/>
    <mergeCell ref="B52:D52"/>
  </mergeCells>
  <conditionalFormatting sqref="K28">
    <cfRule type="containsText" dxfId="17" priority="1" operator="containsText" text="FALSE">
      <formula>NOT(ISERROR(SEARCH("FALSE",K28)))</formula>
    </cfRule>
    <cfRule type="containsText" dxfId="16" priority="2" operator="containsText" text="TRUE">
      <formula>NOT(ISERROR(SEARCH("TRUE",K28)))</formula>
    </cfRule>
    <cfRule type="cellIs" dxfId="15" priority="3" operator="equal">
      <formula>1</formula>
    </cfRule>
    <cfRule type="cellIs" dxfId="14" priority="4" operator="equal">
      <formula>TRUE</formula>
    </cfRule>
    <cfRule type="containsText" dxfId="13" priority="5" operator="containsText" text="YES">
      <formula>NOT(ISERROR(SEARCH("YES",K28)))</formula>
    </cfRule>
    <cfRule type="cellIs" dxfId="12" priority="6" operator="equal">
      <formula>"""YES"""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ED9C9-9102-7F46-A73E-D173F3ABDDC4}">
  <dimension ref="B1:AO56"/>
  <sheetViews>
    <sheetView topLeftCell="B1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5" t="s">
        <v>0</v>
      </c>
      <c r="C1" s="35"/>
      <c r="D1" s="35"/>
    </row>
    <row r="2" spans="2:41" x14ac:dyDescent="0.2">
      <c r="U2" s="16" t="s">
        <v>93</v>
      </c>
      <c r="AF2" s="16" t="s">
        <v>76</v>
      </c>
    </row>
    <row r="3" spans="2:41" x14ac:dyDescent="0.2">
      <c r="B3" s="32" t="s">
        <v>118</v>
      </c>
      <c r="C3" s="33"/>
      <c r="D3" s="33"/>
      <c r="F3" s="32" t="s">
        <v>80</v>
      </c>
      <c r="G3" s="33"/>
      <c r="H3" s="33"/>
      <c r="J3" s="29" t="s">
        <v>98</v>
      </c>
      <c r="K3" s="29"/>
      <c r="L3" s="29"/>
      <c r="N3" s="29" t="s">
        <v>92</v>
      </c>
      <c r="O3" s="29"/>
      <c r="P3" s="29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383.71252713600956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5.613175147101427E-2</v>
      </c>
      <c r="X4" s="3">
        <v>1</v>
      </c>
      <c r="Y4" s="2">
        <f t="shared" ref="Y4:Y34" si="1" xml:space="preserve"> $O$20 * TAN($O$17/180*PI()) + $O$21 / (2 * SQRT($O$20^2 + X4^2)) - X4</f>
        <v>-0.94768107914724498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-0.44597046001474239</v>
      </c>
      <c r="AB4" s="2">
        <f>W4*AA4</f>
        <v>-2.5033103024961426E-2</v>
      </c>
      <c r="AC4" s="2">
        <f>Y4*AA4</f>
        <v>0.42263776681456433</v>
      </c>
      <c r="AD4" s="2">
        <f>X4-V4</f>
        <v>1</v>
      </c>
      <c r="AF4" s="2">
        <v>0</v>
      </c>
      <c r="AG4" s="2"/>
      <c r="AH4" s="2">
        <f>K27</f>
        <v>1.8545968370517585E-2</v>
      </c>
      <c r="AI4" s="2"/>
      <c r="AJ4" s="2">
        <f>K27</f>
        <v>1.8545968370517585E-2</v>
      </c>
      <c r="AK4" s="2"/>
      <c r="AL4" s="2">
        <f>K27</f>
        <v>1.8545968370517585E-2</v>
      </c>
      <c r="AM4" s="2"/>
      <c r="AN4" s="2"/>
      <c r="AO4" s="2"/>
    </row>
    <row r="5" spans="2:41" x14ac:dyDescent="0.2">
      <c r="B5" s="10" t="s">
        <v>37</v>
      </c>
      <c r="C5" s="10">
        <v>2134.7035420050202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95.928131784002389</v>
      </c>
      <c r="L5" s="6" t="s">
        <v>101</v>
      </c>
      <c r="N5" s="6" t="s">
        <v>114</v>
      </c>
      <c r="O5" s="6">
        <f xml:space="preserve"> $C$18 * 0.85 * ($C$5/$C$18 *2.20462/1000)^(2/3) * 0.3048^2</f>
        <v>0.35203274108067834</v>
      </c>
      <c r="P5" s="6" t="s">
        <v>115</v>
      </c>
      <c r="U5" s="2">
        <v>1</v>
      </c>
      <c r="V5" s="2">
        <f>IF(AB4&gt;0, Z4, V4)</f>
        <v>0</v>
      </c>
      <c r="W5" s="2">
        <f t="shared" si="0"/>
        <v>5.613175147101427E-2</v>
      </c>
      <c r="X5" s="2">
        <f>IF(AC4&gt;0, Z4, X4)</f>
        <v>0.5</v>
      </c>
      <c r="Y5" s="2">
        <f t="shared" si="1"/>
        <v>-0.44597046001474239</v>
      </c>
      <c r="Z5" s="2">
        <f t="shared" ref="Z5:Z34" si="3" xml:space="preserve"> (V5 + X5)/2</f>
        <v>0.25</v>
      </c>
      <c r="AA5" s="2">
        <f t="shared" si="2"/>
        <v>-0.19465371933654402</v>
      </c>
      <c r="AB5" s="2">
        <f t="shared" ref="AB5:AB34" si="4">W5*AA5</f>
        <v>-1.0926254196707454E-2</v>
      </c>
      <c r="AC5" s="2">
        <f t="shared" ref="AC5:AC34" si="5">Y5*AA5</f>
        <v>8.6809808756099088E-2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-1472.7316712685206</v>
      </c>
      <c r="AI5" s="3">
        <v>10000</v>
      </c>
      <c r="AJ5" s="2">
        <f t="dataTable" ref="AJ5:AJ44" dt2D="0" dtr="0" r1="C5" ca="1"/>
        <v>6151.1241463283377</v>
      </c>
      <c r="AK5" s="2">
        <f>(AG5+AI5)/2</f>
        <v>5250</v>
      </c>
      <c r="AL5" s="2">
        <f t="dataTable" ref="AL5:AL44" dt2D="0" dtr="0" r1="C5" ca="1"/>
        <v>2635.0056008604579</v>
      </c>
      <c r="AM5" s="2">
        <f>AH5*AL5</f>
        <v>-3880656.2023571343</v>
      </c>
      <c r="AN5" s="2">
        <f>AJ5*AL5</f>
        <v>16208246.577163173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5.613175147101427E-2</v>
      </c>
      <c r="X6" s="2">
        <f t="shared" ref="X6:X34" si="8">IF(AC5&gt;0, Z5, X5)</f>
        <v>0.25</v>
      </c>
      <c r="Y6" s="2">
        <f t="shared" si="1"/>
        <v>-0.19465371933654402</v>
      </c>
      <c r="Z6" s="2">
        <f t="shared" si="3"/>
        <v>0.125</v>
      </c>
      <c r="AA6" s="2">
        <f t="shared" si="2"/>
        <v>-6.9094082245273677E-2</v>
      </c>
      <c r="AB6" s="2">
        <f t="shared" si="4"/>
        <v>-3.8783718527095217E-3</v>
      </c>
      <c r="AC6" s="2">
        <f t="shared" si="5"/>
        <v>1.3449420093187591E-2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-1472.7316712685206</v>
      </c>
      <c r="AI6" s="2">
        <f>IF(AN5&gt;0, AK5, AI5)</f>
        <v>5250</v>
      </c>
      <c r="AJ6" s="2">
        <v>2635.0056008604579</v>
      </c>
      <c r="AK6" s="2">
        <f t="shared" ref="AK6:AK43" si="9">(AG6+AI6)/2</f>
        <v>2875</v>
      </c>
      <c r="AL6" s="2">
        <v>650.65116914719579</v>
      </c>
      <c r="AM6" s="2">
        <f t="shared" ref="AM6:AM44" si="10">AH6*AL6</f>
        <v>-958234.58375096659</v>
      </c>
      <c r="AN6" s="2">
        <f t="shared" ref="AN6:AN44" si="11">AJ6*AL6</f>
        <v>1714469.474909266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377.06789735604701</v>
      </c>
      <c r="D7" s="6" t="s">
        <v>125</v>
      </c>
      <c r="F7" t="s">
        <v>121</v>
      </c>
      <c r="G7" s="8">
        <f>$C$6*2*PI()/60*$C$9</f>
        <v>152.0210902715402</v>
      </c>
      <c r="H7" s="6" t="s">
        <v>10</v>
      </c>
      <c r="J7" s="29" t="s">
        <v>21</v>
      </c>
      <c r="K7" s="29"/>
      <c r="L7" s="29"/>
      <c r="N7" s="6" t="s">
        <v>159</v>
      </c>
      <c r="O7" s="6">
        <f>O5+$O$6</f>
        <v>0.98230936441577432</v>
      </c>
      <c r="P7" s="6" t="s">
        <v>115</v>
      </c>
      <c r="U7" s="2">
        <v>3</v>
      </c>
      <c r="V7" s="2">
        <f t="shared" si="7"/>
        <v>0</v>
      </c>
      <c r="W7" s="2">
        <f t="shared" si="0"/>
        <v>5.613175147101427E-2</v>
      </c>
      <c r="X7" s="2">
        <f t="shared" si="8"/>
        <v>0.125</v>
      </c>
      <c r="Y7" s="2">
        <f t="shared" si="1"/>
        <v>-6.9094082245273677E-2</v>
      </c>
      <c r="Z7" s="2">
        <f t="shared" si="3"/>
        <v>6.25E-2</v>
      </c>
      <c r="AA7" s="2">
        <f t="shared" si="2"/>
        <v>-6.4269520322232307E-3</v>
      </c>
      <c r="AB7" s="2">
        <f t="shared" si="4"/>
        <v>-3.6075607418888447E-4</v>
      </c>
      <c r="AC7" s="2">
        <f t="shared" si="5"/>
        <v>4.4406435230086072E-4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-1472.7316712685206</v>
      </c>
      <c r="AI7" s="2">
        <f t="shared" ref="AI7:AI44" si="14">IF(AN6&gt;0, AK6, AI6)</f>
        <v>2875</v>
      </c>
      <c r="AJ7" s="2">
        <v>650.65116914719579</v>
      </c>
      <c r="AK7" s="2">
        <f t="shared" si="9"/>
        <v>1687.5</v>
      </c>
      <c r="AL7" s="2">
        <v>-399.02563449172089</v>
      </c>
      <c r="AM7" s="2">
        <f t="shared" si="10"/>
        <v>587657.68956397392</v>
      </c>
      <c r="AN7" s="2">
        <f t="shared" si="11"/>
        <v>-259626.49560173982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0.45526617543374598</v>
      </c>
      <c r="H8" s="6" t="s">
        <v>122</v>
      </c>
      <c r="J8" s="6" t="s">
        <v>96</v>
      </c>
      <c r="K8" s="6">
        <f xml:space="preserve"> $C$15 * (G12*G6 + G22*G15 + G31*G27 +G35*G34)/3600</f>
        <v>196.17402559811583</v>
      </c>
      <c r="L8" s="6" t="s">
        <v>102</v>
      </c>
      <c r="N8" s="6" t="s">
        <v>38</v>
      </c>
      <c r="O8" s="6">
        <f xml:space="preserve"> O4 *O7</f>
        <v>2227.3509100627184</v>
      </c>
      <c r="P8" s="6" t="s">
        <v>20</v>
      </c>
      <c r="U8" s="2">
        <v>4</v>
      </c>
      <c r="V8" s="2">
        <f t="shared" si="7"/>
        <v>0</v>
      </c>
      <c r="W8" s="2">
        <f t="shared" si="0"/>
        <v>5.613175147101427E-2</v>
      </c>
      <c r="X8" s="2">
        <f t="shared" si="8"/>
        <v>6.25E-2</v>
      </c>
      <c r="Y8" s="2">
        <f t="shared" si="1"/>
        <v>-6.4269520322232307E-3</v>
      </c>
      <c r="Z8" s="2">
        <f t="shared" si="3"/>
        <v>3.125E-2</v>
      </c>
      <c r="AA8" s="2">
        <f t="shared" si="2"/>
        <v>2.4866927426197949E-2</v>
      </c>
      <c r="AB8" s="2">
        <f t="shared" si="4"/>
        <v>1.3958241901350919E-3</v>
      </c>
      <c r="AC8" s="2">
        <f t="shared" si="5"/>
        <v>-1.5981854975695049E-4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-399.02563449172089</v>
      </c>
      <c r="AI8" s="2">
        <f t="shared" si="14"/>
        <v>2875</v>
      </c>
      <c r="AJ8" s="2">
        <v>650.65116914719579</v>
      </c>
      <c r="AK8" s="2">
        <f t="shared" si="9"/>
        <v>2281.25</v>
      </c>
      <c r="AL8" s="2">
        <v>129.83496201262187</v>
      </c>
      <c r="AM8" s="2">
        <f t="shared" si="10"/>
        <v>-51807.478096294923</v>
      </c>
      <c r="AN8" s="2">
        <f t="shared" si="11"/>
        <v>84477.269829694167</v>
      </c>
      <c r="AO8" s="2">
        <f t="shared" si="12"/>
        <v>1187.5</v>
      </c>
    </row>
    <row r="9" spans="2:41" x14ac:dyDescent="0.2">
      <c r="B9" s="6" t="s">
        <v>95</v>
      </c>
      <c r="C9" s="17">
        <v>3.6292361956402299</v>
      </c>
      <c r="D9" s="6" t="s">
        <v>8</v>
      </c>
      <c r="F9" t="s">
        <v>19</v>
      </c>
      <c r="G9" s="6">
        <f xml:space="preserve"> $C$5 * $C$44 / $C$18</f>
        <v>5230.8194913373236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2227.3509100627184</v>
      </c>
      <c r="P9" s="6" t="s">
        <v>20</v>
      </c>
      <c r="U9" s="2">
        <v>5</v>
      </c>
      <c r="V9" s="2">
        <f t="shared" si="7"/>
        <v>3.125E-2</v>
      </c>
      <c r="W9" s="2">
        <f t="shared" si="0"/>
        <v>2.4866927426197949E-2</v>
      </c>
      <c r="X9" s="2">
        <f t="shared" si="8"/>
        <v>6.25E-2</v>
      </c>
      <c r="Y9" s="2">
        <f t="shared" si="1"/>
        <v>-6.4269520322232307E-3</v>
      </c>
      <c r="Z9" s="2">
        <f t="shared" si="3"/>
        <v>4.6875E-2</v>
      </c>
      <c r="AA9" s="2">
        <f t="shared" si="2"/>
        <v>9.2235371834995458E-3</v>
      </c>
      <c r="AB9" s="2">
        <f t="shared" si="4"/>
        <v>2.2936102975492143E-4</v>
      </c>
      <c r="AC9" s="2">
        <f t="shared" si="5"/>
        <v>-5.9279231045778937E-5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-399.02563449172089</v>
      </c>
      <c r="AI9" s="2">
        <f t="shared" si="14"/>
        <v>2281.25</v>
      </c>
      <c r="AJ9" s="2">
        <v>129.83496201262187</v>
      </c>
      <c r="AK9" s="2">
        <f t="shared" si="9"/>
        <v>1984.375</v>
      </c>
      <c r="AL9" s="2">
        <v>-133.64242665925963</v>
      </c>
      <c r="AM9" s="2">
        <f t="shared" si="10"/>
        <v>53326.754092724346</v>
      </c>
      <c r="AN9" s="2">
        <f t="shared" si="11"/>
        <v>-17351.459388579577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63.95208785600159</v>
      </c>
      <c r="H10" s="6" t="s">
        <v>101</v>
      </c>
      <c r="N10" s="6" t="s">
        <v>113</v>
      </c>
      <c r="O10" s="6">
        <f>O7/(0.3048^2)/($C$5*2.20462/1000)^(2/3)</f>
        <v>3.7650505933005913</v>
      </c>
      <c r="U10" s="2">
        <v>6</v>
      </c>
      <c r="V10" s="2">
        <f t="shared" si="7"/>
        <v>4.6875E-2</v>
      </c>
      <c r="W10" s="2">
        <f t="shared" si="0"/>
        <v>9.2235371834995458E-3</v>
      </c>
      <c r="X10" s="2">
        <f t="shared" si="8"/>
        <v>6.25E-2</v>
      </c>
      <c r="Y10" s="2">
        <f t="shared" si="1"/>
        <v>-6.4269520322232307E-3</v>
      </c>
      <c r="Z10" s="2">
        <f t="shared" si="3"/>
        <v>5.46875E-2</v>
      </c>
      <c r="AA10" s="2">
        <f t="shared" si="2"/>
        <v>1.3991658842138696E-3</v>
      </c>
      <c r="AB10" s="2">
        <f t="shared" si="4"/>
        <v>1.2905258558930647E-5</v>
      </c>
      <c r="AC10" s="2">
        <f t="shared" si="5"/>
        <v>-8.9923720229657421E-6</v>
      </c>
      <c r="AD10" s="2">
        <f t="shared" si="6"/>
        <v>1.5625E-2</v>
      </c>
      <c r="AF10" s="2">
        <v>6</v>
      </c>
      <c r="AG10" s="2">
        <f t="shared" si="13"/>
        <v>1984.375</v>
      </c>
      <c r="AH10" s="2">
        <v>-133.64242665925963</v>
      </c>
      <c r="AI10" s="2">
        <f t="shared" si="14"/>
        <v>2281.25</v>
      </c>
      <c r="AJ10" s="2">
        <v>129.83496201262187</v>
      </c>
      <c r="AK10" s="2">
        <f t="shared" si="9"/>
        <v>2132.8125</v>
      </c>
      <c r="AL10" s="2">
        <v>-1.65974145298037</v>
      </c>
      <c r="AM10" s="2">
        <f t="shared" si="10"/>
        <v>221.81187540326212</v>
      </c>
      <c r="AN10" s="2">
        <f t="shared" si="11"/>
        <v>-215.49246849848018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8.3449329551665627</v>
      </c>
      <c r="H11" s="6" t="s">
        <v>147</v>
      </c>
      <c r="J11" s="32" t="s">
        <v>51</v>
      </c>
      <c r="K11" s="32"/>
      <c r="L11" s="32"/>
      <c r="U11" s="2">
        <v>7</v>
      </c>
      <c r="V11" s="2">
        <f t="shared" si="7"/>
        <v>5.46875E-2</v>
      </c>
      <c r="W11" s="2">
        <f t="shared" si="0"/>
        <v>1.3991658842138696E-3</v>
      </c>
      <c r="X11" s="2">
        <f t="shared" si="8"/>
        <v>6.25E-2</v>
      </c>
      <c r="Y11" s="2">
        <f t="shared" si="1"/>
        <v>-6.4269520322232307E-3</v>
      </c>
      <c r="Z11" s="2">
        <f t="shared" si="3"/>
        <v>5.859375E-2</v>
      </c>
      <c r="AA11" s="2">
        <f t="shared" si="2"/>
        <v>-2.5136767259048842E-3</v>
      </c>
      <c r="AB11" s="2">
        <f t="shared" si="4"/>
        <v>-3.517050718828532E-6</v>
      </c>
      <c r="AC11" s="2">
        <f t="shared" si="5"/>
        <v>1.6155279741906631E-5</v>
      </c>
      <c r="AD11" s="2">
        <f t="shared" si="6"/>
        <v>7.8125E-3</v>
      </c>
      <c r="AF11" s="2">
        <v>7</v>
      </c>
      <c r="AG11" s="2">
        <f t="shared" si="13"/>
        <v>2132.8125</v>
      </c>
      <c r="AH11" s="2">
        <v>-1.65974145298037</v>
      </c>
      <c r="AI11" s="2">
        <f t="shared" si="14"/>
        <v>2281.25</v>
      </c>
      <c r="AJ11" s="2">
        <v>129.83496201262187</v>
      </c>
      <c r="AK11" s="2">
        <f t="shared" si="9"/>
        <v>2207.03125</v>
      </c>
      <c r="AL11" s="2">
        <v>64.149290901891618</v>
      </c>
      <c r="AM11" s="2">
        <f t="shared" si="10"/>
        <v>-106.47123728916603</v>
      </c>
      <c r="AN11" s="2">
        <f t="shared" si="11"/>
        <v>8328.8207473837283</v>
      </c>
      <c r="AO11" s="2">
        <f t="shared" si="12"/>
        <v>148.4375</v>
      </c>
    </row>
    <row r="12" spans="2:41" x14ac:dyDescent="0.2">
      <c r="B12" s="29" t="s">
        <v>11</v>
      </c>
      <c r="C12" s="29"/>
      <c r="D12" s="29"/>
      <c r="F12" s="24" t="s">
        <v>82</v>
      </c>
      <c r="G12" s="25">
        <f xml:space="preserve"> 1/1000 * (($C$5*$C$44)/$C$21 * ( ($G$4/2) + SQRT( ($G$4/2)^2 + ($C$5*$C$44) / (2*$C$41*PI()*$C$9^2 * $C$18) ) ) )</f>
        <v>255.80835142400636</v>
      </c>
      <c r="H12" s="25" t="s">
        <v>101</v>
      </c>
      <c r="J12" s="10" t="s">
        <v>79</v>
      </c>
      <c r="K12" s="6">
        <f>C5</f>
        <v>2134.7035420050202</v>
      </c>
      <c r="L12" s="6" t="s">
        <v>7</v>
      </c>
      <c r="N12" s="32" t="s">
        <v>73</v>
      </c>
      <c r="O12" s="34"/>
      <c r="P12" s="34"/>
      <c r="U12" s="2">
        <v>8</v>
      </c>
      <c r="V12" s="2">
        <f t="shared" si="7"/>
        <v>5.46875E-2</v>
      </c>
      <c r="W12" s="2">
        <f t="shared" si="0"/>
        <v>1.3991658842138696E-3</v>
      </c>
      <c r="X12" s="2">
        <f t="shared" si="8"/>
        <v>5.859375E-2</v>
      </c>
      <c r="Y12" s="2">
        <f t="shared" si="1"/>
        <v>-2.5136767259048842E-3</v>
      </c>
      <c r="Z12" s="2">
        <f t="shared" si="3"/>
        <v>5.6640625E-2</v>
      </c>
      <c r="AA12" s="2">
        <f t="shared" si="2"/>
        <v>-5.5720107688215365E-4</v>
      </c>
      <c r="AB12" s="2">
        <f t="shared" si="4"/>
        <v>-7.796167374207388E-7</v>
      </c>
      <c r="AC12" s="2">
        <f t="shared" si="5"/>
        <v>1.4006233786078076E-6</v>
      </c>
      <c r="AD12" s="2">
        <f t="shared" si="6"/>
        <v>3.90625E-3</v>
      </c>
      <c r="AF12" s="2">
        <v>8</v>
      </c>
      <c r="AG12" s="2">
        <f t="shared" si="13"/>
        <v>2132.8125</v>
      </c>
      <c r="AH12" s="2">
        <v>-1.65974145298037</v>
      </c>
      <c r="AI12" s="2">
        <f t="shared" si="14"/>
        <v>2207.03125</v>
      </c>
      <c r="AJ12" s="2">
        <v>64.149290901891618</v>
      </c>
      <c r="AK12" s="2">
        <f t="shared" si="9"/>
        <v>2169.921875</v>
      </c>
      <c r="AL12" s="2">
        <v>31.26010933854559</v>
      </c>
      <c r="AM12" s="2">
        <f t="shared" si="10"/>
        <v>-51.883699293882891</v>
      </c>
      <c r="AN12" s="2">
        <f t="shared" si="11"/>
        <v>2005.3138475832998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524.52948020886583</v>
      </c>
      <c r="L13" s="6" t="s">
        <v>7</v>
      </c>
      <c r="N13" s="6" t="s">
        <v>74</v>
      </c>
      <c r="O13" s="6">
        <f xml:space="preserve"> SQRT( ($C$5*$C$50)^2 + O9^2)</f>
        <v>21039.508253751239</v>
      </c>
      <c r="P13" s="6" t="s">
        <v>20</v>
      </c>
      <c r="U13" s="2">
        <v>9</v>
      </c>
      <c r="V13" s="2">
        <f t="shared" si="7"/>
        <v>5.46875E-2</v>
      </c>
      <c r="W13" s="2">
        <f t="shared" si="0"/>
        <v>1.3991658842138696E-3</v>
      </c>
      <c r="X13" s="2">
        <f t="shared" si="8"/>
        <v>5.6640625E-2</v>
      </c>
      <c r="Y13" s="2">
        <f t="shared" si="1"/>
        <v>-5.5720107688215365E-4</v>
      </c>
      <c r="Z13" s="2">
        <f t="shared" si="3"/>
        <v>5.56640625E-2</v>
      </c>
      <c r="AA13" s="2">
        <f t="shared" si="2"/>
        <v>4.2099602094783362E-4</v>
      </c>
      <c r="AB13" s="2">
        <f t="shared" si="4"/>
        <v>5.8904326989999637E-7</v>
      </c>
      <c r="AC13" s="2">
        <f t="shared" si="5"/>
        <v>-2.3457943623523459E-7</v>
      </c>
      <c r="AD13" s="2">
        <f t="shared" si="6"/>
        <v>1.953125E-3</v>
      </c>
      <c r="AF13" s="2">
        <v>9</v>
      </c>
      <c r="AG13" s="2">
        <f t="shared" si="13"/>
        <v>2132.8125</v>
      </c>
      <c r="AH13" s="2">
        <v>-1.65974145298037</v>
      </c>
      <c r="AI13" s="2">
        <f t="shared" si="14"/>
        <v>2169.921875</v>
      </c>
      <c r="AJ13" s="2">
        <v>31.26010933854559</v>
      </c>
      <c r="AK13" s="2">
        <f t="shared" si="9"/>
        <v>2151.3671875</v>
      </c>
      <c r="AL13" s="2">
        <v>14.804003737235462</v>
      </c>
      <c r="AM13" s="2">
        <f t="shared" si="10"/>
        <v>-24.570818672766013</v>
      </c>
      <c r="AN13" s="2">
        <f t="shared" si="11"/>
        <v>462.77477547421807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2" t="s">
        <v>86</v>
      </c>
      <c r="G14" s="33"/>
      <c r="H14" s="33"/>
      <c r="J14" s="12" t="s">
        <v>126</v>
      </c>
      <c r="K14" s="6">
        <f>linear_250!K14</f>
        <v>217.80045510558458</v>
      </c>
      <c r="L14" s="6" t="s">
        <v>7</v>
      </c>
      <c r="N14" s="6" t="s">
        <v>75</v>
      </c>
      <c r="O14" s="6">
        <f>$C$5*$C$50/O13</f>
        <v>0.99438049451577548</v>
      </c>
      <c r="U14" s="2">
        <v>10</v>
      </c>
      <c r="V14" s="2">
        <f t="shared" si="7"/>
        <v>5.56640625E-2</v>
      </c>
      <c r="W14" s="2">
        <f t="shared" si="0"/>
        <v>4.2099602094783362E-4</v>
      </c>
      <c r="X14" s="2">
        <f t="shared" si="8"/>
        <v>5.6640625E-2</v>
      </c>
      <c r="Y14" s="2">
        <f t="shared" si="1"/>
        <v>-5.5720107688215365E-4</v>
      </c>
      <c r="Z14" s="2">
        <f t="shared" si="3"/>
        <v>5.615234375E-2</v>
      </c>
      <c r="AA14" s="2">
        <f t="shared" si="2"/>
        <v>-6.8099127520843128E-5</v>
      </c>
      <c r="AB14" s="2">
        <f t="shared" si="4"/>
        <v>-2.8669461716294065E-8</v>
      </c>
      <c r="AC14" s="2">
        <f t="shared" si="5"/>
        <v>3.7944907189348895E-8</v>
      </c>
      <c r="AD14" s="2">
        <f t="shared" si="6"/>
        <v>9.765625E-4</v>
      </c>
      <c r="AF14" s="2">
        <v>10</v>
      </c>
      <c r="AG14" s="2">
        <f t="shared" si="13"/>
        <v>2132.8125</v>
      </c>
      <c r="AH14" s="2">
        <v>-1.65974145298037</v>
      </c>
      <c r="AI14" s="2">
        <f t="shared" si="14"/>
        <v>2151.3671875</v>
      </c>
      <c r="AJ14" s="2">
        <v>14.804003737235462</v>
      </c>
      <c r="AK14" s="2">
        <f t="shared" si="9"/>
        <v>2142.08984375</v>
      </c>
      <c r="AL14" s="2">
        <v>6.573087984874519</v>
      </c>
      <c r="AM14" s="2">
        <f t="shared" si="10"/>
        <v>-10.909626602583446</v>
      </c>
      <c r="AN14" s="2">
        <f t="shared" si="11"/>
        <v>97.308019093259887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>linear_250!K15</f>
        <v>281.8460329751004</v>
      </c>
      <c r="L15" s="6" t="s">
        <v>7</v>
      </c>
      <c r="U15" s="2">
        <v>11</v>
      </c>
      <c r="V15" s="2">
        <f t="shared" si="7"/>
        <v>5.56640625E-2</v>
      </c>
      <c r="W15" s="2">
        <f t="shared" si="0"/>
        <v>4.2099602094783362E-4</v>
      </c>
      <c r="X15" s="2">
        <f t="shared" si="8"/>
        <v>5.615234375E-2</v>
      </c>
      <c r="Y15" s="2">
        <f t="shared" si="1"/>
        <v>-6.8099127520843128E-5</v>
      </c>
      <c r="Z15" s="2">
        <f t="shared" si="3"/>
        <v>5.5908203125E-2</v>
      </c>
      <c r="AA15" s="2">
        <f t="shared" si="2"/>
        <v>1.7644929731168435E-4</v>
      </c>
      <c r="AB15" s="2">
        <f t="shared" si="4"/>
        <v>7.4284452067260389E-8</v>
      </c>
      <c r="AC15" s="2">
        <f t="shared" si="5"/>
        <v>-1.2016043198591555E-8</v>
      </c>
      <c r="AD15" s="2">
        <f t="shared" si="6"/>
        <v>4.8828125E-4</v>
      </c>
      <c r="AF15" s="2">
        <v>11</v>
      </c>
      <c r="AG15" s="2">
        <f t="shared" si="13"/>
        <v>2132.8125</v>
      </c>
      <c r="AH15" s="2">
        <v>-1.65974145298037</v>
      </c>
      <c r="AI15" s="2">
        <f t="shared" si="14"/>
        <v>2142.08984375</v>
      </c>
      <c r="AJ15" s="2">
        <v>6.573087984874519</v>
      </c>
      <c r="AK15" s="2">
        <f t="shared" si="9"/>
        <v>2137.451171875</v>
      </c>
      <c r="AL15" s="2">
        <v>2.4569140935527685</v>
      </c>
      <c r="AM15" s="2">
        <f t="shared" si="10"/>
        <v>-4.0778421674812204</v>
      </c>
      <c r="AN15" s="2">
        <f t="shared" si="11"/>
        <v>16.149512508200573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143.3056821561587</v>
      </c>
      <c r="H16" s="6" t="s">
        <v>10</v>
      </c>
      <c r="J16" s="13" t="s">
        <v>53</v>
      </c>
      <c r="K16" s="6">
        <f>linear_250!K16</f>
        <v>106.45033207774499</v>
      </c>
      <c r="L16" s="6" t="s">
        <v>7</v>
      </c>
      <c r="N16" s="32" t="s">
        <v>24</v>
      </c>
      <c r="O16" s="34"/>
      <c r="P16" s="34"/>
      <c r="U16" s="2">
        <v>12</v>
      </c>
      <c r="V16" s="2">
        <f t="shared" si="7"/>
        <v>5.5908203125E-2</v>
      </c>
      <c r="W16" s="2">
        <f t="shared" si="0"/>
        <v>1.7644929731168435E-4</v>
      </c>
      <c r="X16" s="2">
        <f t="shared" si="8"/>
        <v>5.615234375E-2</v>
      </c>
      <c r="Y16" s="2">
        <f t="shared" si="1"/>
        <v>-6.8099127520843128E-5</v>
      </c>
      <c r="Z16" s="2">
        <f t="shared" si="3"/>
        <v>5.60302734375E-2</v>
      </c>
      <c r="AA16" s="2">
        <f t="shared" si="2"/>
        <v>5.4175297484283791E-5</v>
      </c>
      <c r="AB16" s="2">
        <f t="shared" si="4"/>
        <v>9.5591931727533358E-9</v>
      </c>
      <c r="AC16" s="2">
        <f t="shared" si="5"/>
        <v>-3.6892904918618538E-9</v>
      </c>
      <c r="AD16" s="2">
        <f t="shared" si="6"/>
        <v>2.44140625E-4</v>
      </c>
      <c r="AF16" s="2">
        <v>12</v>
      </c>
      <c r="AG16" s="2">
        <f t="shared" si="13"/>
        <v>2132.8125</v>
      </c>
      <c r="AH16" s="2">
        <v>-1.65974145298037</v>
      </c>
      <c r="AI16" s="2">
        <f t="shared" si="14"/>
        <v>2137.451171875</v>
      </c>
      <c r="AJ16" s="2">
        <v>2.4569140935527685</v>
      </c>
      <c r="AK16" s="2">
        <f t="shared" si="9"/>
        <v>2135.1318359375</v>
      </c>
      <c r="AL16" s="2">
        <v>0.39864484108511533</v>
      </c>
      <c r="AM16" s="2">
        <f t="shared" si="10"/>
        <v>-0.66164736776573807</v>
      </c>
      <c r="AN16" s="2">
        <f t="shared" si="11"/>
        <v>0.97943612838412353</v>
      </c>
      <c r="AO16" s="2">
        <f t="shared" si="12"/>
        <v>4.638671875</v>
      </c>
    </row>
    <row r="17" spans="2:41" x14ac:dyDescent="0.2">
      <c r="B17" s="31" t="s">
        <v>110</v>
      </c>
      <c r="C17" s="31"/>
      <c r="D17" s="31"/>
      <c r="F17" s="6" t="s">
        <v>124</v>
      </c>
      <c r="G17" s="6">
        <f>G16/$C$49</f>
        <v>0.43070728388198065</v>
      </c>
      <c r="H17" s="6" t="s">
        <v>122</v>
      </c>
      <c r="J17" s="13" t="s">
        <v>77</v>
      </c>
      <c r="K17" s="6">
        <f>linear_250!K17</f>
        <v>57.208340298095884</v>
      </c>
      <c r="L17" s="6" t="s">
        <v>7</v>
      </c>
      <c r="N17" s="6" t="s">
        <v>25</v>
      </c>
      <c r="O17" s="6">
        <f xml:space="preserve"> ACOS(O14)/PI()*180</f>
        <v>6.0770144143871061</v>
      </c>
      <c r="P17" s="6" t="s">
        <v>40</v>
      </c>
      <c r="U17" s="2">
        <v>13</v>
      </c>
      <c r="V17" s="2">
        <f t="shared" si="7"/>
        <v>5.60302734375E-2</v>
      </c>
      <c r="W17" s="2">
        <f t="shared" si="0"/>
        <v>5.4175297484283791E-5</v>
      </c>
      <c r="X17" s="2">
        <f t="shared" si="8"/>
        <v>5.615234375E-2</v>
      </c>
      <c r="Y17" s="2">
        <f t="shared" si="1"/>
        <v>-6.8099127520843128E-5</v>
      </c>
      <c r="Z17" s="2">
        <f t="shared" si="3"/>
        <v>5.609130859375E-2</v>
      </c>
      <c r="AA17" s="2">
        <f t="shared" si="2"/>
        <v>-6.9618618786584929E-6</v>
      </c>
      <c r="AB17" s="2">
        <f t="shared" si="4"/>
        <v>-3.7716093832081867E-10</v>
      </c>
      <c r="AC17" s="2">
        <f t="shared" si="5"/>
        <v>4.7409671985726121E-10</v>
      </c>
      <c r="AD17" s="2">
        <f t="shared" si="6"/>
        <v>1.220703125E-4</v>
      </c>
      <c r="AF17" s="2">
        <v>13</v>
      </c>
      <c r="AG17" s="2">
        <f t="shared" si="13"/>
        <v>2132.8125</v>
      </c>
      <c r="AH17" s="2">
        <v>-1.65974145298037</v>
      </c>
      <c r="AI17" s="2">
        <f t="shared" si="14"/>
        <v>2135.1318359375</v>
      </c>
      <c r="AJ17" s="2">
        <v>0.39864484108511533</v>
      </c>
      <c r="AK17" s="2">
        <f t="shared" si="9"/>
        <v>2133.97216796875</v>
      </c>
      <c r="AL17" s="2">
        <v>-0.63053062227368173</v>
      </c>
      <c r="AM17" s="2">
        <f t="shared" si="10"/>
        <v>1.0465178111611373</v>
      </c>
      <c r="AN17" s="2">
        <f t="shared" si="11"/>
        <v>-0.25135777971559076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5259.8770634378097</v>
      </c>
      <c r="H18" s="6" t="s">
        <v>20</v>
      </c>
      <c r="J18" s="14" t="s">
        <v>60</v>
      </c>
      <c r="K18" s="6">
        <f>linear_250!K18</f>
        <v>137.80037749483429</v>
      </c>
      <c r="L18" s="6" t="s">
        <v>7</v>
      </c>
      <c r="N18" s="6" t="s">
        <v>19</v>
      </c>
      <c r="O18" s="6">
        <f xml:space="preserve"> O13 / $C$18</f>
        <v>5259.8770634378097</v>
      </c>
      <c r="P18" s="6" t="s">
        <v>20</v>
      </c>
      <c r="U18" s="2">
        <v>14</v>
      </c>
      <c r="V18" s="2">
        <f t="shared" si="7"/>
        <v>5.60302734375E-2</v>
      </c>
      <c r="W18" s="2">
        <f t="shared" si="0"/>
        <v>5.4175297484283791E-5</v>
      </c>
      <c r="X18" s="2">
        <f t="shared" si="8"/>
        <v>5.609130859375E-2</v>
      </c>
      <c r="Y18" s="2">
        <f t="shared" si="1"/>
        <v>-6.9618618786584929E-6</v>
      </c>
      <c r="Z18" s="2">
        <f t="shared" si="3"/>
        <v>5.6060791015625E-2</v>
      </c>
      <c r="AA18" s="2">
        <f t="shared" si="2"/>
        <v>2.3606731088671173E-5</v>
      </c>
      <c r="AB18" s="2">
        <f t="shared" si="4"/>
        <v>1.2789016793602513E-9</v>
      </c>
      <c r="AC18" s="2">
        <f t="shared" si="5"/>
        <v>-1.6434680124596214E-10</v>
      </c>
      <c r="AD18" s="2">
        <f t="shared" si="6"/>
        <v>6.103515625E-5</v>
      </c>
      <c r="AF18" s="2">
        <v>14</v>
      </c>
      <c r="AG18" s="2">
        <f t="shared" si="13"/>
        <v>2133.97216796875</v>
      </c>
      <c r="AH18" s="2">
        <v>-0.63053062227368173</v>
      </c>
      <c r="AI18" s="2">
        <f t="shared" si="14"/>
        <v>2135.1318359375</v>
      </c>
      <c r="AJ18" s="2">
        <v>0.39864484108511533</v>
      </c>
      <c r="AK18" s="2">
        <f t="shared" si="9"/>
        <v>2134.552001953125</v>
      </c>
      <c r="AL18" s="2">
        <v>-0.11594082945180162</v>
      </c>
      <c r="AM18" s="2">
        <f t="shared" si="10"/>
        <v>7.3104243341171285E-2</v>
      </c>
      <c r="AN18" s="2">
        <f t="shared" si="11"/>
        <v>-4.6219213532089916E-2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59.851058035360445</v>
      </c>
      <c r="H19" s="6" t="s">
        <v>101</v>
      </c>
      <c r="J19" s="14" t="s">
        <v>61</v>
      </c>
      <c r="K19" s="6">
        <f>linear_250!K19</f>
        <v>33.562887913554505</v>
      </c>
      <c r="L19" s="6" t="s">
        <v>7</v>
      </c>
      <c r="N19" s="6" t="s">
        <v>26</v>
      </c>
      <c r="O19" s="6">
        <f>$C$7*2*PI()/60</f>
        <v>39.486457874610245</v>
      </c>
      <c r="P19" s="6" t="s">
        <v>27</v>
      </c>
      <c r="U19" s="2">
        <v>15</v>
      </c>
      <c r="V19" s="2">
        <f t="shared" si="7"/>
        <v>5.6060791015625E-2</v>
      </c>
      <c r="W19" s="2">
        <f t="shared" si="0"/>
        <v>2.3606731088671173E-5</v>
      </c>
      <c r="X19" s="2">
        <f t="shared" si="8"/>
        <v>5.609130859375E-2</v>
      </c>
      <c r="Y19" s="2">
        <f t="shared" si="1"/>
        <v>-6.9618618786584929E-6</v>
      </c>
      <c r="Z19" s="2">
        <f t="shared" si="3"/>
        <v>5.60760498046875E-2</v>
      </c>
      <c r="AA19" s="2">
        <f t="shared" si="2"/>
        <v>8.3224379263530102E-6</v>
      </c>
      <c r="AB19" s="2">
        <f t="shared" si="4"/>
        <v>1.9646555412957366E-10</v>
      </c>
      <c r="AC19" s="2">
        <f t="shared" si="5"/>
        <v>-5.7939663336978662E-11</v>
      </c>
      <c r="AD19" s="2">
        <f t="shared" si="6"/>
        <v>3.0517578125E-5</v>
      </c>
      <c r="AF19" s="2">
        <v>15</v>
      </c>
      <c r="AG19" s="2">
        <f t="shared" si="13"/>
        <v>2134.552001953125</v>
      </c>
      <c r="AH19" s="2">
        <v>-0.11594082945180162</v>
      </c>
      <c r="AI19" s="2">
        <f t="shared" si="14"/>
        <v>2135.1318359375</v>
      </c>
      <c r="AJ19" s="2">
        <v>0.39864484108511533</v>
      </c>
      <c r="AK19" s="2">
        <f t="shared" si="9"/>
        <v>2134.8419189453125</v>
      </c>
      <c r="AL19" s="2">
        <v>0.14135173112731536</v>
      </c>
      <c r="AM19" s="2">
        <f t="shared" si="10"/>
        <v>-1.6388436951348988E-2</v>
      </c>
      <c r="AN19" s="2">
        <f t="shared" si="11"/>
        <v>5.6349138392354579E-2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8.9671234860364581</v>
      </c>
      <c r="H20" s="6" t="s">
        <v>147</v>
      </c>
      <c r="J20" s="14" t="s">
        <v>62</v>
      </c>
      <c r="K20" s="6">
        <f>linear_250!K20</f>
        <v>0</v>
      </c>
      <c r="L20" s="6" t="s">
        <v>7</v>
      </c>
      <c r="N20" s="6" t="s">
        <v>28</v>
      </c>
      <c r="O20" s="6">
        <f xml:space="preserve"> $C$8 * COS(O17/180*PI()) / (O19 * $C$9)</f>
        <v>0.46529333266485723</v>
      </c>
      <c r="U20" s="2">
        <v>16</v>
      </c>
      <c r="V20" s="2">
        <f t="shared" si="7"/>
        <v>5.60760498046875E-2</v>
      </c>
      <c r="W20" s="2">
        <f t="shared" si="0"/>
        <v>8.3224379263530102E-6</v>
      </c>
      <c r="X20" s="2">
        <f t="shared" si="8"/>
        <v>5.609130859375E-2</v>
      </c>
      <c r="Y20" s="2">
        <f t="shared" si="1"/>
        <v>-6.9618618786584929E-6</v>
      </c>
      <c r="Z20" s="2">
        <f t="shared" si="3"/>
        <v>5.608367919921875E-2</v>
      </c>
      <c r="AA20" s="2">
        <f t="shared" si="2"/>
        <v>6.802888541657115E-7</v>
      </c>
      <c r="AB20" s="2">
        <f t="shared" si="4"/>
        <v>5.6616617607839497E-12</v>
      </c>
      <c r="AC20" s="2">
        <f t="shared" si="5"/>
        <v>-4.7360770402925339E-12</v>
      </c>
      <c r="AD20" s="2">
        <f t="shared" si="6"/>
        <v>1.52587890625E-5</v>
      </c>
      <c r="AF20" s="2">
        <v>16</v>
      </c>
      <c r="AG20" s="2">
        <f t="shared" si="13"/>
        <v>2134.552001953125</v>
      </c>
      <c r="AH20" s="2">
        <v>-0.11594082945180162</v>
      </c>
      <c r="AI20" s="2">
        <f t="shared" si="14"/>
        <v>2134.8419189453125</v>
      </c>
      <c r="AJ20" s="2">
        <v>0.39864484108511533</v>
      </c>
      <c r="AK20" s="2">
        <f t="shared" si="9"/>
        <v>2134.6969604492188</v>
      </c>
      <c r="AL20" s="2">
        <v>0.27000059242163843</v>
      </c>
      <c r="AM20" s="2">
        <f t="shared" si="10"/>
        <v>-3.1304092637842583E-2</v>
      </c>
      <c r="AN20" s="2">
        <f t="shared" si="11"/>
        <v>0.10763434325881105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9.9951889647288322E-2</v>
      </c>
      <c r="J21" s="14" t="s">
        <v>63</v>
      </c>
      <c r="K21" s="6">
        <f>linear_250!K21</f>
        <v>0</v>
      </c>
      <c r="L21" s="6" t="s">
        <v>7</v>
      </c>
      <c r="N21" s="6" t="s">
        <v>29</v>
      </c>
      <c r="O21" s="6">
        <f xml:space="preserve"> O18 / ($C$47 * PI() * $C$9^2 * O19^2 * $C$9^2)</f>
        <v>6.1372436337124988E-3</v>
      </c>
      <c r="U21" s="2">
        <v>17</v>
      </c>
      <c r="V21" s="2">
        <f t="shared" si="7"/>
        <v>5.608367919921875E-2</v>
      </c>
      <c r="W21" s="2">
        <f t="shared" si="0"/>
        <v>6.802888541657115E-7</v>
      </c>
      <c r="X21" s="2">
        <f t="shared" si="8"/>
        <v>5.609130859375E-2</v>
      </c>
      <c r="Y21" s="2">
        <f t="shared" si="1"/>
        <v>-6.9618618786584929E-6</v>
      </c>
      <c r="Z21" s="2">
        <f t="shared" si="3"/>
        <v>5.6087493896484375E-2</v>
      </c>
      <c r="AA21" s="2">
        <f t="shared" si="2"/>
        <v>-3.1407863046659101E-6</v>
      </c>
      <c r="AB21" s="2">
        <f t="shared" si="4"/>
        <v>-2.1366419163805312E-12</v>
      </c>
      <c r="AC21" s="2">
        <f t="shared" si="5"/>
        <v>2.1865720443466279E-11</v>
      </c>
      <c r="AD21" s="2">
        <f t="shared" si="6"/>
        <v>7.62939453125E-6</v>
      </c>
      <c r="AF21" s="2">
        <v>17</v>
      </c>
      <c r="AG21" s="2">
        <f t="shared" si="13"/>
        <v>2134.552001953125</v>
      </c>
      <c r="AH21" s="2">
        <v>-0.11594082945180162</v>
      </c>
      <c r="AI21" s="2">
        <f t="shared" si="14"/>
        <v>2134.6969604492188</v>
      </c>
      <c r="AJ21" s="2">
        <v>0.39864484108511533</v>
      </c>
      <c r="AK21" s="2">
        <f t="shared" si="9"/>
        <v>2134.6244812011719</v>
      </c>
      <c r="AL21" s="2">
        <v>0.3343225017754321</v>
      </c>
      <c r="AM21" s="2">
        <f t="shared" si="10"/>
        <v>-3.8761628160245018E-2</v>
      </c>
      <c r="AN21" s="2">
        <f t="shared" si="11"/>
        <v>0.13327594059144532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239.40423214144178</v>
      </c>
      <c r="H22" s="25" t="s">
        <v>101</v>
      </c>
      <c r="J22" s="14" t="s">
        <v>112</v>
      </c>
      <c r="K22" s="6">
        <f>linear_250!K22</f>
        <v>28.266845134610833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5.608367919921875E-2</v>
      </c>
      <c r="W22" s="2">
        <f t="shared" si="0"/>
        <v>6.802888541657115E-7</v>
      </c>
      <c r="X22" s="2">
        <f t="shared" si="8"/>
        <v>5.6087493896484375E-2</v>
      </c>
      <c r="Y22" s="2">
        <f t="shared" si="1"/>
        <v>-3.1407863046659101E-6</v>
      </c>
      <c r="Z22" s="2">
        <f t="shared" si="3"/>
        <v>5.6085586547851562E-2</v>
      </c>
      <c r="AA22" s="2">
        <f t="shared" si="2"/>
        <v>-1.2302486733575813E-6</v>
      </c>
      <c r="AB22" s="2">
        <f t="shared" si="4"/>
        <v>-8.3692446033731567E-13</v>
      </c>
      <c r="AC22" s="2">
        <f t="shared" si="5"/>
        <v>3.8639481846148959E-12</v>
      </c>
      <c r="AD22" s="2">
        <f t="shared" si="6"/>
        <v>3.814697265625E-6</v>
      </c>
      <c r="AF22" s="2">
        <v>18</v>
      </c>
      <c r="AG22" s="2">
        <f t="shared" si="13"/>
        <v>2134.552001953125</v>
      </c>
      <c r="AH22" s="2">
        <v>-0.11594082945180162</v>
      </c>
      <c r="AI22" s="2">
        <f t="shared" si="14"/>
        <v>2134.6244812011719</v>
      </c>
      <c r="AJ22" s="2">
        <v>0.39864484108511533</v>
      </c>
      <c r="AK22" s="2">
        <f t="shared" si="9"/>
        <v>2134.5882415771484</v>
      </c>
      <c r="AL22" s="2">
        <v>0.36648361768607174</v>
      </c>
      <c r="AM22" s="2">
        <f t="shared" si="10"/>
        <v>-4.2490414615020108E-2</v>
      </c>
      <c r="AN22" s="2">
        <f t="shared" si="11"/>
        <v>0.14609680353276222</v>
      </c>
      <c r="AO22" s="2">
        <f t="shared" si="12"/>
        <v>7.2479248046875E-2</v>
      </c>
    </row>
    <row r="23" spans="2:41" x14ac:dyDescent="0.2">
      <c r="J23" s="15" t="s">
        <v>64</v>
      </c>
      <c r="K23" s="6">
        <f>linear_250!K23</f>
        <v>64.248956863090044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16835.79962334262</v>
      </c>
      <c r="P23" s="6" t="s">
        <v>18</v>
      </c>
      <c r="U23" s="2">
        <v>19</v>
      </c>
      <c r="V23" s="2">
        <f t="shared" si="7"/>
        <v>5.608367919921875E-2</v>
      </c>
      <c r="W23" s="2">
        <f t="shared" si="0"/>
        <v>6.802888541657115E-7</v>
      </c>
      <c r="X23" s="2">
        <f t="shared" si="8"/>
        <v>5.6085586547851562E-2</v>
      </c>
      <c r="Y23" s="2">
        <f t="shared" si="1"/>
        <v>-1.2302486733575813E-6</v>
      </c>
      <c r="Z23" s="2">
        <f t="shared" si="3"/>
        <v>5.6084632873535156E-2</v>
      </c>
      <c r="AA23" s="2">
        <f t="shared" si="2"/>
        <v>-2.7497989662367273E-7</v>
      </c>
      <c r="AB23" s="2">
        <f t="shared" si="4"/>
        <v>-1.8706575879272413E-13</v>
      </c>
      <c r="AC23" s="2">
        <f t="shared" si="5"/>
        <v>3.382936530212782E-13</v>
      </c>
      <c r="AD23" s="2">
        <f t="shared" si="6"/>
        <v>1.9073486328125E-6</v>
      </c>
      <c r="AF23" s="2">
        <v>19</v>
      </c>
      <c r="AG23" s="2">
        <f t="shared" si="13"/>
        <v>2134.552001953125</v>
      </c>
      <c r="AH23" s="2">
        <v>-0.11594082945180162</v>
      </c>
      <c r="AI23" s="2">
        <f t="shared" si="14"/>
        <v>2134.5882415771484</v>
      </c>
      <c r="AJ23" s="2">
        <v>0.39864484108511533</v>
      </c>
      <c r="AK23" s="2">
        <f t="shared" si="9"/>
        <v>2134.5701217651367</v>
      </c>
      <c r="AL23" s="2">
        <v>0.38256738257587131</v>
      </c>
      <c r="AM23" s="2">
        <f t="shared" si="10"/>
        <v>-4.4355179657051234E-2</v>
      </c>
      <c r="AN23" s="2">
        <f t="shared" si="11"/>
        <v>0.15250851343130672</v>
      </c>
      <c r="AO23" s="2">
        <f t="shared" si="12"/>
        <v>3.62396240234375E-2</v>
      </c>
    </row>
    <row r="24" spans="2:41" x14ac:dyDescent="0.2">
      <c r="B24" s="31" t="s">
        <v>104</v>
      </c>
      <c r="C24" s="31"/>
      <c r="D24" s="31"/>
      <c r="F24" s="32" t="s">
        <v>81</v>
      </c>
      <c r="G24" s="33"/>
      <c r="H24" s="33"/>
      <c r="J24" s="15" t="s">
        <v>65</v>
      </c>
      <c r="K24" s="6">
        <f>linear_250!K24</f>
        <v>8.8806188488703679</v>
      </c>
      <c r="L24" s="6" t="s">
        <v>7</v>
      </c>
      <c r="N24" s="6" t="s">
        <v>31</v>
      </c>
      <c r="O24" s="18">
        <f>Z34</f>
        <v>5.6084358599036932E-2</v>
      </c>
      <c r="U24" s="2">
        <v>20</v>
      </c>
      <c r="V24" s="2">
        <f t="shared" si="7"/>
        <v>5.608367919921875E-2</v>
      </c>
      <c r="W24" s="2">
        <f t="shared" si="0"/>
        <v>6.802888541657115E-7</v>
      </c>
      <c r="X24" s="2">
        <f t="shared" si="8"/>
        <v>5.6084632873535156E-2</v>
      </c>
      <c r="Y24" s="2">
        <f t="shared" si="1"/>
        <v>-2.7497989662367273E-7</v>
      </c>
      <c r="Z24" s="2">
        <f t="shared" si="3"/>
        <v>5.6084156036376953E-2</v>
      </c>
      <c r="AA24" s="2">
        <f t="shared" si="2"/>
        <v>2.0265448201495229E-7</v>
      </c>
      <c r="AB24" s="2">
        <f t="shared" si="4"/>
        <v>1.3786358536149768E-13</v>
      </c>
      <c r="AC24" s="2">
        <f t="shared" si="5"/>
        <v>-5.5725908514795523E-14</v>
      </c>
      <c r="AD24" s="2">
        <f t="shared" si="6"/>
        <v>9.5367431640625E-7</v>
      </c>
      <c r="AF24" s="2">
        <v>20</v>
      </c>
      <c r="AG24" s="2">
        <f t="shared" si="13"/>
        <v>2134.552001953125</v>
      </c>
      <c r="AH24" s="2">
        <v>-0.11594082945180162</v>
      </c>
      <c r="AI24" s="2">
        <f t="shared" si="14"/>
        <v>2134.5701217651367</v>
      </c>
      <c r="AJ24" s="2">
        <v>0.39864484108511533</v>
      </c>
      <c r="AK24" s="2">
        <f t="shared" si="9"/>
        <v>2134.5610618591309</v>
      </c>
      <c r="AL24" s="2">
        <v>0.3906061084785506</v>
      </c>
      <c r="AM24" s="2">
        <f t="shared" si="10"/>
        <v>-4.5287196205943556E-2</v>
      </c>
      <c r="AN24" s="2">
        <f t="shared" si="11"/>
        <v>0.15571311004130711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>linear_250!K25</f>
        <v>19.178793093459714</v>
      </c>
      <c r="L25" s="6" t="s">
        <v>7</v>
      </c>
      <c r="N25" s="6" t="s">
        <v>32</v>
      </c>
      <c r="O25" s="6">
        <f xml:space="preserve"> O19 * $C$9 * O24 - $C$8 * SIN(O17/180*PI())</f>
        <v>0.93831309053154222</v>
      </c>
      <c r="P25" s="6" t="s">
        <v>10</v>
      </c>
      <c r="U25" s="2">
        <v>21</v>
      </c>
      <c r="V25" s="2">
        <f t="shared" si="7"/>
        <v>5.6084156036376953E-2</v>
      </c>
      <c r="W25" s="2">
        <f t="shared" si="0"/>
        <v>2.0265448201495229E-7</v>
      </c>
      <c r="X25" s="2">
        <f t="shared" si="8"/>
        <v>5.6084632873535156E-2</v>
      </c>
      <c r="Y25" s="2">
        <f t="shared" si="1"/>
        <v>-2.7497989662367273E-7</v>
      </c>
      <c r="Z25" s="2">
        <f t="shared" si="3"/>
        <v>5.6084394454956055E-2</v>
      </c>
      <c r="AA25" s="2">
        <f t="shared" si="2"/>
        <v>-3.6162706489040186E-8</v>
      </c>
      <c r="AB25" s="2">
        <f t="shared" si="4"/>
        <v>-7.3285345517951926E-15</v>
      </c>
      <c r="AC25" s="2">
        <f t="shared" si="5"/>
        <v>9.9440172919884887E-15</v>
      </c>
      <c r="AD25" s="2">
        <f t="shared" si="6"/>
        <v>4.76837158203125E-7</v>
      </c>
      <c r="AF25" s="2">
        <v>21</v>
      </c>
      <c r="AG25" s="2">
        <f t="shared" si="13"/>
        <v>2134.552001953125</v>
      </c>
      <c r="AH25" s="2">
        <v>-0.11594082945180162</v>
      </c>
      <c r="AI25" s="2">
        <f t="shared" si="14"/>
        <v>2134.5610618591309</v>
      </c>
      <c r="AJ25" s="2">
        <v>0.39864484108511533</v>
      </c>
      <c r="AK25" s="2">
        <f t="shared" si="9"/>
        <v>2134.5565319061279</v>
      </c>
      <c r="AL25" s="2">
        <v>0.3946254739437336</v>
      </c>
      <c r="AM25" s="2">
        <f t="shared" si="10"/>
        <v>-4.57532047718468E-2</v>
      </c>
      <c r="AN25" s="2">
        <f t="shared" si="11"/>
        <v>0.15731540934843799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>linear_250!K26</f>
        <v>54.91187602283798</v>
      </c>
      <c r="L26" s="6" t="s">
        <v>7</v>
      </c>
      <c r="N26" s="6" t="s">
        <v>33</v>
      </c>
      <c r="O26" s="6">
        <f xml:space="preserve"> 1/$C$21 - O23 * SQRT( (2*$C$47*PI()*$C$9^2) / O18^3 )</f>
        <v>0.93013097882295737</v>
      </c>
      <c r="U26" s="2">
        <v>22</v>
      </c>
      <c r="V26" s="2">
        <f t="shared" si="7"/>
        <v>5.6084156036376953E-2</v>
      </c>
      <c r="W26" s="2">
        <f t="shared" si="0"/>
        <v>2.0265448201495229E-7</v>
      </c>
      <c r="X26" s="2">
        <f t="shared" si="8"/>
        <v>5.6084394454956055E-2</v>
      </c>
      <c r="Y26" s="2">
        <f t="shared" si="1"/>
        <v>-3.6162706489040186E-8</v>
      </c>
      <c r="Z26" s="2">
        <f t="shared" si="3"/>
        <v>5.6084275245666504E-2</v>
      </c>
      <c r="AA26" s="2">
        <f t="shared" si="2"/>
        <v>8.324588796765342E-8</v>
      </c>
      <c r="AB26" s="2">
        <f t="shared" si="4"/>
        <v>1.6870152305959553E-14</v>
      </c>
      <c r="AC26" s="2">
        <f t="shared" si="5"/>
        <v>-3.0103966129937729E-15</v>
      </c>
      <c r="AD26" s="2">
        <f t="shared" si="6"/>
        <v>2.384185791015625E-7</v>
      </c>
      <c r="AF26" s="2">
        <v>22</v>
      </c>
      <c r="AG26" s="2">
        <f t="shared" si="13"/>
        <v>2134.552001953125</v>
      </c>
      <c r="AH26" s="2">
        <v>-0.11594082945180162</v>
      </c>
      <c r="AI26" s="2">
        <f t="shared" si="14"/>
        <v>2134.5565319061279</v>
      </c>
      <c r="AJ26" s="2">
        <v>0.39864484108511533</v>
      </c>
      <c r="AK26" s="2">
        <f t="shared" si="9"/>
        <v>2134.5542669296265</v>
      </c>
      <c r="AL26" s="2">
        <v>0.396635157305127</v>
      </c>
      <c r="AM26" s="2">
        <f t="shared" si="10"/>
        <v>-4.5986209127702238E-2</v>
      </c>
      <c r="AN26" s="2">
        <f t="shared" si="11"/>
        <v>0.15811655925267207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1.8545968370517585E-2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5.6084275245666504E-2</v>
      </c>
      <c r="W27" s="2">
        <f t="shared" si="0"/>
        <v>8.324588796765342E-8</v>
      </c>
      <c r="X27" s="2">
        <f t="shared" si="8"/>
        <v>5.6084394454956055E-2</v>
      </c>
      <c r="Y27" s="2">
        <f t="shared" si="1"/>
        <v>-3.6162706489040186E-8</v>
      </c>
      <c r="Z27" s="2">
        <f t="shared" si="3"/>
        <v>5.6084334850311279E-2</v>
      </c>
      <c r="AA27" s="2">
        <f t="shared" si="2"/>
        <v>2.3541590787878874E-8</v>
      </c>
      <c r="AB27" s="2">
        <f t="shared" si="4"/>
        <v>1.9597406293081067E-15</v>
      </c>
      <c r="AC27" s="2">
        <f t="shared" si="5"/>
        <v>-8.5132763794715604E-16</v>
      </c>
      <c r="AD27" s="2">
        <f t="shared" si="6"/>
        <v>1.1920928955078125E-7</v>
      </c>
      <c r="AF27" s="2">
        <v>23</v>
      </c>
      <c r="AG27" s="2">
        <f t="shared" si="13"/>
        <v>2134.552001953125</v>
      </c>
      <c r="AH27" s="2">
        <v>-0.11594082945180162</v>
      </c>
      <c r="AI27" s="2">
        <f t="shared" si="14"/>
        <v>2134.5542669296265</v>
      </c>
      <c r="AJ27" s="2">
        <v>0.39864484108511533</v>
      </c>
      <c r="AK27" s="2">
        <f t="shared" si="9"/>
        <v>2134.5531344413757</v>
      </c>
      <c r="AL27" s="2">
        <v>0.39763683249225323</v>
      </c>
      <c r="AM27" s="2">
        <f t="shared" si="10"/>
        <v>-4.6102344179738942E-2</v>
      </c>
      <c r="AN27" s="2">
        <f t="shared" si="11"/>
        <v>0.15851587189846292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5230.8194913373236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1.1500454930727579</v>
      </c>
      <c r="U28" s="2">
        <v>24</v>
      </c>
      <c r="V28" s="2">
        <f t="shared" si="7"/>
        <v>5.6084334850311279E-2</v>
      </c>
      <c r="W28" s="2">
        <f t="shared" si="0"/>
        <v>2.3541590787878874E-8</v>
      </c>
      <c r="X28" s="2">
        <f t="shared" si="8"/>
        <v>5.6084394454956055E-2</v>
      </c>
      <c r="Y28" s="2">
        <f t="shared" si="1"/>
        <v>-3.6162706489040186E-8</v>
      </c>
      <c r="Z28" s="2">
        <f t="shared" si="3"/>
        <v>5.6084364652633667E-2</v>
      </c>
      <c r="AA28" s="2">
        <f t="shared" si="2"/>
        <v>-6.310557840172315E-9</v>
      </c>
      <c r="AB28" s="2">
        <f t="shared" si="4"/>
        <v>-1.4856057031657739E-16</v>
      </c>
      <c r="AC28" s="2">
        <f t="shared" si="5"/>
        <v>2.282068509562628E-16</v>
      </c>
      <c r="AD28" s="2">
        <f t="shared" si="6"/>
        <v>5.9604644775390625E-8</v>
      </c>
      <c r="AF28" s="2">
        <v>24</v>
      </c>
      <c r="AG28" s="2">
        <f t="shared" si="13"/>
        <v>2134.552001953125</v>
      </c>
      <c r="AH28" s="2">
        <v>-0.11594082945180162</v>
      </c>
      <c r="AI28" s="2">
        <f t="shared" si="14"/>
        <v>2134.5531344413757</v>
      </c>
      <c r="AJ28" s="2">
        <v>0.39864484108511533</v>
      </c>
      <c r="AK28" s="2">
        <f t="shared" si="9"/>
        <v>2134.5525681972504</v>
      </c>
      <c r="AL28" s="2">
        <v>0.39814083677492818</v>
      </c>
      <c r="AM28" s="2">
        <f t="shared" si="10"/>
        <v>-4.6160778854319531E-2</v>
      </c>
      <c r="AN28" s="2">
        <f t="shared" si="11"/>
        <v>0.15871679060563609</v>
      </c>
      <c r="AO28" s="2">
        <f t="shared" si="12"/>
        <v>1.1324882507324219E-3</v>
      </c>
    </row>
    <row r="29" spans="2:41" x14ac:dyDescent="0.2">
      <c r="B29" s="31" t="s">
        <v>108</v>
      </c>
      <c r="C29" s="31"/>
      <c r="D29" s="31"/>
      <c r="F29" t="s">
        <v>97</v>
      </c>
      <c r="G29" s="6">
        <f>G31/$C$18</f>
        <v>54.377896411162354</v>
      </c>
      <c r="H29" t="s">
        <v>18</v>
      </c>
      <c r="U29" s="2">
        <v>25</v>
      </c>
      <c r="V29" s="2">
        <f t="shared" si="7"/>
        <v>5.6084334850311279E-2</v>
      </c>
      <c r="W29" s="2">
        <f t="shared" si="0"/>
        <v>2.3541590787878874E-8</v>
      </c>
      <c r="X29" s="2">
        <f t="shared" si="8"/>
        <v>5.6084364652633667E-2</v>
      </c>
      <c r="Y29" s="2">
        <f t="shared" si="1"/>
        <v>-6.310557840172315E-9</v>
      </c>
      <c r="Z29" s="2">
        <f t="shared" si="3"/>
        <v>5.6084349751472473E-2</v>
      </c>
      <c r="AA29" s="2">
        <f t="shared" si="2"/>
        <v>8.6155164807921736E-9</v>
      </c>
      <c r="AB29" s="2">
        <f t="shared" si="4"/>
        <v>2.0282296341703566E-16</v>
      </c>
      <c r="AC29" s="2">
        <f t="shared" si="5"/>
        <v>-5.4368715074996846E-17</v>
      </c>
      <c r="AD29" s="2">
        <f t="shared" si="6"/>
        <v>2.9802322387695312E-8</v>
      </c>
      <c r="AF29" s="2">
        <v>25</v>
      </c>
      <c r="AG29" s="2">
        <f t="shared" si="13"/>
        <v>2134.552001953125</v>
      </c>
      <c r="AH29" s="2">
        <v>-0.11594082945180162</v>
      </c>
      <c r="AI29" s="2">
        <f t="shared" si="14"/>
        <v>2134.5525681972504</v>
      </c>
      <c r="AJ29" s="2">
        <v>0.39864484108511533</v>
      </c>
      <c r="AK29" s="2">
        <f t="shared" si="9"/>
        <v>2134.5522850751877</v>
      </c>
      <c r="AL29" s="2">
        <v>0.39839600557979793</v>
      </c>
      <c r="AM29" s="2">
        <f t="shared" si="10"/>
        <v>-4.6190363337206358E-2</v>
      </c>
      <c r="AN29" s="2">
        <f t="shared" si="11"/>
        <v>0.15881851233330327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9.8142061521840223</v>
      </c>
      <c r="H30" s="6" t="s">
        <v>147</v>
      </c>
      <c r="J30" s="29" t="s">
        <v>111</v>
      </c>
      <c r="K30" s="29"/>
      <c r="L30" s="29"/>
      <c r="U30" s="2">
        <v>26</v>
      </c>
      <c r="V30" s="2">
        <f t="shared" si="7"/>
        <v>5.6084349751472473E-2</v>
      </c>
      <c r="W30" s="2">
        <f t="shared" si="0"/>
        <v>8.6155164807921736E-9</v>
      </c>
      <c r="X30" s="2">
        <f t="shared" si="8"/>
        <v>5.6084364652633667E-2</v>
      </c>
      <c r="Y30" s="2">
        <f t="shared" si="1"/>
        <v>-6.310557840172315E-9</v>
      </c>
      <c r="Z30" s="2">
        <f t="shared" si="3"/>
        <v>5.608435720205307E-2</v>
      </c>
      <c r="AA30" s="2">
        <f t="shared" si="2"/>
        <v>1.1524793203099293E-9</v>
      </c>
      <c r="AB30" s="2">
        <f t="shared" si="4"/>
        <v>9.9292045779023575E-18</v>
      </c>
      <c r="AC30" s="2">
        <f t="shared" si="5"/>
        <v>-7.2727874104182847E-18</v>
      </c>
      <c r="AD30" s="2">
        <f t="shared" si="6"/>
        <v>1.4901161193847656E-8</v>
      </c>
      <c r="AF30" s="2">
        <v>26</v>
      </c>
      <c r="AG30" s="2">
        <f t="shared" si="13"/>
        <v>2134.552001953125</v>
      </c>
      <c r="AH30" s="2">
        <v>-0.11594082945180162</v>
      </c>
      <c r="AI30" s="2">
        <f t="shared" si="14"/>
        <v>2134.5522850751877</v>
      </c>
      <c r="AJ30" s="2">
        <v>0.39864484108511533</v>
      </c>
      <c r="AK30" s="2">
        <f t="shared" si="9"/>
        <v>2134.5521435141563</v>
      </c>
      <c r="AL30" s="2">
        <v>0.39852042333177451</v>
      </c>
      <c r="AM30" s="2">
        <f t="shared" si="10"/>
        <v>-4.6204788434569051E-2</v>
      </c>
      <c r="AN30" s="2">
        <f t="shared" si="11"/>
        <v>0.15886811082826813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217.51158564464941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5.608435720205307E-2</v>
      </c>
      <c r="W31" s="2">
        <f t="shared" si="0"/>
        <v>1.1524793203099293E-9</v>
      </c>
      <c r="X31" s="2">
        <f t="shared" si="8"/>
        <v>5.6084364652633667E-2</v>
      </c>
      <c r="Y31" s="2">
        <f t="shared" si="1"/>
        <v>-6.310557840172315E-9</v>
      </c>
      <c r="Z31" s="2">
        <f t="shared" si="3"/>
        <v>5.6084360927343369E-2</v>
      </c>
      <c r="AA31" s="2">
        <f t="shared" si="2"/>
        <v>-2.5790392599311929E-9</v>
      </c>
      <c r="AB31" s="2">
        <f t="shared" si="4"/>
        <v>-2.9722894133381242E-18</v>
      </c>
      <c r="AC31" s="2">
        <f t="shared" si="5"/>
        <v>1.6275176421870995E-17</v>
      </c>
      <c r="AD31" s="2">
        <f t="shared" si="6"/>
        <v>7.4505805969238281E-9</v>
      </c>
      <c r="AF31" s="2">
        <v>27</v>
      </c>
      <c r="AG31" s="2">
        <f t="shared" si="13"/>
        <v>2134.552001953125</v>
      </c>
      <c r="AH31" s="2">
        <v>-0.11594082945180162</v>
      </c>
      <c r="AI31" s="2">
        <f t="shared" si="14"/>
        <v>2134.5521435141563</v>
      </c>
      <c r="AJ31" s="2">
        <v>0.39864484108511533</v>
      </c>
      <c r="AK31" s="2">
        <f t="shared" si="9"/>
        <v>2134.5520727336407</v>
      </c>
      <c r="AL31" s="2">
        <v>0.39858263220844492</v>
      </c>
      <c r="AM31" s="2">
        <f t="shared" si="10"/>
        <v>-4.6212000983329483E-2</v>
      </c>
      <c r="AN31" s="2">
        <f t="shared" si="11"/>
        <v>0.15889291007602249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524.53</v>
      </c>
      <c r="L32" s="6" t="s">
        <v>7</v>
      </c>
      <c r="U32" s="2">
        <v>28</v>
      </c>
      <c r="V32" s="2">
        <f t="shared" si="7"/>
        <v>5.608435720205307E-2</v>
      </c>
      <c r="W32" s="2">
        <f t="shared" si="0"/>
        <v>1.1524793203099293E-9</v>
      </c>
      <c r="X32" s="2">
        <f t="shared" si="8"/>
        <v>5.6084360927343369E-2</v>
      </c>
      <c r="Y32" s="2">
        <f t="shared" si="1"/>
        <v>-2.5790392599311929E-9</v>
      </c>
      <c r="Z32" s="2">
        <f t="shared" si="3"/>
        <v>5.6084359064698219E-2</v>
      </c>
      <c r="AA32" s="2">
        <f t="shared" si="2"/>
        <v>-7.132799698106318E-10</v>
      </c>
      <c r="AB32" s="2">
        <f t="shared" si="4"/>
        <v>-8.2204041479804381E-19</v>
      </c>
      <c r="AC32" s="2">
        <f t="shared" si="5"/>
        <v>1.8395770454641554E-18</v>
      </c>
      <c r="AD32" s="2">
        <f t="shared" si="6"/>
        <v>3.7252902984619141E-9</v>
      </c>
      <c r="AF32" s="2">
        <v>28</v>
      </c>
      <c r="AG32" s="2">
        <f t="shared" si="13"/>
        <v>2134.552001953125</v>
      </c>
      <c r="AH32" s="2">
        <v>-0.11594082945180162</v>
      </c>
      <c r="AI32" s="2">
        <f t="shared" si="14"/>
        <v>2134.5520727336407</v>
      </c>
      <c r="AJ32" s="2">
        <v>0.39864484108511533</v>
      </c>
      <c r="AK32" s="2">
        <f t="shared" si="9"/>
        <v>2134.5520373433828</v>
      </c>
      <c r="AL32" s="2">
        <v>0.3986105699948439</v>
      </c>
      <c r="AM32" s="2">
        <f t="shared" si="10"/>
        <v>-4.621524011345763E-2</v>
      </c>
      <c r="AN32" s="2">
        <f t="shared" si="11"/>
        <v>0.15890404733044178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2" t="s">
        <v>156</v>
      </c>
      <c r="G33" s="33"/>
      <c r="H33" s="33"/>
      <c r="J33" s="19" t="s">
        <v>78</v>
      </c>
      <c r="K33" s="6">
        <f>ROUND(SUM(K14:K17),2)</f>
        <v>663.31</v>
      </c>
      <c r="L33" s="6" t="s">
        <v>7</v>
      </c>
      <c r="U33" s="2">
        <v>29</v>
      </c>
      <c r="V33" s="2">
        <f t="shared" si="7"/>
        <v>5.608435720205307E-2</v>
      </c>
      <c r="W33" s="2">
        <f t="shared" si="0"/>
        <v>1.1524793203099293E-9</v>
      </c>
      <c r="X33" s="2">
        <f t="shared" si="8"/>
        <v>5.6084359064698219E-2</v>
      </c>
      <c r="Y33" s="2">
        <f t="shared" si="1"/>
        <v>-7.132799698106318E-10</v>
      </c>
      <c r="Z33" s="2">
        <f t="shared" si="3"/>
        <v>5.6084358133375645E-2</v>
      </c>
      <c r="AA33" s="2">
        <f t="shared" si="2"/>
        <v>2.1959967178020179E-10</v>
      </c>
      <c r="AB33" s="2">
        <f t="shared" si="4"/>
        <v>2.5308408047353051E-19</v>
      </c>
      <c r="AC33" s="2">
        <f t="shared" si="5"/>
        <v>-1.5663604725780698E-19</v>
      </c>
      <c r="AD33" s="2">
        <f t="shared" si="6"/>
        <v>1.862645149230957E-9</v>
      </c>
      <c r="AF33" s="2">
        <v>29</v>
      </c>
      <c r="AG33" s="2">
        <f t="shared" si="13"/>
        <v>2134.552001953125</v>
      </c>
      <c r="AH33" s="2">
        <v>-0.11594082945180162</v>
      </c>
      <c r="AI33" s="2">
        <f t="shared" si="14"/>
        <v>2134.5520373433828</v>
      </c>
      <c r="AJ33" s="2">
        <v>0.39864484108511533</v>
      </c>
      <c r="AK33" s="2">
        <f t="shared" si="9"/>
        <v>2134.5520196482539</v>
      </c>
      <c r="AL33" s="2">
        <v>0.39863087219259796</v>
      </c>
      <c r="AM33" s="2">
        <f t="shared" si="10"/>
        <v>-4.6217593967104932E-2</v>
      </c>
      <c r="AN33" s="2">
        <f t="shared" si="11"/>
        <v>0.15891214069683912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199.63</v>
      </c>
      <c r="L34" s="6" t="s">
        <v>7</v>
      </c>
      <c r="U34" s="2">
        <v>30</v>
      </c>
      <c r="V34" s="2">
        <f t="shared" si="7"/>
        <v>5.6084358133375645E-2</v>
      </c>
      <c r="W34" s="2">
        <f t="shared" si="0"/>
        <v>2.1959967178020179E-10</v>
      </c>
      <c r="X34" s="2">
        <f t="shared" si="8"/>
        <v>5.6084359064698219E-2</v>
      </c>
      <c r="Y34" s="2">
        <f t="shared" si="1"/>
        <v>-7.132799698106318E-10</v>
      </c>
      <c r="Z34" s="2">
        <f t="shared" si="3"/>
        <v>5.6084358599036932E-2</v>
      </c>
      <c r="AA34" s="2">
        <f t="shared" si="2"/>
        <v>-2.4684014554576805E-10</v>
      </c>
      <c r="AB34" s="2">
        <f t="shared" si="4"/>
        <v>-5.4206014944027903E-20</v>
      </c>
      <c r="AC34" s="2">
        <f t="shared" si="5"/>
        <v>1.760661315629374E-19</v>
      </c>
      <c r="AD34" s="2">
        <f>X34-V34</f>
        <v>9.3132257461547852E-10</v>
      </c>
      <c r="AF34" s="2">
        <v>30</v>
      </c>
      <c r="AG34" s="2">
        <f t="shared" si="13"/>
        <v>2134.552001953125</v>
      </c>
      <c r="AH34" s="2">
        <v>-0.11594082945180162</v>
      </c>
      <c r="AI34" s="2">
        <f t="shared" si="14"/>
        <v>2134.5520196482539</v>
      </c>
      <c r="AJ34" s="2">
        <v>0.39864484108511533</v>
      </c>
      <c r="AK34" s="2">
        <f t="shared" si="9"/>
        <v>2134.5520108006895</v>
      </c>
      <c r="AL34" s="2">
        <v>0.39863785663942508</v>
      </c>
      <c r="AM34" s="2">
        <f t="shared" si="10"/>
        <v>-4.621840374966333E-2</v>
      </c>
      <c r="AN34" s="2">
        <f t="shared" si="11"/>
        <v>0.15891492501053459</v>
      </c>
      <c r="AO34" s="2">
        <f t="shared" si="12"/>
        <v>1.7695128917694092E-5</v>
      </c>
    </row>
    <row r="35" spans="2:41" x14ac:dyDescent="0.2">
      <c r="B35" s="29" t="s">
        <v>2</v>
      </c>
      <c r="C35" s="29"/>
      <c r="D35" s="29"/>
      <c r="F35" s="26" t="s">
        <v>132</v>
      </c>
      <c r="G35" s="25">
        <f xml:space="preserve"> G22</f>
        <v>239.40423214144178</v>
      </c>
      <c r="H35" s="25" t="s">
        <v>101</v>
      </c>
      <c r="J35" s="15" t="s">
        <v>70</v>
      </c>
      <c r="K35" s="6">
        <f>ROUND(SUM(K23:K26),2)</f>
        <v>147.22</v>
      </c>
      <c r="L35" s="6" t="s">
        <v>7</v>
      </c>
      <c r="AF35" s="2">
        <v>31</v>
      </c>
      <c r="AG35" s="2">
        <f t="shared" si="13"/>
        <v>2134.552001953125</v>
      </c>
      <c r="AH35" s="2">
        <v>-0.11594082945180162</v>
      </c>
      <c r="AI35" s="2">
        <f t="shared" si="14"/>
        <v>2134.5520108006895</v>
      </c>
      <c r="AJ35" s="2">
        <v>0.39864484108511533</v>
      </c>
      <c r="AK35" s="2">
        <f t="shared" si="9"/>
        <v>2134.5520063769072</v>
      </c>
      <c r="AL35" s="2">
        <v>0.39864134886192915</v>
      </c>
      <c r="AM35" s="2">
        <f t="shared" si="10"/>
        <v>-4.6218808640837078E-2</v>
      </c>
      <c r="AN35" s="2">
        <f t="shared" si="11"/>
        <v>0.15891631716701976</v>
      </c>
      <c r="AO35" s="2">
        <f t="shared" si="12"/>
        <v>8.8475644588470459E-6</v>
      </c>
    </row>
    <row r="36" spans="2:41" x14ac:dyDescent="0.2">
      <c r="B36" s="6" t="s">
        <v>3</v>
      </c>
      <c r="C36" s="17">
        <v>550</v>
      </c>
      <c r="D36" s="6" t="s">
        <v>4</v>
      </c>
      <c r="J36" s="10" t="s">
        <v>59</v>
      </c>
      <c r="K36" s="10">
        <f>SUM(K31:K35)</f>
        <v>2134.6899999999996</v>
      </c>
      <c r="L36" s="6" t="s">
        <v>7</v>
      </c>
      <c r="AF36" s="2">
        <v>32</v>
      </c>
      <c r="AG36" s="2">
        <f t="shared" si="13"/>
        <v>2134.552001953125</v>
      </c>
      <c r="AH36" s="2">
        <v>-0.11594082945180162</v>
      </c>
      <c r="AI36" s="2">
        <f t="shared" si="14"/>
        <v>2134.5520063769072</v>
      </c>
      <c r="AJ36" s="2">
        <v>0.39864484108511533</v>
      </c>
      <c r="AK36" s="2">
        <f t="shared" si="9"/>
        <v>2134.5520041650161</v>
      </c>
      <c r="AL36" s="2">
        <v>0.39864309497374961</v>
      </c>
      <c r="AM36" s="2">
        <f t="shared" si="10"/>
        <v>-4.6219011086489861E-2</v>
      </c>
      <c r="AN36" s="2">
        <f t="shared" si="11"/>
        <v>0.15891701324548896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2134.552001953125</v>
      </c>
      <c r="AH37" s="2">
        <v>-0.11594082945180162</v>
      </c>
      <c r="AI37" s="2">
        <f t="shared" si="14"/>
        <v>2134.5520041650161</v>
      </c>
      <c r="AJ37" s="2">
        <v>0.39864484108511533</v>
      </c>
      <c r="AK37" s="2">
        <f t="shared" si="9"/>
        <v>2134.5520030590706</v>
      </c>
      <c r="AL37" s="2">
        <v>0.39864396802977353</v>
      </c>
      <c r="AM37" s="2">
        <f t="shared" si="10"/>
        <v>-4.621911230932943E-2</v>
      </c>
      <c r="AN37" s="2">
        <f t="shared" si="11"/>
        <v>0.15891736128476885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9" t="s">
        <v>56</v>
      </c>
      <c r="K38" s="29"/>
      <c r="L38" s="29"/>
      <c r="AF38" s="2">
        <v>34</v>
      </c>
      <c r="AG38" s="2">
        <f t="shared" si="13"/>
        <v>2134.552001953125</v>
      </c>
      <c r="AH38" s="2">
        <v>-0.11594082945180162</v>
      </c>
      <c r="AI38" s="2">
        <f t="shared" si="14"/>
        <v>2134.5520030590706</v>
      </c>
      <c r="AJ38" s="2">
        <v>0.39864484108511533</v>
      </c>
      <c r="AK38" s="2">
        <f t="shared" si="9"/>
        <v>2134.5520025060978</v>
      </c>
      <c r="AL38" s="2">
        <v>0.39864440455767181</v>
      </c>
      <c r="AM38" s="2">
        <f t="shared" si="10"/>
        <v>-4.6219162920736037E-2</v>
      </c>
      <c r="AN38" s="2">
        <f t="shared" si="11"/>
        <v>0.15891753530436351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28.11</v>
      </c>
      <c r="L39" s="6" t="s">
        <v>58</v>
      </c>
      <c r="AF39" s="2">
        <v>35</v>
      </c>
      <c r="AG39" s="2">
        <f t="shared" si="13"/>
        <v>2134.552001953125</v>
      </c>
      <c r="AH39" s="2">
        <v>-0.11594082945180162</v>
      </c>
      <c r="AI39" s="2">
        <f t="shared" si="14"/>
        <v>2134.5520025060978</v>
      </c>
      <c r="AJ39" s="2">
        <v>0.39864484108511533</v>
      </c>
      <c r="AK39" s="2">
        <f t="shared" si="9"/>
        <v>2134.5520022296114</v>
      </c>
      <c r="AL39" s="2">
        <v>0.39864462282139357</v>
      </c>
      <c r="AM39" s="2">
        <f t="shared" si="10"/>
        <v>-4.6219188226412973E-2</v>
      </c>
      <c r="AN39" s="2">
        <f t="shared" si="11"/>
        <v>0.15891762231407017</v>
      </c>
      <c r="AO39" s="2">
        <f t="shared" si="12"/>
        <v>5.5297277867794037E-7</v>
      </c>
    </row>
    <row r="40" spans="2:41" x14ac:dyDescent="0.2">
      <c r="B40" s="29" t="s">
        <v>144</v>
      </c>
      <c r="C40" s="30"/>
      <c r="D40" s="30"/>
      <c r="J40" s="11" t="s">
        <v>52</v>
      </c>
      <c r="K40" s="6">
        <f>ROUND(K13/$C$5 * 100, 2)</f>
        <v>24.57</v>
      </c>
      <c r="L40" s="6" t="s">
        <v>58</v>
      </c>
      <c r="AF40" s="2">
        <v>36</v>
      </c>
      <c r="AG40" s="2">
        <f t="shared" si="13"/>
        <v>2134.552001953125</v>
      </c>
      <c r="AH40" s="2">
        <v>-0.11594082945180162</v>
      </c>
      <c r="AI40" s="2">
        <f t="shared" si="14"/>
        <v>2134.5520022296114</v>
      </c>
      <c r="AJ40" s="2">
        <v>0.39864484108511533</v>
      </c>
      <c r="AK40" s="2">
        <f t="shared" si="9"/>
        <v>2134.5520020913682</v>
      </c>
      <c r="AL40" s="2">
        <v>0.3986447319537092</v>
      </c>
      <c r="AM40" s="2">
        <f t="shared" si="10"/>
        <v>-4.6219200879304166E-2</v>
      </c>
      <c r="AN40" s="2">
        <f t="shared" si="11"/>
        <v>0.1589176658191048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31.07</v>
      </c>
      <c r="L41" s="6" t="s">
        <v>58</v>
      </c>
      <c r="AF41" s="2">
        <v>37</v>
      </c>
      <c r="AG41" s="2">
        <f t="shared" si="13"/>
        <v>2134.552001953125</v>
      </c>
      <c r="AH41" s="2">
        <v>-0.11594082945180162</v>
      </c>
      <c r="AI41" s="2">
        <f t="shared" si="14"/>
        <v>2134.5520020913682</v>
      </c>
      <c r="AJ41" s="2">
        <v>0.39864484108511533</v>
      </c>
      <c r="AK41" s="2">
        <f t="shared" si="9"/>
        <v>2134.5520020222466</v>
      </c>
      <c r="AL41" s="2">
        <v>0.39864478651952595</v>
      </c>
      <c r="AM41" s="2">
        <f t="shared" si="10"/>
        <v>-4.6219207205710225E-2</v>
      </c>
      <c r="AN41" s="2">
        <f t="shared" si="11"/>
        <v>0.15891768757148614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9.35</v>
      </c>
      <c r="L42" s="6" t="s">
        <v>58</v>
      </c>
      <c r="AF42" s="2">
        <v>38</v>
      </c>
      <c r="AG42" s="2">
        <f t="shared" si="13"/>
        <v>2134.552001953125</v>
      </c>
      <c r="AH42" s="2">
        <v>-0.11594082945180162</v>
      </c>
      <c r="AI42" s="2">
        <f t="shared" si="14"/>
        <v>2134.5520020222466</v>
      </c>
      <c r="AJ42" s="2">
        <v>0.39864484108511533</v>
      </c>
      <c r="AK42" s="2">
        <f t="shared" si="9"/>
        <v>2134.5520019876858</v>
      </c>
      <c r="AL42" s="2">
        <v>0.39864481380300276</v>
      </c>
      <c r="AM42" s="2">
        <f t="shared" si="10"/>
        <v>-4.6219210368979156E-2</v>
      </c>
      <c r="AN42" s="2">
        <f t="shared" si="11"/>
        <v>0.15891769844790343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6.9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2134.552001953125</v>
      </c>
      <c r="AH43" s="2">
        <v>-0.11594082945180162</v>
      </c>
      <c r="AI43" s="2">
        <f t="shared" si="14"/>
        <v>2134.5520019876858</v>
      </c>
      <c r="AJ43" s="2">
        <v>0.39864484108511533</v>
      </c>
      <c r="AK43" s="2">
        <f t="shared" si="9"/>
        <v>2134.5520019704054</v>
      </c>
      <c r="AL43" s="2">
        <v>0.39864482744451379</v>
      </c>
      <c r="AM43" s="2">
        <f t="shared" si="10"/>
        <v>-4.6219211950587258E-2</v>
      </c>
      <c r="AN43" s="2">
        <f t="shared" si="11"/>
        <v>0.15891770388602142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2134.552001953125</v>
      </c>
      <c r="AH44" s="2">
        <v>-0.11594082945180162</v>
      </c>
      <c r="AI44" s="2">
        <f t="shared" si="14"/>
        <v>2134.5520019704054</v>
      </c>
      <c r="AJ44" s="2">
        <v>0.39864484108511533</v>
      </c>
      <c r="AK44" s="5">
        <f>(AG44+AI44)/2</f>
        <v>2134.5520019617652</v>
      </c>
      <c r="AL44" s="2">
        <v>0.39864483426435982</v>
      </c>
      <c r="AM44" s="2">
        <f t="shared" si="10"/>
        <v>-4.6219212741285862E-2</v>
      </c>
      <c r="AN44" s="2">
        <f t="shared" si="11"/>
        <v>0.15891770660471785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9" t="s">
        <v>145</v>
      </c>
      <c r="C46" s="30"/>
      <c r="D46" s="30"/>
      <c r="J46" s="29" t="s">
        <v>56</v>
      </c>
      <c r="K46" s="29"/>
      <c r="L46" s="29"/>
      <c r="N46" s="6" t="s">
        <v>153</v>
      </c>
      <c r="O46" s="6">
        <f>G12*1000/O45</f>
        <v>2035.6581806659649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28.11</v>
      </c>
      <c r="L47" s="6" t="s">
        <v>58</v>
      </c>
      <c r="N47" s="6" t="s">
        <v>154</v>
      </c>
      <c r="O47" s="6">
        <f>0.377*O46^0.6945</f>
        <v>74.857767670143076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24.57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47.32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29" t="s">
        <v>71</v>
      </c>
      <c r="C52" s="29"/>
      <c r="D52" s="29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B1:D1"/>
    <mergeCell ref="B3:D3"/>
    <mergeCell ref="F3:H3"/>
    <mergeCell ref="J3:L3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7:L7"/>
    <mergeCell ref="J38:L38"/>
    <mergeCell ref="B40:D40"/>
    <mergeCell ref="B46:D46"/>
    <mergeCell ref="J46:L46"/>
    <mergeCell ref="B52:D52"/>
  </mergeCells>
  <conditionalFormatting sqref="K28">
    <cfRule type="containsText" dxfId="11" priority="1" operator="containsText" text="FALSE">
      <formula>NOT(ISERROR(SEARCH("FALSE",K28)))</formula>
    </cfRule>
    <cfRule type="containsText" dxfId="10" priority="2" operator="containsText" text="TRUE">
      <formula>NOT(ISERROR(SEARCH("TRUE",K28)))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NOT(ISERROR(SEARCH("YES",K28)))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FE13C-7DF3-FF47-B161-8DD1A1B4D967}">
  <dimension ref="B1:AO56"/>
  <sheetViews>
    <sheetView topLeftCell="B1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5" t="s">
        <v>0</v>
      </c>
      <c r="C1" s="35"/>
      <c r="D1" s="35"/>
    </row>
    <row r="2" spans="2:41" x14ac:dyDescent="0.2">
      <c r="U2" s="16" t="s">
        <v>93</v>
      </c>
      <c r="AF2" s="16" t="s">
        <v>76</v>
      </c>
    </row>
    <row r="3" spans="2:41" x14ac:dyDescent="0.2">
      <c r="B3" s="32" t="s">
        <v>118</v>
      </c>
      <c r="C3" s="33"/>
      <c r="D3" s="33"/>
      <c r="F3" s="32" t="s">
        <v>80</v>
      </c>
      <c r="G3" s="33"/>
      <c r="H3" s="33"/>
      <c r="J3" s="29" t="s">
        <v>98</v>
      </c>
      <c r="K3" s="29"/>
      <c r="L3" s="29"/>
      <c r="N3" s="29" t="s">
        <v>92</v>
      </c>
      <c r="O3" s="29"/>
      <c r="P3" s="29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352.69023432192364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5.8031758070516699E-2</v>
      </c>
      <c r="X4" s="3">
        <v>1</v>
      </c>
      <c r="Y4" s="2">
        <f t="shared" ref="Y4:Y34" si="1" xml:space="preserve"> $O$20 * TAN($O$17/180*PI()) + $O$21 / (2 * SQRT($O$20^2 + X4^2)) - X4</f>
        <v>-0.94556604113393039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-0.44395247169021779</v>
      </c>
      <c r="AB4" s="2">
        <f>W4*AA4</f>
        <v>-2.5763342431934632E-2</v>
      </c>
      <c r="AC4" s="2">
        <f>Y4*AA4</f>
        <v>0.41978638110774252</v>
      </c>
      <c r="AD4" s="2">
        <f>X4-V4</f>
        <v>1</v>
      </c>
      <c r="AF4" s="2">
        <v>0</v>
      </c>
      <c r="AG4" s="2"/>
      <c r="AH4" s="2">
        <f>K27</f>
        <v>-5.336542017175816E-6</v>
      </c>
      <c r="AI4" s="2"/>
      <c r="AJ4" s="2">
        <f>K27</f>
        <v>-5.336542017175816E-6</v>
      </c>
      <c r="AK4" s="2"/>
      <c r="AL4" s="2">
        <f>K27</f>
        <v>-5.336542017175816E-6</v>
      </c>
      <c r="AM4" s="2"/>
      <c r="AN4" s="2"/>
      <c r="AO4" s="2"/>
    </row>
    <row r="5" spans="2:41" x14ac:dyDescent="0.2">
      <c r="B5" s="10" t="s">
        <v>37</v>
      </c>
      <c r="C5" s="10">
        <v>2011.5264726709499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88.17255858048091</v>
      </c>
      <c r="L5" s="6" t="s">
        <v>101</v>
      </c>
      <c r="N5" s="6" t="s">
        <v>114</v>
      </c>
      <c r="O5" s="6">
        <f xml:space="preserve"> $C$18 * 0.85 * ($C$5/$C$18 *2.20462/1000)^(2/3) * 0.3048^2</f>
        <v>0.33835700993785195</v>
      </c>
      <c r="P5" s="6" t="s">
        <v>115</v>
      </c>
      <c r="U5" s="2">
        <v>1</v>
      </c>
      <c r="V5" s="2">
        <f>IF(AB4&gt;0, Z4, V4)</f>
        <v>0</v>
      </c>
      <c r="W5" s="2">
        <f t="shared" si="0"/>
        <v>5.8031758070516699E-2</v>
      </c>
      <c r="X5" s="2">
        <f>IF(AC4&gt;0, Z4, X4)</f>
        <v>0.5</v>
      </c>
      <c r="Y5" s="2">
        <f t="shared" si="1"/>
        <v>-0.44395247169021779</v>
      </c>
      <c r="Z5" s="2">
        <f t="shared" ref="Z5:Z34" si="3" xml:space="preserve"> (V5 + X5)/2</f>
        <v>0.25</v>
      </c>
      <c r="AA5" s="2">
        <f t="shared" si="2"/>
        <v>-0.19270983203990916</v>
      </c>
      <c r="AB5" s="2">
        <f t="shared" ref="AB5:AB34" si="4">W5*AA5</f>
        <v>-1.1183290350749915E-2</v>
      </c>
      <c r="AC5" s="2">
        <f t="shared" ref="AC5:AC34" si="5">Y5*AA5</f>
        <v>8.5554006253124398E-2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-1395.0367808169342</v>
      </c>
      <c r="AI5" s="3">
        <v>10000</v>
      </c>
      <c r="AJ5" s="2">
        <f t="dataTable" ref="AJ5:AJ44" dt2D="0" dtr="0" r1="C5" ca="1"/>
        <v>6630.849933009169</v>
      </c>
      <c r="AK5" s="2">
        <f>(AG5+AI5)/2</f>
        <v>5250</v>
      </c>
      <c r="AL5" s="2">
        <f t="dataTable" ref="AL5:AL44" dt2D="0" dtr="0" r1="C5" ca="1"/>
        <v>2850.3282187129776</v>
      </c>
      <c r="AM5" s="2">
        <f>AH5*AL5</f>
        <v>-3976312.7025050186</v>
      </c>
      <c r="AN5" s="2">
        <f>AJ5*AL5</f>
        <v>18900098.67810709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5.8031758070516699E-2</v>
      </c>
      <c r="X6" s="2">
        <f t="shared" ref="X6:X34" si="8">IF(AC5&gt;0, Z5, X5)</f>
        <v>0.25</v>
      </c>
      <c r="Y6" s="2">
        <f t="shared" si="1"/>
        <v>-0.19270983203990916</v>
      </c>
      <c r="Z6" s="2">
        <f t="shared" si="3"/>
        <v>0.125</v>
      </c>
      <c r="AA6" s="2">
        <f t="shared" si="2"/>
        <v>-6.7181486778616989E-2</v>
      </c>
      <c r="AB6" s="2">
        <f t="shared" si="4"/>
        <v>-3.8986597875543174E-3</v>
      </c>
      <c r="AC6" s="2">
        <f t="shared" si="5"/>
        <v>1.2946533033298657E-2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-1395.0367808169342</v>
      </c>
      <c r="AI6" s="2">
        <f>IF(AN5&gt;0, AK5, AI5)</f>
        <v>5250</v>
      </c>
      <c r="AJ6" s="2">
        <v>2850.3282187129776</v>
      </c>
      <c r="AK6" s="2">
        <f t="shared" ref="AK6:AK43" si="9">(AG6+AI6)/2</f>
        <v>2875</v>
      </c>
      <c r="AL6" s="2">
        <v>782.26402236684294</v>
      </c>
      <c r="AM6" s="2">
        <f t="shared" ref="AM6:AM44" si="10">AH6*AL6</f>
        <v>-1091287.0835115467</v>
      </c>
      <c r="AN6" s="2">
        <f t="shared" ref="AN6:AN44" si="11">AJ6*AL6</f>
        <v>2229709.2174361325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377.06789735604701</v>
      </c>
      <c r="D7" s="6" t="s">
        <v>125</v>
      </c>
      <c r="F7" t="s">
        <v>121</v>
      </c>
      <c r="G7" s="8">
        <f>$C$6*2*PI()/60*$C$9</f>
        <v>152.0210902715402</v>
      </c>
      <c r="H7" s="6" t="s">
        <v>10</v>
      </c>
      <c r="J7" s="29" t="s">
        <v>21</v>
      </c>
      <c r="K7" s="29"/>
      <c r="L7" s="29"/>
      <c r="N7" s="6" t="s">
        <v>159</v>
      </c>
      <c r="O7" s="6">
        <f>O5+$O$6</f>
        <v>0.96863363327294794</v>
      </c>
      <c r="P7" s="6" t="s">
        <v>115</v>
      </c>
      <c r="U7" s="2">
        <v>3</v>
      </c>
      <c r="V7" s="2">
        <f t="shared" si="7"/>
        <v>0</v>
      </c>
      <c r="W7" s="2">
        <f t="shared" si="0"/>
        <v>5.8031758070516699E-2</v>
      </c>
      <c r="X7" s="2">
        <f t="shared" si="8"/>
        <v>0.125</v>
      </c>
      <c r="Y7" s="2">
        <f t="shared" si="1"/>
        <v>-6.7181486778616989E-2</v>
      </c>
      <c r="Z7" s="2">
        <f t="shared" si="3"/>
        <v>6.25E-2</v>
      </c>
      <c r="AA7" s="2">
        <f t="shared" si="2"/>
        <v>-4.5236752795950949E-3</v>
      </c>
      <c r="AB7" s="2">
        <f t="shared" si="4"/>
        <v>-2.6251682941503954E-4</v>
      </c>
      <c r="AC7" s="2">
        <f t="shared" si="5"/>
        <v>3.0390723098687439E-4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-1395.0367808169342</v>
      </c>
      <c r="AI7" s="2">
        <f t="shared" ref="AI7:AI44" si="14">IF(AN6&gt;0, AK6, AI6)</f>
        <v>2875</v>
      </c>
      <c r="AJ7" s="2">
        <v>782.26402236684294</v>
      </c>
      <c r="AK7" s="2">
        <f t="shared" si="9"/>
        <v>1687.5</v>
      </c>
      <c r="AL7" s="2">
        <v>-296.94632334944845</v>
      </c>
      <c r="AM7" s="2">
        <f t="shared" si="10"/>
        <v>414251.04300083901</v>
      </c>
      <c r="AN7" s="2">
        <f t="shared" si="11"/>
        <v>-232290.42533038472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0.45526617543374598</v>
      </c>
      <c r="H8" s="6" t="s">
        <v>122</v>
      </c>
      <c r="J8" s="6" t="s">
        <v>96</v>
      </c>
      <c r="K8" s="6">
        <f xml:space="preserve"> $C$15 * (G12*G6 + G22*G15 + G31*G27 +G35*G34)/3600</f>
        <v>191.05257799754125</v>
      </c>
      <c r="L8" s="6" t="s">
        <v>102</v>
      </c>
      <c r="N8" s="6" t="s">
        <v>38</v>
      </c>
      <c r="O8" s="6">
        <f xml:space="preserve"> O4 *O7</f>
        <v>2196.3416849548385</v>
      </c>
      <c r="P8" s="6" t="s">
        <v>20</v>
      </c>
      <c r="U8" s="2">
        <v>4</v>
      </c>
      <c r="V8" s="2">
        <f t="shared" si="7"/>
        <v>0</v>
      </c>
      <c r="W8" s="2">
        <f t="shared" si="0"/>
        <v>5.8031758070516699E-2</v>
      </c>
      <c r="X8" s="2">
        <f t="shared" si="8"/>
        <v>6.25E-2</v>
      </c>
      <c r="Y8" s="2">
        <f t="shared" si="1"/>
        <v>-4.5236752795950949E-3</v>
      </c>
      <c r="Z8" s="2">
        <f t="shared" si="3"/>
        <v>3.125E-2</v>
      </c>
      <c r="AA8" s="2">
        <f t="shared" si="2"/>
        <v>2.6767759669607885E-2</v>
      </c>
      <c r="AB8" s="2">
        <f t="shared" si="4"/>
        <v>1.5533801532364188E-3</v>
      </c>
      <c r="AC8" s="2">
        <f t="shared" si="5"/>
        <v>-1.2108865270754775E-4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-296.94632334944845</v>
      </c>
      <c r="AI8" s="2">
        <f t="shared" si="14"/>
        <v>2875</v>
      </c>
      <c r="AJ8" s="2">
        <v>782.26402236684294</v>
      </c>
      <c r="AK8" s="2">
        <f t="shared" si="9"/>
        <v>2281.25</v>
      </c>
      <c r="AL8" s="2">
        <v>245.81914533253507</v>
      </c>
      <c r="AM8" s="2">
        <f t="shared" si="10"/>
        <v>-72995.09141540002</v>
      </c>
      <c r="AN8" s="2">
        <f t="shared" si="11"/>
        <v>192295.47340260842</v>
      </c>
      <c r="AO8" s="2">
        <f t="shared" si="12"/>
        <v>1187.5</v>
      </c>
    </row>
    <row r="9" spans="2:41" x14ac:dyDescent="0.2">
      <c r="B9" s="6" t="s">
        <v>95</v>
      </c>
      <c r="C9" s="17">
        <v>3.6292361956402299</v>
      </c>
      <c r="D9" s="6" t="s">
        <v>8</v>
      </c>
      <c r="F9" t="s">
        <v>19</v>
      </c>
      <c r="G9" s="6">
        <f xml:space="preserve"> $C$5 * $C$44 / $C$18</f>
        <v>4928.9897512914113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2196.3416849548385</v>
      </c>
      <c r="P9" s="6" t="s">
        <v>20</v>
      </c>
      <c r="U9" s="2">
        <v>5</v>
      </c>
      <c r="V9" s="2">
        <f t="shared" si="7"/>
        <v>3.125E-2</v>
      </c>
      <c r="W9" s="2">
        <f t="shared" si="0"/>
        <v>2.6767759669607885E-2</v>
      </c>
      <c r="X9" s="2">
        <f t="shared" si="8"/>
        <v>6.25E-2</v>
      </c>
      <c r="Y9" s="2">
        <f t="shared" si="1"/>
        <v>-4.5236752795950949E-3</v>
      </c>
      <c r="Z9" s="2">
        <f t="shared" si="3"/>
        <v>4.6875E-2</v>
      </c>
      <c r="AA9" s="2">
        <f t="shared" si="2"/>
        <v>1.1125393834170452E-2</v>
      </c>
      <c r="AB9" s="2">
        <f t="shared" si="4"/>
        <v>2.9780186838281205E-4</v>
      </c>
      <c r="AC9" s="2">
        <f t="shared" si="5"/>
        <v>-5.0327669063396565E-5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-296.94632334944845</v>
      </c>
      <c r="AI9" s="2">
        <f t="shared" si="14"/>
        <v>2281.25</v>
      </c>
      <c r="AJ9" s="2">
        <v>245.81914533253507</v>
      </c>
      <c r="AK9" s="2">
        <f t="shared" si="9"/>
        <v>1984.375</v>
      </c>
      <c r="AL9" s="2">
        <v>-24.814874338228947</v>
      </c>
      <c r="AM9" s="2">
        <f t="shared" si="10"/>
        <v>7368.6856991156637</v>
      </c>
      <c r="AN9" s="2">
        <f t="shared" si="11"/>
        <v>-6099.9712013576964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58.781705720320602</v>
      </c>
      <c r="H10" s="6" t="s">
        <v>101</v>
      </c>
      <c r="N10" s="6" t="s">
        <v>113</v>
      </c>
      <c r="O10" s="6">
        <f>O7/(0.3048^2)/($C$5*2.20462/1000)^(2/3)</f>
        <v>3.8626908938725015</v>
      </c>
      <c r="U10" s="2">
        <v>6</v>
      </c>
      <c r="V10" s="2">
        <f t="shared" si="7"/>
        <v>4.6875E-2</v>
      </c>
      <c r="W10" s="2">
        <f t="shared" si="0"/>
        <v>1.1125393834170452E-2</v>
      </c>
      <c r="X10" s="2">
        <f t="shared" si="8"/>
        <v>6.25E-2</v>
      </c>
      <c r="Y10" s="2">
        <f t="shared" si="1"/>
        <v>-4.5236752795950949E-3</v>
      </c>
      <c r="Z10" s="2">
        <f t="shared" si="3"/>
        <v>5.46875E-2</v>
      </c>
      <c r="AA10" s="2">
        <f t="shared" si="2"/>
        <v>3.301683893751621E-3</v>
      </c>
      <c r="AB10" s="2">
        <f t="shared" si="4"/>
        <v>3.6732533633924172E-5</v>
      </c>
      <c r="AC10" s="2">
        <f t="shared" si="5"/>
        <v>-1.4935745811201487E-5</v>
      </c>
      <c r="AD10" s="2">
        <f t="shared" si="6"/>
        <v>1.5625E-2</v>
      </c>
      <c r="AF10" s="2">
        <v>6</v>
      </c>
      <c r="AG10" s="2">
        <f t="shared" si="13"/>
        <v>1984.375</v>
      </c>
      <c r="AH10" s="2">
        <v>-24.814874338228947</v>
      </c>
      <c r="AI10" s="2">
        <f t="shared" si="14"/>
        <v>2281.25</v>
      </c>
      <c r="AJ10" s="2">
        <v>245.81914533253507</v>
      </c>
      <c r="AK10" s="2">
        <f t="shared" si="9"/>
        <v>2132.8125</v>
      </c>
      <c r="AL10" s="2">
        <v>110.6938426095619</v>
      </c>
      <c r="AM10" s="2">
        <f t="shared" si="10"/>
        <v>-2746.8537943719716</v>
      </c>
      <c r="AN10" s="2">
        <f t="shared" si="11"/>
        <v>27210.665783856661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8.5550701873200889</v>
      </c>
      <c r="H11" s="6" t="s">
        <v>147</v>
      </c>
      <c r="J11" s="32" t="s">
        <v>51</v>
      </c>
      <c r="K11" s="32"/>
      <c r="L11" s="32"/>
      <c r="U11" s="2">
        <v>7</v>
      </c>
      <c r="V11" s="2">
        <f t="shared" si="7"/>
        <v>5.46875E-2</v>
      </c>
      <c r="W11" s="2">
        <f t="shared" si="0"/>
        <v>3.301683893751621E-3</v>
      </c>
      <c r="X11" s="2">
        <f t="shared" si="8"/>
        <v>6.25E-2</v>
      </c>
      <c r="Y11" s="2">
        <f t="shared" si="1"/>
        <v>-4.5236752795950949E-3</v>
      </c>
      <c r="Z11" s="2">
        <f t="shared" si="3"/>
        <v>5.859375E-2</v>
      </c>
      <c r="AA11" s="2">
        <f t="shared" si="2"/>
        <v>-6.1079140950433264E-4</v>
      </c>
      <c r="AB11" s="2">
        <f t="shared" si="4"/>
        <v>-2.0166401592023058E-6</v>
      </c>
      <c r="AC11" s="2">
        <f t="shared" si="5"/>
        <v>2.763022000163794E-6</v>
      </c>
      <c r="AD11" s="2">
        <f t="shared" si="6"/>
        <v>7.8125E-3</v>
      </c>
      <c r="AF11" s="2">
        <v>7</v>
      </c>
      <c r="AG11" s="2">
        <f t="shared" si="13"/>
        <v>1984.375</v>
      </c>
      <c r="AH11" s="2">
        <v>-24.814874338228947</v>
      </c>
      <c r="AI11" s="2">
        <f t="shared" si="14"/>
        <v>2132.8125</v>
      </c>
      <c r="AJ11" s="2">
        <v>110.6938426095619</v>
      </c>
      <c r="AK11" s="2">
        <f t="shared" si="9"/>
        <v>2058.59375</v>
      </c>
      <c r="AL11" s="2">
        <v>42.986883097015607</v>
      </c>
      <c r="AM11" s="2">
        <f t="shared" si="10"/>
        <v>-1066.7141022445803</v>
      </c>
      <c r="AN11" s="2">
        <f t="shared" si="11"/>
        <v>4758.3832718166823</v>
      </c>
      <c r="AO11" s="2">
        <f t="shared" si="12"/>
        <v>148.4375</v>
      </c>
    </row>
    <row r="12" spans="2:41" x14ac:dyDescent="0.2">
      <c r="B12" s="29" t="s">
        <v>11</v>
      </c>
      <c r="C12" s="29"/>
      <c r="D12" s="29"/>
      <c r="F12" s="24" t="s">
        <v>82</v>
      </c>
      <c r="G12" s="25">
        <f xml:space="preserve"> 1/1000 * (($C$5*$C$44)/$C$21 * ( ($G$4/2) + SQRT( ($G$4/2)^2 + ($C$5*$C$44) / (2*$C$41*PI()*$C$9^2 * $C$18) ) ) )</f>
        <v>235.12682288128241</v>
      </c>
      <c r="H12" s="25" t="s">
        <v>101</v>
      </c>
      <c r="J12" s="10" t="s">
        <v>79</v>
      </c>
      <c r="K12" s="6">
        <f>C5</f>
        <v>2011.5264726709499</v>
      </c>
      <c r="L12" s="6" t="s">
        <v>7</v>
      </c>
      <c r="N12" s="32" t="s">
        <v>73</v>
      </c>
      <c r="O12" s="34"/>
      <c r="P12" s="34"/>
      <c r="U12" s="2">
        <v>8</v>
      </c>
      <c r="V12" s="2">
        <f t="shared" si="7"/>
        <v>5.46875E-2</v>
      </c>
      <c r="W12" s="2">
        <f t="shared" si="0"/>
        <v>3.301683893751621E-3</v>
      </c>
      <c r="X12" s="2">
        <f t="shared" si="8"/>
        <v>5.859375E-2</v>
      </c>
      <c r="Y12" s="2">
        <f t="shared" si="1"/>
        <v>-6.1079140950433264E-4</v>
      </c>
      <c r="Z12" s="2">
        <f t="shared" si="3"/>
        <v>5.6640625E-2</v>
      </c>
      <c r="AA12" s="2">
        <f t="shared" si="2"/>
        <v>1.3454975558486598E-3</v>
      </c>
      <c r="AB12" s="2">
        <f t="shared" si="4"/>
        <v>4.4424076092276926E-6</v>
      </c>
      <c r="AC12" s="2">
        <f t="shared" si="5"/>
        <v>-8.2181834862143745E-7</v>
      </c>
      <c r="AD12" s="2">
        <f t="shared" si="6"/>
        <v>3.90625E-3</v>
      </c>
      <c r="AF12" s="2">
        <v>8</v>
      </c>
      <c r="AG12" s="2">
        <f t="shared" si="13"/>
        <v>1984.375</v>
      </c>
      <c r="AH12" s="2">
        <v>-24.814874338228947</v>
      </c>
      <c r="AI12" s="2">
        <f t="shared" si="14"/>
        <v>2058.59375</v>
      </c>
      <c r="AJ12" s="2">
        <v>42.986883097015607</v>
      </c>
      <c r="AK12" s="2">
        <f t="shared" si="9"/>
        <v>2021.484375</v>
      </c>
      <c r="AL12" s="2">
        <v>9.0977863008881741</v>
      </c>
      <c r="AM12" s="2">
        <f t="shared" si="10"/>
        <v>-225.76042381260081</v>
      </c>
      <c r="AN12" s="2">
        <f t="shared" si="11"/>
        <v>391.08547615790997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401.3709621797085</v>
      </c>
      <c r="L13" s="6" t="s">
        <v>7</v>
      </c>
      <c r="N13" s="6" t="s">
        <v>74</v>
      </c>
      <c r="O13" s="6">
        <f xml:space="preserve"> SQRT( ($C$5*$C$50)^2 + O9^2)</f>
        <v>19836.042869049052</v>
      </c>
      <c r="P13" s="6" t="s">
        <v>20</v>
      </c>
      <c r="U13" s="2">
        <v>9</v>
      </c>
      <c r="V13" s="2">
        <f t="shared" si="7"/>
        <v>5.6640625E-2</v>
      </c>
      <c r="W13" s="2">
        <f t="shared" si="0"/>
        <v>1.3454975558486598E-3</v>
      </c>
      <c r="X13" s="2">
        <f t="shared" si="8"/>
        <v>5.859375E-2</v>
      </c>
      <c r="Y13" s="2">
        <f t="shared" si="1"/>
        <v>-6.1079140950433264E-4</v>
      </c>
      <c r="Z13" s="2">
        <f t="shared" si="3"/>
        <v>5.76171875E-2</v>
      </c>
      <c r="AA13" s="2">
        <f t="shared" si="2"/>
        <v>3.6736587180074415E-4</v>
      </c>
      <c r="AB13" s="2">
        <f t="shared" si="4"/>
        <v>4.9428988261011339E-7</v>
      </c>
      <c r="AC13" s="2">
        <f t="shared" si="5"/>
        <v>-2.243839186409645E-7</v>
      </c>
      <c r="AD13" s="2">
        <f t="shared" si="6"/>
        <v>1.953125E-3</v>
      </c>
      <c r="AF13" s="2">
        <v>9</v>
      </c>
      <c r="AG13" s="2">
        <f t="shared" si="13"/>
        <v>1984.375</v>
      </c>
      <c r="AH13" s="2">
        <v>-24.814874338228947</v>
      </c>
      <c r="AI13" s="2">
        <f t="shared" si="14"/>
        <v>2021.484375</v>
      </c>
      <c r="AJ13" s="2">
        <v>9.0977863008881741</v>
      </c>
      <c r="AK13" s="2">
        <f t="shared" si="9"/>
        <v>2002.9296875</v>
      </c>
      <c r="AL13" s="2">
        <v>-7.8556084440576797</v>
      </c>
      <c r="AM13" s="2">
        <f t="shared" si="10"/>
        <v>194.93593638962153</v>
      </c>
      <c r="AN13" s="2">
        <f t="shared" si="11"/>
        <v>-71.468646887489427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2" t="s">
        <v>86</v>
      </c>
      <c r="G14" s="33"/>
      <c r="H14" s="33"/>
      <c r="J14" s="12" t="s">
        <v>126</v>
      </c>
      <c r="K14" s="6">
        <f>linear_250!K14</f>
        <v>217.80045510558458</v>
      </c>
      <c r="L14" s="6" t="s">
        <v>7</v>
      </c>
      <c r="N14" s="6" t="s">
        <v>75</v>
      </c>
      <c r="O14" s="6">
        <f>$C$5*$C$50/O13</f>
        <v>0.99385110596934612</v>
      </c>
      <c r="U14" s="2">
        <v>10</v>
      </c>
      <c r="V14" s="2">
        <f t="shared" si="7"/>
        <v>5.76171875E-2</v>
      </c>
      <c r="W14" s="2">
        <f t="shared" si="0"/>
        <v>3.6736587180074415E-4</v>
      </c>
      <c r="X14" s="2">
        <f t="shared" si="8"/>
        <v>5.859375E-2</v>
      </c>
      <c r="Y14" s="2">
        <f t="shared" si="1"/>
        <v>-6.1079140950433264E-4</v>
      </c>
      <c r="Z14" s="2">
        <f t="shared" si="3"/>
        <v>5.810546875E-2</v>
      </c>
      <c r="AA14" s="2">
        <f t="shared" si="2"/>
        <v>-1.2170957296895463E-4</v>
      </c>
      <c r="AB14" s="2">
        <f t="shared" si="4"/>
        <v>-4.4711943380236301E-8</v>
      </c>
      <c r="AC14" s="2">
        <f t="shared" si="5"/>
        <v>7.4339161623878216E-8</v>
      </c>
      <c r="AD14" s="2">
        <f t="shared" si="6"/>
        <v>9.765625E-4</v>
      </c>
      <c r="AF14" s="2">
        <v>10</v>
      </c>
      <c r="AG14" s="2">
        <f t="shared" si="13"/>
        <v>2002.9296875</v>
      </c>
      <c r="AH14" s="2">
        <v>-7.8556084440576797</v>
      </c>
      <c r="AI14" s="2">
        <f t="shared" si="14"/>
        <v>2021.484375</v>
      </c>
      <c r="AJ14" s="2">
        <v>9.0977863008881741</v>
      </c>
      <c r="AK14" s="2">
        <f t="shared" si="9"/>
        <v>2012.20703125</v>
      </c>
      <c r="AL14" s="2">
        <v>0.62182573061045332</v>
      </c>
      <c r="AM14" s="2">
        <f t="shared" si="10"/>
        <v>-4.8848194601158132</v>
      </c>
      <c r="AN14" s="2">
        <f t="shared" si="11"/>
        <v>5.6572376134875624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>linear_250!K15</f>
        <v>281.8460329751004</v>
      </c>
      <c r="L15" s="6" t="s">
        <v>7</v>
      </c>
      <c r="U15" s="2">
        <v>11</v>
      </c>
      <c r="V15" s="2">
        <f t="shared" si="7"/>
        <v>5.76171875E-2</v>
      </c>
      <c r="W15" s="2">
        <f t="shared" si="0"/>
        <v>3.6736587180074415E-4</v>
      </c>
      <c r="X15" s="2">
        <f t="shared" si="8"/>
        <v>5.810546875E-2</v>
      </c>
      <c r="Y15" s="2">
        <f t="shared" si="1"/>
        <v>-1.2170957296895463E-4</v>
      </c>
      <c r="Z15" s="2">
        <f t="shared" si="3"/>
        <v>5.7861328125E-2</v>
      </c>
      <c r="AA15" s="2">
        <f t="shared" si="2"/>
        <v>1.2282894886057188E-4</v>
      </c>
      <c r="AB15" s="2">
        <f t="shared" si="4"/>
        <v>4.512316388053301E-8</v>
      </c>
      <c r="AC15" s="2">
        <f t="shared" si="5"/>
        <v>-1.4949458914045771E-8</v>
      </c>
      <c r="AD15" s="2">
        <f t="shared" si="6"/>
        <v>4.8828125E-4</v>
      </c>
      <c r="AF15" s="2">
        <v>11</v>
      </c>
      <c r="AG15" s="2">
        <f t="shared" si="13"/>
        <v>2002.9296875</v>
      </c>
      <c r="AH15" s="2">
        <v>-7.8556084440576797</v>
      </c>
      <c r="AI15" s="2">
        <f t="shared" si="14"/>
        <v>2012.20703125</v>
      </c>
      <c r="AJ15" s="2">
        <v>9.0977863008881741</v>
      </c>
      <c r="AK15" s="2">
        <f t="shared" si="9"/>
        <v>2007.568359375</v>
      </c>
      <c r="AL15" s="2">
        <v>4.8599915818210775</v>
      </c>
      <c r="AM15" s="2">
        <f t="shared" si="10"/>
        <v>-38.178190908202893</v>
      </c>
      <c r="AN15" s="2">
        <f t="shared" si="11"/>
        <v>44.215164835523645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143.3056821561587</v>
      </c>
      <c r="H16" s="6" t="s">
        <v>10</v>
      </c>
      <c r="J16" s="13" t="s">
        <v>53</v>
      </c>
      <c r="K16" s="6">
        <f>linear_250!K16</f>
        <v>106.45033207774499</v>
      </c>
      <c r="L16" s="6" t="s">
        <v>7</v>
      </c>
      <c r="N16" s="32" t="s">
        <v>24</v>
      </c>
      <c r="O16" s="34"/>
      <c r="P16" s="34"/>
      <c r="U16" s="2">
        <v>12</v>
      </c>
      <c r="V16" s="2">
        <f t="shared" si="7"/>
        <v>5.7861328125E-2</v>
      </c>
      <c r="W16" s="2">
        <f t="shared" si="0"/>
        <v>1.2282894886057188E-4</v>
      </c>
      <c r="X16" s="2">
        <f t="shared" si="8"/>
        <v>5.810546875E-2</v>
      </c>
      <c r="Y16" s="2">
        <f t="shared" si="1"/>
        <v>-1.2170957296895463E-4</v>
      </c>
      <c r="Z16" s="2">
        <f t="shared" si="3"/>
        <v>5.79833984375E-2</v>
      </c>
      <c r="AA16" s="2">
        <f t="shared" si="2"/>
        <v>5.5988774786547291E-7</v>
      </c>
      <c r="AB16" s="2">
        <f t="shared" si="4"/>
        <v>6.8770423550228941E-11</v>
      </c>
      <c r="AC16" s="2">
        <f t="shared" si="5"/>
        <v>-6.8143698703256445E-11</v>
      </c>
      <c r="AD16" s="2">
        <f t="shared" si="6"/>
        <v>2.44140625E-4</v>
      </c>
      <c r="AF16" s="2">
        <v>12</v>
      </c>
      <c r="AG16" s="2">
        <f t="shared" si="13"/>
        <v>2002.9296875</v>
      </c>
      <c r="AH16" s="2">
        <v>-7.8556084440576797</v>
      </c>
      <c r="AI16" s="2">
        <f t="shared" si="14"/>
        <v>2007.568359375</v>
      </c>
      <c r="AJ16" s="2">
        <v>9.0977863008881741</v>
      </c>
      <c r="AK16" s="2">
        <f t="shared" si="9"/>
        <v>2005.2490234375</v>
      </c>
      <c r="AL16" s="2">
        <v>6.9789332179013854</v>
      </c>
      <c r="AM16" s="2">
        <f t="shared" si="10"/>
        <v>-54.823766717060757</v>
      </c>
      <c r="AN16" s="2">
        <f t="shared" si="11"/>
        <v>63.492843024636649</v>
      </c>
      <c r="AO16" s="2">
        <f t="shared" si="12"/>
        <v>4.638671875</v>
      </c>
    </row>
    <row r="17" spans="2:41" x14ac:dyDescent="0.2">
      <c r="B17" s="31" t="s">
        <v>110</v>
      </c>
      <c r="C17" s="31"/>
      <c r="D17" s="31"/>
      <c r="F17" s="6" t="s">
        <v>124</v>
      </c>
      <c r="G17" s="6">
        <f>G16/$C$49</f>
        <v>0.43070728388198065</v>
      </c>
      <c r="H17" s="6" t="s">
        <v>122</v>
      </c>
      <c r="J17" s="13" t="s">
        <v>77</v>
      </c>
      <c r="K17" s="6">
        <f>linear_250!K17</f>
        <v>57.208340298095884</v>
      </c>
      <c r="L17" s="6" t="s">
        <v>7</v>
      </c>
      <c r="N17" s="6" t="s">
        <v>25</v>
      </c>
      <c r="O17" s="6">
        <f xml:space="preserve"> ACOS(O14)/PI()*180</f>
        <v>6.3570982224129189</v>
      </c>
      <c r="P17" s="6" t="s">
        <v>40</v>
      </c>
      <c r="U17" s="2">
        <v>13</v>
      </c>
      <c r="V17" s="2">
        <f t="shared" si="7"/>
        <v>5.79833984375E-2</v>
      </c>
      <c r="W17" s="2">
        <f t="shared" si="0"/>
        <v>5.5988774786547291E-7</v>
      </c>
      <c r="X17" s="2">
        <f t="shared" si="8"/>
        <v>5.810546875E-2</v>
      </c>
      <c r="Y17" s="2">
        <f t="shared" si="1"/>
        <v>-1.2170957296895463E-4</v>
      </c>
      <c r="Z17" s="2">
        <f t="shared" si="3"/>
        <v>5.804443359375E-2</v>
      </c>
      <c r="AA17" s="2">
        <f t="shared" si="2"/>
        <v>-6.0574792667432431E-5</v>
      </c>
      <c r="AB17" s="2">
        <f t="shared" si="4"/>
        <v>-3.3915084243986709E-11</v>
      </c>
      <c r="AC17" s="2">
        <f t="shared" si="5"/>
        <v>7.3725321482361654E-9</v>
      </c>
      <c r="AD17" s="2">
        <f t="shared" si="6"/>
        <v>1.220703125E-4</v>
      </c>
      <c r="AF17" s="2">
        <v>13</v>
      </c>
      <c r="AG17" s="2">
        <f t="shared" si="13"/>
        <v>2002.9296875</v>
      </c>
      <c r="AH17" s="2">
        <v>-7.8556084440576797</v>
      </c>
      <c r="AI17" s="2">
        <f t="shared" si="14"/>
        <v>2005.2490234375</v>
      </c>
      <c r="AJ17" s="2">
        <v>9.0977863008881741</v>
      </c>
      <c r="AK17" s="2">
        <f t="shared" si="9"/>
        <v>2004.08935546875</v>
      </c>
      <c r="AL17" s="2">
        <v>8.0383738749835629</v>
      </c>
      <c r="AM17" s="2">
        <f t="shared" si="10"/>
        <v>-63.146317688813525</v>
      </c>
      <c r="AN17" s="2">
        <f t="shared" si="11"/>
        <v>73.131407721242851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4959.0107172622629</v>
      </c>
      <c r="H18" s="6" t="s">
        <v>20</v>
      </c>
      <c r="J18" s="14" t="s">
        <v>60</v>
      </c>
      <c r="K18" s="6">
        <f>linear_250!K18</f>
        <v>137.80037749483429</v>
      </c>
      <c r="L18" s="6" t="s">
        <v>7</v>
      </c>
      <c r="N18" s="6" t="s">
        <v>19</v>
      </c>
      <c r="O18" s="6">
        <f xml:space="preserve"> O13 / $C$18</f>
        <v>4959.0107172622629</v>
      </c>
      <c r="P18" s="6" t="s">
        <v>20</v>
      </c>
      <c r="U18" s="2">
        <v>14</v>
      </c>
      <c r="V18" s="2">
        <f t="shared" si="7"/>
        <v>5.79833984375E-2</v>
      </c>
      <c r="W18" s="2">
        <f t="shared" si="0"/>
        <v>5.5988774786547291E-7</v>
      </c>
      <c r="X18" s="2">
        <f t="shared" si="8"/>
        <v>5.804443359375E-2</v>
      </c>
      <c r="Y18" s="2">
        <f t="shared" si="1"/>
        <v>-6.0574792667432431E-5</v>
      </c>
      <c r="Z18" s="2">
        <f t="shared" si="3"/>
        <v>5.8013916015625E-2</v>
      </c>
      <c r="AA18" s="2">
        <f t="shared" si="2"/>
        <v>-3.0007439973077366E-5</v>
      </c>
      <c r="AB18" s="2">
        <f t="shared" si="4"/>
        <v>-1.6800797985734655E-11</v>
      </c>
      <c r="AC18" s="2">
        <f t="shared" si="5"/>
        <v>1.8176944548495855E-9</v>
      </c>
      <c r="AD18" s="2">
        <f t="shared" si="6"/>
        <v>6.103515625E-5</v>
      </c>
      <c r="AF18" s="2">
        <v>14</v>
      </c>
      <c r="AG18" s="2">
        <f t="shared" si="13"/>
        <v>2002.9296875</v>
      </c>
      <c r="AH18" s="2">
        <v>-7.8556084440576797</v>
      </c>
      <c r="AI18" s="2">
        <f t="shared" si="14"/>
        <v>2004.08935546875</v>
      </c>
      <c r="AJ18" s="2">
        <v>9.0977863008881741</v>
      </c>
      <c r="AK18" s="2">
        <f t="shared" si="9"/>
        <v>2003.509521484375</v>
      </c>
      <c r="AL18" s="2">
        <v>8.5680842192537057</v>
      </c>
      <c r="AM18" s="2">
        <f t="shared" si="10"/>
        <v>-67.307514742166759</v>
      </c>
      <c r="AN18" s="2">
        <f t="shared" si="11"/>
        <v>77.950599234782516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58.691492737616862</v>
      </c>
      <c r="H19" s="6" t="s">
        <v>101</v>
      </c>
      <c r="J19" s="14" t="s">
        <v>61</v>
      </c>
      <c r="K19" s="6">
        <f>linear_250!K19</f>
        <v>33.562887913554505</v>
      </c>
      <c r="L19" s="6" t="s">
        <v>7</v>
      </c>
      <c r="N19" s="6" t="s">
        <v>26</v>
      </c>
      <c r="O19" s="6">
        <f>$C$7*2*PI()/60</f>
        <v>39.486457874610245</v>
      </c>
      <c r="P19" s="6" t="s">
        <v>27</v>
      </c>
      <c r="U19" s="2">
        <v>15</v>
      </c>
      <c r="V19" s="2">
        <f t="shared" si="7"/>
        <v>5.79833984375E-2</v>
      </c>
      <c r="W19" s="2">
        <f t="shared" si="0"/>
        <v>5.5988774786547291E-7</v>
      </c>
      <c r="X19" s="2">
        <f t="shared" si="8"/>
        <v>5.8013916015625E-2</v>
      </c>
      <c r="Y19" s="2">
        <f t="shared" si="1"/>
        <v>-3.0007439973077366E-5</v>
      </c>
      <c r="Z19" s="2">
        <f t="shared" si="3"/>
        <v>5.79986572265625E-2</v>
      </c>
      <c r="AA19" s="2">
        <f t="shared" si="2"/>
        <v>-1.4723772990818396E-5</v>
      </c>
      <c r="AB19" s="2">
        <f t="shared" si="4"/>
        <v>-8.243660099911789E-12</v>
      </c>
      <c r="AC19" s="2">
        <f t="shared" si="5"/>
        <v>4.4182273419920078E-10</v>
      </c>
      <c r="AD19" s="2">
        <f t="shared" si="6"/>
        <v>3.0517578125E-5</v>
      </c>
      <c r="AF19" s="2">
        <v>15</v>
      </c>
      <c r="AG19" s="2">
        <f t="shared" si="13"/>
        <v>2002.9296875</v>
      </c>
      <c r="AH19" s="2">
        <v>-7.8556084440576797</v>
      </c>
      <c r="AI19" s="2">
        <f t="shared" si="14"/>
        <v>2003.509521484375</v>
      </c>
      <c r="AJ19" s="2">
        <v>9.0977863008881741</v>
      </c>
      <c r="AK19" s="2">
        <f t="shared" si="9"/>
        <v>2003.2196044921875</v>
      </c>
      <c r="AL19" s="2">
        <v>8.8329368837403308</v>
      </c>
      <c r="AM19" s="2">
        <f t="shared" si="10"/>
        <v>-69.38809356973907</v>
      </c>
      <c r="AN19" s="2">
        <f t="shared" si="11"/>
        <v>80.360172177502662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8.62123097199607</v>
      </c>
      <c r="H20" s="6" t="s">
        <v>147</v>
      </c>
      <c r="J20" s="14" t="s">
        <v>62</v>
      </c>
      <c r="K20" s="6">
        <f>linear_250!K20</f>
        <v>0</v>
      </c>
      <c r="L20" s="6" t="s">
        <v>7</v>
      </c>
      <c r="N20" s="6" t="s">
        <v>28</v>
      </c>
      <c r="O20" s="6">
        <f xml:space="preserve"> $C$8 * COS(O17/180*PI()) / (O19 * $C$9)</f>
        <v>0.46504561967933383</v>
      </c>
      <c r="U20" s="2">
        <v>16</v>
      </c>
      <c r="V20" s="2">
        <f t="shared" si="7"/>
        <v>5.79833984375E-2</v>
      </c>
      <c r="W20" s="2">
        <f t="shared" si="0"/>
        <v>5.5988774786547291E-7</v>
      </c>
      <c r="X20" s="2">
        <f t="shared" si="8"/>
        <v>5.79986572265625E-2</v>
      </c>
      <c r="Y20" s="2">
        <f t="shared" si="1"/>
        <v>-1.4723772990818396E-5</v>
      </c>
      <c r="Z20" s="2">
        <f t="shared" si="3"/>
        <v>5.799102783203125E-2</v>
      </c>
      <c r="AA20" s="2">
        <f t="shared" si="2"/>
        <v>-7.0819418410139612E-6</v>
      </c>
      <c r="AB20" s="2">
        <f t="shared" si="4"/>
        <v>-3.9650924678795673E-12</v>
      </c>
      <c r="AC20" s="2">
        <f t="shared" si="5"/>
        <v>1.0427290400126807E-10</v>
      </c>
      <c r="AD20" s="2">
        <f t="shared" si="6"/>
        <v>1.52587890625E-5</v>
      </c>
      <c r="AF20" s="2">
        <v>16</v>
      </c>
      <c r="AG20" s="2">
        <f t="shared" si="13"/>
        <v>2002.9296875</v>
      </c>
      <c r="AH20" s="2">
        <v>-7.8556084440576797</v>
      </c>
      <c r="AI20" s="2">
        <f t="shared" si="14"/>
        <v>2003.2196044921875</v>
      </c>
      <c r="AJ20" s="2">
        <v>9.0977863008881741</v>
      </c>
      <c r="AK20" s="2">
        <f t="shared" si="9"/>
        <v>2003.0746459960938</v>
      </c>
      <c r="AL20" s="2">
        <v>8.9653608201936095</v>
      </c>
      <c r="AM20" s="2">
        <f t="shared" si="10"/>
        <v>-70.428364163136806</v>
      </c>
      <c r="AN20" s="2">
        <f t="shared" si="11"/>
        <v>81.56493685247699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9.4234615370945032E-2</v>
      </c>
      <c r="J21" s="14" t="s">
        <v>63</v>
      </c>
      <c r="K21" s="6">
        <f>linear_250!K21</f>
        <v>0</v>
      </c>
      <c r="L21" s="6" t="s">
        <v>7</v>
      </c>
      <c r="N21" s="6" t="s">
        <v>29</v>
      </c>
      <c r="O21" s="6">
        <f xml:space="preserve"> O18 / ($C$47 * PI() * $C$9^2 * O19^2 * $C$9^2)</f>
        <v>5.7861916898373379E-3</v>
      </c>
      <c r="U21" s="2">
        <v>17</v>
      </c>
      <c r="V21" s="2">
        <f t="shared" si="7"/>
        <v>5.79833984375E-2</v>
      </c>
      <c r="W21" s="2">
        <f t="shared" si="0"/>
        <v>5.5988774786547291E-7</v>
      </c>
      <c r="X21" s="2">
        <f t="shared" si="8"/>
        <v>5.799102783203125E-2</v>
      </c>
      <c r="Y21" s="2">
        <f t="shared" si="1"/>
        <v>-7.0819418410139612E-6</v>
      </c>
      <c r="Z21" s="2">
        <f t="shared" si="3"/>
        <v>5.7987213134765625E-2</v>
      </c>
      <c r="AA21" s="2">
        <f t="shared" si="2"/>
        <v>-3.261026851456017E-6</v>
      </c>
      <c r="AB21" s="2">
        <f t="shared" si="4"/>
        <v>-1.8258089795905435E-12</v>
      </c>
      <c r="AC21" s="2">
        <f t="shared" si="5"/>
        <v>2.3094402503996387E-11</v>
      </c>
      <c r="AD21" s="2">
        <f t="shared" si="6"/>
        <v>7.62939453125E-6</v>
      </c>
      <c r="AF21" s="2">
        <v>17</v>
      </c>
      <c r="AG21" s="2">
        <f t="shared" si="13"/>
        <v>2002.9296875</v>
      </c>
      <c r="AH21" s="2">
        <v>-7.8556084440576797</v>
      </c>
      <c r="AI21" s="2">
        <f t="shared" si="14"/>
        <v>2003.0746459960938</v>
      </c>
      <c r="AJ21" s="2">
        <v>9.0977863008881741</v>
      </c>
      <c r="AK21" s="2">
        <f t="shared" si="9"/>
        <v>2003.0021667480469</v>
      </c>
      <c r="AL21" s="2">
        <v>9.0315757241667143</v>
      </c>
      <c r="AM21" s="2">
        <f t="shared" si="10"/>
        <v>-70.948522521910391</v>
      </c>
      <c r="AN21" s="2">
        <f t="shared" si="11"/>
        <v>82.167345898758128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234.76597095046745</v>
      </c>
      <c r="H22" s="25" t="s">
        <v>101</v>
      </c>
      <c r="J22" s="14" t="s">
        <v>112</v>
      </c>
      <c r="K22" s="6">
        <f>linear_250!K22</f>
        <v>28.266845134610833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5.79833984375E-2</v>
      </c>
      <c r="W22" s="2">
        <f t="shared" si="0"/>
        <v>5.5988774786547291E-7</v>
      </c>
      <c r="X22" s="2">
        <f t="shared" si="8"/>
        <v>5.7987213134765625E-2</v>
      </c>
      <c r="Y22" s="2">
        <f t="shared" si="1"/>
        <v>-3.261026851456017E-6</v>
      </c>
      <c r="Z22" s="2">
        <f t="shared" si="3"/>
        <v>5.7985305786132812E-2</v>
      </c>
      <c r="AA22" s="2">
        <f t="shared" si="2"/>
        <v>-1.3505695030183174E-6</v>
      </c>
      <c r="AB22" s="2">
        <f t="shared" si="4"/>
        <v>-7.5616731738071676E-13</v>
      </c>
      <c r="AC22" s="2">
        <f t="shared" si="5"/>
        <v>4.4042434141003414E-12</v>
      </c>
      <c r="AD22" s="2">
        <f t="shared" si="6"/>
        <v>3.814697265625E-6</v>
      </c>
      <c r="AF22" s="2">
        <v>18</v>
      </c>
      <c r="AG22" s="2">
        <f t="shared" si="13"/>
        <v>2002.9296875</v>
      </c>
      <c r="AH22" s="2">
        <v>-7.8556084440576797</v>
      </c>
      <c r="AI22" s="2">
        <f t="shared" si="14"/>
        <v>2003.0021667480469</v>
      </c>
      <c r="AJ22" s="2">
        <v>9.0977863008881741</v>
      </c>
      <c r="AK22" s="2">
        <f t="shared" si="9"/>
        <v>2002.9659271240234</v>
      </c>
      <c r="AL22" s="2">
        <v>9.0646809642910284</v>
      </c>
      <c r="AM22" s="2">
        <f t="shared" si="10"/>
        <v>-71.208584325773515</v>
      </c>
      <c r="AN22" s="2">
        <f t="shared" si="11"/>
        <v>82.468530298848719</v>
      </c>
      <c r="AO22" s="2">
        <f t="shared" si="12"/>
        <v>7.2479248046875E-2</v>
      </c>
    </row>
    <row r="23" spans="2:41" x14ac:dyDescent="0.2">
      <c r="J23" s="15" t="s">
        <v>64</v>
      </c>
      <c r="K23" s="6">
        <f>linear_250!K23</f>
        <v>64.248956863090044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16826.808976341457</v>
      </c>
      <c r="P23" s="6" t="s">
        <v>18</v>
      </c>
      <c r="U23" s="2">
        <v>19</v>
      </c>
      <c r="V23" s="2">
        <f t="shared" si="7"/>
        <v>5.79833984375E-2</v>
      </c>
      <c r="W23" s="2">
        <f t="shared" si="0"/>
        <v>5.5988774786547291E-7</v>
      </c>
      <c r="X23" s="2">
        <f t="shared" si="8"/>
        <v>5.7985305786132812E-2</v>
      </c>
      <c r="Y23" s="2">
        <f t="shared" si="1"/>
        <v>-1.3505695030183174E-6</v>
      </c>
      <c r="Z23" s="2">
        <f t="shared" si="3"/>
        <v>5.7984352111816406E-2</v>
      </c>
      <c r="AA23" s="2">
        <f t="shared" si="2"/>
        <v>-3.9534086537784674E-7</v>
      </c>
      <c r="AB23" s="2">
        <f t="shared" si="4"/>
        <v>-2.2134650675558973E-13</v>
      </c>
      <c r="AC23" s="2">
        <f t="shared" si="5"/>
        <v>5.3393531607618993E-13</v>
      </c>
      <c r="AD23" s="2">
        <f t="shared" si="6"/>
        <v>1.9073486328125E-6</v>
      </c>
      <c r="AF23" s="2">
        <v>19</v>
      </c>
      <c r="AG23" s="2">
        <f t="shared" si="13"/>
        <v>2002.9296875</v>
      </c>
      <c r="AH23" s="2">
        <v>-7.8556084440576797</v>
      </c>
      <c r="AI23" s="2">
        <f t="shared" si="14"/>
        <v>2002.9659271240234</v>
      </c>
      <c r="AJ23" s="2">
        <v>9.0977863008881741</v>
      </c>
      <c r="AK23" s="2">
        <f t="shared" si="9"/>
        <v>2002.9478073120117</v>
      </c>
      <c r="AL23" s="2">
        <v>9.0812336205301563</v>
      </c>
      <c r="AM23" s="2">
        <f t="shared" si="10"/>
        <v>-71.338615511897189</v>
      </c>
      <c r="AN23" s="2">
        <f t="shared" si="11"/>
        <v>82.619122828024373</v>
      </c>
      <c r="AO23" s="2">
        <f t="shared" si="12"/>
        <v>3.62396240234375E-2</v>
      </c>
    </row>
    <row r="24" spans="2:41" x14ac:dyDescent="0.2">
      <c r="B24" s="31" t="s">
        <v>104</v>
      </c>
      <c r="C24" s="31"/>
      <c r="D24" s="31"/>
      <c r="F24" s="32" t="s">
        <v>81</v>
      </c>
      <c r="G24" s="33"/>
      <c r="H24" s="33"/>
      <c r="J24" s="15" t="s">
        <v>65</v>
      </c>
      <c r="K24" s="6">
        <f>linear_250!K24</f>
        <v>8.8806188488703679</v>
      </c>
      <c r="L24" s="6" t="s">
        <v>7</v>
      </c>
      <c r="N24" s="6" t="s">
        <v>31</v>
      </c>
      <c r="O24" s="18">
        <f>Z34</f>
        <v>5.7983957696706057E-2</v>
      </c>
      <c r="U24" s="2">
        <v>20</v>
      </c>
      <c r="V24" s="2">
        <f t="shared" si="7"/>
        <v>5.79833984375E-2</v>
      </c>
      <c r="W24" s="2">
        <f t="shared" si="0"/>
        <v>5.5988774786547291E-7</v>
      </c>
      <c r="X24" s="2">
        <f t="shared" si="8"/>
        <v>5.7984352111816406E-2</v>
      </c>
      <c r="Y24" s="2">
        <f t="shared" si="1"/>
        <v>-3.9534086537784674E-7</v>
      </c>
      <c r="Z24" s="2">
        <f t="shared" si="3"/>
        <v>5.7983875274658203E-2</v>
      </c>
      <c r="AA24" s="2">
        <f t="shared" si="2"/>
        <v>8.2273444293456954E-8</v>
      </c>
      <c r="AB24" s="2">
        <f t="shared" si="4"/>
        <v>4.6063893434599055E-14</v>
      </c>
      <c r="AC24" s="2">
        <f t="shared" si="5"/>
        <v>-3.2526054664591336E-14</v>
      </c>
      <c r="AD24" s="2">
        <f t="shared" si="6"/>
        <v>9.5367431640625E-7</v>
      </c>
      <c r="AF24" s="2">
        <v>20</v>
      </c>
      <c r="AG24" s="2">
        <f t="shared" si="13"/>
        <v>2002.9296875</v>
      </c>
      <c r="AH24" s="2">
        <v>-7.8556084440576797</v>
      </c>
      <c r="AI24" s="2">
        <f t="shared" si="14"/>
        <v>2002.9478073120117</v>
      </c>
      <c r="AJ24" s="2">
        <v>9.0977863008881741</v>
      </c>
      <c r="AK24" s="2">
        <f t="shared" si="9"/>
        <v>2002.9387474060059</v>
      </c>
      <c r="AL24" s="2">
        <v>9.0895123144239278</v>
      </c>
      <c r="AM24" s="2">
        <f t="shared" si="10"/>
        <v>-71.403649689554868</v>
      </c>
      <c r="AN24" s="2">
        <f t="shared" si="11"/>
        <v>82.694440615920371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>linear_250!K25</f>
        <v>19.178793093459714</v>
      </c>
      <c r="L25" s="6" t="s">
        <v>7</v>
      </c>
      <c r="N25" s="6" t="s">
        <v>32</v>
      </c>
      <c r="O25" s="6">
        <f xml:space="preserve"> O19 * $C$9 * O24 - $C$8 * SIN(O17/180*PI())</f>
        <v>0.88466908059077465</v>
      </c>
      <c r="P25" s="6" t="s">
        <v>10</v>
      </c>
      <c r="U25" s="2">
        <v>21</v>
      </c>
      <c r="V25" s="2">
        <f t="shared" si="7"/>
        <v>5.7983875274658203E-2</v>
      </c>
      <c r="W25" s="2">
        <f t="shared" si="0"/>
        <v>8.2273444293456954E-8</v>
      </c>
      <c r="X25" s="2">
        <f t="shared" si="8"/>
        <v>5.7984352111816406E-2</v>
      </c>
      <c r="Y25" s="2">
        <f t="shared" si="1"/>
        <v>-3.9534086537784674E-7</v>
      </c>
      <c r="Z25" s="2">
        <f t="shared" si="3"/>
        <v>5.7984113693237305E-2</v>
      </c>
      <c r="AA25" s="2">
        <f t="shared" si="2"/>
        <v>-1.5653370978585546E-7</v>
      </c>
      <c r="AB25" s="2">
        <f t="shared" si="4"/>
        <v>-1.2878567452114736E-14</v>
      </c>
      <c r="AC25" s="2">
        <f t="shared" si="5"/>
        <v>6.1884172287544814E-14</v>
      </c>
      <c r="AD25" s="2">
        <f t="shared" si="6"/>
        <v>4.76837158203125E-7</v>
      </c>
      <c r="AF25" s="2">
        <v>21</v>
      </c>
      <c r="AG25" s="2">
        <f t="shared" si="13"/>
        <v>2002.9296875</v>
      </c>
      <c r="AH25" s="2">
        <v>-7.8556084440576797</v>
      </c>
      <c r="AI25" s="2">
        <f t="shared" si="14"/>
        <v>2002.9387474060059</v>
      </c>
      <c r="AJ25" s="2">
        <v>9.0977863008881741</v>
      </c>
      <c r="AK25" s="2">
        <f t="shared" si="9"/>
        <v>2002.9342174530029</v>
      </c>
      <c r="AL25" s="2">
        <v>9.093649306904581</v>
      </c>
      <c r="AM25" s="2">
        <f t="shared" si="10"/>
        <v>-71.436148282618888</v>
      </c>
      <c r="AN25" s="2">
        <f t="shared" si="11"/>
        <v>82.732078089437735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>linear_250!K26</f>
        <v>54.91187602283798</v>
      </c>
      <c r="L26" s="6" t="s">
        <v>7</v>
      </c>
      <c r="N26" s="6" t="s">
        <v>33</v>
      </c>
      <c r="O26" s="6">
        <f xml:space="preserve"> 1/$C$21 - O23 * SQRT( (2*$C$47*PI()*$C$9^2) / O18^3 )</f>
        <v>0.8931213140768286</v>
      </c>
      <c r="U26" s="2">
        <v>22</v>
      </c>
      <c r="V26" s="2">
        <f t="shared" si="7"/>
        <v>5.7983875274658203E-2</v>
      </c>
      <c r="W26" s="2">
        <f t="shared" si="0"/>
        <v>8.2273444293456954E-8</v>
      </c>
      <c r="X26" s="2">
        <f t="shared" si="8"/>
        <v>5.7984113693237305E-2</v>
      </c>
      <c r="Y26" s="2">
        <f t="shared" si="1"/>
        <v>-1.5653370978585546E-7</v>
      </c>
      <c r="Z26" s="2">
        <f t="shared" si="3"/>
        <v>5.7983994483947754E-2</v>
      </c>
      <c r="AA26" s="2">
        <f t="shared" si="2"/>
        <v>-3.7130132551910222E-8</v>
      </c>
      <c r="AB26" s="2">
        <f t="shared" si="4"/>
        <v>-3.0548238921182583E-15</v>
      </c>
      <c r="AC26" s="2">
        <f t="shared" si="5"/>
        <v>5.8121173931910591E-15</v>
      </c>
      <c r="AD26" s="2">
        <f t="shared" si="6"/>
        <v>2.384185791015625E-7</v>
      </c>
      <c r="AF26" s="2">
        <v>22</v>
      </c>
      <c r="AG26" s="2">
        <f t="shared" si="13"/>
        <v>2002.9296875</v>
      </c>
      <c r="AH26" s="2">
        <v>-7.8556084440576797</v>
      </c>
      <c r="AI26" s="2">
        <f t="shared" si="14"/>
        <v>2002.9342174530029</v>
      </c>
      <c r="AJ26" s="2">
        <v>9.0977863008881741</v>
      </c>
      <c r="AK26" s="2">
        <f t="shared" si="9"/>
        <v>2002.9319524765015</v>
      </c>
      <c r="AL26" s="2">
        <v>9.0957154469715533</v>
      </c>
      <c r="AM26" s="2">
        <f t="shared" si="10"/>
        <v>-71.452379069975606</v>
      </c>
      <c r="AN26" s="2">
        <f t="shared" si="11"/>
        <v>82.750875390234754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-5.336542017175816E-6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5.7983875274658203E-2</v>
      </c>
      <c r="W27" s="2">
        <f t="shared" si="0"/>
        <v>8.2273444293456954E-8</v>
      </c>
      <c r="X27" s="2">
        <f t="shared" si="8"/>
        <v>5.7983994483947754E-2</v>
      </c>
      <c r="Y27" s="2">
        <f t="shared" si="1"/>
        <v>-3.7130132551910222E-8</v>
      </c>
      <c r="Z27" s="2">
        <f t="shared" si="3"/>
        <v>5.7983934879302979E-2</v>
      </c>
      <c r="AA27" s="2">
        <f t="shared" si="2"/>
        <v>2.257165591240673E-8</v>
      </c>
      <c r="AB27" s="2">
        <f t="shared" si="4"/>
        <v>1.8570478753204732E-15</v>
      </c>
      <c r="AC27" s="2">
        <f t="shared" si="5"/>
        <v>-8.3808857594376995E-16</v>
      </c>
      <c r="AD27" s="2">
        <f t="shared" si="6"/>
        <v>1.1920928955078125E-7</v>
      </c>
      <c r="AF27" s="2">
        <v>23</v>
      </c>
      <c r="AG27" s="2">
        <f t="shared" si="13"/>
        <v>2002.9296875</v>
      </c>
      <c r="AH27" s="2">
        <v>-7.8556084440576797</v>
      </c>
      <c r="AI27" s="2">
        <f t="shared" si="14"/>
        <v>2002.9319524765015</v>
      </c>
      <c r="AJ27" s="2">
        <v>9.0977863008881741</v>
      </c>
      <c r="AK27" s="2">
        <f t="shared" si="9"/>
        <v>2002.9308199882507</v>
      </c>
      <c r="AL27" s="2">
        <v>9.0967508738820015</v>
      </c>
      <c r="AM27" s="2">
        <f t="shared" si="10"/>
        <v>-71.460512978356533</v>
      </c>
      <c r="AN27" s="2">
        <f t="shared" si="11"/>
        <v>82.760295482996199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4928.9897512914113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1.1500149951627046</v>
      </c>
      <c r="U28" s="2">
        <v>24</v>
      </c>
      <c r="V28" s="2">
        <f t="shared" si="7"/>
        <v>5.7983934879302979E-2</v>
      </c>
      <c r="W28" s="2">
        <f t="shared" si="0"/>
        <v>2.257165591240673E-8</v>
      </c>
      <c r="X28" s="2">
        <f t="shared" si="8"/>
        <v>5.7983994483947754E-2</v>
      </c>
      <c r="Y28" s="2">
        <f t="shared" si="1"/>
        <v>-3.7130132551910222E-8</v>
      </c>
      <c r="Z28" s="2">
        <f t="shared" si="3"/>
        <v>5.7983964681625366E-2</v>
      </c>
      <c r="AA28" s="2">
        <f t="shared" si="2"/>
        <v>-7.2792383093434054E-9</v>
      </c>
      <c r="AB28" s="2">
        <f t="shared" si="4"/>
        <v>-1.6430446242290865E-16</v>
      </c>
      <c r="AC28" s="2">
        <f t="shared" si="5"/>
        <v>2.7027908330286352E-16</v>
      </c>
      <c r="AD28" s="2">
        <f t="shared" si="6"/>
        <v>5.9604644775390625E-8</v>
      </c>
      <c r="AF28" s="2">
        <v>24</v>
      </c>
      <c r="AG28" s="2">
        <f t="shared" si="13"/>
        <v>2002.9296875</v>
      </c>
      <c r="AH28" s="2">
        <v>-7.8556084440576797</v>
      </c>
      <c r="AI28" s="2">
        <f t="shared" si="14"/>
        <v>2002.9308199882507</v>
      </c>
      <c r="AJ28" s="2">
        <v>9.0977863008881741</v>
      </c>
      <c r="AK28" s="2">
        <f t="shared" si="9"/>
        <v>2002.9302537441254</v>
      </c>
      <c r="AL28" s="2">
        <v>9.0972685873732644</v>
      </c>
      <c r="AM28" s="2">
        <f t="shared" si="10"/>
        <v>-71.464579932830091</v>
      </c>
      <c r="AN28" s="2">
        <f t="shared" si="11"/>
        <v>82.765005529704794</v>
      </c>
      <c r="AO28" s="2">
        <f t="shared" si="12"/>
        <v>1.1324882507324219E-3</v>
      </c>
    </row>
    <row r="29" spans="2:41" x14ac:dyDescent="0.2">
      <c r="B29" s="31" t="s">
        <v>108</v>
      </c>
      <c r="C29" s="31"/>
      <c r="D29" s="31"/>
      <c r="F29" t="s">
        <v>97</v>
      </c>
      <c r="G29" s="6">
        <f>G31/$C$18</f>
        <v>49.739873420200851</v>
      </c>
      <c r="H29" t="s">
        <v>18</v>
      </c>
      <c r="U29" s="2">
        <v>25</v>
      </c>
      <c r="V29" s="2">
        <f t="shared" si="7"/>
        <v>5.7983934879302979E-2</v>
      </c>
      <c r="W29" s="2">
        <f t="shared" si="0"/>
        <v>2.257165591240673E-8</v>
      </c>
      <c r="X29" s="2">
        <f t="shared" si="8"/>
        <v>5.7983964681625366E-2</v>
      </c>
      <c r="Y29" s="2">
        <f t="shared" si="1"/>
        <v>-7.2792383093434054E-9</v>
      </c>
      <c r="Z29" s="2">
        <f t="shared" si="3"/>
        <v>5.7983949780464172E-2</v>
      </c>
      <c r="AA29" s="2">
        <f t="shared" si="2"/>
        <v>7.646208805001109E-9</v>
      </c>
      <c r="AB29" s="2">
        <f t="shared" si="4"/>
        <v>1.7258759418089966E-16</v>
      </c>
      <c r="AC29" s="2">
        <f t="shared" si="5"/>
        <v>-5.5658576054602937E-17</v>
      </c>
      <c r="AD29" s="2">
        <f t="shared" si="6"/>
        <v>2.9802322387695312E-8</v>
      </c>
      <c r="AF29" s="2">
        <v>25</v>
      </c>
      <c r="AG29" s="2">
        <f t="shared" si="13"/>
        <v>2002.9296875</v>
      </c>
      <c r="AH29" s="2">
        <v>-7.8556084440576797</v>
      </c>
      <c r="AI29" s="2">
        <f t="shared" si="14"/>
        <v>2002.9302537441254</v>
      </c>
      <c r="AJ29" s="2">
        <v>9.0977863008881741</v>
      </c>
      <c r="AK29" s="2">
        <f t="shared" si="9"/>
        <v>2002.9299706220627</v>
      </c>
      <c r="AL29" s="2">
        <v>9.0975274441279907</v>
      </c>
      <c r="AM29" s="2">
        <f t="shared" si="10"/>
        <v>-71.466613410138322</v>
      </c>
      <c r="AN29" s="2">
        <f t="shared" si="11"/>
        <v>82.767360553141842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10.110231160409473</v>
      </c>
      <c r="H30" s="6" t="s">
        <v>147</v>
      </c>
      <c r="J30" s="29" t="s">
        <v>111</v>
      </c>
      <c r="K30" s="29"/>
      <c r="L30" s="29"/>
      <c r="U30" s="2">
        <v>26</v>
      </c>
      <c r="V30" s="2">
        <f t="shared" si="7"/>
        <v>5.7983949780464172E-2</v>
      </c>
      <c r="W30" s="2">
        <f t="shared" si="0"/>
        <v>7.646208805001109E-9</v>
      </c>
      <c r="X30" s="2">
        <f t="shared" si="8"/>
        <v>5.7983964681625366E-2</v>
      </c>
      <c r="Y30" s="2">
        <f t="shared" si="1"/>
        <v>-7.2792383093434054E-9</v>
      </c>
      <c r="Z30" s="2">
        <f t="shared" si="3"/>
        <v>5.7983957231044769E-2</v>
      </c>
      <c r="AA30" s="2">
        <f t="shared" si="2"/>
        <v>1.8348524782885178E-10</v>
      </c>
      <c r="AB30" s="2">
        <f t="shared" si="4"/>
        <v>1.4029665175367771E-18</v>
      </c>
      <c r="AC30" s="2">
        <f t="shared" si="5"/>
        <v>-1.3356328451951467E-18</v>
      </c>
      <c r="AD30" s="2">
        <f t="shared" si="6"/>
        <v>1.4901161193847656E-8</v>
      </c>
      <c r="AF30" s="2">
        <v>26</v>
      </c>
      <c r="AG30" s="2">
        <f t="shared" si="13"/>
        <v>2002.9296875</v>
      </c>
      <c r="AH30" s="2">
        <v>-7.8556084440576797</v>
      </c>
      <c r="AI30" s="2">
        <f t="shared" si="14"/>
        <v>2002.9299706220627</v>
      </c>
      <c r="AJ30" s="2">
        <v>9.0977863008881741</v>
      </c>
      <c r="AK30" s="2">
        <f t="shared" si="9"/>
        <v>2002.9298290610313</v>
      </c>
      <c r="AL30" s="2">
        <v>9.097659229247256</v>
      </c>
      <c r="AM30" s="2">
        <f t="shared" si="10"/>
        <v>-71.46764866243403</v>
      </c>
      <c r="AN30" s="2">
        <f t="shared" si="11"/>
        <v>82.768559505994546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198.9594936808034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5.7983957231044769E-2</v>
      </c>
      <c r="W31" s="2">
        <f t="shared" si="0"/>
        <v>1.8348524782885178E-10</v>
      </c>
      <c r="X31" s="2">
        <f t="shared" si="8"/>
        <v>5.7983964681625366E-2</v>
      </c>
      <c r="Y31" s="2">
        <f t="shared" si="1"/>
        <v>-7.2792383093434054E-9</v>
      </c>
      <c r="Z31" s="2">
        <f t="shared" si="3"/>
        <v>5.7983960956335068E-2</v>
      </c>
      <c r="AA31" s="2">
        <f t="shared" si="2"/>
        <v>-3.5478765272878299E-9</v>
      </c>
      <c r="AB31" s="2">
        <f t="shared" si="4"/>
        <v>-6.5098300387557354E-19</v>
      </c>
      <c r="AC31" s="2">
        <f t="shared" si="5"/>
        <v>2.5825838734253815E-17</v>
      </c>
      <c r="AD31" s="2">
        <f t="shared" si="6"/>
        <v>7.4505805969238281E-9</v>
      </c>
      <c r="AF31" s="2">
        <v>27</v>
      </c>
      <c r="AG31" s="2">
        <f t="shared" si="13"/>
        <v>2002.9296875</v>
      </c>
      <c r="AH31" s="2">
        <v>-7.8556084440576797</v>
      </c>
      <c r="AI31" s="2">
        <f t="shared" si="14"/>
        <v>2002.9298290610313</v>
      </c>
      <c r="AJ31" s="2">
        <v>9.0977863008881741</v>
      </c>
      <c r="AK31" s="2">
        <f t="shared" si="9"/>
        <v>2002.9297582805157</v>
      </c>
      <c r="AL31" s="2">
        <v>9.0977227650676014</v>
      </c>
      <c r="AM31" s="2">
        <f t="shared" si="10"/>
        <v>-71.468147774960826</v>
      </c>
      <c r="AN31" s="2">
        <f t="shared" si="11"/>
        <v>82.769137541310499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401.37</v>
      </c>
      <c r="L32" s="6" t="s">
        <v>7</v>
      </c>
      <c r="U32" s="2">
        <v>28</v>
      </c>
      <c r="V32" s="2">
        <f t="shared" si="7"/>
        <v>5.7983957231044769E-2</v>
      </c>
      <c r="W32" s="2">
        <f t="shared" si="0"/>
        <v>1.8348524782885178E-10</v>
      </c>
      <c r="X32" s="2">
        <f t="shared" si="8"/>
        <v>5.7983960956335068E-2</v>
      </c>
      <c r="Y32" s="2">
        <f t="shared" si="1"/>
        <v>-3.5478765272878299E-9</v>
      </c>
      <c r="Z32" s="2">
        <f t="shared" si="3"/>
        <v>5.7983959093689919E-2</v>
      </c>
      <c r="AA32" s="2">
        <f t="shared" si="2"/>
        <v>-1.682195639729489E-9</v>
      </c>
      <c r="AB32" s="2">
        <f t="shared" si="4"/>
        <v>-3.0865808385237917E-19</v>
      </c>
      <c r="AC32" s="2">
        <f t="shared" si="5"/>
        <v>5.9682224245021889E-18</v>
      </c>
      <c r="AD32" s="2">
        <f t="shared" si="6"/>
        <v>3.7252902984619141E-9</v>
      </c>
      <c r="AF32" s="2">
        <v>28</v>
      </c>
      <c r="AG32" s="2">
        <f t="shared" si="13"/>
        <v>2002.9296875</v>
      </c>
      <c r="AH32" s="2">
        <v>-7.8556084440576797</v>
      </c>
      <c r="AI32" s="2">
        <f t="shared" si="14"/>
        <v>2002.9297582805157</v>
      </c>
      <c r="AJ32" s="2">
        <v>9.0977863008881741</v>
      </c>
      <c r="AK32" s="2">
        <f t="shared" si="9"/>
        <v>2002.9297228902578</v>
      </c>
      <c r="AL32" s="2">
        <v>9.0977521762379183</v>
      </c>
      <c r="AM32" s="2">
        <f t="shared" si="10"/>
        <v>-71.468378817598719</v>
      </c>
      <c r="AN32" s="2">
        <f t="shared" si="11"/>
        <v>82.769405117852912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2" t="s">
        <v>156</v>
      </c>
      <c r="G33" s="33"/>
      <c r="H33" s="33"/>
      <c r="J33" s="19" t="s">
        <v>78</v>
      </c>
      <c r="K33" s="6">
        <f>ROUND(SUM(K14:K17),2)</f>
        <v>663.31</v>
      </c>
      <c r="L33" s="6" t="s">
        <v>7</v>
      </c>
      <c r="U33" s="2">
        <v>29</v>
      </c>
      <c r="V33" s="2">
        <f t="shared" si="7"/>
        <v>5.7983957231044769E-2</v>
      </c>
      <c r="W33" s="2">
        <f t="shared" si="0"/>
        <v>1.8348524782885178E-10</v>
      </c>
      <c r="X33" s="2">
        <f t="shared" si="8"/>
        <v>5.7983959093689919E-2</v>
      </c>
      <c r="Y33" s="2">
        <f t="shared" si="1"/>
        <v>-1.682195639729489E-9</v>
      </c>
      <c r="Z33" s="2">
        <f t="shared" si="3"/>
        <v>5.7983958162367344E-2</v>
      </c>
      <c r="AA33" s="2">
        <f t="shared" si="2"/>
        <v>-7.4935519595031863E-10</v>
      </c>
      <c r="AB33" s="2">
        <f t="shared" si="4"/>
        <v>-1.37495623840782E-19</v>
      </c>
      <c r="AC33" s="2">
        <f t="shared" si="5"/>
        <v>1.2605620432362628E-18</v>
      </c>
      <c r="AD33" s="2">
        <f t="shared" si="6"/>
        <v>1.862645149230957E-9</v>
      </c>
      <c r="AF33" s="2">
        <v>29</v>
      </c>
      <c r="AG33" s="2">
        <f t="shared" si="13"/>
        <v>2002.9296875</v>
      </c>
      <c r="AH33" s="2">
        <v>-7.8556084440576797</v>
      </c>
      <c r="AI33" s="2">
        <f t="shared" si="14"/>
        <v>2002.9297228902578</v>
      </c>
      <c r="AJ33" s="2">
        <v>9.0977863008881741</v>
      </c>
      <c r="AK33" s="2">
        <f t="shared" si="9"/>
        <v>2002.9297051951289</v>
      </c>
      <c r="AL33" s="2">
        <v>9.0977715953026745</v>
      </c>
      <c r="AM33" s="2">
        <f t="shared" si="10"/>
        <v>-71.468531366167795</v>
      </c>
      <c r="AN33" s="2">
        <f t="shared" si="11"/>
        <v>82.769581788354216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199.63</v>
      </c>
      <c r="L34" s="6" t="s">
        <v>7</v>
      </c>
      <c r="U34" s="2">
        <v>30</v>
      </c>
      <c r="V34" s="2">
        <f t="shared" si="7"/>
        <v>5.7983957231044769E-2</v>
      </c>
      <c r="W34" s="2">
        <f t="shared" si="0"/>
        <v>1.8348524782885178E-10</v>
      </c>
      <c r="X34" s="2">
        <f t="shared" si="8"/>
        <v>5.7983958162367344E-2</v>
      </c>
      <c r="Y34" s="2">
        <f t="shared" si="1"/>
        <v>-7.4935519595031863E-10</v>
      </c>
      <c r="Z34" s="2">
        <f t="shared" si="3"/>
        <v>5.7983957696706057E-2</v>
      </c>
      <c r="AA34" s="2">
        <f t="shared" si="2"/>
        <v>-2.8293497406073342E-10</v>
      </c>
      <c r="AB34" s="2">
        <f t="shared" si="4"/>
        <v>-5.1914393834983423E-20</v>
      </c>
      <c r="AC34" s="2">
        <f t="shared" si="5"/>
        <v>2.1201879292847921E-19</v>
      </c>
      <c r="AD34" s="2">
        <f>X34-V34</f>
        <v>9.3132257461547852E-10</v>
      </c>
      <c r="AF34" s="2">
        <v>30</v>
      </c>
      <c r="AG34" s="2">
        <f t="shared" si="13"/>
        <v>2002.9296875</v>
      </c>
      <c r="AH34" s="2">
        <v>-7.8556084440576797</v>
      </c>
      <c r="AI34" s="2">
        <f t="shared" si="14"/>
        <v>2002.9297051951289</v>
      </c>
      <c r="AJ34" s="2">
        <v>9.0977863008881741</v>
      </c>
      <c r="AK34" s="2">
        <f t="shared" si="9"/>
        <v>2002.9296963475645</v>
      </c>
      <c r="AL34" s="2">
        <v>9.0977789480957654</v>
      </c>
      <c r="AM34" s="2">
        <f t="shared" si="10"/>
        <v>-71.46858912683129</v>
      </c>
      <c r="AN34" s="2">
        <f t="shared" si="11"/>
        <v>82.769648682494477</v>
      </c>
      <c r="AO34" s="2">
        <f t="shared" si="12"/>
        <v>1.7695128917694092E-5</v>
      </c>
    </row>
    <row r="35" spans="2:41" x14ac:dyDescent="0.2">
      <c r="B35" s="29" t="s">
        <v>2</v>
      </c>
      <c r="C35" s="29"/>
      <c r="D35" s="29"/>
      <c r="F35" s="26" t="s">
        <v>132</v>
      </c>
      <c r="G35" s="25">
        <f xml:space="preserve"> G22</f>
        <v>234.76597095046745</v>
      </c>
      <c r="H35" s="25" t="s">
        <v>101</v>
      </c>
      <c r="J35" s="15" t="s">
        <v>70</v>
      </c>
      <c r="K35" s="6">
        <f>ROUND(SUM(K23:K26),2)</f>
        <v>147.22</v>
      </c>
      <c r="L35" s="6" t="s">
        <v>7</v>
      </c>
      <c r="AF35" s="2">
        <v>31</v>
      </c>
      <c r="AG35" s="2">
        <f t="shared" si="13"/>
        <v>2002.9296875</v>
      </c>
      <c r="AH35" s="2">
        <v>-7.8556084440576797</v>
      </c>
      <c r="AI35" s="2">
        <f t="shared" si="14"/>
        <v>2002.9296963475645</v>
      </c>
      <c r="AJ35" s="2">
        <v>9.0977863008881741</v>
      </c>
      <c r="AK35" s="2">
        <f t="shared" si="9"/>
        <v>2002.9296919237822</v>
      </c>
      <c r="AL35" s="2">
        <v>9.0977826244920834</v>
      </c>
      <c r="AM35" s="2">
        <f t="shared" si="10"/>
        <v>-71.468618007161254</v>
      </c>
      <c r="AN35" s="2">
        <f t="shared" si="11"/>
        <v>82.76968212956254</v>
      </c>
      <c r="AO35" s="2">
        <f t="shared" si="12"/>
        <v>8.8475644588470459E-6</v>
      </c>
    </row>
    <row r="36" spans="2:41" x14ac:dyDescent="0.2">
      <c r="B36" s="6" t="s">
        <v>3</v>
      </c>
      <c r="C36" s="17">
        <v>700</v>
      </c>
      <c r="D36" s="6" t="s">
        <v>4</v>
      </c>
      <c r="J36" s="10" t="s">
        <v>59</v>
      </c>
      <c r="K36" s="10">
        <f>SUM(K31:K35)</f>
        <v>2011.53</v>
      </c>
      <c r="L36" s="6" t="s">
        <v>7</v>
      </c>
      <c r="AF36" s="2">
        <v>32</v>
      </c>
      <c r="AG36" s="2">
        <f t="shared" si="13"/>
        <v>2002.9296875</v>
      </c>
      <c r="AH36" s="2">
        <v>-7.8556084440576797</v>
      </c>
      <c r="AI36" s="2">
        <f t="shared" si="14"/>
        <v>2002.9296919237822</v>
      </c>
      <c r="AJ36" s="2">
        <v>9.0977863008881741</v>
      </c>
      <c r="AK36" s="2">
        <f t="shared" si="9"/>
        <v>2002.9296897118911</v>
      </c>
      <c r="AL36" s="2">
        <v>9.0977844626897877</v>
      </c>
      <c r="AM36" s="2">
        <f t="shared" si="10"/>
        <v>-71.468632447322662</v>
      </c>
      <c r="AN36" s="2">
        <f t="shared" si="11"/>
        <v>82.769698853092422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2002.9296875</v>
      </c>
      <c r="AH37" s="2">
        <v>-7.8556084440576797</v>
      </c>
      <c r="AI37" s="2">
        <f t="shared" si="14"/>
        <v>2002.9296897118911</v>
      </c>
      <c r="AJ37" s="2">
        <v>9.0977863008881741</v>
      </c>
      <c r="AK37" s="2">
        <f t="shared" si="9"/>
        <v>2002.9296886059456</v>
      </c>
      <c r="AL37" s="2">
        <v>9.0977853817892083</v>
      </c>
      <c r="AM37" s="2">
        <f t="shared" si="10"/>
        <v>-71.468639667407828</v>
      </c>
      <c r="AN37" s="2">
        <f t="shared" si="11"/>
        <v>82.769707214862549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9" t="s">
        <v>56</v>
      </c>
      <c r="K38" s="29"/>
      <c r="L38" s="29"/>
      <c r="AF38" s="2">
        <v>34</v>
      </c>
      <c r="AG38" s="2">
        <f t="shared" si="13"/>
        <v>2002.9296875</v>
      </c>
      <c r="AH38" s="2">
        <v>-7.8556084440576797</v>
      </c>
      <c r="AI38" s="2">
        <f t="shared" si="14"/>
        <v>2002.9296886059456</v>
      </c>
      <c r="AJ38" s="2">
        <v>9.0977863008881741</v>
      </c>
      <c r="AK38" s="2">
        <f t="shared" si="9"/>
        <v>2002.9296880529728</v>
      </c>
      <c r="AL38" s="2">
        <v>9.0977858413386912</v>
      </c>
      <c r="AM38" s="2">
        <f t="shared" si="10"/>
        <v>-71.468643277448621</v>
      </c>
      <c r="AN38" s="2">
        <f t="shared" si="11"/>
        <v>82.769711395745531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29.83</v>
      </c>
      <c r="L39" s="6" t="s">
        <v>58</v>
      </c>
      <c r="AF39" s="2">
        <v>35</v>
      </c>
      <c r="AG39" s="2">
        <f t="shared" si="13"/>
        <v>2002.9296875</v>
      </c>
      <c r="AH39" s="2">
        <v>-7.8556084440576797</v>
      </c>
      <c r="AI39" s="2">
        <f t="shared" si="14"/>
        <v>2002.9296880529728</v>
      </c>
      <c r="AJ39" s="2">
        <v>9.0977863008881741</v>
      </c>
      <c r="AK39" s="2">
        <f t="shared" si="9"/>
        <v>2002.9296877764864</v>
      </c>
      <c r="AL39" s="2">
        <v>9.0977860711129779</v>
      </c>
      <c r="AM39" s="2">
        <f t="shared" si="10"/>
        <v>-71.468645082465457</v>
      </c>
      <c r="AN39" s="2">
        <f t="shared" si="11"/>
        <v>82.769713486182894</v>
      </c>
      <c r="AO39" s="2">
        <f t="shared" si="12"/>
        <v>5.5297277867794037E-7</v>
      </c>
    </row>
    <row r="40" spans="2:41" x14ac:dyDescent="0.2">
      <c r="B40" s="29" t="s">
        <v>144</v>
      </c>
      <c r="C40" s="30"/>
      <c r="D40" s="30"/>
      <c r="J40" s="11" t="s">
        <v>52</v>
      </c>
      <c r="K40" s="6">
        <f>ROUND(K13/$C$5 * 100, 2)</f>
        <v>19.95</v>
      </c>
      <c r="L40" s="6" t="s">
        <v>58</v>
      </c>
      <c r="AF40" s="2">
        <v>36</v>
      </c>
      <c r="AG40" s="2">
        <f t="shared" si="13"/>
        <v>2002.9296875</v>
      </c>
      <c r="AH40" s="2">
        <v>-7.8556084440576797</v>
      </c>
      <c r="AI40" s="2">
        <f t="shared" si="14"/>
        <v>2002.9296877764864</v>
      </c>
      <c r="AJ40" s="2">
        <v>9.0977863008881741</v>
      </c>
      <c r="AK40" s="2">
        <f t="shared" si="9"/>
        <v>2002.9296876382432</v>
      </c>
      <c r="AL40" s="2">
        <v>9.0977861860008034</v>
      </c>
      <c r="AM40" s="2">
        <f t="shared" si="10"/>
        <v>-71.468645984979219</v>
      </c>
      <c r="AN40" s="2">
        <f t="shared" si="11"/>
        <v>82.769714531407772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32.979999999999997</v>
      </c>
      <c r="L41" s="6" t="s">
        <v>58</v>
      </c>
      <c r="AF41" s="2">
        <v>37</v>
      </c>
      <c r="AG41" s="2">
        <f t="shared" si="13"/>
        <v>2002.9296875</v>
      </c>
      <c r="AH41" s="2">
        <v>-7.8556084440576797</v>
      </c>
      <c r="AI41" s="2">
        <f t="shared" si="14"/>
        <v>2002.9296876382432</v>
      </c>
      <c r="AJ41" s="2">
        <v>9.0977863008881741</v>
      </c>
      <c r="AK41" s="2">
        <f t="shared" si="9"/>
        <v>2002.9296875691216</v>
      </c>
      <c r="AL41" s="2">
        <v>9.0977862434442613</v>
      </c>
      <c r="AM41" s="2">
        <f t="shared" si="10"/>
        <v>-71.468646436232532</v>
      </c>
      <c r="AN41" s="2">
        <f t="shared" si="11"/>
        <v>82.769715054016089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9.92</v>
      </c>
      <c r="L42" s="6" t="s">
        <v>58</v>
      </c>
      <c r="AF42" s="2">
        <v>38</v>
      </c>
      <c r="AG42" s="2">
        <f t="shared" si="13"/>
        <v>2002.9296875</v>
      </c>
      <c r="AH42" s="2">
        <v>-7.8556084440576797</v>
      </c>
      <c r="AI42" s="2">
        <f t="shared" si="14"/>
        <v>2002.9296875691216</v>
      </c>
      <c r="AJ42" s="2">
        <v>9.0977863008881741</v>
      </c>
      <c r="AK42" s="2">
        <f t="shared" si="9"/>
        <v>2002.9296875345608</v>
      </c>
      <c r="AL42" s="2">
        <v>9.0977862721667861</v>
      </c>
      <c r="AM42" s="2">
        <f t="shared" si="10"/>
        <v>-71.468646661865449</v>
      </c>
      <c r="AN42" s="2">
        <f t="shared" si="11"/>
        <v>82.769715315327474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7.32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2002.9296875</v>
      </c>
      <c r="AH43" s="2">
        <v>-7.8556084440576797</v>
      </c>
      <c r="AI43" s="2">
        <f t="shared" si="14"/>
        <v>2002.9296875345608</v>
      </c>
      <c r="AJ43" s="2">
        <v>9.0977863008881741</v>
      </c>
      <c r="AK43" s="2">
        <f t="shared" si="9"/>
        <v>2002.9296875172804</v>
      </c>
      <c r="AL43" s="2">
        <v>9.097786286526798</v>
      </c>
      <c r="AM43" s="2">
        <f t="shared" si="10"/>
        <v>-71.468646774672081</v>
      </c>
      <c r="AN43" s="2">
        <f t="shared" si="11"/>
        <v>82.769715445971798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2002.9296875</v>
      </c>
      <c r="AH44" s="2">
        <v>-7.8556084440576797</v>
      </c>
      <c r="AI44" s="2">
        <f t="shared" si="14"/>
        <v>2002.9296875172804</v>
      </c>
      <c r="AJ44" s="2">
        <v>9.0977863008881741</v>
      </c>
      <c r="AK44" s="5">
        <f>(AG44+AI44)/2</f>
        <v>2002.9296875086402</v>
      </c>
      <c r="AL44" s="2">
        <v>9.097786293707486</v>
      </c>
      <c r="AM44" s="2">
        <f t="shared" si="10"/>
        <v>-71.468646831080747</v>
      </c>
      <c r="AN44" s="2">
        <f t="shared" si="11"/>
        <v>82.769715511300163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9" t="s">
        <v>145</v>
      </c>
      <c r="C46" s="30"/>
      <c r="D46" s="30"/>
      <c r="J46" s="29" t="s">
        <v>56</v>
      </c>
      <c r="K46" s="29"/>
      <c r="L46" s="29"/>
      <c r="N46" s="6" t="s">
        <v>153</v>
      </c>
      <c r="O46" s="6">
        <f>G12*1000/O45</f>
        <v>1871.0798057524328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29.83</v>
      </c>
      <c r="L47" s="6" t="s">
        <v>58</v>
      </c>
      <c r="N47" s="6" t="s">
        <v>154</v>
      </c>
      <c r="O47" s="6">
        <f>0.377*O46^0.6945</f>
        <v>70.600773722293766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19.95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50.22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29" t="s">
        <v>71</v>
      </c>
      <c r="C52" s="29"/>
      <c r="D52" s="29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J38:L38"/>
    <mergeCell ref="B40:D40"/>
    <mergeCell ref="B46:D46"/>
    <mergeCell ref="J46:L46"/>
    <mergeCell ref="B52:D52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7:L7"/>
    <mergeCell ref="B1:D1"/>
    <mergeCell ref="B3:D3"/>
    <mergeCell ref="F3:H3"/>
    <mergeCell ref="J3:L3"/>
  </mergeCells>
  <conditionalFormatting sqref="K28">
    <cfRule type="containsText" dxfId="5" priority="1" operator="containsText" text="FALSE">
      <formula>NOT(ISERROR(SEARCH("FALSE",K28)))</formula>
    </cfRule>
    <cfRule type="containsText" dxfId="4" priority="2" operator="containsText" text="TRUE">
      <formula>NOT(ISERROR(SEARCH("TRUE",K28)))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NOT(ISERROR(SEARCH("YES",K28)))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obj_val</vt:lpstr>
      <vt:lpstr>uniform_250</vt:lpstr>
      <vt:lpstr>uniform_400</vt:lpstr>
      <vt:lpstr>uniform_550</vt:lpstr>
      <vt:lpstr>uniform_700</vt:lpstr>
      <vt:lpstr>linear_250</vt:lpstr>
      <vt:lpstr>linear_400</vt:lpstr>
      <vt:lpstr>linear_550</vt:lpstr>
      <vt:lpstr>linear_700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2025-05-18T16:38:10Z</dcterms:modified>
</cp:coreProperties>
</file>