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examples/6_multipoint_optimization_with_varying_batteries/weighted_sum_of_energy/liftcruise/"/>
    </mc:Choice>
  </mc:AlternateContent>
  <xr:revisionPtr revIDLastSave="0" documentId="13_ncr:1_{C02F53DF-7572-8E4E-AA12-613C20C892A0}" xr6:coauthVersionLast="47" xr6:coauthVersionMax="47" xr10:uidLastSave="{00000000-0000-0000-0000-000000000000}"/>
  <bookViews>
    <workbookView xWindow="0" yWindow="740" windowWidth="30240" windowHeight="18900" xr2:uid="{843CD013-835A-1741-B375-CD508AE79BD2}"/>
  </bookViews>
  <sheets>
    <sheet name="obj_val" sheetId="26" r:id="rId1"/>
    <sheet name="uniform_250" sheetId="12" r:id="rId2"/>
    <sheet name="uniform_400" sheetId="19" r:id="rId3"/>
    <sheet name="uniform_550" sheetId="20" r:id="rId4"/>
    <sheet name="uniform_700" sheetId="21" r:id="rId5"/>
    <sheet name="linear_250" sheetId="22" r:id="rId6"/>
    <sheet name="linear_400" sheetId="23" r:id="rId7"/>
    <sheet name="linear_550" sheetId="24" r:id="rId8"/>
    <sheet name="linear_700" sheetId="2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6" i="25" l="1"/>
  <c r="C55" i="25"/>
  <c r="C51" i="25"/>
  <c r="C50" i="25"/>
  <c r="AN44" i="25"/>
  <c r="AM44" i="25"/>
  <c r="AN43" i="25"/>
  <c r="AM43" i="25"/>
  <c r="AN42" i="25"/>
  <c r="AM42" i="25"/>
  <c r="AN41" i="25"/>
  <c r="AM41" i="25"/>
  <c r="C41" i="25"/>
  <c r="K21" i="25" s="1"/>
  <c r="AN40" i="25"/>
  <c r="AM40" i="25"/>
  <c r="AN39" i="25"/>
  <c r="AM39" i="25"/>
  <c r="AN38" i="25"/>
  <c r="AM38" i="25"/>
  <c r="AN37" i="25"/>
  <c r="AM37" i="25"/>
  <c r="AN36" i="25"/>
  <c r="AM36" i="25"/>
  <c r="AN35" i="25"/>
  <c r="AM35" i="25"/>
  <c r="AN34" i="25"/>
  <c r="AM34" i="25"/>
  <c r="AN33" i="25"/>
  <c r="AM33" i="25"/>
  <c r="AN32" i="25"/>
  <c r="AM32" i="25"/>
  <c r="G32" i="25"/>
  <c r="AN31" i="25"/>
  <c r="AM31" i="25"/>
  <c r="AN30" i="25"/>
  <c r="AM30" i="25"/>
  <c r="AN29" i="25"/>
  <c r="AM29" i="25"/>
  <c r="K29" i="25"/>
  <c r="G29" i="25"/>
  <c r="G27" i="25" s="1"/>
  <c r="AN28" i="25"/>
  <c r="AM28" i="25"/>
  <c r="K28" i="25"/>
  <c r="AN27" i="25"/>
  <c r="AM27" i="25"/>
  <c r="K27" i="25"/>
  <c r="AN26" i="25"/>
  <c r="AM26" i="25"/>
  <c r="K26" i="25"/>
  <c r="G26" i="25"/>
  <c r="AN25" i="25"/>
  <c r="AM25" i="25"/>
  <c r="G25" i="25"/>
  <c r="AN24" i="25"/>
  <c r="AM24" i="25"/>
  <c r="K24" i="25"/>
  <c r="G24" i="25"/>
  <c r="AN23" i="25"/>
  <c r="AM23" i="25"/>
  <c r="K23" i="25"/>
  <c r="G23" i="25"/>
  <c r="C23" i="25"/>
  <c r="AN22" i="25"/>
  <c r="AM22" i="25"/>
  <c r="K22" i="25"/>
  <c r="AN21" i="25"/>
  <c r="AM21" i="25"/>
  <c r="O21" i="25"/>
  <c r="G14" i="25" s="1"/>
  <c r="G15" i="25" s="1"/>
  <c r="AN20" i="25"/>
  <c r="AM20" i="25"/>
  <c r="K20" i="25"/>
  <c r="AN19" i="25"/>
  <c r="AM19" i="25"/>
  <c r="O19" i="25"/>
  <c r="AN18" i="25"/>
  <c r="AM18" i="25"/>
  <c r="AN17" i="25"/>
  <c r="AM17" i="25"/>
  <c r="C17" i="25"/>
  <c r="AN16" i="25"/>
  <c r="AM16" i="25"/>
  <c r="C16" i="25"/>
  <c r="AN15" i="25"/>
  <c r="AM15" i="25"/>
  <c r="AN14" i="25"/>
  <c r="AM14" i="25"/>
  <c r="K14" i="25"/>
  <c r="AN13" i="25"/>
  <c r="AM13" i="25"/>
  <c r="AN12" i="25"/>
  <c r="AM12" i="25"/>
  <c r="AN11" i="25"/>
  <c r="AM11" i="25"/>
  <c r="O11" i="25"/>
  <c r="C11" i="25"/>
  <c r="C30" i="25" s="1"/>
  <c r="AN10" i="25"/>
  <c r="AM10" i="25"/>
  <c r="AN9" i="25"/>
  <c r="AM9" i="25"/>
  <c r="O9" i="25"/>
  <c r="C9" i="25"/>
  <c r="AN8" i="25"/>
  <c r="AM8" i="25"/>
  <c r="AN7" i="25"/>
  <c r="AM7" i="25"/>
  <c r="G7" i="25"/>
  <c r="C7" i="25"/>
  <c r="AN6" i="25"/>
  <c r="AM6" i="25"/>
  <c r="O6" i="25"/>
  <c r="AO5" i="25"/>
  <c r="AN5" i="25"/>
  <c r="AI6" i="25" s="1"/>
  <c r="AM5" i="25"/>
  <c r="AG6" i="25" s="1"/>
  <c r="AK5" i="25"/>
  <c r="G5" i="25"/>
  <c r="G6" i="25" s="1"/>
  <c r="AD4" i="25"/>
  <c r="Z4" i="25"/>
  <c r="O4" i="25"/>
  <c r="G4" i="25"/>
  <c r="G10" i="25" s="1"/>
  <c r="C56" i="24"/>
  <c r="C55" i="24"/>
  <c r="C51" i="24"/>
  <c r="C50" i="24"/>
  <c r="AN44" i="24"/>
  <c r="AM44" i="24"/>
  <c r="AN43" i="24"/>
  <c r="AM43" i="24"/>
  <c r="AN42" i="24"/>
  <c r="AM42" i="24"/>
  <c r="AN41" i="24"/>
  <c r="AM41" i="24"/>
  <c r="C41" i="24"/>
  <c r="K21" i="24" s="1"/>
  <c r="AN40" i="24"/>
  <c r="AM40" i="24"/>
  <c r="AN39" i="24"/>
  <c r="AM39" i="24"/>
  <c r="AN38" i="24"/>
  <c r="AM38" i="24"/>
  <c r="AN37" i="24"/>
  <c r="AM37" i="24"/>
  <c r="AN36" i="24"/>
  <c r="AM36" i="24"/>
  <c r="AN35" i="24"/>
  <c r="AM35" i="24"/>
  <c r="AN34" i="24"/>
  <c r="AM34" i="24"/>
  <c r="AN33" i="24"/>
  <c r="AM33" i="24"/>
  <c r="AN32" i="24"/>
  <c r="AM32" i="24"/>
  <c r="G32" i="24"/>
  <c r="AN31" i="24"/>
  <c r="AM31" i="24"/>
  <c r="AN30" i="24"/>
  <c r="AM30" i="24"/>
  <c r="AN29" i="24"/>
  <c r="AM29" i="24"/>
  <c r="K29" i="24"/>
  <c r="G29" i="24"/>
  <c r="G27" i="24" s="1"/>
  <c r="AN28" i="24"/>
  <c r="AM28" i="24"/>
  <c r="K28" i="24"/>
  <c r="AN27" i="24"/>
  <c r="AM27" i="24"/>
  <c r="K27" i="24"/>
  <c r="AN26" i="24"/>
  <c r="AM26" i="24"/>
  <c r="K26" i="24"/>
  <c r="G26" i="24"/>
  <c r="AN25" i="24"/>
  <c r="AM25" i="24"/>
  <c r="G25" i="24"/>
  <c r="AN24" i="24"/>
  <c r="AM24" i="24"/>
  <c r="K24" i="24"/>
  <c r="G24" i="24"/>
  <c r="AN23" i="24"/>
  <c r="AM23" i="24"/>
  <c r="K23" i="24"/>
  <c r="G23" i="24"/>
  <c r="C23" i="24"/>
  <c r="AN22" i="24"/>
  <c r="AM22" i="24"/>
  <c r="K22" i="24"/>
  <c r="AN21" i="24"/>
  <c r="AM21" i="24"/>
  <c r="O21" i="24"/>
  <c r="G14" i="24" s="1"/>
  <c r="G15" i="24" s="1"/>
  <c r="AN20" i="24"/>
  <c r="AM20" i="24"/>
  <c r="K20" i="24"/>
  <c r="AN19" i="24"/>
  <c r="AM19" i="24"/>
  <c r="O19" i="24"/>
  <c r="AN18" i="24"/>
  <c r="AM18" i="24"/>
  <c r="AN17" i="24"/>
  <c r="AM17" i="24"/>
  <c r="C17" i="24"/>
  <c r="AN16" i="24"/>
  <c r="AM16" i="24"/>
  <c r="C16" i="24"/>
  <c r="AN15" i="24"/>
  <c r="AM15" i="24"/>
  <c r="AN14" i="24"/>
  <c r="AM14" i="24"/>
  <c r="K14" i="24"/>
  <c r="AN13" i="24"/>
  <c r="AM13" i="24"/>
  <c r="AN12" i="24"/>
  <c r="AM12" i="24"/>
  <c r="AN11" i="24"/>
  <c r="AM11" i="24"/>
  <c r="O11" i="24"/>
  <c r="C11" i="24"/>
  <c r="C30" i="24" s="1"/>
  <c r="AN10" i="24"/>
  <c r="AM10" i="24"/>
  <c r="AN9" i="24"/>
  <c r="AM9" i="24"/>
  <c r="O9" i="24"/>
  <c r="C9" i="24"/>
  <c r="AN8" i="24"/>
  <c r="AM8" i="24"/>
  <c r="AN7" i="24"/>
  <c r="AM7" i="24"/>
  <c r="G7" i="24"/>
  <c r="C7" i="24"/>
  <c r="AN6" i="24"/>
  <c r="AM6" i="24"/>
  <c r="O6" i="24"/>
  <c r="AO5" i="24"/>
  <c r="AN5" i="24"/>
  <c r="AI6" i="24" s="1"/>
  <c r="AM5" i="24"/>
  <c r="AG6" i="24" s="1"/>
  <c r="AK5" i="24"/>
  <c r="G5" i="24"/>
  <c r="G6" i="24" s="1"/>
  <c r="AD4" i="24"/>
  <c r="Z4" i="24"/>
  <c r="O4" i="24"/>
  <c r="G4" i="24"/>
  <c r="G10" i="24" s="1"/>
  <c r="C56" i="23"/>
  <c r="C55" i="23"/>
  <c r="C51" i="23"/>
  <c r="C50" i="23"/>
  <c r="AN44" i="23"/>
  <c r="AM44" i="23"/>
  <c r="AN43" i="23"/>
  <c r="AM43" i="23"/>
  <c r="AN42" i="23"/>
  <c r="AM42" i="23"/>
  <c r="AN41" i="23"/>
  <c r="AM41" i="23"/>
  <c r="C41" i="23"/>
  <c r="K21" i="23" s="1"/>
  <c r="AN40" i="23"/>
  <c r="AM40" i="23"/>
  <c r="AN39" i="23"/>
  <c r="AM39" i="23"/>
  <c r="AN38" i="23"/>
  <c r="AM38" i="23"/>
  <c r="AN37" i="23"/>
  <c r="AM37" i="23"/>
  <c r="AN36" i="23"/>
  <c r="AM36" i="23"/>
  <c r="AN35" i="23"/>
  <c r="AM35" i="23"/>
  <c r="AN34" i="23"/>
  <c r="AM34" i="23"/>
  <c r="AN33" i="23"/>
  <c r="AM33" i="23"/>
  <c r="AN32" i="23"/>
  <c r="AM32" i="23"/>
  <c r="G32" i="23"/>
  <c r="AN31" i="23"/>
  <c r="AM31" i="23"/>
  <c r="AN30" i="23"/>
  <c r="AM30" i="23"/>
  <c r="AN29" i="23"/>
  <c r="AM29" i="23"/>
  <c r="K29" i="23"/>
  <c r="G29" i="23"/>
  <c r="G27" i="23" s="1"/>
  <c r="AN28" i="23"/>
  <c r="AM28" i="23"/>
  <c r="K28" i="23"/>
  <c r="AN27" i="23"/>
  <c r="AM27" i="23"/>
  <c r="K27" i="23"/>
  <c r="AN26" i="23"/>
  <c r="AM26" i="23"/>
  <c r="K26" i="23"/>
  <c r="G26" i="23"/>
  <c r="AN25" i="23"/>
  <c r="AM25" i="23"/>
  <c r="G25" i="23"/>
  <c r="AN24" i="23"/>
  <c r="AM24" i="23"/>
  <c r="K24" i="23"/>
  <c r="G24" i="23"/>
  <c r="AN23" i="23"/>
  <c r="AM23" i="23"/>
  <c r="K23" i="23"/>
  <c r="G23" i="23"/>
  <c r="C23" i="23"/>
  <c r="AN22" i="23"/>
  <c r="AM22" i="23"/>
  <c r="K22" i="23"/>
  <c r="AN21" i="23"/>
  <c r="AM21" i="23"/>
  <c r="O21" i="23"/>
  <c r="G14" i="23" s="1"/>
  <c r="G15" i="23" s="1"/>
  <c r="AN20" i="23"/>
  <c r="AM20" i="23"/>
  <c r="K20" i="23"/>
  <c r="AN19" i="23"/>
  <c r="AM19" i="23"/>
  <c r="O19" i="23"/>
  <c r="AN18" i="23"/>
  <c r="AM18" i="23"/>
  <c r="AN17" i="23"/>
  <c r="AM17" i="23"/>
  <c r="C17" i="23"/>
  <c r="AN16" i="23"/>
  <c r="AM16" i="23"/>
  <c r="C16" i="23"/>
  <c r="AN15" i="23"/>
  <c r="AM15" i="23"/>
  <c r="AN14" i="23"/>
  <c r="AM14" i="23"/>
  <c r="K14" i="23"/>
  <c r="AN13" i="23"/>
  <c r="AM13" i="23"/>
  <c r="AN12" i="23"/>
  <c r="AM12" i="23"/>
  <c r="AN11" i="23"/>
  <c r="AM11" i="23"/>
  <c r="O11" i="23"/>
  <c r="C11" i="23"/>
  <c r="C30" i="23" s="1"/>
  <c r="AN10" i="23"/>
  <c r="AM10" i="23"/>
  <c r="AN9" i="23"/>
  <c r="AM9" i="23"/>
  <c r="O9" i="23"/>
  <c r="C9" i="23"/>
  <c r="AN8" i="23"/>
  <c r="AM8" i="23"/>
  <c r="AN7" i="23"/>
  <c r="AM7" i="23"/>
  <c r="G7" i="23"/>
  <c r="C7" i="23"/>
  <c r="AN6" i="23"/>
  <c r="AM6" i="23"/>
  <c r="O6" i="23"/>
  <c r="AO5" i="23"/>
  <c r="AN5" i="23"/>
  <c r="AI6" i="23" s="1"/>
  <c r="AM5" i="23"/>
  <c r="AG6" i="23" s="1"/>
  <c r="AK5" i="23"/>
  <c r="G5" i="23"/>
  <c r="G6" i="23" s="1"/>
  <c r="AD4" i="23"/>
  <c r="Z4" i="23"/>
  <c r="O4" i="23"/>
  <c r="G4" i="23"/>
  <c r="G10" i="23" s="1"/>
  <c r="C56" i="22"/>
  <c r="C55" i="22"/>
  <c r="C51" i="22"/>
  <c r="C50" i="22"/>
  <c r="AN44" i="22"/>
  <c r="AM44" i="22"/>
  <c r="AN43" i="22"/>
  <c r="AM43" i="22"/>
  <c r="AN42" i="22"/>
  <c r="AM42" i="22"/>
  <c r="AN41" i="22"/>
  <c r="AM41" i="22"/>
  <c r="C41" i="22"/>
  <c r="K21" i="22" s="1"/>
  <c r="AN40" i="22"/>
  <c r="AM40" i="22"/>
  <c r="AN39" i="22"/>
  <c r="AM39" i="22"/>
  <c r="AN38" i="22"/>
  <c r="AM38" i="22"/>
  <c r="AN37" i="22"/>
  <c r="AM37" i="22"/>
  <c r="AN36" i="22"/>
  <c r="AM36" i="22"/>
  <c r="AN35" i="22"/>
  <c r="AM35" i="22"/>
  <c r="AN34" i="22"/>
  <c r="AM34" i="22"/>
  <c r="AN33" i="22"/>
  <c r="AM33" i="22"/>
  <c r="AN32" i="22"/>
  <c r="AM32" i="22"/>
  <c r="G32" i="22"/>
  <c r="AN31" i="22"/>
  <c r="AM31" i="22"/>
  <c r="AN30" i="22"/>
  <c r="AM30" i="22"/>
  <c r="AN29" i="22"/>
  <c r="AM29" i="22"/>
  <c r="K29" i="22"/>
  <c r="G29" i="22"/>
  <c r="G27" i="22" s="1"/>
  <c r="AN28" i="22"/>
  <c r="AM28" i="22"/>
  <c r="K28" i="22"/>
  <c r="AN27" i="22"/>
  <c r="AM27" i="22"/>
  <c r="K27" i="22"/>
  <c r="AN26" i="22"/>
  <c r="AM26" i="22"/>
  <c r="K26" i="22"/>
  <c r="G26" i="22"/>
  <c r="AN25" i="22"/>
  <c r="AM25" i="22"/>
  <c r="G25" i="22"/>
  <c r="AN24" i="22"/>
  <c r="AM24" i="22"/>
  <c r="K24" i="22"/>
  <c r="G24" i="22"/>
  <c r="AN23" i="22"/>
  <c r="AM23" i="22"/>
  <c r="K23" i="22"/>
  <c r="G23" i="22"/>
  <c r="C23" i="22"/>
  <c r="AN22" i="22"/>
  <c r="AM22" i="22"/>
  <c r="K22" i="22"/>
  <c r="AN21" i="22"/>
  <c r="AM21" i="22"/>
  <c r="O21" i="22"/>
  <c r="G14" i="22" s="1"/>
  <c r="G15" i="22" s="1"/>
  <c r="AN20" i="22"/>
  <c r="AM20" i="22"/>
  <c r="K20" i="22"/>
  <c r="AN19" i="22"/>
  <c r="AM19" i="22"/>
  <c r="O19" i="22"/>
  <c r="AN18" i="22"/>
  <c r="AM18" i="22"/>
  <c r="AN17" i="22"/>
  <c r="AM17" i="22"/>
  <c r="C17" i="22"/>
  <c r="AN16" i="22"/>
  <c r="AM16" i="22"/>
  <c r="C16" i="22"/>
  <c r="AN15" i="22"/>
  <c r="AM15" i="22"/>
  <c r="AN14" i="22"/>
  <c r="AM14" i="22"/>
  <c r="K14" i="22"/>
  <c r="AN13" i="22"/>
  <c r="AM13" i="22"/>
  <c r="AN12" i="22"/>
  <c r="AM12" i="22"/>
  <c r="AN11" i="22"/>
  <c r="AM11" i="22"/>
  <c r="O11" i="22"/>
  <c r="C11" i="22"/>
  <c r="C30" i="22" s="1"/>
  <c r="AN10" i="22"/>
  <c r="AM10" i="22"/>
  <c r="AN9" i="22"/>
  <c r="AM9" i="22"/>
  <c r="O9" i="22"/>
  <c r="C9" i="22"/>
  <c r="AN8" i="22"/>
  <c r="AM8" i="22"/>
  <c r="AN7" i="22"/>
  <c r="AM7" i="22"/>
  <c r="G7" i="22"/>
  <c r="C7" i="22"/>
  <c r="AN6" i="22"/>
  <c r="AM6" i="22"/>
  <c r="O6" i="22"/>
  <c r="AO5" i="22"/>
  <c r="AN5" i="22"/>
  <c r="AI6" i="22" s="1"/>
  <c r="AM5" i="22"/>
  <c r="AG6" i="22" s="1"/>
  <c r="AK5" i="22"/>
  <c r="G5" i="22"/>
  <c r="G6" i="22" s="1"/>
  <c r="AD4" i="22"/>
  <c r="Z4" i="22"/>
  <c r="O4" i="22"/>
  <c r="G4" i="22"/>
  <c r="G10" i="22" s="1"/>
  <c r="C56" i="21"/>
  <c r="C55" i="21"/>
  <c r="C51" i="21"/>
  <c r="C50" i="21"/>
  <c r="AN44" i="21"/>
  <c r="AM44" i="21"/>
  <c r="AN43" i="21"/>
  <c r="AM43" i="21"/>
  <c r="AN42" i="21"/>
  <c r="AM42" i="21"/>
  <c r="AN41" i="21"/>
  <c r="AM41" i="21"/>
  <c r="C41" i="21"/>
  <c r="K21" i="21" s="1"/>
  <c r="AN40" i="21"/>
  <c r="AM40" i="21"/>
  <c r="AN39" i="21"/>
  <c r="AM39" i="21"/>
  <c r="AN38" i="21"/>
  <c r="AM38" i="21"/>
  <c r="AN37" i="21"/>
  <c r="AM37" i="21"/>
  <c r="AN36" i="21"/>
  <c r="AM36" i="21"/>
  <c r="AN35" i="21"/>
  <c r="AM35" i="21"/>
  <c r="AN34" i="21"/>
  <c r="AM34" i="21"/>
  <c r="AN33" i="21"/>
  <c r="AM33" i="21"/>
  <c r="AN32" i="21"/>
  <c r="AM32" i="21"/>
  <c r="G32" i="21"/>
  <c r="AN31" i="21"/>
  <c r="AM31" i="21"/>
  <c r="AN30" i="21"/>
  <c r="AM30" i="21"/>
  <c r="AN29" i="21"/>
  <c r="AM29" i="21"/>
  <c r="K29" i="21"/>
  <c r="G29" i="21"/>
  <c r="G27" i="21" s="1"/>
  <c r="AN28" i="21"/>
  <c r="AM28" i="21"/>
  <c r="K28" i="21"/>
  <c r="AN27" i="21"/>
  <c r="AM27" i="21"/>
  <c r="K27" i="21"/>
  <c r="AN26" i="21"/>
  <c r="AM26" i="21"/>
  <c r="K26" i="21"/>
  <c r="G26" i="21"/>
  <c r="AN25" i="21"/>
  <c r="AM25" i="21"/>
  <c r="G25" i="21"/>
  <c r="AN24" i="21"/>
  <c r="AM24" i="21"/>
  <c r="K24" i="21"/>
  <c r="G24" i="21"/>
  <c r="AN23" i="21"/>
  <c r="AM23" i="21"/>
  <c r="K23" i="21"/>
  <c r="G23" i="21"/>
  <c r="C23" i="21"/>
  <c r="AN22" i="21"/>
  <c r="AM22" i="21"/>
  <c r="K22" i="21"/>
  <c r="AN21" i="21"/>
  <c r="AM21" i="21"/>
  <c r="O21" i="21"/>
  <c r="O22" i="21" s="1"/>
  <c r="AN20" i="21"/>
  <c r="AM20" i="21"/>
  <c r="K20" i="21"/>
  <c r="AN19" i="21"/>
  <c r="AM19" i="21"/>
  <c r="O19" i="21"/>
  <c r="AN18" i="21"/>
  <c r="AM18" i="21"/>
  <c r="AN17" i="21"/>
  <c r="AM17" i="21"/>
  <c r="C17" i="21"/>
  <c r="AN16" i="21"/>
  <c r="AM16" i="21"/>
  <c r="C16" i="21"/>
  <c r="AN15" i="21"/>
  <c r="AM15" i="21"/>
  <c r="AN14" i="21"/>
  <c r="AM14" i="21"/>
  <c r="K14" i="21"/>
  <c r="AN13" i="21"/>
  <c r="AM13" i="21"/>
  <c r="AN12" i="21"/>
  <c r="AM12" i="21"/>
  <c r="AN11" i="21"/>
  <c r="AM11" i="21"/>
  <c r="O11" i="21"/>
  <c r="C11" i="21"/>
  <c r="C30" i="21" s="1"/>
  <c r="AN10" i="21"/>
  <c r="AM10" i="21"/>
  <c r="AN9" i="21"/>
  <c r="AM9" i="21"/>
  <c r="O9" i="21"/>
  <c r="C9" i="21"/>
  <c r="AN8" i="21"/>
  <c r="AM8" i="21"/>
  <c r="AN7" i="21"/>
  <c r="AM7" i="21"/>
  <c r="G7" i="21"/>
  <c r="C7" i="21"/>
  <c r="AN6" i="21"/>
  <c r="AM6" i="21"/>
  <c r="O6" i="21"/>
  <c r="AO5" i="21"/>
  <c r="AN5" i="21"/>
  <c r="AI6" i="21" s="1"/>
  <c r="AM5" i="21"/>
  <c r="AG6" i="21" s="1"/>
  <c r="AK5" i="21"/>
  <c r="G5" i="21"/>
  <c r="G6" i="21" s="1"/>
  <c r="AD4" i="21"/>
  <c r="Z4" i="21"/>
  <c r="O4" i="21"/>
  <c r="G4" i="21"/>
  <c r="G10" i="21" s="1"/>
  <c r="C56" i="20"/>
  <c r="C55" i="20"/>
  <c r="C51" i="20"/>
  <c r="C50" i="20"/>
  <c r="AN44" i="20"/>
  <c r="AM44" i="20"/>
  <c r="AN43" i="20"/>
  <c r="AM43" i="20"/>
  <c r="AN42" i="20"/>
  <c r="AM42" i="20"/>
  <c r="AN41" i="20"/>
  <c r="AM41" i="20"/>
  <c r="C41" i="20"/>
  <c r="K21" i="20" s="1"/>
  <c r="AN40" i="20"/>
  <c r="AM40" i="20"/>
  <c r="AN39" i="20"/>
  <c r="AM39" i="20"/>
  <c r="AN38" i="20"/>
  <c r="AM38" i="20"/>
  <c r="AN37" i="20"/>
  <c r="AM37" i="20"/>
  <c r="AN36" i="20"/>
  <c r="AM36" i="20"/>
  <c r="AN35" i="20"/>
  <c r="AM35" i="20"/>
  <c r="AN34" i="20"/>
  <c r="AM34" i="20"/>
  <c r="AN33" i="20"/>
  <c r="AM33" i="20"/>
  <c r="AN32" i="20"/>
  <c r="AM32" i="20"/>
  <c r="G32" i="20"/>
  <c r="AN31" i="20"/>
  <c r="AM31" i="20"/>
  <c r="AN30" i="20"/>
  <c r="AM30" i="20"/>
  <c r="AN29" i="20"/>
  <c r="AM29" i="20"/>
  <c r="K29" i="20"/>
  <c r="G29" i="20"/>
  <c r="G27" i="20" s="1"/>
  <c r="AN28" i="20"/>
  <c r="AM28" i="20"/>
  <c r="K28" i="20"/>
  <c r="AN27" i="20"/>
  <c r="AM27" i="20"/>
  <c r="K27" i="20"/>
  <c r="AN26" i="20"/>
  <c r="AM26" i="20"/>
  <c r="K26" i="20"/>
  <c r="G26" i="20"/>
  <c r="AN25" i="20"/>
  <c r="AM25" i="20"/>
  <c r="G25" i="20"/>
  <c r="AN24" i="20"/>
  <c r="AM24" i="20"/>
  <c r="K24" i="20"/>
  <c r="G24" i="20"/>
  <c r="AN23" i="20"/>
  <c r="AM23" i="20"/>
  <c r="K23" i="20"/>
  <c r="G23" i="20"/>
  <c r="C23" i="20"/>
  <c r="AN22" i="20"/>
  <c r="AM22" i="20"/>
  <c r="O22" i="20"/>
  <c r="K22" i="20"/>
  <c r="AN21" i="20"/>
  <c r="AM21" i="20"/>
  <c r="O21" i="20"/>
  <c r="G14" i="20" s="1"/>
  <c r="G15" i="20" s="1"/>
  <c r="AN20" i="20"/>
  <c r="AM20" i="20"/>
  <c r="K20" i="20"/>
  <c r="AN19" i="20"/>
  <c r="AM19" i="20"/>
  <c r="O19" i="20"/>
  <c r="AN18" i="20"/>
  <c r="AM18" i="20"/>
  <c r="AN17" i="20"/>
  <c r="AM17" i="20"/>
  <c r="C17" i="20"/>
  <c r="AN16" i="20"/>
  <c r="AM16" i="20"/>
  <c r="C16" i="20"/>
  <c r="AN15" i="20"/>
  <c r="AM15" i="20"/>
  <c r="AN14" i="20"/>
  <c r="AM14" i="20"/>
  <c r="K14" i="20"/>
  <c r="AN13" i="20"/>
  <c r="AM13" i="20"/>
  <c r="AN12" i="20"/>
  <c r="AM12" i="20"/>
  <c r="AN11" i="20"/>
  <c r="AM11" i="20"/>
  <c r="O11" i="20"/>
  <c r="C11" i="20"/>
  <c r="C30" i="20" s="1"/>
  <c r="AN10" i="20"/>
  <c r="AM10" i="20"/>
  <c r="AN9" i="20"/>
  <c r="AM9" i="20"/>
  <c r="O9" i="20"/>
  <c r="C9" i="20"/>
  <c r="AN8" i="20"/>
  <c r="AM8" i="20"/>
  <c r="AN7" i="20"/>
  <c r="AM7" i="20"/>
  <c r="G7" i="20"/>
  <c r="C7" i="20"/>
  <c r="AN6" i="20"/>
  <c r="AM6" i="20"/>
  <c r="O6" i="20"/>
  <c r="AO5" i="20"/>
  <c r="AN5" i="20"/>
  <c r="AI6" i="20" s="1"/>
  <c r="AM5" i="20"/>
  <c r="AG6" i="20" s="1"/>
  <c r="AK5" i="20"/>
  <c r="G5" i="20"/>
  <c r="G6" i="20" s="1"/>
  <c r="AD4" i="20"/>
  <c r="Z4" i="20"/>
  <c r="O4" i="20"/>
  <c r="G4" i="20"/>
  <c r="G10" i="20" s="1"/>
  <c r="C56" i="19"/>
  <c r="C55" i="19"/>
  <c r="C51" i="19"/>
  <c r="C50" i="19"/>
  <c r="AN44" i="19"/>
  <c r="AM44" i="19"/>
  <c r="AN43" i="19"/>
  <c r="AM43" i="19"/>
  <c r="AN42" i="19"/>
  <c r="AM42" i="19"/>
  <c r="AN41" i="19"/>
  <c r="AM41" i="19"/>
  <c r="C41" i="19"/>
  <c r="K21" i="19" s="1"/>
  <c r="AN40" i="19"/>
  <c r="AM40" i="19"/>
  <c r="AN39" i="19"/>
  <c r="AM39" i="19"/>
  <c r="AN38" i="19"/>
  <c r="AM38" i="19"/>
  <c r="AN37" i="19"/>
  <c r="AM37" i="19"/>
  <c r="AN36" i="19"/>
  <c r="AM36" i="19"/>
  <c r="AN35" i="19"/>
  <c r="AM35" i="19"/>
  <c r="AN34" i="19"/>
  <c r="AM34" i="19"/>
  <c r="AN33" i="19"/>
  <c r="AM33" i="19"/>
  <c r="AN32" i="19"/>
  <c r="AM32" i="19"/>
  <c r="G32" i="19"/>
  <c r="AN31" i="19"/>
  <c r="AM31" i="19"/>
  <c r="AN30" i="19"/>
  <c r="AM30" i="19"/>
  <c r="AN29" i="19"/>
  <c r="AM29" i="19"/>
  <c r="K29" i="19"/>
  <c r="G29" i="19"/>
  <c r="G27" i="19" s="1"/>
  <c r="AN28" i="19"/>
  <c r="AM28" i="19"/>
  <c r="K28" i="19"/>
  <c r="AN27" i="19"/>
  <c r="AM27" i="19"/>
  <c r="K27" i="19"/>
  <c r="AN26" i="19"/>
  <c r="AM26" i="19"/>
  <c r="K26" i="19"/>
  <c r="G26" i="19"/>
  <c r="AN25" i="19"/>
  <c r="AM25" i="19"/>
  <c r="G25" i="19"/>
  <c r="AN24" i="19"/>
  <c r="AM24" i="19"/>
  <c r="K24" i="19"/>
  <c r="G24" i="19"/>
  <c r="AN23" i="19"/>
  <c r="AM23" i="19"/>
  <c r="K23" i="19"/>
  <c r="G23" i="19"/>
  <c r="C23" i="19"/>
  <c r="AN22" i="19"/>
  <c r="AM22" i="19"/>
  <c r="K22" i="19"/>
  <c r="AN21" i="19"/>
  <c r="AM21" i="19"/>
  <c r="O21" i="19"/>
  <c r="G14" i="19" s="1"/>
  <c r="G15" i="19" s="1"/>
  <c r="AN20" i="19"/>
  <c r="AM20" i="19"/>
  <c r="K20" i="19"/>
  <c r="AN19" i="19"/>
  <c r="AM19" i="19"/>
  <c r="O19" i="19"/>
  <c r="AN18" i="19"/>
  <c r="AM18" i="19"/>
  <c r="AN17" i="19"/>
  <c r="AM17" i="19"/>
  <c r="C17" i="19"/>
  <c r="AN16" i="19"/>
  <c r="AM16" i="19"/>
  <c r="C16" i="19"/>
  <c r="AN15" i="19"/>
  <c r="AM15" i="19"/>
  <c r="AN14" i="19"/>
  <c r="AM14" i="19"/>
  <c r="K14" i="19"/>
  <c r="AN13" i="19"/>
  <c r="AM13" i="19"/>
  <c r="AN12" i="19"/>
  <c r="AM12" i="19"/>
  <c r="AN11" i="19"/>
  <c r="AM11" i="19"/>
  <c r="O11" i="19"/>
  <c r="C11" i="19"/>
  <c r="C30" i="19" s="1"/>
  <c r="AN10" i="19"/>
  <c r="AM10" i="19"/>
  <c r="AN9" i="19"/>
  <c r="AM9" i="19"/>
  <c r="O9" i="19"/>
  <c r="C9" i="19"/>
  <c r="AN8" i="19"/>
  <c r="AM8" i="19"/>
  <c r="AN7" i="19"/>
  <c r="AM7" i="19"/>
  <c r="G7" i="19"/>
  <c r="C7" i="19"/>
  <c r="AN6" i="19"/>
  <c r="AM6" i="19"/>
  <c r="O6" i="19"/>
  <c r="AO5" i="19"/>
  <c r="AN5" i="19"/>
  <c r="AI6" i="19" s="1"/>
  <c r="AM5" i="19"/>
  <c r="AG6" i="19" s="1"/>
  <c r="AK5" i="19"/>
  <c r="G5" i="19"/>
  <c r="G6" i="19" s="1"/>
  <c r="AD4" i="19"/>
  <c r="Z4" i="19"/>
  <c r="O4" i="19"/>
  <c r="G4" i="19"/>
  <c r="G10" i="19" s="1"/>
  <c r="O9" i="12"/>
  <c r="O10" i="12" s="1"/>
  <c r="C7" i="12"/>
  <c r="C17" i="12"/>
  <c r="G32" i="12"/>
  <c r="G14" i="21" l="1"/>
  <c r="G15" i="21" s="1"/>
  <c r="O22" i="23"/>
  <c r="O25" i="23" s="1"/>
  <c r="O22" i="22"/>
  <c r="AK6" i="19"/>
  <c r="AI7" i="19" s="1"/>
  <c r="O25" i="21"/>
  <c r="AK6" i="21"/>
  <c r="AI7" i="21" s="1"/>
  <c r="K46" i="25"/>
  <c r="AK6" i="23"/>
  <c r="AI7" i="23" s="1"/>
  <c r="AK6" i="22"/>
  <c r="AI7" i="22" s="1"/>
  <c r="K38" i="25"/>
  <c r="G28" i="25"/>
  <c r="K4" i="25"/>
  <c r="G8" i="25"/>
  <c r="G9" i="25" s="1"/>
  <c r="K25" i="25"/>
  <c r="K45" i="25" s="1"/>
  <c r="AO6" i="25"/>
  <c r="G13" i="25"/>
  <c r="K11" i="25" s="1"/>
  <c r="O22" i="25"/>
  <c r="O5" i="25"/>
  <c r="AK6" i="25"/>
  <c r="AI7" i="25" s="1"/>
  <c r="AG7" i="25"/>
  <c r="K42" i="25"/>
  <c r="K34" i="25"/>
  <c r="O12" i="25"/>
  <c r="O13" i="25" s="1"/>
  <c r="O16" i="25" s="1"/>
  <c r="K46" i="24"/>
  <c r="AG7" i="24"/>
  <c r="K38" i="24"/>
  <c r="G28" i="24"/>
  <c r="AO6" i="24"/>
  <c r="K46" i="23"/>
  <c r="G13" i="24"/>
  <c r="K11" i="24" s="1"/>
  <c r="O5" i="24"/>
  <c r="K25" i="24"/>
  <c r="K37" i="24" s="1"/>
  <c r="K4" i="24"/>
  <c r="G8" i="24"/>
  <c r="G9" i="24" s="1"/>
  <c r="AK6" i="24"/>
  <c r="AI7" i="24" s="1"/>
  <c r="O22" i="24"/>
  <c r="O25" i="24" s="1"/>
  <c r="K34" i="24"/>
  <c r="O12" i="24"/>
  <c r="O13" i="24" s="1"/>
  <c r="O16" i="24" s="1"/>
  <c r="K42" i="24"/>
  <c r="K38" i="23"/>
  <c r="G28" i="23"/>
  <c r="AO6" i="23"/>
  <c r="O5" i="23"/>
  <c r="G13" i="23"/>
  <c r="K11" i="23"/>
  <c r="K4" i="23"/>
  <c r="K25" i="23"/>
  <c r="K45" i="23" s="1"/>
  <c r="G8" i="23"/>
  <c r="G9" i="23" s="1"/>
  <c r="AG7" i="23"/>
  <c r="K42" i="23"/>
  <c r="K34" i="23"/>
  <c r="K38" i="22"/>
  <c r="AG7" i="22"/>
  <c r="G28" i="22"/>
  <c r="K46" i="22"/>
  <c r="K46" i="21"/>
  <c r="K4" i="22"/>
  <c r="G8" i="22"/>
  <c r="G9" i="22" s="1"/>
  <c r="K25" i="22"/>
  <c r="K37" i="22" s="1"/>
  <c r="O25" i="22"/>
  <c r="G13" i="22"/>
  <c r="O5" i="22"/>
  <c r="K11" i="22"/>
  <c r="AO6" i="22"/>
  <c r="K34" i="22"/>
  <c r="K42" i="22"/>
  <c r="O12" i="22"/>
  <c r="O13" i="22" s="1"/>
  <c r="O16" i="22" s="1"/>
  <c r="K38" i="21"/>
  <c r="G28" i="21"/>
  <c r="AO6" i="21"/>
  <c r="G13" i="21"/>
  <c r="O5" i="21"/>
  <c r="K25" i="21"/>
  <c r="K45" i="21" s="1"/>
  <c r="K4" i="21"/>
  <c r="G8" i="21"/>
  <c r="G9" i="21" s="1"/>
  <c r="K11" i="21"/>
  <c r="AG7" i="21"/>
  <c r="K34" i="21"/>
  <c r="K42" i="21"/>
  <c r="O25" i="20"/>
  <c r="K46" i="20"/>
  <c r="AG7" i="20"/>
  <c r="K38" i="20"/>
  <c r="AO6" i="20"/>
  <c r="G28" i="20"/>
  <c r="K38" i="19"/>
  <c r="G13" i="20"/>
  <c r="K11" i="20" s="1"/>
  <c r="O5" i="20"/>
  <c r="AK6" i="20"/>
  <c r="AI7" i="20" s="1"/>
  <c r="K25" i="20"/>
  <c r="K37" i="20" s="1"/>
  <c r="G8" i="20"/>
  <c r="G9" i="20" s="1"/>
  <c r="K4" i="20"/>
  <c r="K42" i="20"/>
  <c r="O12" i="20"/>
  <c r="O13" i="20" s="1"/>
  <c r="O16" i="20" s="1"/>
  <c r="K34" i="20"/>
  <c r="G28" i="19"/>
  <c r="K46" i="19"/>
  <c r="AG7" i="19"/>
  <c r="G13" i="19"/>
  <c r="K11" i="19" s="1"/>
  <c r="O5" i="19"/>
  <c r="O22" i="19"/>
  <c r="O25" i="19" s="1"/>
  <c r="AO6" i="19"/>
  <c r="K4" i="19"/>
  <c r="G8" i="19"/>
  <c r="G9" i="19" s="1"/>
  <c r="K25" i="19"/>
  <c r="K37" i="19" s="1"/>
  <c r="K34" i="19"/>
  <c r="K42" i="19"/>
  <c r="O12" i="19"/>
  <c r="O13" i="19" s="1"/>
  <c r="O16" i="19" s="1"/>
  <c r="C9" i="12"/>
  <c r="O11" i="12"/>
  <c r="O5" i="12"/>
  <c r="O19" i="12"/>
  <c r="AK7" i="23" l="1"/>
  <c r="AG8" i="23" s="1"/>
  <c r="AI8" i="23"/>
  <c r="AK7" i="21"/>
  <c r="AI8" i="21" s="1"/>
  <c r="AK7" i="25"/>
  <c r="AG8" i="25" s="1"/>
  <c r="AO7" i="24"/>
  <c r="K37" i="25"/>
  <c r="AK7" i="22"/>
  <c r="AG8" i="22" s="1"/>
  <c r="AO7" i="25"/>
  <c r="O25" i="25"/>
  <c r="K5" i="25"/>
  <c r="O14" i="25"/>
  <c r="O10" i="25"/>
  <c r="AK7" i="24"/>
  <c r="AG8" i="24" s="1"/>
  <c r="K45" i="24"/>
  <c r="O10" i="24"/>
  <c r="O14" i="24"/>
  <c r="K5" i="24"/>
  <c r="K37" i="23"/>
  <c r="AK8" i="23"/>
  <c r="AI9" i="23" s="1"/>
  <c r="AO8" i="23"/>
  <c r="AO7" i="23"/>
  <c r="O10" i="23"/>
  <c r="K5" i="23"/>
  <c r="O12" i="23"/>
  <c r="O13" i="23" s="1"/>
  <c r="O16" i="23" s="1"/>
  <c r="AO7" i="22"/>
  <c r="AK7" i="19"/>
  <c r="AI8" i="19" s="1"/>
  <c r="K45" i="22"/>
  <c r="AO7" i="20"/>
  <c r="AO7" i="19"/>
  <c r="O14" i="22"/>
  <c r="O10" i="22"/>
  <c r="K5" i="22"/>
  <c r="AO7" i="21"/>
  <c r="K5" i="21"/>
  <c r="AG8" i="21"/>
  <c r="AK8" i="21" s="1"/>
  <c r="AG9" i="21" s="1"/>
  <c r="K37" i="21"/>
  <c r="O10" i="21"/>
  <c r="O12" i="21"/>
  <c r="O13" i="21" s="1"/>
  <c r="O16" i="21" s="1"/>
  <c r="K45" i="20"/>
  <c r="K5" i="20"/>
  <c r="AK7" i="20"/>
  <c r="AG8" i="20" s="1"/>
  <c r="O14" i="20"/>
  <c r="O10" i="20"/>
  <c r="K45" i="19"/>
  <c r="K5" i="19"/>
  <c r="O14" i="19"/>
  <c r="O10" i="19"/>
  <c r="C56" i="12"/>
  <c r="C55" i="12"/>
  <c r="C51" i="12"/>
  <c r="C50" i="12"/>
  <c r="AN44" i="12"/>
  <c r="AM44" i="12"/>
  <c r="AN43" i="12"/>
  <c r="AM43" i="12"/>
  <c r="AN42" i="12"/>
  <c r="AM42" i="12"/>
  <c r="AN41" i="12"/>
  <c r="AM41" i="12"/>
  <c r="AN40" i="12"/>
  <c r="AM40" i="12"/>
  <c r="C41" i="12"/>
  <c r="AN39" i="12"/>
  <c r="AM39" i="12"/>
  <c r="AN38" i="12"/>
  <c r="AM38" i="12"/>
  <c r="AN37" i="12"/>
  <c r="AM37" i="12"/>
  <c r="AN36" i="12"/>
  <c r="AM36" i="12"/>
  <c r="AN35" i="12"/>
  <c r="AM35" i="12"/>
  <c r="AN34" i="12"/>
  <c r="AM34" i="12"/>
  <c r="AN33" i="12"/>
  <c r="AM33" i="12"/>
  <c r="AN32" i="12"/>
  <c r="AM32" i="12"/>
  <c r="AN31" i="12"/>
  <c r="AM31" i="12"/>
  <c r="AN30" i="12"/>
  <c r="AM30" i="12"/>
  <c r="AN29" i="12"/>
  <c r="AM29" i="12"/>
  <c r="AN28" i="12"/>
  <c r="AM28" i="12"/>
  <c r="AN27" i="12"/>
  <c r="AM27" i="12"/>
  <c r="AN26" i="12"/>
  <c r="AM26" i="12"/>
  <c r="AN25" i="12"/>
  <c r="AM25" i="12"/>
  <c r="AN24" i="12"/>
  <c r="AM24" i="12"/>
  <c r="G24" i="12"/>
  <c r="AN23" i="12"/>
  <c r="AM23" i="12"/>
  <c r="G23" i="12"/>
  <c r="AN22" i="12"/>
  <c r="AM22" i="12"/>
  <c r="AN21" i="12"/>
  <c r="AM21" i="12"/>
  <c r="O21" i="12"/>
  <c r="O22" i="12" s="1"/>
  <c r="AN20" i="12"/>
  <c r="AM20" i="12"/>
  <c r="AN19" i="12"/>
  <c r="AM19" i="12"/>
  <c r="AN18" i="12"/>
  <c r="AM18" i="12"/>
  <c r="AN17" i="12"/>
  <c r="AM17" i="12"/>
  <c r="C16" i="12"/>
  <c r="AN16" i="12"/>
  <c r="AM16" i="12"/>
  <c r="G13" i="12"/>
  <c r="K11" i="12" s="1"/>
  <c r="AN15" i="12"/>
  <c r="AM15" i="12"/>
  <c r="AN14" i="12"/>
  <c r="AM14" i="12"/>
  <c r="AN13" i="12"/>
  <c r="AM13" i="12"/>
  <c r="AN12" i="12"/>
  <c r="AM12" i="12"/>
  <c r="C11" i="12"/>
  <c r="C30" i="12" s="1"/>
  <c r="AN11" i="12"/>
  <c r="AM11" i="12"/>
  <c r="AN10" i="12"/>
  <c r="AM10" i="12"/>
  <c r="C23" i="12"/>
  <c r="AN9" i="12"/>
  <c r="AM9" i="12"/>
  <c r="AN8" i="12"/>
  <c r="AM8" i="12"/>
  <c r="AN7" i="12"/>
  <c r="AM7" i="12"/>
  <c r="AN6" i="12"/>
  <c r="AM6" i="12"/>
  <c r="AO5" i="12"/>
  <c r="AN5" i="12"/>
  <c r="AM5" i="12"/>
  <c r="AK5" i="12"/>
  <c r="G5" i="12"/>
  <c r="AD4" i="12"/>
  <c r="Z4" i="12"/>
  <c r="G4" i="12"/>
  <c r="AI8" i="22" l="1"/>
  <c r="AK8" i="22" s="1"/>
  <c r="AI9" i="22" s="1"/>
  <c r="AG9" i="23"/>
  <c r="AO9" i="23" s="1"/>
  <c r="AG8" i="19"/>
  <c r="AO8" i="19" s="1"/>
  <c r="AI8" i="25"/>
  <c r="AO8" i="25" s="1"/>
  <c r="AO8" i="22"/>
  <c r="AI8" i="24"/>
  <c r="AO8" i="24" s="1"/>
  <c r="O20" i="25"/>
  <c r="O28" i="25" s="1"/>
  <c r="O30" i="25" s="1"/>
  <c r="O15" i="25"/>
  <c r="O20" i="24"/>
  <c r="O15" i="24"/>
  <c r="O14" i="23"/>
  <c r="O20" i="22"/>
  <c r="O15" i="22"/>
  <c r="AI9" i="21"/>
  <c r="AK9" i="21" s="1"/>
  <c r="O14" i="21"/>
  <c r="AO8" i="21"/>
  <c r="AG9" i="19"/>
  <c r="AI8" i="20"/>
  <c r="AK8" i="20" s="1"/>
  <c r="O20" i="20"/>
  <c r="O15" i="20"/>
  <c r="O20" i="19"/>
  <c r="O15" i="19"/>
  <c r="AG6" i="12"/>
  <c r="G14" i="12"/>
  <c r="G15" i="12" s="1"/>
  <c r="O25" i="12"/>
  <c r="G6" i="12"/>
  <c r="AI6" i="12"/>
  <c r="G25" i="12"/>
  <c r="K42" i="12"/>
  <c r="AK8" i="19" l="1"/>
  <c r="AI9" i="19" s="1"/>
  <c r="AK9" i="23"/>
  <c r="AG10" i="23" s="1"/>
  <c r="AG9" i="22"/>
  <c r="AK9" i="22" s="1"/>
  <c r="AG10" i="22" s="1"/>
  <c r="AK8" i="24"/>
  <c r="AI9" i="24" s="1"/>
  <c r="AO9" i="22"/>
  <c r="AI10" i="23"/>
  <c r="AK10" i="23" s="1"/>
  <c r="AG11" i="23" s="1"/>
  <c r="AK8" i="25"/>
  <c r="AG9" i="25" s="1"/>
  <c r="AK9" i="19"/>
  <c r="AI10" i="19" s="1"/>
  <c r="AG9" i="24"/>
  <c r="O23" i="25"/>
  <c r="G16" i="25"/>
  <c r="K16" i="25"/>
  <c r="O23" i="24"/>
  <c r="G16" i="24"/>
  <c r="K16" i="24"/>
  <c r="O28" i="24"/>
  <c r="O30" i="24" s="1"/>
  <c r="AO9" i="21"/>
  <c r="O20" i="23"/>
  <c r="O15" i="23"/>
  <c r="AO8" i="20"/>
  <c r="G16" i="22"/>
  <c r="O23" i="22"/>
  <c r="K16" i="22"/>
  <c r="O28" i="22"/>
  <c r="O30" i="22" s="1"/>
  <c r="AG10" i="21"/>
  <c r="AI10" i="21"/>
  <c r="AI9" i="20"/>
  <c r="AG9" i="20"/>
  <c r="O20" i="21"/>
  <c r="O15" i="21"/>
  <c r="AO9" i="19"/>
  <c r="AG10" i="19"/>
  <c r="G16" i="20"/>
  <c r="O23" i="20"/>
  <c r="K16" i="20"/>
  <c r="O28" i="20"/>
  <c r="O30" i="20" s="1"/>
  <c r="G16" i="19"/>
  <c r="O23" i="19"/>
  <c r="K16" i="19"/>
  <c r="O28" i="19"/>
  <c r="O30" i="19" s="1"/>
  <c r="AO6" i="12"/>
  <c r="AK6" i="12"/>
  <c r="AG7" i="12" s="1"/>
  <c r="AK9" i="24" l="1"/>
  <c r="AG10" i="24" s="1"/>
  <c r="AI9" i="25"/>
  <c r="AI11" i="23"/>
  <c r="AO11" i="23" s="1"/>
  <c r="AO10" i="23"/>
  <c r="AI10" i="22"/>
  <c r="AO10" i="22" s="1"/>
  <c r="AO9" i="24"/>
  <c r="AO9" i="25"/>
  <c r="AK9" i="25"/>
  <c r="AG10" i="25" s="1"/>
  <c r="AI10" i="24"/>
  <c r="AO10" i="24" s="1"/>
  <c r="AO9" i="20"/>
  <c r="G19" i="25"/>
  <c r="AA4" i="25"/>
  <c r="W4" i="25"/>
  <c r="Y4" i="25"/>
  <c r="AO10" i="21"/>
  <c r="G19" i="24"/>
  <c r="W4" i="24"/>
  <c r="AA4" i="24"/>
  <c r="Y4" i="24"/>
  <c r="O23" i="23"/>
  <c r="G16" i="23"/>
  <c r="O28" i="23"/>
  <c r="O30" i="23" s="1"/>
  <c r="K16" i="23"/>
  <c r="AK11" i="23"/>
  <c r="AO10" i="19"/>
  <c r="AK9" i="20"/>
  <c r="AG10" i="20" s="1"/>
  <c r="G19" i="22"/>
  <c r="Y4" i="22"/>
  <c r="W4" i="22"/>
  <c r="AA4" i="22"/>
  <c r="AK10" i="19"/>
  <c r="AG11" i="19" s="1"/>
  <c r="AK10" i="21"/>
  <c r="G16" i="21"/>
  <c r="O23" i="21"/>
  <c r="K16" i="21"/>
  <c r="O28" i="21"/>
  <c r="O30" i="21" s="1"/>
  <c r="G19" i="20"/>
  <c r="W4" i="20"/>
  <c r="Y4" i="20"/>
  <c r="AA4" i="20"/>
  <c r="G19" i="19"/>
  <c r="Y4" i="19"/>
  <c r="W4" i="19"/>
  <c r="AA4" i="19"/>
  <c r="AI7" i="12"/>
  <c r="AO7" i="12" s="1"/>
  <c r="AK10" i="22" l="1"/>
  <c r="AI10" i="25"/>
  <c r="AK10" i="25" s="1"/>
  <c r="AI10" i="20"/>
  <c r="AO10" i="20" s="1"/>
  <c r="AK10" i="24"/>
  <c r="AG11" i="24" s="1"/>
  <c r="AI11" i="24"/>
  <c r="AO10" i="25"/>
  <c r="AI11" i="19"/>
  <c r="AK11" i="19" s="1"/>
  <c r="AI12" i="19" s="1"/>
  <c r="AB4" i="25"/>
  <c r="V5" i="25" s="1"/>
  <c r="W5" i="25" s="1"/>
  <c r="AI12" i="23"/>
  <c r="AG12" i="23"/>
  <c r="AC4" i="25"/>
  <c r="X5" i="25" s="1"/>
  <c r="AC4" i="24"/>
  <c r="X5" i="24" s="1"/>
  <c r="Y5" i="24" s="1"/>
  <c r="AB4" i="24"/>
  <c r="V5" i="24" s="1"/>
  <c r="G19" i="23"/>
  <c r="W4" i="23"/>
  <c r="AA4" i="23"/>
  <c r="Y4" i="23"/>
  <c r="AB4" i="22"/>
  <c r="V5" i="22" s="1"/>
  <c r="W5" i="22" s="1"/>
  <c r="AC4" i="22"/>
  <c r="X5" i="22" s="1"/>
  <c r="Y5" i="22" s="1"/>
  <c r="AG11" i="21"/>
  <c r="AI11" i="21"/>
  <c r="G19" i="21"/>
  <c r="Y4" i="21"/>
  <c r="W4" i="21"/>
  <c r="AA4" i="21"/>
  <c r="AC4" i="20"/>
  <c r="X5" i="20" s="1"/>
  <c r="AB4" i="20"/>
  <c r="V5" i="20" s="1"/>
  <c r="AC4" i="19"/>
  <c r="X5" i="19" s="1"/>
  <c r="Y5" i="19" s="1"/>
  <c r="AB4" i="19"/>
  <c r="V5" i="19" s="1"/>
  <c r="AK7" i="12"/>
  <c r="AI8" i="12" s="1"/>
  <c r="AO11" i="24" l="1"/>
  <c r="AI11" i="22"/>
  <c r="AG11" i="22"/>
  <c r="AK11" i="22" s="1"/>
  <c r="AK11" i="24"/>
  <c r="AI12" i="24" s="1"/>
  <c r="AG11" i="25"/>
  <c r="AI11" i="25"/>
  <c r="AK10" i="20"/>
  <c r="AG11" i="20" s="1"/>
  <c r="AO12" i="23"/>
  <c r="AO11" i="19"/>
  <c r="AI12" i="22"/>
  <c r="AG12" i="22"/>
  <c r="AK12" i="23"/>
  <c r="AG13" i="23" s="1"/>
  <c r="AO11" i="21"/>
  <c r="Z5" i="24"/>
  <c r="AA5" i="24" s="1"/>
  <c r="AC5" i="24" s="1"/>
  <c r="X6" i="24" s="1"/>
  <c r="Y6" i="24" s="1"/>
  <c r="W5" i="24"/>
  <c r="AG12" i="19"/>
  <c r="AO12" i="19" s="1"/>
  <c r="AD5" i="24"/>
  <c r="AD5" i="25"/>
  <c r="Y5" i="25"/>
  <c r="Z5" i="25"/>
  <c r="AA5" i="25" s="1"/>
  <c r="AB5" i="25" s="1"/>
  <c r="V6" i="25" s="1"/>
  <c r="AB4" i="23"/>
  <c r="V5" i="23" s="1"/>
  <c r="W5" i="23" s="1"/>
  <c r="AD5" i="22"/>
  <c r="AC4" i="23"/>
  <c r="X5" i="23" s="1"/>
  <c r="Z5" i="22"/>
  <c r="AA5" i="22" s="1"/>
  <c r="AC5" i="22" s="1"/>
  <c r="X6" i="22" s="1"/>
  <c r="AK11" i="21"/>
  <c r="AI12" i="21" s="1"/>
  <c r="AB4" i="21"/>
  <c r="V5" i="21" s="1"/>
  <c r="AC4" i="21"/>
  <c r="X5" i="21" s="1"/>
  <c r="Z5" i="20"/>
  <c r="AA5" i="20" s="1"/>
  <c r="W5" i="20"/>
  <c r="AD5" i="20"/>
  <c r="Y5" i="20"/>
  <c r="Z5" i="19"/>
  <c r="AA5" i="19" s="1"/>
  <c r="AC5" i="19" s="1"/>
  <c r="X6" i="19" s="1"/>
  <c r="W5" i="19"/>
  <c r="AD5" i="19"/>
  <c r="AG8" i="12"/>
  <c r="AO8" i="12" s="1"/>
  <c r="AG12" i="24" l="1"/>
  <c r="AO11" i="22"/>
  <c r="AK12" i="22"/>
  <c r="AK11" i="25"/>
  <c r="AO11" i="25"/>
  <c r="AI11" i="20"/>
  <c r="AG12" i="20"/>
  <c r="AI13" i="23"/>
  <c r="AK13" i="23" s="1"/>
  <c r="AI14" i="23" s="1"/>
  <c r="AB5" i="24"/>
  <c r="V6" i="24" s="1"/>
  <c r="Z6" i="24" s="1"/>
  <c r="AA6" i="24" s="1"/>
  <c r="AC6" i="24" s="1"/>
  <c r="X7" i="24" s="1"/>
  <c r="Y7" i="24" s="1"/>
  <c r="AG13" i="22"/>
  <c r="AI13" i="22"/>
  <c r="AO12" i="22"/>
  <c r="AO12" i="24"/>
  <c r="AK12" i="24"/>
  <c r="AK12" i="19"/>
  <c r="AC5" i="25"/>
  <c r="X6" i="25" s="1"/>
  <c r="Z6" i="25" s="1"/>
  <c r="AA6" i="25" s="1"/>
  <c r="W6" i="25"/>
  <c r="AD5" i="23"/>
  <c r="Y5" i="23"/>
  <c r="Z5" i="23"/>
  <c r="AA5" i="23" s="1"/>
  <c r="AB5" i="23" s="1"/>
  <c r="V6" i="23" s="1"/>
  <c r="AC5" i="20"/>
  <c r="X6" i="20" s="1"/>
  <c r="Y6" i="20" s="1"/>
  <c r="Y6" i="22"/>
  <c r="AB5" i="22"/>
  <c r="V6" i="22" s="1"/>
  <c r="AG12" i="21"/>
  <c r="AO12" i="21" s="1"/>
  <c r="AD5" i="21"/>
  <c r="Y5" i="21"/>
  <c r="Z5" i="21"/>
  <c r="AA5" i="21" s="1"/>
  <c r="W5" i="21"/>
  <c r="AB5" i="19"/>
  <c r="V6" i="19" s="1"/>
  <c r="Z6" i="19" s="1"/>
  <c r="AA6" i="19" s="1"/>
  <c r="AB5" i="20"/>
  <c r="V6" i="20" s="1"/>
  <c r="Y6" i="19"/>
  <c r="AK8" i="12"/>
  <c r="AI9" i="12" s="1"/>
  <c r="AO13" i="23" l="1"/>
  <c r="AG14" i="23"/>
  <c r="AK14" i="23" s="1"/>
  <c r="AG15" i="23" s="1"/>
  <c r="AI12" i="25"/>
  <c r="AG12" i="25"/>
  <c r="AK12" i="25" s="1"/>
  <c r="AK11" i="20"/>
  <c r="AI12" i="20" s="1"/>
  <c r="AO11" i="20"/>
  <c r="AD6" i="24"/>
  <c r="AO13" i="22"/>
  <c r="W6" i="24"/>
  <c r="AB6" i="24" s="1"/>
  <c r="V7" i="24" s="1"/>
  <c r="AK13" i="22"/>
  <c r="AG13" i="24"/>
  <c r="AI13" i="24"/>
  <c r="AG13" i="19"/>
  <c r="AI13" i="19"/>
  <c r="AB6" i="25"/>
  <c r="V7" i="25" s="1"/>
  <c r="AD6" i="25"/>
  <c r="Y6" i="25"/>
  <c r="AC6" i="25" s="1"/>
  <c r="X7" i="25" s="1"/>
  <c r="AD6" i="20"/>
  <c r="AK12" i="21"/>
  <c r="AI13" i="21" s="1"/>
  <c r="W6" i="23"/>
  <c r="AC5" i="23"/>
  <c r="X6" i="23" s="1"/>
  <c r="Z6" i="22"/>
  <c r="AA6" i="22" s="1"/>
  <c r="AC6" i="22" s="1"/>
  <c r="X7" i="22" s="1"/>
  <c r="W6" i="22"/>
  <c r="AD6" i="22"/>
  <c r="AB5" i="21"/>
  <c r="V6" i="21" s="1"/>
  <c r="W6" i="21" s="1"/>
  <c r="AD6" i="19"/>
  <c r="W6" i="19"/>
  <c r="AB6" i="19" s="1"/>
  <c r="V7" i="19" s="1"/>
  <c r="AC5" i="21"/>
  <c r="X6" i="21" s="1"/>
  <c r="Z6" i="20"/>
  <c r="AA6" i="20" s="1"/>
  <c r="AC6" i="20" s="1"/>
  <c r="X7" i="20" s="1"/>
  <c r="W6" i="20"/>
  <c r="AC6" i="19"/>
  <c r="X7" i="19" s="1"/>
  <c r="AG9" i="12"/>
  <c r="AO9" i="12" s="1"/>
  <c r="AI15" i="23" l="1"/>
  <c r="AO15" i="23" s="1"/>
  <c r="AO14" i="23"/>
  <c r="AG13" i="25"/>
  <c r="AI13" i="25"/>
  <c r="AO12" i="25"/>
  <c r="AI13" i="20"/>
  <c r="AO12" i="20"/>
  <c r="AK12" i="20"/>
  <c r="AG13" i="20" s="1"/>
  <c r="AK13" i="24"/>
  <c r="AG14" i="24" s="1"/>
  <c r="AD7" i="24"/>
  <c r="Z7" i="24"/>
  <c r="AA7" i="24" s="1"/>
  <c r="AC7" i="24" s="1"/>
  <c r="X8" i="24" s="1"/>
  <c r="Y8" i="24" s="1"/>
  <c r="W7" i="24"/>
  <c r="AI14" i="22"/>
  <c r="AG14" i="22"/>
  <c r="AK15" i="23"/>
  <c r="AI16" i="23" s="1"/>
  <c r="AO13" i="19"/>
  <c r="AK13" i="19"/>
  <c r="AG14" i="19" s="1"/>
  <c r="AO13" i="24"/>
  <c r="AG13" i="21"/>
  <c r="AK13" i="21" s="1"/>
  <c r="AI14" i="21" s="1"/>
  <c r="AB6" i="20"/>
  <c r="V7" i="20" s="1"/>
  <c r="W7" i="20" s="1"/>
  <c r="AD7" i="25"/>
  <c r="Y7" i="25"/>
  <c r="Z7" i="25"/>
  <c r="AA7" i="25" s="1"/>
  <c r="W7" i="25"/>
  <c r="AB6" i="22"/>
  <c r="V7" i="22" s="1"/>
  <c r="Z7" i="22" s="1"/>
  <c r="AA7" i="22" s="1"/>
  <c r="AD6" i="23"/>
  <c r="Y6" i="23"/>
  <c r="Z6" i="23"/>
  <c r="AA6" i="23" s="1"/>
  <c r="AB6" i="23" s="1"/>
  <c r="V7" i="23" s="1"/>
  <c r="Y7" i="22"/>
  <c r="AD6" i="21"/>
  <c r="Y6" i="21"/>
  <c r="Z6" i="21"/>
  <c r="AA6" i="21" s="1"/>
  <c r="AB6" i="21" s="1"/>
  <c r="V7" i="21" s="1"/>
  <c r="Y7" i="20"/>
  <c r="Z7" i="19"/>
  <c r="AA7" i="19" s="1"/>
  <c r="W7" i="19"/>
  <c r="AD7" i="19"/>
  <c r="Y7" i="19"/>
  <c r="AK9" i="12"/>
  <c r="AI10" i="12" s="1"/>
  <c r="AI14" i="24" l="1"/>
  <c r="AK13" i="25"/>
  <c r="AO13" i="25"/>
  <c r="AB7" i="24"/>
  <c r="V8" i="24" s="1"/>
  <c r="Z8" i="24" s="1"/>
  <c r="AA8" i="24" s="1"/>
  <c r="AC8" i="24" s="1"/>
  <c r="X9" i="24" s="1"/>
  <c r="Y9" i="24" s="1"/>
  <c r="AK13" i="20"/>
  <c r="AI14" i="20" s="1"/>
  <c r="AG14" i="20"/>
  <c r="AO13" i="20"/>
  <c r="AI14" i="19"/>
  <c r="AO14" i="19" s="1"/>
  <c r="AK14" i="22"/>
  <c r="AI15" i="22" s="1"/>
  <c r="AG16" i="23"/>
  <c r="AO16" i="23" s="1"/>
  <c r="AG15" i="22"/>
  <c r="AO14" i="22"/>
  <c r="AK14" i="24"/>
  <c r="AG15" i="24" s="1"/>
  <c r="AO13" i="21"/>
  <c r="AG14" i="21"/>
  <c r="AO14" i="21" s="1"/>
  <c r="AD7" i="20"/>
  <c r="AO14" i="24"/>
  <c r="Z7" i="20"/>
  <c r="AA7" i="20" s="1"/>
  <c r="AB7" i="20" s="1"/>
  <c r="V8" i="20" s="1"/>
  <c r="W8" i="20" s="1"/>
  <c r="AD7" i="22"/>
  <c r="AB7" i="25"/>
  <c r="V8" i="25" s="1"/>
  <c r="W8" i="25" s="1"/>
  <c r="W7" i="22"/>
  <c r="AB7" i="22" s="1"/>
  <c r="V8" i="22" s="1"/>
  <c r="AC7" i="25"/>
  <c r="X8" i="25" s="1"/>
  <c r="W7" i="23"/>
  <c r="AC6" i="23"/>
  <c r="X7" i="23" s="1"/>
  <c r="AC7" i="22"/>
  <c r="X8" i="22" s="1"/>
  <c r="W7" i="21"/>
  <c r="AC6" i="21"/>
  <c r="X7" i="21" s="1"/>
  <c r="AC7" i="19"/>
  <c r="X8" i="19" s="1"/>
  <c r="Y8" i="19" s="1"/>
  <c r="AB7" i="19"/>
  <c r="V8" i="19" s="1"/>
  <c r="AG10" i="12"/>
  <c r="AO10" i="12" s="1"/>
  <c r="AK14" i="20" l="1"/>
  <c r="AG15" i="20" s="1"/>
  <c r="AK14" i="19"/>
  <c r="AI14" i="25"/>
  <c r="AG14" i="25"/>
  <c r="AK14" i="25" s="1"/>
  <c r="AI15" i="20"/>
  <c r="AO15" i="20" s="1"/>
  <c r="W8" i="24"/>
  <c r="AB8" i="24" s="1"/>
  <c r="V9" i="24" s="1"/>
  <c r="Z9" i="24" s="1"/>
  <c r="AA9" i="24" s="1"/>
  <c r="AC9" i="24" s="1"/>
  <c r="X10" i="24" s="1"/>
  <c r="AD8" i="24"/>
  <c r="AK16" i="23"/>
  <c r="AG17" i="23" s="1"/>
  <c r="AO14" i="20"/>
  <c r="AO15" i="22"/>
  <c r="AI15" i="24"/>
  <c r="AO15" i="24" s="1"/>
  <c r="AK15" i="22"/>
  <c r="AK14" i="21"/>
  <c r="AI15" i="21" s="1"/>
  <c r="AC7" i="20"/>
  <c r="X8" i="20" s="1"/>
  <c r="Z8" i="20" s="1"/>
  <c r="AA8" i="20" s="1"/>
  <c r="AB8" i="20" s="1"/>
  <c r="V9" i="20" s="1"/>
  <c r="AG15" i="19"/>
  <c r="AI15" i="19"/>
  <c r="AD8" i="25"/>
  <c r="Y8" i="25"/>
  <c r="Z8" i="25"/>
  <c r="AA8" i="25" s="1"/>
  <c r="AB8" i="25" s="1"/>
  <c r="V9" i="25" s="1"/>
  <c r="AD7" i="23"/>
  <c r="Y7" i="23"/>
  <c r="Z7" i="23"/>
  <c r="AA7" i="23" s="1"/>
  <c r="AB7" i="23" s="1"/>
  <c r="V8" i="23" s="1"/>
  <c r="Y8" i="22"/>
  <c r="AD8" i="22"/>
  <c r="Z8" i="22"/>
  <c r="AA8" i="22" s="1"/>
  <c r="W8" i="22"/>
  <c r="AD7" i="21"/>
  <c r="Y7" i="21"/>
  <c r="Z7" i="21"/>
  <c r="AA7" i="21" s="1"/>
  <c r="AB7" i="21" s="1"/>
  <c r="V8" i="21" s="1"/>
  <c r="Z8" i="19"/>
  <c r="AA8" i="19" s="1"/>
  <c r="AC8" i="19" s="1"/>
  <c r="X9" i="19" s="1"/>
  <c r="W8" i="19"/>
  <c r="AD8" i="19"/>
  <c r="AK10" i="12"/>
  <c r="AD9" i="24" l="1"/>
  <c r="W9" i="24"/>
  <c r="AB9" i="24" s="1"/>
  <c r="V10" i="24" s="1"/>
  <c r="W10" i="24" s="1"/>
  <c r="AI17" i="23"/>
  <c r="AO17" i="23"/>
  <c r="AK15" i="20"/>
  <c r="AG16" i="20" s="1"/>
  <c r="AG15" i="25"/>
  <c r="AI15" i="25"/>
  <c r="AO15" i="25" s="1"/>
  <c r="AO14" i="25"/>
  <c r="AK17" i="23"/>
  <c r="AG18" i="23" s="1"/>
  <c r="AG15" i="21"/>
  <c r="AK15" i="21" s="1"/>
  <c r="AG16" i="21" s="1"/>
  <c r="AK15" i="24"/>
  <c r="AI16" i="24" s="1"/>
  <c r="AD8" i="20"/>
  <c r="AI16" i="22"/>
  <c r="AG16" i="22"/>
  <c r="Y10" i="24"/>
  <c r="AI16" i="20"/>
  <c r="Y8" i="20"/>
  <c r="AC8" i="20" s="1"/>
  <c r="X9" i="20" s="1"/>
  <c r="AK15" i="19"/>
  <c r="AO15" i="19"/>
  <c r="W9" i="25"/>
  <c r="AC8" i="25"/>
  <c r="X9" i="25" s="1"/>
  <c r="W8" i="23"/>
  <c r="AC7" i="23"/>
  <c r="X8" i="23" s="1"/>
  <c r="AB8" i="22"/>
  <c r="V9" i="22" s="1"/>
  <c r="W9" i="22" s="1"/>
  <c r="AC8" i="22"/>
  <c r="X9" i="22" s="1"/>
  <c r="W8" i="21"/>
  <c r="AC7" i="21"/>
  <c r="X8" i="21" s="1"/>
  <c r="AB8" i="19"/>
  <c r="V9" i="19" s="1"/>
  <c r="AD9" i="19" s="1"/>
  <c r="W9" i="20"/>
  <c r="Y9" i="19"/>
  <c r="AG11" i="12"/>
  <c r="AI11" i="12"/>
  <c r="AK16" i="20" l="1"/>
  <c r="AI17" i="20" s="1"/>
  <c r="AI18" i="23"/>
  <c r="AO18" i="23" s="1"/>
  <c r="AD10" i="24"/>
  <c r="Z10" i="24"/>
  <c r="AA10" i="24" s="1"/>
  <c r="AB10" i="24" s="1"/>
  <c r="V11" i="24" s="1"/>
  <c r="W11" i="24" s="1"/>
  <c r="AO15" i="21"/>
  <c r="AK15" i="25"/>
  <c r="AG16" i="24"/>
  <c r="AO16" i="24" s="1"/>
  <c r="AK18" i="23"/>
  <c r="AG19" i="23" s="1"/>
  <c r="AK16" i="22"/>
  <c r="AI17" i="22" s="1"/>
  <c r="AO16" i="22"/>
  <c r="AO16" i="20"/>
  <c r="AI16" i="21"/>
  <c r="AK16" i="21" s="1"/>
  <c r="AI17" i="21" s="1"/>
  <c r="AG17" i="20"/>
  <c r="AG16" i="19"/>
  <c r="AI16" i="19"/>
  <c r="AD9" i="25"/>
  <c r="Y9" i="25"/>
  <c r="Z9" i="25"/>
  <c r="AA9" i="25" s="1"/>
  <c r="AB9" i="25" s="1"/>
  <c r="V10" i="25" s="1"/>
  <c r="AD8" i="23"/>
  <c r="Y8" i="23"/>
  <c r="Z8" i="23"/>
  <c r="AA8" i="23" s="1"/>
  <c r="AB8" i="23" s="1"/>
  <c r="V9" i="23" s="1"/>
  <c r="Z9" i="22"/>
  <c r="AA9" i="22" s="1"/>
  <c r="AB9" i="22" s="1"/>
  <c r="V10" i="22" s="1"/>
  <c r="AD9" i="22"/>
  <c r="Y9" i="22"/>
  <c r="W9" i="19"/>
  <c r="Z9" i="19"/>
  <c r="AA9" i="19" s="1"/>
  <c r="AD8" i="21"/>
  <c r="Y8" i="21"/>
  <c r="Z8" i="21"/>
  <c r="AA8" i="21" s="1"/>
  <c r="AB8" i="21" s="1"/>
  <c r="V9" i="21" s="1"/>
  <c r="AD9" i="20"/>
  <c r="Y9" i="20"/>
  <c r="Z9" i="20"/>
  <c r="AA9" i="20" s="1"/>
  <c r="AB9" i="20" s="1"/>
  <c r="V10" i="20" s="1"/>
  <c r="AO11" i="12"/>
  <c r="AK11" i="12"/>
  <c r="AG17" i="22" l="1"/>
  <c r="AK17" i="20"/>
  <c r="AK16" i="24"/>
  <c r="AG17" i="24" s="1"/>
  <c r="AC10" i="24"/>
  <c r="X11" i="24" s="1"/>
  <c r="Z11" i="24" s="1"/>
  <c r="AA11" i="24" s="1"/>
  <c r="AB11" i="24" s="1"/>
  <c r="V12" i="24" s="1"/>
  <c r="W12" i="24" s="1"/>
  <c r="AI19" i="23"/>
  <c r="AI16" i="25"/>
  <c r="AG16" i="25"/>
  <c r="AK16" i="25" s="1"/>
  <c r="Y11" i="24"/>
  <c r="AD11" i="24"/>
  <c r="AB9" i="19"/>
  <c r="V10" i="19" s="1"/>
  <c r="W10" i="19" s="1"/>
  <c r="AO17" i="22"/>
  <c r="AK19" i="23"/>
  <c r="AI20" i="23" s="1"/>
  <c r="AO16" i="21"/>
  <c r="AO17" i="20"/>
  <c r="AK17" i="22"/>
  <c r="AG17" i="21"/>
  <c r="AO17" i="21" s="1"/>
  <c r="AO19" i="23"/>
  <c r="AK16" i="19"/>
  <c r="AO16" i="19"/>
  <c r="AC9" i="22"/>
  <c r="X10" i="22" s="1"/>
  <c r="Z10" i="22" s="1"/>
  <c r="AA10" i="22" s="1"/>
  <c r="W10" i="25"/>
  <c r="AC9" i="25"/>
  <c r="X10" i="25" s="1"/>
  <c r="W9" i="23"/>
  <c r="AC8" i="23"/>
  <c r="X9" i="23" s="1"/>
  <c r="W10" i="22"/>
  <c r="AC9" i="19"/>
  <c r="X10" i="19" s="1"/>
  <c r="Y10" i="19" s="1"/>
  <c r="AG18" i="20"/>
  <c r="AI18" i="20"/>
  <c r="W9" i="21"/>
  <c r="AC8" i="21"/>
  <c r="X9" i="21" s="1"/>
  <c r="W10" i="20"/>
  <c r="AC9" i="20"/>
  <c r="X10" i="20" s="1"/>
  <c r="AI12" i="12"/>
  <c r="AG12" i="12"/>
  <c r="AC11" i="24" l="1"/>
  <c r="X12" i="24" s="1"/>
  <c r="AI17" i="24"/>
  <c r="AO17" i="24" s="1"/>
  <c r="AG17" i="25"/>
  <c r="AI17" i="25"/>
  <c r="AO17" i="25" s="1"/>
  <c r="AO16" i="25"/>
  <c r="AK17" i="24"/>
  <c r="AG18" i="24" s="1"/>
  <c r="AG20" i="23"/>
  <c r="AO20" i="23" s="1"/>
  <c r="AK17" i="21"/>
  <c r="AG18" i="21" s="1"/>
  <c r="AG18" i="22"/>
  <c r="AI18" i="22"/>
  <c r="AO18" i="22" s="1"/>
  <c r="AD10" i="22"/>
  <c r="Y10" i="22"/>
  <c r="AC10" i="22" s="1"/>
  <c r="X11" i="22" s="1"/>
  <c r="Y11" i="22" s="1"/>
  <c r="AG17" i="19"/>
  <c r="AI17" i="19"/>
  <c r="AD10" i="25"/>
  <c r="Y10" i="25"/>
  <c r="Z10" i="25"/>
  <c r="AA10" i="25" s="1"/>
  <c r="AB10" i="25" s="1"/>
  <c r="V11" i="25" s="1"/>
  <c r="AD12" i="24"/>
  <c r="Y12" i="24"/>
  <c r="Z12" i="24"/>
  <c r="AA12" i="24" s="1"/>
  <c r="AB12" i="24" s="1"/>
  <c r="V13" i="24" s="1"/>
  <c r="AD9" i="23"/>
  <c r="Y9" i="23"/>
  <c r="Z9" i="23"/>
  <c r="AA9" i="23" s="1"/>
  <c r="AB9" i="23" s="1"/>
  <c r="V10" i="23" s="1"/>
  <c r="AB10" i="22"/>
  <c r="V11" i="22" s="1"/>
  <c r="AD10" i="19"/>
  <c r="Z10" i="19"/>
  <c r="AA10" i="19" s="1"/>
  <c r="AC10" i="19" s="1"/>
  <c r="X11" i="19" s="1"/>
  <c r="Y11" i="19" s="1"/>
  <c r="AI18" i="21"/>
  <c r="AK18" i="20"/>
  <c r="AO18" i="20"/>
  <c r="AD9" i="21"/>
  <c r="Y9" i="21"/>
  <c r="Z9" i="21"/>
  <c r="AA9" i="21" s="1"/>
  <c r="AB9" i="21" s="1"/>
  <c r="V10" i="21" s="1"/>
  <c r="AD10" i="20"/>
  <c r="Y10" i="20"/>
  <c r="Z10" i="20"/>
  <c r="AA10" i="20" s="1"/>
  <c r="AB10" i="20" s="1"/>
  <c r="V11" i="20" s="1"/>
  <c r="AO12" i="12"/>
  <c r="AK12" i="12"/>
  <c r="AK20" i="23" l="1"/>
  <c r="AI18" i="24"/>
  <c r="AO18" i="24" s="1"/>
  <c r="AK17" i="25"/>
  <c r="AK18" i="22"/>
  <c r="AK18" i="24"/>
  <c r="AG21" i="23"/>
  <c r="AI21" i="23"/>
  <c r="AK17" i="19"/>
  <c r="AO17" i="19"/>
  <c r="W11" i="25"/>
  <c r="AC10" i="25"/>
  <c r="X11" i="25" s="1"/>
  <c r="W13" i="24"/>
  <c r="AC12" i="24"/>
  <c r="X13" i="24" s="1"/>
  <c r="AB10" i="19"/>
  <c r="V11" i="19" s="1"/>
  <c r="W11" i="19" s="1"/>
  <c r="W10" i="23"/>
  <c r="AC9" i="23"/>
  <c r="X10" i="23" s="1"/>
  <c r="AK18" i="21"/>
  <c r="AG19" i="21" s="1"/>
  <c r="W11" i="22"/>
  <c r="AD11" i="22"/>
  <c r="Z11" i="22"/>
  <c r="AA11" i="22" s="1"/>
  <c r="AO18" i="21"/>
  <c r="AI19" i="20"/>
  <c r="AG19" i="20"/>
  <c r="W10" i="21"/>
  <c r="AC9" i="21"/>
  <c r="X10" i="21" s="1"/>
  <c r="W11" i="20"/>
  <c r="AC10" i="20"/>
  <c r="X11" i="20" s="1"/>
  <c r="AG13" i="12"/>
  <c r="AI13" i="12"/>
  <c r="AG18" i="25" l="1"/>
  <c r="AI18" i="25"/>
  <c r="AI19" i="22"/>
  <c r="AG19" i="22"/>
  <c r="AO21" i="23"/>
  <c r="AI19" i="24"/>
  <c r="AG19" i="24"/>
  <c r="AK19" i="24" s="1"/>
  <c r="AK21" i="23"/>
  <c r="AG18" i="19"/>
  <c r="AI18" i="19"/>
  <c r="Z11" i="19"/>
  <c r="AA11" i="19" s="1"/>
  <c r="AB11" i="19" s="1"/>
  <c r="V12" i="19" s="1"/>
  <c r="W12" i="19" s="1"/>
  <c r="AD11" i="25"/>
  <c r="Y11" i="25"/>
  <c r="Z11" i="25"/>
  <c r="AA11" i="25" s="1"/>
  <c r="AB11" i="25" s="1"/>
  <c r="V12" i="25" s="1"/>
  <c r="AD11" i="19"/>
  <c r="AD13" i="24"/>
  <c r="Y13" i="24"/>
  <c r="Z13" i="24"/>
  <c r="AA13" i="24" s="1"/>
  <c r="AB13" i="24" s="1"/>
  <c r="V14" i="24" s="1"/>
  <c r="AI19" i="21"/>
  <c r="AO19" i="21" s="1"/>
  <c r="AD10" i="23"/>
  <c r="Y10" i="23"/>
  <c r="Z10" i="23"/>
  <c r="AA10" i="23" s="1"/>
  <c r="AB10" i="23" s="1"/>
  <c r="V11" i="23" s="1"/>
  <c r="AK19" i="20"/>
  <c r="AI20" i="20" s="1"/>
  <c r="AB11" i="22"/>
  <c r="V12" i="22" s="1"/>
  <c r="AC11" i="22"/>
  <c r="X12" i="22" s="1"/>
  <c r="AO19" i="20"/>
  <c r="AD10" i="21"/>
  <c r="Y10" i="21"/>
  <c r="Z10" i="21"/>
  <c r="AA10" i="21" s="1"/>
  <c r="AB10" i="21" s="1"/>
  <c r="V11" i="21" s="1"/>
  <c r="AD11" i="20"/>
  <c r="Y11" i="20"/>
  <c r="Z11" i="20"/>
  <c r="AA11" i="20" s="1"/>
  <c r="AB11" i="20" s="1"/>
  <c r="V12" i="20" s="1"/>
  <c r="AK13" i="12"/>
  <c r="AO13" i="12"/>
  <c r="AK18" i="25" l="1"/>
  <c r="AO18" i="25"/>
  <c r="AK19" i="22"/>
  <c r="AG20" i="22" s="1"/>
  <c r="AO19" i="22"/>
  <c r="AG20" i="20"/>
  <c r="AO20" i="20" s="1"/>
  <c r="AO18" i="19"/>
  <c r="AC11" i="19"/>
  <c r="X12" i="19" s="1"/>
  <c r="AD12" i="19" s="1"/>
  <c r="AG20" i="24"/>
  <c r="AI20" i="24"/>
  <c r="AO19" i="24"/>
  <c r="AK19" i="21"/>
  <c r="AI20" i="21" s="1"/>
  <c r="AI22" i="23"/>
  <c r="AG22" i="23"/>
  <c r="AK18" i="19"/>
  <c r="W12" i="25"/>
  <c r="AC11" i="25"/>
  <c r="X12" i="25" s="1"/>
  <c r="W14" i="24"/>
  <c r="AC13" i="24"/>
  <c r="X14" i="24" s="1"/>
  <c r="W11" i="23"/>
  <c r="AC10" i="23"/>
  <c r="X11" i="23" s="1"/>
  <c r="Y12" i="22"/>
  <c r="AD12" i="22"/>
  <c r="W12" i="22"/>
  <c r="Z12" i="22"/>
  <c r="AA12" i="22" s="1"/>
  <c r="W11" i="21"/>
  <c r="AC10" i="21"/>
  <c r="X11" i="21" s="1"/>
  <c r="W12" i="20"/>
  <c r="AC11" i="20"/>
  <c r="X12" i="20" s="1"/>
  <c r="AI14" i="12"/>
  <c r="AG14" i="12"/>
  <c r="AI20" i="22" l="1"/>
  <c r="AK20" i="20"/>
  <c r="AG21" i="20" s="1"/>
  <c r="AG19" i="25"/>
  <c r="AI19" i="25"/>
  <c r="AO19" i="25" s="1"/>
  <c r="AO20" i="22"/>
  <c r="AK20" i="22"/>
  <c r="AI21" i="20"/>
  <c r="AK21" i="20" s="1"/>
  <c r="AG22" i="20" s="1"/>
  <c r="AK22" i="23"/>
  <c r="AG23" i="23" s="1"/>
  <c r="AO20" i="24"/>
  <c r="Y12" i="19"/>
  <c r="Z12" i="19"/>
  <c r="AA12" i="19" s="1"/>
  <c r="AB12" i="19" s="1"/>
  <c r="V13" i="19" s="1"/>
  <c r="W13" i="19" s="1"/>
  <c r="AG20" i="21"/>
  <c r="AK20" i="21" s="1"/>
  <c r="AI21" i="21" s="1"/>
  <c r="AK20" i="24"/>
  <c r="AO22" i="23"/>
  <c r="AG19" i="19"/>
  <c r="AI19" i="19"/>
  <c r="AD12" i="25"/>
  <c r="Y12" i="25"/>
  <c r="Z12" i="25"/>
  <c r="AA12" i="25" s="1"/>
  <c r="AB12" i="25" s="1"/>
  <c r="V13" i="25" s="1"/>
  <c r="AD14" i="24"/>
  <c r="Y14" i="24"/>
  <c r="Z14" i="24"/>
  <c r="AA14" i="24" s="1"/>
  <c r="AB14" i="24" s="1"/>
  <c r="V15" i="24" s="1"/>
  <c r="AB12" i="22"/>
  <c r="V13" i="22" s="1"/>
  <c r="W13" i="22" s="1"/>
  <c r="AD11" i="23"/>
  <c r="Y11" i="23"/>
  <c r="Z11" i="23"/>
  <c r="AA11" i="23" s="1"/>
  <c r="AB11" i="23" s="1"/>
  <c r="V12" i="23" s="1"/>
  <c r="AC12" i="22"/>
  <c r="X13" i="22" s="1"/>
  <c r="AD11" i="21"/>
  <c r="Y11" i="21"/>
  <c r="Z11" i="21"/>
  <c r="AA11" i="21" s="1"/>
  <c r="AB11" i="21" s="1"/>
  <c r="V12" i="21" s="1"/>
  <c r="AD12" i="20"/>
  <c r="Y12" i="20"/>
  <c r="Z12" i="20"/>
  <c r="AA12" i="20" s="1"/>
  <c r="AB12" i="20" s="1"/>
  <c r="V13" i="20" s="1"/>
  <c r="AK14" i="12"/>
  <c r="AG15" i="12" s="1"/>
  <c r="AO14" i="12"/>
  <c r="AI15" i="12" l="1"/>
  <c r="AK19" i="25"/>
  <c r="AO21" i="20"/>
  <c r="AI23" i="23"/>
  <c r="AO23" i="23" s="1"/>
  <c r="AG21" i="22"/>
  <c r="AI21" i="22"/>
  <c r="AK23" i="23"/>
  <c r="AG24" i="23" s="1"/>
  <c r="AC12" i="19"/>
  <c r="X13" i="19" s="1"/>
  <c r="AD13" i="19" s="1"/>
  <c r="AO20" i="21"/>
  <c r="AO19" i="19"/>
  <c r="AG21" i="24"/>
  <c r="AI21" i="24"/>
  <c r="AK19" i="19"/>
  <c r="AI20" i="19" s="1"/>
  <c r="AI22" i="20"/>
  <c r="AO22" i="20" s="1"/>
  <c r="W13" i="25"/>
  <c r="AC12" i="25"/>
  <c r="X13" i="25" s="1"/>
  <c r="W15" i="24"/>
  <c r="AC14" i="24"/>
  <c r="X15" i="24" s="1"/>
  <c r="AG21" i="21"/>
  <c r="AO21" i="21" s="1"/>
  <c r="W12" i="23"/>
  <c r="AC11" i="23"/>
  <c r="X12" i="23" s="1"/>
  <c r="AD13" i="22"/>
  <c r="Y13" i="22"/>
  <c r="Z13" i="22"/>
  <c r="AA13" i="22" s="1"/>
  <c r="AB13" i="22" s="1"/>
  <c r="V14" i="22" s="1"/>
  <c r="W14" i="22" s="1"/>
  <c r="W12" i="21"/>
  <c r="AC11" i="21"/>
  <c r="X12" i="21" s="1"/>
  <c r="W13" i="20"/>
  <c r="AC12" i="20"/>
  <c r="X13" i="20" s="1"/>
  <c r="AO15" i="12"/>
  <c r="AK15" i="12"/>
  <c r="AG20" i="25" l="1"/>
  <c r="AI20" i="25"/>
  <c r="AO21" i="22"/>
  <c r="Y13" i="19"/>
  <c r="Z13" i="19"/>
  <c r="AA13" i="19" s="1"/>
  <c r="AB13" i="19" s="1"/>
  <c r="V14" i="19" s="1"/>
  <c r="W14" i="19" s="1"/>
  <c r="AI24" i="23"/>
  <c r="AK24" i="23" s="1"/>
  <c r="AO21" i="24"/>
  <c r="AK21" i="22"/>
  <c r="AO24" i="23"/>
  <c r="AG20" i="19"/>
  <c r="AK20" i="19" s="1"/>
  <c r="AG21" i="19" s="1"/>
  <c r="AK21" i="24"/>
  <c r="AK22" i="20"/>
  <c r="AI23" i="20" s="1"/>
  <c r="AK21" i="21"/>
  <c r="AI22" i="21" s="1"/>
  <c r="AD13" i="25"/>
  <c r="Y13" i="25"/>
  <c r="Z13" i="25"/>
  <c r="AA13" i="25" s="1"/>
  <c r="AB13" i="25" s="1"/>
  <c r="V14" i="25" s="1"/>
  <c r="AD15" i="24"/>
  <c r="Y15" i="24"/>
  <c r="Z15" i="24"/>
  <c r="AA15" i="24" s="1"/>
  <c r="AB15" i="24" s="1"/>
  <c r="V16" i="24" s="1"/>
  <c r="AD12" i="23"/>
  <c r="Y12" i="23"/>
  <c r="Z12" i="23"/>
  <c r="AA12" i="23" s="1"/>
  <c r="AB12" i="23" s="1"/>
  <c r="V13" i="23" s="1"/>
  <c r="AC13" i="22"/>
  <c r="X14" i="22" s="1"/>
  <c r="AD12" i="21"/>
  <c r="Y12" i="21"/>
  <c r="Z12" i="21"/>
  <c r="AA12" i="21" s="1"/>
  <c r="AB12" i="21" s="1"/>
  <c r="V13" i="21" s="1"/>
  <c r="AD13" i="20"/>
  <c r="Y13" i="20"/>
  <c r="Z13" i="20"/>
  <c r="AA13" i="20" s="1"/>
  <c r="AB13" i="20" s="1"/>
  <c r="V14" i="20" s="1"/>
  <c r="AG16" i="12"/>
  <c r="AI16" i="12"/>
  <c r="AO20" i="25" l="1"/>
  <c r="AK20" i="25"/>
  <c r="AC13" i="19"/>
  <c r="X14" i="19" s="1"/>
  <c r="AD14" i="19" s="1"/>
  <c r="AI21" i="19"/>
  <c r="AK21" i="19" s="1"/>
  <c r="AI22" i="19" s="1"/>
  <c r="Y14" i="19"/>
  <c r="AO20" i="19"/>
  <c r="AI22" i="22"/>
  <c r="AG22" i="22"/>
  <c r="AG23" i="20"/>
  <c r="AO23" i="20" s="1"/>
  <c r="AI22" i="24"/>
  <c r="AG22" i="24"/>
  <c r="AG22" i="21"/>
  <c r="AO22" i="21" s="1"/>
  <c r="AI25" i="23"/>
  <c r="AG25" i="23"/>
  <c r="W14" i="25"/>
  <c r="AC13" i="25"/>
  <c r="X14" i="25" s="1"/>
  <c r="W16" i="24"/>
  <c r="AC15" i="24"/>
  <c r="X16" i="24" s="1"/>
  <c r="W13" i="23"/>
  <c r="AC12" i="23"/>
  <c r="X13" i="23" s="1"/>
  <c r="AD14" i="22"/>
  <c r="Y14" i="22"/>
  <c r="Z14" i="22"/>
  <c r="AA14" i="22" s="1"/>
  <c r="AB14" i="22" s="1"/>
  <c r="V15" i="22" s="1"/>
  <c r="W15" i="22" s="1"/>
  <c r="W13" i="21"/>
  <c r="AC12" i="21"/>
  <c r="X13" i="21" s="1"/>
  <c r="W14" i="20"/>
  <c r="AC13" i="20"/>
  <c r="X14" i="20" s="1"/>
  <c r="AO16" i="12"/>
  <c r="AK16" i="12"/>
  <c r="AG21" i="25" l="1"/>
  <c r="AI21" i="25"/>
  <c r="AO21" i="25" s="1"/>
  <c r="Z14" i="19"/>
  <c r="AA14" i="19" s="1"/>
  <c r="AB14" i="19" s="1"/>
  <c r="V15" i="19" s="1"/>
  <c r="W15" i="19" s="1"/>
  <c r="AO21" i="19"/>
  <c r="AK22" i="24"/>
  <c r="AG23" i="24" s="1"/>
  <c r="AK23" i="20"/>
  <c r="AI24" i="20" s="1"/>
  <c r="AK25" i="23"/>
  <c r="AI26" i="23" s="1"/>
  <c r="AK22" i="22"/>
  <c r="AI23" i="22" s="1"/>
  <c r="AK22" i="21"/>
  <c r="AI23" i="21" s="1"/>
  <c r="AO22" i="22"/>
  <c r="AO22" i="24"/>
  <c r="AG22" i="19"/>
  <c r="AK22" i="19" s="1"/>
  <c r="AI23" i="19" s="1"/>
  <c r="AO25" i="23"/>
  <c r="AD14" i="25"/>
  <c r="Y14" i="25"/>
  <c r="Z14" i="25"/>
  <c r="AA14" i="25" s="1"/>
  <c r="AB14" i="25" s="1"/>
  <c r="V15" i="25" s="1"/>
  <c r="AD16" i="24"/>
  <c r="Y16" i="24"/>
  <c r="Z16" i="24"/>
  <c r="AA16" i="24" s="1"/>
  <c r="AB16" i="24" s="1"/>
  <c r="V17" i="24" s="1"/>
  <c r="AD13" i="23"/>
  <c r="Y13" i="23"/>
  <c r="Z13" i="23"/>
  <c r="AA13" i="23" s="1"/>
  <c r="AB13" i="23" s="1"/>
  <c r="V14" i="23" s="1"/>
  <c r="AC14" i="22"/>
  <c r="X15" i="22" s="1"/>
  <c r="AD13" i="21"/>
  <c r="Y13" i="21"/>
  <c r="Z13" i="21"/>
  <c r="AA13" i="21" s="1"/>
  <c r="AB13" i="21" s="1"/>
  <c r="V14" i="21" s="1"/>
  <c r="AD14" i="20"/>
  <c r="Y14" i="20"/>
  <c r="Z14" i="20"/>
  <c r="AA14" i="20" s="1"/>
  <c r="AB14" i="20" s="1"/>
  <c r="V15" i="20" s="1"/>
  <c r="AG17" i="12"/>
  <c r="AI17" i="12"/>
  <c r="AI23" i="24" l="1"/>
  <c r="AG23" i="22"/>
  <c r="AK21" i="25"/>
  <c r="AG26" i="23"/>
  <c r="AK26" i="23" s="1"/>
  <c r="AC14" i="19"/>
  <c r="X15" i="19" s="1"/>
  <c r="AG23" i="21"/>
  <c r="AO23" i="21" s="1"/>
  <c r="AK23" i="24"/>
  <c r="AI24" i="24" s="1"/>
  <c r="AG24" i="20"/>
  <c r="AO24" i="20" s="1"/>
  <c r="AO26" i="23"/>
  <c r="AK23" i="22"/>
  <c r="AI24" i="22" s="1"/>
  <c r="AO23" i="22"/>
  <c r="AG23" i="19"/>
  <c r="AK23" i="19" s="1"/>
  <c r="AI24" i="19" s="1"/>
  <c r="AO23" i="24"/>
  <c r="AO22" i="19"/>
  <c r="W15" i="25"/>
  <c r="AC14" i="25"/>
  <c r="X15" i="25" s="1"/>
  <c r="W17" i="24"/>
  <c r="AC16" i="24"/>
  <c r="X17" i="24" s="1"/>
  <c r="W14" i="23"/>
  <c r="AC13" i="23"/>
  <c r="X14" i="23" s="1"/>
  <c r="AD15" i="22"/>
  <c r="Y15" i="22"/>
  <c r="Z15" i="22"/>
  <c r="AA15" i="22" s="1"/>
  <c r="AB15" i="22" s="1"/>
  <c r="V16" i="22" s="1"/>
  <c r="W16" i="22" s="1"/>
  <c r="W14" i="21"/>
  <c r="AC13" i="21"/>
  <c r="X14" i="21" s="1"/>
  <c r="W15" i="20"/>
  <c r="AC14" i="20"/>
  <c r="X15" i="20" s="1"/>
  <c r="AK17" i="12"/>
  <c r="AO17" i="12"/>
  <c r="AK23" i="21" l="1"/>
  <c r="AI24" i="21" s="1"/>
  <c r="AI22" i="25"/>
  <c r="AG22" i="25"/>
  <c r="AK22" i="25" s="1"/>
  <c r="AG24" i="24"/>
  <c r="AK24" i="24" s="1"/>
  <c r="AG24" i="22"/>
  <c r="AO24" i="22" s="1"/>
  <c r="AD15" i="19"/>
  <c r="Y15" i="19"/>
  <c r="Z15" i="19"/>
  <c r="AA15" i="19" s="1"/>
  <c r="AB15" i="19" s="1"/>
  <c r="V16" i="19" s="1"/>
  <c r="W16" i="19" s="1"/>
  <c r="AG24" i="21"/>
  <c r="AK24" i="21" s="1"/>
  <c r="AI25" i="21" s="1"/>
  <c r="AK24" i="20"/>
  <c r="AI25" i="20" s="1"/>
  <c r="AO23" i="19"/>
  <c r="AK24" i="22"/>
  <c r="AG24" i="19"/>
  <c r="AK24" i="19" s="1"/>
  <c r="AG25" i="19" s="1"/>
  <c r="AG27" i="23"/>
  <c r="AI27" i="23"/>
  <c r="AD15" i="25"/>
  <c r="Y15" i="25"/>
  <c r="Z15" i="25"/>
  <c r="AA15" i="25" s="1"/>
  <c r="AB15" i="25" s="1"/>
  <c r="V16" i="25" s="1"/>
  <c r="AD17" i="24"/>
  <c r="Y17" i="24"/>
  <c r="Z17" i="24"/>
  <c r="AA17" i="24" s="1"/>
  <c r="AB17" i="24" s="1"/>
  <c r="V18" i="24" s="1"/>
  <c r="AD14" i="23"/>
  <c r="Y14" i="23"/>
  <c r="Z14" i="23"/>
  <c r="AA14" i="23" s="1"/>
  <c r="AB14" i="23" s="1"/>
  <c r="V15" i="23" s="1"/>
  <c r="AC15" i="22"/>
  <c r="X16" i="22" s="1"/>
  <c r="AD14" i="21"/>
  <c r="Y14" i="21"/>
  <c r="Z14" i="21"/>
  <c r="AA14" i="21" s="1"/>
  <c r="AB14" i="21" s="1"/>
  <c r="V15" i="21" s="1"/>
  <c r="AD15" i="20"/>
  <c r="Y15" i="20"/>
  <c r="Z15" i="20"/>
  <c r="AA15" i="20" s="1"/>
  <c r="AB15" i="20" s="1"/>
  <c r="V16" i="20" s="1"/>
  <c r="AI18" i="12"/>
  <c r="AG18" i="12"/>
  <c r="AO24" i="24" l="1"/>
  <c r="AI23" i="25"/>
  <c r="AG23" i="25"/>
  <c r="AK23" i="25" s="1"/>
  <c r="AO22" i="25"/>
  <c r="AG25" i="21"/>
  <c r="AK25" i="21" s="1"/>
  <c r="AI26" i="21" s="1"/>
  <c r="AO24" i="21"/>
  <c r="AC15" i="19"/>
  <c r="X16" i="19" s="1"/>
  <c r="Z16" i="19" s="1"/>
  <c r="AA16" i="19" s="1"/>
  <c r="AB16" i="19" s="1"/>
  <c r="V17" i="19" s="1"/>
  <c r="W17" i="19" s="1"/>
  <c r="AO27" i="23"/>
  <c r="AG25" i="20"/>
  <c r="AK25" i="20" s="1"/>
  <c r="AI26" i="20" s="1"/>
  <c r="AI25" i="19"/>
  <c r="AO25" i="19" s="1"/>
  <c r="AI25" i="22"/>
  <c r="AG25" i="22"/>
  <c r="AI25" i="24"/>
  <c r="AG25" i="24"/>
  <c r="AO24" i="19"/>
  <c r="AK27" i="23"/>
  <c r="W16" i="25"/>
  <c r="AC15" i="25"/>
  <c r="X16" i="25" s="1"/>
  <c r="W18" i="24"/>
  <c r="AC17" i="24"/>
  <c r="X18" i="24" s="1"/>
  <c r="W15" i="23"/>
  <c r="AC14" i="23"/>
  <c r="X15" i="23" s="1"/>
  <c r="AD16" i="22"/>
  <c r="Y16" i="22"/>
  <c r="Z16" i="22"/>
  <c r="AA16" i="22" s="1"/>
  <c r="AB16" i="22" s="1"/>
  <c r="V17" i="22" s="1"/>
  <c r="W17" i="22" s="1"/>
  <c r="W15" i="21"/>
  <c r="AC14" i="21"/>
  <c r="X15" i="21" s="1"/>
  <c r="W16" i="20"/>
  <c r="AC15" i="20"/>
  <c r="X16" i="20" s="1"/>
  <c r="AK18" i="12"/>
  <c r="AI19" i="12" s="1"/>
  <c r="AO18" i="12"/>
  <c r="AO25" i="20" l="1"/>
  <c r="Y16" i="19"/>
  <c r="AG26" i="21"/>
  <c r="AK26" i="21" s="1"/>
  <c r="AI27" i="21" s="1"/>
  <c r="AG24" i="25"/>
  <c r="AI24" i="25"/>
  <c r="AO24" i="25" s="1"/>
  <c r="AO23" i="25"/>
  <c r="AO25" i="21"/>
  <c r="AC16" i="19"/>
  <c r="X17" i="19" s="1"/>
  <c r="Z17" i="19" s="1"/>
  <c r="AA17" i="19" s="1"/>
  <c r="AB17" i="19" s="1"/>
  <c r="V18" i="19" s="1"/>
  <c r="W18" i="19" s="1"/>
  <c r="AD16" i="19"/>
  <c r="AG26" i="20"/>
  <c r="AK26" i="20" s="1"/>
  <c r="AI27" i="20" s="1"/>
  <c r="AG19" i="12"/>
  <c r="AK19" i="12" s="1"/>
  <c r="AK25" i="22"/>
  <c r="AI26" i="22" s="1"/>
  <c r="AK25" i="19"/>
  <c r="AG26" i="19" s="1"/>
  <c r="AK25" i="24"/>
  <c r="AI26" i="24" s="1"/>
  <c r="AO25" i="22"/>
  <c r="AO25" i="24"/>
  <c r="AI28" i="23"/>
  <c r="AG28" i="23"/>
  <c r="AD16" i="25"/>
  <c r="Y16" i="25"/>
  <c r="Z16" i="25"/>
  <c r="AA16" i="25" s="1"/>
  <c r="AB16" i="25" s="1"/>
  <c r="V17" i="25" s="1"/>
  <c r="AD18" i="24"/>
  <c r="Y18" i="24"/>
  <c r="Z18" i="24"/>
  <c r="AA18" i="24" s="1"/>
  <c r="AB18" i="24" s="1"/>
  <c r="V19" i="24" s="1"/>
  <c r="AD15" i="23"/>
  <c r="Y15" i="23"/>
  <c r="Z15" i="23"/>
  <c r="AA15" i="23" s="1"/>
  <c r="AB15" i="23" s="1"/>
  <c r="V16" i="23" s="1"/>
  <c r="AC16" i="22"/>
  <c r="X17" i="22" s="1"/>
  <c r="AO26" i="21"/>
  <c r="AD15" i="21"/>
  <c r="Y15" i="21"/>
  <c r="Z15" i="21"/>
  <c r="AA15" i="21" s="1"/>
  <c r="AB15" i="21" s="1"/>
  <c r="V16" i="21" s="1"/>
  <c r="AD16" i="20"/>
  <c r="Y16" i="20"/>
  <c r="Z16" i="20"/>
  <c r="AA16" i="20" s="1"/>
  <c r="AB16" i="20" s="1"/>
  <c r="V17" i="20" s="1"/>
  <c r="AO26" i="20" l="1"/>
  <c r="AG27" i="20"/>
  <c r="AO27" i="20" s="1"/>
  <c r="AK24" i="25"/>
  <c r="AK28" i="23"/>
  <c r="AG29" i="23" s="1"/>
  <c r="AG26" i="22"/>
  <c r="AK26" i="22" s="1"/>
  <c r="AI26" i="19"/>
  <c r="AO26" i="19" s="1"/>
  <c r="AG26" i="24"/>
  <c r="AO26" i="24" s="1"/>
  <c r="AO19" i="12"/>
  <c r="AD17" i="19"/>
  <c r="Y17" i="19"/>
  <c r="AC17" i="19" s="1"/>
  <c r="X18" i="19" s="1"/>
  <c r="AD18" i="19" s="1"/>
  <c r="AO26" i="22"/>
  <c r="AK27" i="20"/>
  <c r="AI28" i="20" s="1"/>
  <c r="AO28" i="23"/>
  <c r="W17" i="25"/>
  <c r="AC16" i="25"/>
  <c r="X17" i="25" s="1"/>
  <c r="AG27" i="21"/>
  <c r="AO27" i="21" s="1"/>
  <c r="W19" i="24"/>
  <c r="AC18" i="24"/>
  <c r="X19" i="24" s="1"/>
  <c r="W16" i="23"/>
  <c r="AC15" i="23"/>
  <c r="X16" i="23" s="1"/>
  <c r="AD17" i="22"/>
  <c r="Z17" i="22"/>
  <c r="AA17" i="22" s="1"/>
  <c r="AB17" i="22" s="1"/>
  <c r="V18" i="22" s="1"/>
  <c r="W18" i="22" s="1"/>
  <c r="Y17" i="22"/>
  <c r="W16" i="21"/>
  <c r="AC15" i="21"/>
  <c r="X16" i="21" s="1"/>
  <c r="W17" i="20"/>
  <c r="AC16" i="20"/>
  <c r="X17" i="20" s="1"/>
  <c r="AI20" i="12"/>
  <c r="AG20" i="12"/>
  <c r="AG28" i="20" l="1"/>
  <c r="AI29" i="23"/>
  <c r="AO29" i="23" s="1"/>
  <c r="AK26" i="19"/>
  <c r="AI25" i="25"/>
  <c r="AG25" i="25"/>
  <c r="AK25" i="25" s="1"/>
  <c r="AO28" i="20"/>
  <c r="AK26" i="24"/>
  <c r="AI27" i="24" s="1"/>
  <c r="Z18" i="19"/>
  <c r="AA18" i="19" s="1"/>
  <c r="AB18" i="19" s="1"/>
  <c r="V19" i="19" s="1"/>
  <c r="W19" i="19" s="1"/>
  <c r="Y18" i="19"/>
  <c r="AK28" i="20"/>
  <c r="AG29" i="20" s="1"/>
  <c r="AG27" i="22"/>
  <c r="AI27" i="22"/>
  <c r="AK27" i="21"/>
  <c r="AG28" i="21" s="1"/>
  <c r="AG27" i="19"/>
  <c r="AI27" i="19"/>
  <c r="AD17" i="25"/>
  <c r="Y17" i="25"/>
  <c r="Z17" i="25"/>
  <c r="AA17" i="25" s="1"/>
  <c r="AB17" i="25" s="1"/>
  <c r="V18" i="25" s="1"/>
  <c r="AC17" i="22"/>
  <c r="X18" i="22" s="1"/>
  <c r="AD18" i="22" s="1"/>
  <c r="AD19" i="24"/>
  <c r="Y19" i="24"/>
  <c r="Z19" i="24"/>
  <c r="AA19" i="24" s="1"/>
  <c r="AB19" i="24" s="1"/>
  <c r="V20" i="24" s="1"/>
  <c r="AD16" i="23"/>
  <c r="Y16" i="23"/>
  <c r="Z16" i="23"/>
  <c r="AA16" i="23" s="1"/>
  <c r="AB16" i="23" s="1"/>
  <c r="V17" i="23" s="1"/>
  <c r="AD16" i="21"/>
  <c r="Y16" i="21"/>
  <c r="Z16" i="21"/>
  <c r="AA16" i="21" s="1"/>
  <c r="AB16" i="21" s="1"/>
  <c r="V17" i="21" s="1"/>
  <c r="AD17" i="20"/>
  <c r="Y17" i="20"/>
  <c r="Z17" i="20"/>
  <c r="AA17" i="20" s="1"/>
  <c r="AB17" i="20" s="1"/>
  <c r="V18" i="20" s="1"/>
  <c r="AK20" i="12"/>
  <c r="AI21" i="12" s="1"/>
  <c r="AO20" i="12"/>
  <c r="AO27" i="22" l="1"/>
  <c r="AK29" i="23"/>
  <c r="AG30" i="23" s="1"/>
  <c r="AG27" i="24"/>
  <c r="AK27" i="24" s="1"/>
  <c r="AG26" i="25"/>
  <c r="AI26" i="25"/>
  <c r="AO26" i="25" s="1"/>
  <c r="AO25" i="25"/>
  <c r="AC18" i="19"/>
  <c r="X19" i="19" s="1"/>
  <c r="Y19" i="19" s="1"/>
  <c r="AO27" i="24"/>
  <c r="AO27" i="19"/>
  <c r="AI29" i="20"/>
  <c r="AK29" i="20" s="1"/>
  <c r="AG30" i="20" s="1"/>
  <c r="AK27" i="22"/>
  <c r="AI28" i="21"/>
  <c r="AO28" i="21" s="1"/>
  <c r="Y18" i="22"/>
  <c r="AK27" i="19"/>
  <c r="AI28" i="19" s="1"/>
  <c r="Z18" i="22"/>
  <c r="AA18" i="22" s="1"/>
  <c r="AB18" i="22" s="1"/>
  <c r="V19" i="22" s="1"/>
  <c r="W19" i="22" s="1"/>
  <c r="W18" i="25"/>
  <c r="AC17" i="25"/>
  <c r="X18" i="25" s="1"/>
  <c r="W20" i="24"/>
  <c r="AC19" i="24"/>
  <c r="X20" i="24" s="1"/>
  <c r="W17" i="23"/>
  <c r="AC16" i="23"/>
  <c r="X17" i="23" s="1"/>
  <c r="W17" i="21"/>
  <c r="AC16" i="21"/>
  <c r="X17" i="21" s="1"/>
  <c r="AG21" i="12"/>
  <c r="AK21" i="12" s="1"/>
  <c r="W18" i="20"/>
  <c r="AC17" i="20"/>
  <c r="X18" i="20" s="1"/>
  <c r="AD19" i="19" l="1"/>
  <c r="Z19" i="19"/>
  <c r="AA19" i="19" s="1"/>
  <c r="AB19" i="19" s="1"/>
  <c r="V20" i="19" s="1"/>
  <c r="W20" i="19" s="1"/>
  <c r="AI30" i="23"/>
  <c r="AO30" i="23" s="1"/>
  <c r="AI30" i="20"/>
  <c r="AK30" i="20" s="1"/>
  <c r="AG31" i="20" s="1"/>
  <c r="AO29" i="20"/>
  <c r="AK26" i="25"/>
  <c r="AO30" i="20"/>
  <c r="AG28" i="19"/>
  <c r="AK28" i="19" s="1"/>
  <c r="AI29" i="19" s="1"/>
  <c r="AI28" i="22"/>
  <c r="AG28" i="22"/>
  <c r="AK28" i="21"/>
  <c r="AI29" i="21" s="1"/>
  <c r="AG29" i="21"/>
  <c r="AI28" i="24"/>
  <c r="AG28" i="24"/>
  <c r="AC18" i="22"/>
  <c r="X19" i="22" s="1"/>
  <c r="AD19" i="22" s="1"/>
  <c r="AD18" i="25"/>
  <c r="Y18" i="25"/>
  <c r="Z18" i="25"/>
  <c r="AA18" i="25" s="1"/>
  <c r="AB18" i="25" s="1"/>
  <c r="V19" i="25" s="1"/>
  <c r="AC19" i="19"/>
  <c r="X20" i="19" s="1"/>
  <c r="Y20" i="19" s="1"/>
  <c r="AD20" i="24"/>
  <c r="Y20" i="24"/>
  <c r="Z20" i="24"/>
  <c r="AA20" i="24" s="1"/>
  <c r="AB20" i="24" s="1"/>
  <c r="V21" i="24" s="1"/>
  <c r="AD17" i="23"/>
  <c r="Y17" i="23"/>
  <c r="Z17" i="23"/>
  <c r="AA17" i="23" s="1"/>
  <c r="AB17" i="23" s="1"/>
  <c r="V18" i="23" s="1"/>
  <c r="AD17" i="21"/>
  <c r="Y17" i="21"/>
  <c r="Z17" i="21"/>
  <c r="AA17" i="21" s="1"/>
  <c r="AB17" i="21" s="1"/>
  <c r="V18" i="21" s="1"/>
  <c r="AG22" i="12"/>
  <c r="AI22" i="12"/>
  <c r="AO21" i="12"/>
  <c r="AD18" i="20"/>
  <c r="Y18" i="20"/>
  <c r="Z18" i="20"/>
  <c r="AA18" i="20" s="1"/>
  <c r="AB18" i="20" s="1"/>
  <c r="V19" i="20" s="1"/>
  <c r="AK30" i="23" l="1"/>
  <c r="AK28" i="24"/>
  <c r="AG27" i="25"/>
  <c r="AI27" i="25"/>
  <c r="AO27" i="25" s="1"/>
  <c r="AO28" i="19"/>
  <c r="AK29" i="21"/>
  <c r="AG30" i="21" s="1"/>
  <c r="AK22" i="12"/>
  <c r="AG23" i="12" s="1"/>
  <c r="AK28" i="22"/>
  <c r="AG29" i="22" s="1"/>
  <c r="AO28" i="22"/>
  <c r="AG29" i="19"/>
  <c r="AK29" i="19" s="1"/>
  <c r="AI30" i="19" s="1"/>
  <c r="AO29" i="21"/>
  <c r="Y19" i="22"/>
  <c r="Z19" i="22"/>
  <c r="AA19" i="22" s="1"/>
  <c r="AB19" i="22" s="1"/>
  <c r="V20" i="22" s="1"/>
  <c r="W20" i="22" s="1"/>
  <c r="AI31" i="20"/>
  <c r="AK31" i="20" s="1"/>
  <c r="AI32" i="20" s="1"/>
  <c r="AG29" i="24"/>
  <c r="AI29" i="24"/>
  <c r="AO28" i="24"/>
  <c r="AG31" i="23"/>
  <c r="AI31" i="23"/>
  <c r="Z20" i="19"/>
  <c r="AA20" i="19" s="1"/>
  <c r="AB20" i="19" s="1"/>
  <c r="V21" i="19" s="1"/>
  <c r="W21" i="19" s="1"/>
  <c r="AD20" i="19"/>
  <c r="W19" i="25"/>
  <c r="AC18" i="25"/>
  <c r="X19" i="25" s="1"/>
  <c r="W21" i="24"/>
  <c r="AC20" i="24"/>
  <c r="X21" i="24" s="1"/>
  <c r="W18" i="23"/>
  <c r="AC17" i="23"/>
  <c r="X18" i="23" s="1"/>
  <c r="W18" i="21"/>
  <c r="AC17" i="21"/>
  <c r="X18" i="21" s="1"/>
  <c r="AO22" i="12"/>
  <c r="W19" i="20"/>
  <c r="AC18" i="20"/>
  <c r="X19" i="20" s="1"/>
  <c r="AI23" i="12"/>
  <c r="AI29" i="22" l="1"/>
  <c r="AI30" i="21"/>
  <c r="AK30" i="21" s="1"/>
  <c r="AK27" i="25"/>
  <c r="AO29" i="19"/>
  <c r="AO29" i="22"/>
  <c r="AO31" i="20"/>
  <c r="AK29" i="22"/>
  <c r="AG32" i="20"/>
  <c r="AK32" i="20" s="1"/>
  <c r="AO29" i="24"/>
  <c r="AC19" i="22"/>
  <c r="X20" i="22" s="1"/>
  <c r="AD20" i="22" s="1"/>
  <c r="AG30" i="19"/>
  <c r="AK30" i="19" s="1"/>
  <c r="AI31" i="19" s="1"/>
  <c r="AO31" i="23"/>
  <c r="AK29" i="24"/>
  <c r="AC20" i="19"/>
  <c r="X21" i="19" s="1"/>
  <c r="AD21" i="19" s="1"/>
  <c r="AK31" i="23"/>
  <c r="AD19" i="25"/>
  <c r="Y19" i="25"/>
  <c r="Z19" i="25"/>
  <c r="AA19" i="25" s="1"/>
  <c r="AB19" i="25" s="1"/>
  <c r="V20" i="25" s="1"/>
  <c r="AO30" i="21"/>
  <c r="AD21" i="24"/>
  <c r="Y21" i="24"/>
  <c r="Z21" i="24"/>
  <c r="AA21" i="24" s="1"/>
  <c r="AB21" i="24" s="1"/>
  <c r="V22" i="24" s="1"/>
  <c r="AO32" i="20"/>
  <c r="AD18" i="23"/>
  <c r="Y18" i="23"/>
  <c r="Z18" i="23"/>
  <c r="AA18" i="23" s="1"/>
  <c r="AB18" i="23" s="1"/>
  <c r="V19" i="23" s="1"/>
  <c r="AI31" i="21"/>
  <c r="AG31" i="21"/>
  <c r="AD18" i="21"/>
  <c r="Y18" i="21"/>
  <c r="Z18" i="21"/>
  <c r="AA18" i="21" s="1"/>
  <c r="AB18" i="21" s="1"/>
  <c r="V19" i="21" s="1"/>
  <c r="AD19" i="20"/>
  <c r="Y19" i="20"/>
  <c r="Z19" i="20"/>
  <c r="AA19" i="20" s="1"/>
  <c r="AB19" i="20" s="1"/>
  <c r="V20" i="20" s="1"/>
  <c r="AK23" i="12"/>
  <c r="AO23" i="12"/>
  <c r="AI28" i="25" l="1"/>
  <c r="AG28" i="25"/>
  <c r="AK28" i="25" s="1"/>
  <c r="Z20" i="22"/>
  <c r="AA20" i="22" s="1"/>
  <c r="AB20" i="22" s="1"/>
  <c r="V21" i="22" s="1"/>
  <c r="W21" i="22" s="1"/>
  <c r="AG30" i="22"/>
  <c r="AI30" i="22"/>
  <c r="Y20" i="22"/>
  <c r="AC20" i="22" s="1"/>
  <c r="X21" i="22" s="1"/>
  <c r="AG31" i="19"/>
  <c r="AK31" i="19" s="1"/>
  <c r="AI32" i="19" s="1"/>
  <c r="AO30" i="19"/>
  <c r="Z21" i="19"/>
  <c r="AA21" i="19" s="1"/>
  <c r="AB21" i="19" s="1"/>
  <c r="V22" i="19" s="1"/>
  <c r="W22" i="19" s="1"/>
  <c r="Y21" i="19"/>
  <c r="AG30" i="24"/>
  <c r="AI30" i="24"/>
  <c r="AI32" i="23"/>
  <c r="AG32" i="23"/>
  <c r="W20" i="25"/>
  <c r="AC19" i="25"/>
  <c r="X20" i="25" s="1"/>
  <c r="AK31" i="21"/>
  <c r="AG32" i="21" s="1"/>
  <c r="W22" i="24"/>
  <c r="AC21" i="24"/>
  <c r="X22" i="24" s="1"/>
  <c r="W19" i="23"/>
  <c r="AC18" i="23"/>
  <c r="X19" i="23" s="1"/>
  <c r="AI33" i="20"/>
  <c r="AG33" i="20"/>
  <c r="AO31" i="21"/>
  <c r="W19" i="21"/>
  <c r="AC18" i="21"/>
  <c r="X19" i="21" s="1"/>
  <c r="W20" i="20"/>
  <c r="AC19" i="20"/>
  <c r="X20" i="20" s="1"/>
  <c r="AI24" i="12"/>
  <c r="AG24" i="12"/>
  <c r="AG29" i="25" l="1"/>
  <c r="AI29" i="25"/>
  <c r="AO28" i="25"/>
  <c r="AD21" i="22"/>
  <c r="AC21" i="19"/>
  <c r="X22" i="19" s="1"/>
  <c r="Y22" i="19" s="1"/>
  <c r="AO30" i="24"/>
  <c r="AO30" i="22"/>
  <c r="AO31" i="19"/>
  <c r="AK30" i="22"/>
  <c r="AK32" i="23"/>
  <c r="AI33" i="23" s="1"/>
  <c r="AG32" i="19"/>
  <c r="AK32" i="19" s="1"/>
  <c r="AI33" i="19" s="1"/>
  <c r="Z21" i="22"/>
  <c r="AA21" i="22" s="1"/>
  <c r="AB21" i="22" s="1"/>
  <c r="V22" i="22" s="1"/>
  <c r="W22" i="22" s="1"/>
  <c r="Y21" i="22"/>
  <c r="AK33" i="20"/>
  <c r="AG34" i="20" s="1"/>
  <c r="AK30" i="24"/>
  <c r="AO32" i="23"/>
  <c r="AI32" i="21"/>
  <c r="AO32" i="21" s="1"/>
  <c r="AD20" i="25"/>
  <c r="Y20" i="25"/>
  <c r="Z20" i="25"/>
  <c r="AA20" i="25" s="1"/>
  <c r="AB20" i="25" s="1"/>
  <c r="V21" i="25" s="1"/>
  <c r="AD22" i="24"/>
  <c r="Y22" i="24"/>
  <c r="Z22" i="24"/>
  <c r="AA22" i="24" s="1"/>
  <c r="AB22" i="24" s="1"/>
  <c r="V23" i="24" s="1"/>
  <c r="AD19" i="23"/>
  <c r="Y19" i="23"/>
  <c r="Z19" i="23"/>
  <c r="AA19" i="23" s="1"/>
  <c r="AB19" i="23" s="1"/>
  <c r="V20" i="23" s="1"/>
  <c r="AO33" i="20"/>
  <c r="AD19" i="21"/>
  <c r="Y19" i="21"/>
  <c r="Z19" i="21"/>
  <c r="AA19" i="21" s="1"/>
  <c r="AB19" i="21" s="1"/>
  <c r="V20" i="21" s="1"/>
  <c r="AD20" i="20"/>
  <c r="Y20" i="20"/>
  <c r="Z20" i="20"/>
  <c r="AA20" i="20" s="1"/>
  <c r="AB20" i="20" s="1"/>
  <c r="V21" i="20" s="1"/>
  <c r="AO24" i="12"/>
  <c r="AK24" i="12"/>
  <c r="AD22" i="19" l="1"/>
  <c r="AK29" i="25"/>
  <c r="AO29" i="25"/>
  <c r="Z22" i="19"/>
  <c r="AA22" i="19" s="1"/>
  <c r="AB22" i="19" s="1"/>
  <c r="V23" i="19" s="1"/>
  <c r="W23" i="19" s="1"/>
  <c r="AO32" i="19"/>
  <c r="AG33" i="23"/>
  <c r="AO33" i="23" s="1"/>
  <c r="AI34" i="20"/>
  <c r="AK34" i="20" s="1"/>
  <c r="AI35" i="20" s="1"/>
  <c r="AG31" i="22"/>
  <c r="AI31" i="22"/>
  <c r="AO31" i="22" s="1"/>
  <c r="AG33" i="19"/>
  <c r="AK33" i="19" s="1"/>
  <c r="AI34" i="19" s="1"/>
  <c r="AC21" i="22"/>
  <c r="X22" i="22" s="1"/>
  <c r="AD22" i="22" s="1"/>
  <c r="AK33" i="23"/>
  <c r="AI34" i="23" s="1"/>
  <c r="AK32" i="21"/>
  <c r="AG33" i="21" s="1"/>
  <c r="AG31" i="24"/>
  <c r="AI31" i="24"/>
  <c r="W21" i="25"/>
  <c r="AC20" i="25"/>
  <c r="X21" i="25" s="1"/>
  <c r="W23" i="24"/>
  <c r="AC22" i="24"/>
  <c r="X23" i="24" s="1"/>
  <c r="W20" i="23"/>
  <c r="AC19" i="23"/>
  <c r="X20" i="23" s="1"/>
  <c r="W20" i="21"/>
  <c r="AC19" i="21"/>
  <c r="X20" i="21" s="1"/>
  <c r="W21" i="20"/>
  <c r="AC20" i="20"/>
  <c r="X21" i="20" s="1"/>
  <c r="AG25" i="12"/>
  <c r="AI25" i="12"/>
  <c r="AG35" i="20" l="1"/>
  <c r="AC22" i="19"/>
  <c r="X23" i="19" s="1"/>
  <c r="AD23" i="19" s="1"/>
  <c r="AI30" i="25"/>
  <c r="AG30" i="25"/>
  <c r="AG34" i="19"/>
  <c r="AO34" i="19" s="1"/>
  <c r="AO35" i="20"/>
  <c r="AO34" i="20"/>
  <c r="AO31" i="24"/>
  <c r="AO33" i="19"/>
  <c r="AG34" i="23"/>
  <c r="AO34" i="23" s="1"/>
  <c r="AK31" i="22"/>
  <c r="AI33" i="21"/>
  <c r="AO33" i="21" s="1"/>
  <c r="Z22" i="22"/>
  <c r="AA22" i="22" s="1"/>
  <c r="AB22" i="22" s="1"/>
  <c r="V23" i="22" s="1"/>
  <c r="W23" i="22" s="1"/>
  <c r="Y22" i="22"/>
  <c r="Z23" i="19"/>
  <c r="AA23" i="19" s="1"/>
  <c r="AB23" i="19" s="1"/>
  <c r="V24" i="19" s="1"/>
  <c r="W24" i="19" s="1"/>
  <c r="AK31" i="24"/>
  <c r="AK35" i="20"/>
  <c r="AG36" i="20" s="1"/>
  <c r="AD21" i="25"/>
  <c r="Y21" i="25"/>
  <c r="Z21" i="25"/>
  <c r="AA21" i="25" s="1"/>
  <c r="AB21" i="25" s="1"/>
  <c r="V22" i="25" s="1"/>
  <c r="AD23" i="24"/>
  <c r="Y23" i="24"/>
  <c r="Z23" i="24"/>
  <c r="AA23" i="24" s="1"/>
  <c r="AB23" i="24" s="1"/>
  <c r="V24" i="24" s="1"/>
  <c r="AD20" i="23"/>
  <c r="Y20" i="23"/>
  <c r="Z20" i="23"/>
  <c r="AA20" i="23" s="1"/>
  <c r="AB20" i="23" s="1"/>
  <c r="V21" i="23" s="1"/>
  <c r="AD20" i="21"/>
  <c r="Y20" i="21"/>
  <c r="Z20" i="21"/>
  <c r="AA20" i="21" s="1"/>
  <c r="AB20" i="21" s="1"/>
  <c r="V21" i="21" s="1"/>
  <c r="AD21" i="20"/>
  <c r="Y21" i="20"/>
  <c r="Z21" i="20"/>
  <c r="AA21" i="20" s="1"/>
  <c r="AB21" i="20" s="1"/>
  <c r="V22" i="20" s="1"/>
  <c r="AI35" i="19"/>
  <c r="AK25" i="12"/>
  <c r="AO25" i="12"/>
  <c r="AK34" i="19" l="1"/>
  <c r="AG35" i="19" s="1"/>
  <c r="Y23" i="19"/>
  <c r="AO30" i="25"/>
  <c r="AK30" i="25"/>
  <c r="AK34" i="23"/>
  <c r="AI35" i="23" s="1"/>
  <c r="AK33" i="21"/>
  <c r="AI34" i="21" s="1"/>
  <c r="AC22" i="22"/>
  <c r="X23" i="22" s="1"/>
  <c r="Z23" i="22" s="1"/>
  <c r="AA23" i="22" s="1"/>
  <c r="AB23" i="22" s="1"/>
  <c r="V24" i="22" s="1"/>
  <c r="AG35" i="23"/>
  <c r="AO35" i="23" s="1"/>
  <c r="AI32" i="22"/>
  <c r="AG32" i="22"/>
  <c r="AC23" i="19"/>
  <c r="X24" i="19" s="1"/>
  <c r="Y24" i="19" s="1"/>
  <c r="AI36" i="20"/>
  <c r="AK36" i="20" s="1"/>
  <c r="AI37" i="20" s="1"/>
  <c r="AI32" i="24"/>
  <c r="AG32" i="24"/>
  <c r="W22" i="25"/>
  <c r="AC21" i="25"/>
  <c r="X22" i="25" s="1"/>
  <c r="W24" i="24"/>
  <c r="AC23" i="24"/>
  <c r="X24" i="24" s="1"/>
  <c r="W21" i="23"/>
  <c r="AC20" i="23"/>
  <c r="X21" i="23" s="1"/>
  <c r="AO35" i="19"/>
  <c r="W21" i="21"/>
  <c r="AC20" i="21"/>
  <c r="X21" i="21" s="1"/>
  <c r="W22" i="20"/>
  <c r="AC21" i="20"/>
  <c r="X22" i="20" s="1"/>
  <c r="AK35" i="19"/>
  <c r="AG26" i="12"/>
  <c r="AI26" i="12"/>
  <c r="Y23" i="22" l="1"/>
  <c r="AK35" i="23"/>
  <c r="AI36" i="23" s="1"/>
  <c r="AG34" i="21"/>
  <c r="AK34" i="21" s="1"/>
  <c r="AD23" i="22"/>
  <c r="AG31" i="25"/>
  <c r="AI31" i="25"/>
  <c r="AO31" i="25" s="1"/>
  <c r="AD24" i="19"/>
  <c r="AO36" i="20"/>
  <c r="AO34" i="21"/>
  <c r="AG36" i="23"/>
  <c r="AO32" i="22"/>
  <c r="AK32" i="22"/>
  <c r="Z24" i="19"/>
  <c r="AA24" i="19" s="1"/>
  <c r="AG37" i="20"/>
  <c r="AK37" i="20" s="1"/>
  <c r="AI38" i="20" s="1"/>
  <c r="AK32" i="24"/>
  <c r="AI33" i="24" s="1"/>
  <c r="AO32" i="24"/>
  <c r="AD22" i="25"/>
  <c r="Y22" i="25"/>
  <c r="Z22" i="25"/>
  <c r="AA22" i="25" s="1"/>
  <c r="AB22" i="25" s="1"/>
  <c r="V23" i="25" s="1"/>
  <c r="AD24" i="24"/>
  <c r="Y24" i="24"/>
  <c r="Z24" i="24"/>
  <c r="AA24" i="24" s="1"/>
  <c r="AB24" i="24" s="1"/>
  <c r="V25" i="24" s="1"/>
  <c r="AD21" i="23"/>
  <c r="Y21" i="23"/>
  <c r="Z21" i="23"/>
  <c r="AA21" i="23" s="1"/>
  <c r="AB21" i="23" s="1"/>
  <c r="V22" i="23" s="1"/>
  <c r="W24" i="22"/>
  <c r="AC23" i="22"/>
  <c r="X24" i="22" s="1"/>
  <c r="AG35" i="21"/>
  <c r="AI35" i="21"/>
  <c r="AD21" i="21"/>
  <c r="Y21" i="21"/>
  <c r="Z21" i="21"/>
  <c r="AA21" i="21" s="1"/>
  <c r="AB21" i="21" s="1"/>
  <c r="V22" i="21" s="1"/>
  <c r="AD22" i="20"/>
  <c r="Y22" i="20"/>
  <c r="Z22" i="20"/>
  <c r="AA22" i="20" s="1"/>
  <c r="AB22" i="20" s="1"/>
  <c r="V23" i="20" s="1"/>
  <c r="AG36" i="19"/>
  <c r="AI36" i="19"/>
  <c r="AO26" i="12"/>
  <c r="AK26" i="12"/>
  <c r="AK36" i="23" l="1"/>
  <c r="AO36" i="23"/>
  <c r="AK31" i="25"/>
  <c r="AG33" i="24"/>
  <c r="AK33" i="24" s="1"/>
  <c r="AI33" i="22"/>
  <c r="AG33" i="22"/>
  <c r="AG38" i="20"/>
  <c r="AK38" i="20" s="1"/>
  <c r="AO37" i="20"/>
  <c r="AB24" i="19"/>
  <c r="V25" i="19" s="1"/>
  <c r="AC24" i="19"/>
  <c r="X25" i="19" s="1"/>
  <c r="AO33" i="24"/>
  <c r="AO35" i="21"/>
  <c r="AG37" i="23"/>
  <c r="AI37" i="23"/>
  <c r="W23" i="25"/>
  <c r="AC22" i="25"/>
  <c r="X23" i="25" s="1"/>
  <c r="W25" i="24"/>
  <c r="AC24" i="24"/>
  <c r="X25" i="24" s="1"/>
  <c r="W22" i="23"/>
  <c r="AC21" i="23"/>
  <c r="X22" i="23" s="1"/>
  <c r="AD24" i="22"/>
  <c r="Y24" i="22"/>
  <c r="Z24" i="22"/>
  <c r="AA24" i="22" s="1"/>
  <c r="AB24" i="22" s="1"/>
  <c r="V25" i="22" s="1"/>
  <c r="AO36" i="19"/>
  <c r="AK35" i="21"/>
  <c r="W22" i="21"/>
  <c r="AC21" i="21"/>
  <c r="X22" i="21" s="1"/>
  <c r="W23" i="20"/>
  <c r="AC22" i="20"/>
  <c r="X23" i="20" s="1"/>
  <c r="AK36" i="19"/>
  <c r="AG27" i="12"/>
  <c r="AI27" i="12"/>
  <c r="AI32" i="25" l="1"/>
  <c r="AG32" i="25"/>
  <c r="AK32" i="25" s="1"/>
  <c r="AK33" i="22"/>
  <c r="AI34" i="22" s="1"/>
  <c r="AO38" i="20"/>
  <c r="AG34" i="22"/>
  <c r="AO33" i="22"/>
  <c r="Y25" i="19"/>
  <c r="AD25" i="19"/>
  <c r="W25" i="19"/>
  <c r="Z25" i="19"/>
  <c r="AA25" i="19" s="1"/>
  <c r="AO37" i="23"/>
  <c r="AI34" i="24"/>
  <c r="AG34" i="24"/>
  <c r="AK37" i="23"/>
  <c r="AD23" i="25"/>
  <c r="Y23" i="25"/>
  <c r="Z23" i="25"/>
  <c r="AA23" i="25" s="1"/>
  <c r="AB23" i="25" s="1"/>
  <c r="V24" i="25" s="1"/>
  <c r="AD25" i="24"/>
  <c r="Y25" i="24"/>
  <c r="Z25" i="24"/>
  <c r="AA25" i="24" s="1"/>
  <c r="AB25" i="24" s="1"/>
  <c r="V26" i="24" s="1"/>
  <c r="AD22" i="23"/>
  <c r="Y22" i="23"/>
  <c r="Z22" i="23"/>
  <c r="AA22" i="23" s="1"/>
  <c r="AB22" i="23" s="1"/>
  <c r="V23" i="23" s="1"/>
  <c r="W25" i="22"/>
  <c r="AC24" i="22"/>
  <c r="X25" i="22" s="1"/>
  <c r="AG36" i="21"/>
  <c r="AI36" i="21"/>
  <c r="AI39" i="20"/>
  <c r="AG39" i="20"/>
  <c r="AD22" i="21"/>
  <c r="Y22" i="21"/>
  <c r="Z22" i="21"/>
  <c r="AA22" i="21" s="1"/>
  <c r="AB22" i="21" s="1"/>
  <c r="V23" i="21" s="1"/>
  <c r="AD23" i="20"/>
  <c r="Y23" i="20"/>
  <c r="Z23" i="20"/>
  <c r="AA23" i="20" s="1"/>
  <c r="AB23" i="20" s="1"/>
  <c r="V24" i="20" s="1"/>
  <c r="AG37" i="19"/>
  <c r="AI37" i="19"/>
  <c r="AO27" i="12"/>
  <c r="AK27" i="12"/>
  <c r="AK34" i="22" l="1"/>
  <c r="AI33" i="25"/>
  <c r="AG33" i="25"/>
  <c r="AO32" i="25"/>
  <c r="AI35" i="22"/>
  <c r="AG35" i="22"/>
  <c r="AO34" i="22"/>
  <c r="AB25" i="19"/>
  <c r="V26" i="19" s="1"/>
  <c r="W26" i="19" s="1"/>
  <c r="AC25" i="19"/>
  <c r="X26" i="19" s="1"/>
  <c r="AK34" i="24"/>
  <c r="AI35" i="24" s="1"/>
  <c r="AK39" i="20"/>
  <c r="AG40" i="20" s="1"/>
  <c r="AO34" i="24"/>
  <c r="AG38" i="23"/>
  <c r="AI38" i="23"/>
  <c r="W24" i="25"/>
  <c r="AC23" i="25"/>
  <c r="X24" i="25" s="1"/>
  <c r="AO36" i="21"/>
  <c r="W26" i="24"/>
  <c r="AC25" i="24"/>
  <c r="X26" i="24" s="1"/>
  <c r="W23" i="23"/>
  <c r="AC22" i="23"/>
  <c r="X23" i="23" s="1"/>
  <c r="AD25" i="22"/>
  <c r="Y25" i="22"/>
  <c r="Z25" i="22"/>
  <c r="AA25" i="22" s="1"/>
  <c r="AB25" i="22" s="1"/>
  <c r="V26" i="22" s="1"/>
  <c r="AK36" i="21"/>
  <c r="AO37" i="19"/>
  <c r="AO39" i="20"/>
  <c r="W23" i="21"/>
  <c r="AC22" i="21"/>
  <c r="X23" i="21" s="1"/>
  <c r="W24" i="20"/>
  <c r="AC23" i="20"/>
  <c r="X24" i="20" s="1"/>
  <c r="AK37" i="19"/>
  <c r="AI28" i="12"/>
  <c r="AG28" i="12"/>
  <c r="AG35" i="24" l="1"/>
  <c r="AK35" i="22"/>
  <c r="AK33" i="25"/>
  <c r="AI34" i="25"/>
  <c r="AG34" i="25"/>
  <c r="AO33" i="25"/>
  <c r="AG36" i="22"/>
  <c r="AI36" i="22"/>
  <c r="AO35" i="22"/>
  <c r="AI40" i="20"/>
  <c r="AO40" i="20" s="1"/>
  <c r="Y26" i="19"/>
  <c r="AD26" i="19"/>
  <c r="Z26" i="19"/>
  <c r="AA26" i="19" s="1"/>
  <c r="AB26" i="19" s="1"/>
  <c r="V27" i="19" s="1"/>
  <c r="W27" i="19" s="1"/>
  <c r="AO35" i="24"/>
  <c r="AO38" i="23"/>
  <c r="AK35" i="24"/>
  <c r="AK38" i="23"/>
  <c r="AD24" i="25"/>
  <c r="Y24" i="25"/>
  <c r="Z24" i="25"/>
  <c r="AA24" i="25" s="1"/>
  <c r="AB24" i="25" s="1"/>
  <c r="V25" i="25" s="1"/>
  <c r="AD26" i="24"/>
  <c r="Y26" i="24"/>
  <c r="Z26" i="24"/>
  <c r="AA26" i="24" s="1"/>
  <c r="AB26" i="24" s="1"/>
  <c r="V27" i="24" s="1"/>
  <c r="AD23" i="23"/>
  <c r="Y23" i="23"/>
  <c r="Z23" i="23"/>
  <c r="AA23" i="23" s="1"/>
  <c r="AB23" i="23" s="1"/>
  <c r="V24" i="23" s="1"/>
  <c r="W26" i="22"/>
  <c r="AC25" i="22"/>
  <c r="X26" i="22" s="1"/>
  <c r="AI37" i="21"/>
  <c r="AG37" i="21"/>
  <c r="AD23" i="21"/>
  <c r="Y23" i="21"/>
  <c r="Z23" i="21"/>
  <c r="AA23" i="21" s="1"/>
  <c r="AB23" i="21" s="1"/>
  <c r="V24" i="21" s="1"/>
  <c r="AD24" i="20"/>
  <c r="Y24" i="20"/>
  <c r="Z24" i="20"/>
  <c r="AA24" i="20" s="1"/>
  <c r="AB24" i="20" s="1"/>
  <c r="V25" i="20" s="1"/>
  <c r="AG38" i="19"/>
  <c r="AI38" i="19"/>
  <c r="AO28" i="12"/>
  <c r="AK28" i="12"/>
  <c r="AO36" i="22" l="1"/>
  <c r="AK34" i="25"/>
  <c r="AI35" i="25"/>
  <c r="AG35" i="25"/>
  <c r="AK35" i="25" s="1"/>
  <c r="AO34" i="25"/>
  <c r="AK40" i="20"/>
  <c r="AG41" i="20" s="1"/>
  <c r="AK36" i="22"/>
  <c r="AC26" i="19"/>
  <c r="X27" i="19" s="1"/>
  <c r="AG36" i="24"/>
  <c r="AI36" i="24"/>
  <c r="AG39" i="23"/>
  <c r="AI39" i="23"/>
  <c r="AK37" i="21"/>
  <c r="AG38" i="21" s="1"/>
  <c r="W25" i="25"/>
  <c r="AC24" i="25"/>
  <c r="X25" i="25" s="1"/>
  <c r="W27" i="24"/>
  <c r="AC26" i="24"/>
  <c r="X27" i="24" s="1"/>
  <c r="W24" i="23"/>
  <c r="AC23" i="23"/>
  <c r="X24" i="23" s="1"/>
  <c r="AD26" i="22"/>
  <c r="Y26" i="22"/>
  <c r="Z26" i="22"/>
  <c r="AA26" i="22" s="1"/>
  <c r="AB26" i="22" s="1"/>
  <c r="V27" i="22" s="1"/>
  <c r="AO37" i="21"/>
  <c r="AI41" i="20"/>
  <c r="W24" i="21"/>
  <c r="AC23" i="21"/>
  <c r="X24" i="21" s="1"/>
  <c r="W25" i="20"/>
  <c r="AC24" i="20"/>
  <c r="X25" i="20" s="1"/>
  <c r="AK38" i="19"/>
  <c r="AO38" i="19"/>
  <c r="AI29" i="12"/>
  <c r="AG29" i="12"/>
  <c r="AI36" i="25" l="1"/>
  <c r="AG36" i="25"/>
  <c r="AO35" i="25"/>
  <c r="AG37" i="22"/>
  <c r="AI37" i="22"/>
  <c r="AO37" i="22" s="1"/>
  <c r="AO39" i="23"/>
  <c r="AD27" i="19"/>
  <c r="Z27" i="19"/>
  <c r="AA27" i="19" s="1"/>
  <c r="AB27" i="19" s="1"/>
  <c r="V28" i="19" s="1"/>
  <c r="W28" i="19" s="1"/>
  <c r="Y27" i="19"/>
  <c r="AO36" i="24"/>
  <c r="AI38" i="21"/>
  <c r="AK38" i="21" s="1"/>
  <c r="AG39" i="21" s="1"/>
  <c r="AK36" i="24"/>
  <c r="AK39" i="23"/>
  <c r="AD25" i="25"/>
  <c r="Y25" i="25"/>
  <c r="Z25" i="25"/>
  <c r="AA25" i="25" s="1"/>
  <c r="AB25" i="25" s="1"/>
  <c r="V26" i="25" s="1"/>
  <c r="AD27" i="24"/>
  <c r="Y27" i="24"/>
  <c r="Z27" i="24"/>
  <c r="AA27" i="24" s="1"/>
  <c r="AB27" i="24" s="1"/>
  <c r="V28" i="24" s="1"/>
  <c r="AD24" i="23"/>
  <c r="Y24" i="23"/>
  <c r="Z24" i="23"/>
  <c r="AA24" i="23" s="1"/>
  <c r="AB24" i="23" s="1"/>
  <c r="V25" i="23" s="1"/>
  <c r="W27" i="22"/>
  <c r="AC26" i="22"/>
  <c r="X27" i="22" s="1"/>
  <c r="AO41" i="20"/>
  <c r="AK41" i="20"/>
  <c r="AD24" i="21"/>
  <c r="Y24" i="21"/>
  <c r="Z24" i="21"/>
  <c r="AA24" i="21" s="1"/>
  <c r="AB24" i="21" s="1"/>
  <c r="V25" i="21" s="1"/>
  <c r="AD25" i="20"/>
  <c r="Y25" i="20"/>
  <c r="Z25" i="20"/>
  <c r="AA25" i="20" s="1"/>
  <c r="AB25" i="20" s="1"/>
  <c r="V26" i="20" s="1"/>
  <c r="AG39" i="19"/>
  <c r="AI39" i="19"/>
  <c r="AK29" i="12"/>
  <c r="AI30" i="12" s="1"/>
  <c r="AO29" i="12"/>
  <c r="AO36" i="25" l="1"/>
  <c r="AK36" i="25"/>
  <c r="AO38" i="21"/>
  <c r="AK37" i="22"/>
  <c r="AI39" i="21"/>
  <c r="AC27" i="19"/>
  <c r="X28" i="19" s="1"/>
  <c r="AG37" i="24"/>
  <c r="AI37" i="24"/>
  <c r="AI40" i="23"/>
  <c r="AG40" i="23"/>
  <c r="AO39" i="21"/>
  <c r="W26" i="25"/>
  <c r="AC25" i="25"/>
  <c r="X26" i="25" s="1"/>
  <c r="W28" i="24"/>
  <c r="AC27" i="24"/>
  <c r="X28" i="24" s="1"/>
  <c r="W25" i="23"/>
  <c r="AC24" i="23"/>
  <c r="X25" i="23" s="1"/>
  <c r="AD27" i="22"/>
  <c r="Y27" i="22"/>
  <c r="Z27" i="22"/>
  <c r="AA27" i="22" s="1"/>
  <c r="AB27" i="22" s="1"/>
  <c r="V28" i="22" s="1"/>
  <c r="AO39" i="19"/>
  <c r="AK39" i="21"/>
  <c r="AI42" i="20"/>
  <c r="AG42" i="20"/>
  <c r="W25" i="21"/>
  <c r="AC24" i="21"/>
  <c r="X25" i="21" s="1"/>
  <c r="W26" i="20"/>
  <c r="AC25" i="20"/>
  <c r="X26" i="20" s="1"/>
  <c r="AK39" i="19"/>
  <c r="AG30" i="12"/>
  <c r="AO30" i="12" s="1"/>
  <c r="AG37" i="25" l="1"/>
  <c r="AI37" i="25"/>
  <c r="AO37" i="24"/>
  <c r="AK40" i="23"/>
  <c r="AG38" i="22"/>
  <c r="AI38" i="22"/>
  <c r="AO38" i="22" s="1"/>
  <c r="AD28" i="19"/>
  <c r="Z28" i="19"/>
  <c r="AA28" i="19" s="1"/>
  <c r="AB28" i="19" s="1"/>
  <c r="V29" i="19" s="1"/>
  <c r="W29" i="19" s="1"/>
  <c r="Y28" i="19"/>
  <c r="AK37" i="24"/>
  <c r="AI41" i="23"/>
  <c r="AG41" i="23"/>
  <c r="AO40" i="23"/>
  <c r="AD26" i="25"/>
  <c r="Y26" i="25"/>
  <c r="Z26" i="25"/>
  <c r="AA26" i="25" s="1"/>
  <c r="AB26" i="25" s="1"/>
  <c r="V27" i="25" s="1"/>
  <c r="AD28" i="24"/>
  <c r="Y28" i="24"/>
  <c r="Z28" i="24"/>
  <c r="AA28" i="24" s="1"/>
  <c r="AB28" i="24" s="1"/>
  <c r="V29" i="24" s="1"/>
  <c r="AD25" i="23"/>
  <c r="Y25" i="23"/>
  <c r="Z25" i="23"/>
  <c r="AA25" i="23" s="1"/>
  <c r="AB25" i="23" s="1"/>
  <c r="V26" i="23" s="1"/>
  <c r="W28" i="22"/>
  <c r="AC27" i="22"/>
  <c r="X28" i="22" s="1"/>
  <c r="AK42" i="20"/>
  <c r="AG43" i="20" s="1"/>
  <c r="AI40" i="21"/>
  <c r="AG40" i="21"/>
  <c r="AO42" i="20"/>
  <c r="AD25" i="21"/>
  <c r="Y25" i="21"/>
  <c r="Z25" i="21"/>
  <c r="AA25" i="21" s="1"/>
  <c r="AB25" i="21" s="1"/>
  <c r="V26" i="21" s="1"/>
  <c r="AD26" i="20"/>
  <c r="Y26" i="20"/>
  <c r="Z26" i="20"/>
  <c r="AA26" i="20" s="1"/>
  <c r="AB26" i="20" s="1"/>
  <c r="V27" i="20" s="1"/>
  <c r="AG40" i="19"/>
  <c r="AI40" i="19"/>
  <c r="AK30" i="12"/>
  <c r="AG31" i="12" s="1"/>
  <c r="AO37" i="25" l="1"/>
  <c r="AK37" i="25"/>
  <c r="AI31" i="12"/>
  <c r="AK41" i="23"/>
  <c r="AK38" i="22"/>
  <c r="AC28" i="19"/>
  <c r="X29" i="19" s="1"/>
  <c r="AG38" i="24"/>
  <c r="AI38" i="24"/>
  <c r="AI42" i="23"/>
  <c r="AG42" i="23"/>
  <c r="AO41" i="23"/>
  <c r="AI43" i="20"/>
  <c r="AO43" i="20" s="1"/>
  <c r="W27" i="25"/>
  <c r="AC26" i="25"/>
  <c r="X27" i="25" s="1"/>
  <c r="AK40" i="21"/>
  <c r="AG41" i="21" s="1"/>
  <c r="W29" i="24"/>
  <c r="AC28" i="24"/>
  <c r="X29" i="24" s="1"/>
  <c r="W26" i="23"/>
  <c r="AC25" i="23"/>
  <c r="X26" i="23" s="1"/>
  <c r="AD28" i="22"/>
  <c r="Y28" i="22"/>
  <c r="Z28" i="22"/>
  <c r="AA28" i="22" s="1"/>
  <c r="AB28" i="22" s="1"/>
  <c r="V29" i="22" s="1"/>
  <c r="AO40" i="19"/>
  <c r="AO40" i="21"/>
  <c r="W26" i="21"/>
  <c r="AC25" i="21"/>
  <c r="X26" i="21" s="1"/>
  <c r="W27" i="20"/>
  <c r="AC26" i="20"/>
  <c r="X27" i="20" s="1"/>
  <c r="AK40" i="19"/>
  <c r="AO31" i="12"/>
  <c r="AK31" i="12"/>
  <c r="AG38" i="25" l="1"/>
  <c r="AI38" i="25"/>
  <c r="AK43" i="20"/>
  <c r="AI44" i="20" s="1"/>
  <c r="AK42" i="23"/>
  <c r="AG43" i="23" s="1"/>
  <c r="AG39" i="22"/>
  <c r="AI39" i="22"/>
  <c r="AO39" i="22" s="1"/>
  <c r="AD29" i="19"/>
  <c r="Y29" i="19"/>
  <c r="Z29" i="19"/>
  <c r="AA29" i="19" s="1"/>
  <c r="AB29" i="19" s="1"/>
  <c r="V30" i="19" s="1"/>
  <c r="W30" i="19" s="1"/>
  <c r="AO38" i="24"/>
  <c r="AK38" i="24"/>
  <c r="AI43" i="23"/>
  <c r="AO42" i="23"/>
  <c r="AI41" i="21"/>
  <c r="AO41" i="21" s="1"/>
  <c r="AG44" i="20"/>
  <c r="AD27" i="25"/>
  <c r="Y27" i="25"/>
  <c r="Z27" i="25"/>
  <c r="AA27" i="25" s="1"/>
  <c r="AB27" i="25" s="1"/>
  <c r="V28" i="25" s="1"/>
  <c r="AD29" i="24"/>
  <c r="Y29" i="24"/>
  <c r="Z29" i="24"/>
  <c r="AA29" i="24" s="1"/>
  <c r="AB29" i="24" s="1"/>
  <c r="V30" i="24" s="1"/>
  <c r="AD26" i="23"/>
  <c r="Y26" i="23"/>
  <c r="Z26" i="23"/>
  <c r="AA26" i="23" s="1"/>
  <c r="AB26" i="23" s="1"/>
  <c r="V27" i="23" s="1"/>
  <c r="W29" i="22"/>
  <c r="AC28" i="22"/>
  <c r="X29" i="22" s="1"/>
  <c r="AD26" i="21"/>
  <c r="Y26" i="21"/>
  <c r="Z26" i="21"/>
  <c r="AA26" i="21" s="1"/>
  <c r="AB26" i="21" s="1"/>
  <c r="V27" i="21" s="1"/>
  <c r="AD27" i="20"/>
  <c r="Y27" i="20"/>
  <c r="Z27" i="20"/>
  <c r="AA27" i="20" s="1"/>
  <c r="AB27" i="20" s="1"/>
  <c r="V28" i="20" s="1"/>
  <c r="AG41" i="19"/>
  <c r="AI41" i="19"/>
  <c r="AG32" i="12"/>
  <c r="AI32" i="12"/>
  <c r="AO38" i="25" l="1"/>
  <c r="AK44" i="20"/>
  <c r="AK43" i="23"/>
  <c r="AK38" i="25"/>
  <c r="AK39" i="22"/>
  <c r="AK41" i="21"/>
  <c r="AG42" i="21" s="1"/>
  <c r="AC29" i="19"/>
  <c r="X30" i="19" s="1"/>
  <c r="AO44" i="20"/>
  <c r="AG39" i="24"/>
  <c r="AI39" i="24"/>
  <c r="AG44" i="23"/>
  <c r="AI44" i="23"/>
  <c r="AO43" i="23"/>
  <c r="W28" i="25"/>
  <c r="AC27" i="25"/>
  <c r="X28" i="25" s="1"/>
  <c r="W30" i="24"/>
  <c r="AC29" i="24"/>
  <c r="X30" i="24" s="1"/>
  <c r="W27" i="23"/>
  <c r="AC26" i="23"/>
  <c r="X27" i="23" s="1"/>
  <c r="AD29" i="22"/>
  <c r="Y29" i="22"/>
  <c r="Z29" i="22"/>
  <c r="AA29" i="22" s="1"/>
  <c r="AB29" i="22" s="1"/>
  <c r="V30" i="22" s="1"/>
  <c r="AO41" i="19"/>
  <c r="AI42" i="21"/>
  <c r="W27" i="21"/>
  <c r="AC26" i="21"/>
  <c r="X27" i="21" s="1"/>
  <c r="W28" i="20"/>
  <c r="AC27" i="20"/>
  <c r="X28" i="20" s="1"/>
  <c r="AK41" i="19"/>
  <c r="AO32" i="12"/>
  <c r="AK32" i="12"/>
  <c r="AO39" i="24" l="1"/>
  <c r="AG39" i="25"/>
  <c r="AI39" i="25"/>
  <c r="AO39" i="25" s="1"/>
  <c r="AI40" i="22"/>
  <c r="AG40" i="22"/>
  <c r="AD30" i="19"/>
  <c r="Y30" i="19"/>
  <c r="Z30" i="19"/>
  <c r="AA30" i="19" s="1"/>
  <c r="AB30" i="19" s="1"/>
  <c r="V31" i="19" s="1"/>
  <c r="W31" i="19" s="1"/>
  <c r="AO44" i="23"/>
  <c r="AK39" i="24"/>
  <c r="AK44" i="23"/>
  <c r="AK42" i="21"/>
  <c r="AG43" i="21" s="1"/>
  <c r="AD28" i="25"/>
  <c r="Y28" i="25"/>
  <c r="Z28" i="25"/>
  <c r="AA28" i="25" s="1"/>
  <c r="AB28" i="25" s="1"/>
  <c r="V29" i="25" s="1"/>
  <c r="AD30" i="24"/>
  <c r="Y30" i="24"/>
  <c r="Z30" i="24"/>
  <c r="AA30" i="24" s="1"/>
  <c r="AB30" i="24" s="1"/>
  <c r="V31" i="24" s="1"/>
  <c r="AD27" i="23"/>
  <c r="Y27" i="23"/>
  <c r="Z27" i="23"/>
  <c r="AA27" i="23" s="1"/>
  <c r="AB27" i="23" s="1"/>
  <c r="V28" i="23" s="1"/>
  <c r="W30" i="22"/>
  <c r="AC29" i="22"/>
  <c r="X30" i="22" s="1"/>
  <c r="AO42" i="21"/>
  <c r="AD27" i="21"/>
  <c r="Y27" i="21"/>
  <c r="Z27" i="21"/>
  <c r="AA27" i="21" s="1"/>
  <c r="AB27" i="21" s="1"/>
  <c r="V28" i="21" s="1"/>
  <c r="AD28" i="20"/>
  <c r="Y28" i="20"/>
  <c r="Z28" i="20"/>
  <c r="AA28" i="20" s="1"/>
  <c r="AB28" i="20" s="1"/>
  <c r="V29" i="20" s="1"/>
  <c r="AG42" i="19"/>
  <c r="AI42" i="19"/>
  <c r="AI33" i="12"/>
  <c r="AG33" i="12"/>
  <c r="AK39" i="25" l="1"/>
  <c r="AK40" i="22"/>
  <c r="AI41" i="22" s="1"/>
  <c r="AI43" i="21"/>
  <c r="AG41" i="22"/>
  <c r="AO40" i="22"/>
  <c r="AC30" i="19"/>
  <c r="X31" i="19" s="1"/>
  <c r="AI40" i="24"/>
  <c r="AG40" i="24"/>
  <c r="AO43" i="21"/>
  <c r="W29" i="25"/>
  <c r="AC28" i="25"/>
  <c r="X29" i="25" s="1"/>
  <c r="W31" i="24"/>
  <c r="AC30" i="24"/>
  <c r="X31" i="24" s="1"/>
  <c r="W28" i="23"/>
  <c r="AC27" i="23"/>
  <c r="X28" i="23" s="1"/>
  <c r="AD30" i="22"/>
  <c r="Y30" i="22"/>
  <c r="Z30" i="22"/>
  <c r="AA30" i="22" s="1"/>
  <c r="AB30" i="22" s="1"/>
  <c r="V31" i="22" s="1"/>
  <c r="AO42" i="19"/>
  <c r="AK43" i="21"/>
  <c r="W28" i="21"/>
  <c r="AC27" i="21"/>
  <c r="X28" i="21" s="1"/>
  <c r="W29" i="20"/>
  <c r="AC28" i="20"/>
  <c r="X29" i="20" s="1"/>
  <c r="AK42" i="19"/>
  <c r="AK33" i="12"/>
  <c r="AI34" i="12" s="1"/>
  <c r="AO33" i="12"/>
  <c r="AI40" i="25" l="1"/>
  <c r="AG40" i="25"/>
  <c r="AK41" i="22"/>
  <c r="AG34" i="12"/>
  <c r="AK34" i="12" s="1"/>
  <c r="AG35" i="12" s="1"/>
  <c r="AI42" i="22"/>
  <c r="AG42" i="22"/>
  <c r="AO41" i="22"/>
  <c r="Y31" i="19"/>
  <c r="AD31" i="19"/>
  <c r="Z31" i="19"/>
  <c r="AA31" i="19" s="1"/>
  <c r="AB31" i="19" s="1"/>
  <c r="V32" i="19" s="1"/>
  <c r="W32" i="19" s="1"/>
  <c r="AK40" i="24"/>
  <c r="AG41" i="24" s="1"/>
  <c r="AO40" i="24"/>
  <c r="AD29" i="25"/>
  <c r="Y29" i="25"/>
  <c r="Z29" i="25"/>
  <c r="AA29" i="25" s="1"/>
  <c r="AB29" i="25" s="1"/>
  <c r="V30" i="25" s="1"/>
  <c r="AD31" i="24"/>
  <c r="Y31" i="24"/>
  <c r="Z31" i="24"/>
  <c r="AA31" i="24" s="1"/>
  <c r="AB31" i="24" s="1"/>
  <c r="V32" i="24" s="1"/>
  <c r="AD28" i="23"/>
  <c r="Y28" i="23"/>
  <c r="Z28" i="23"/>
  <c r="AA28" i="23" s="1"/>
  <c r="AB28" i="23" s="1"/>
  <c r="V29" i="23" s="1"/>
  <c r="W31" i="22"/>
  <c r="AC30" i="22"/>
  <c r="X31" i="22" s="1"/>
  <c r="AG44" i="21"/>
  <c r="AI44" i="21"/>
  <c r="AD28" i="21"/>
  <c r="Y28" i="21"/>
  <c r="Z28" i="21"/>
  <c r="AA28" i="21" s="1"/>
  <c r="AB28" i="21" s="1"/>
  <c r="V29" i="21" s="1"/>
  <c r="AD29" i="20"/>
  <c r="Y29" i="20"/>
  <c r="Z29" i="20"/>
  <c r="AA29" i="20" s="1"/>
  <c r="AB29" i="20" s="1"/>
  <c r="V30" i="20" s="1"/>
  <c r="AG43" i="19"/>
  <c r="AI43" i="19"/>
  <c r="AI41" i="24" l="1"/>
  <c r="AO40" i="25"/>
  <c r="AK40" i="25"/>
  <c r="AK42" i="22"/>
  <c r="AO34" i="12"/>
  <c r="AG43" i="22"/>
  <c r="AI43" i="22"/>
  <c r="AO42" i="22"/>
  <c r="AC31" i="19"/>
  <c r="X32" i="19" s="1"/>
  <c r="AK41" i="24"/>
  <c r="AI42" i="24" s="1"/>
  <c r="AO41" i="24"/>
  <c r="AO44" i="21"/>
  <c r="W30" i="25"/>
  <c r="AC29" i="25"/>
  <c r="X30" i="25" s="1"/>
  <c r="W32" i="24"/>
  <c r="AC31" i="24"/>
  <c r="X32" i="24" s="1"/>
  <c r="W29" i="23"/>
  <c r="AC28" i="23"/>
  <c r="X29" i="23" s="1"/>
  <c r="AD31" i="22"/>
  <c r="Y31" i="22"/>
  <c r="Z31" i="22"/>
  <c r="AA31" i="22" s="1"/>
  <c r="AB31" i="22" s="1"/>
  <c r="V32" i="22" s="1"/>
  <c r="AK44" i="21"/>
  <c r="AI35" i="12"/>
  <c r="AO35" i="12" s="1"/>
  <c r="W29" i="21"/>
  <c r="AC28" i="21"/>
  <c r="X29" i="21" s="1"/>
  <c r="W30" i="20"/>
  <c r="AC29" i="20"/>
  <c r="X30" i="20" s="1"/>
  <c r="AO43" i="19"/>
  <c r="AK43" i="19"/>
  <c r="AG42" i="24" l="1"/>
  <c r="AO43" i="22"/>
  <c r="AI41" i="25"/>
  <c r="AG41" i="25"/>
  <c r="AK43" i="22"/>
  <c r="AD32" i="19"/>
  <c r="Z32" i="19"/>
  <c r="AA32" i="19" s="1"/>
  <c r="AB32" i="19" s="1"/>
  <c r="V33" i="19" s="1"/>
  <c r="W33" i="19" s="1"/>
  <c r="Y32" i="19"/>
  <c r="AK42" i="24"/>
  <c r="AI43" i="24" s="1"/>
  <c r="AO42" i="24"/>
  <c r="AD30" i="25"/>
  <c r="Y30" i="25"/>
  <c r="Z30" i="25"/>
  <c r="AA30" i="25" s="1"/>
  <c r="AB30" i="25" s="1"/>
  <c r="V31" i="25" s="1"/>
  <c r="AD32" i="24"/>
  <c r="Y32" i="24"/>
  <c r="Z32" i="24"/>
  <c r="AA32" i="24" s="1"/>
  <c r="AB32" i="24" s="1"/>
  <c r="V33" i="24" s="1"/>
  <c r="AD29" i="23"/>
  <c r="Y29" i="23"/>
  <c r="Z29" i="23"/>
  <c r="AA29" i="23" s="1"/>
  <c r="AB29" i="23" s="1"/>
  <c r="V30" i="23" s="1"/>
  <c r="AK35" i="12"/>
  <c r="AG36" i="12" s="1"/>
  <c r="W32" i="22"/>
  <c r="AC31" i="22"/>
  <c r="X32" i="22" s="1"/>
  <c r="AD29" i="21"/>
  <c r="Y29" i="21"/>
  <c r="Z29" i="21"/>
  <c r="AA29" i="21" s="1"/>
  <c r="AB29" i="21" s="1"/>
  <c r="V30" i="21" s="1"/>
  <c r="AD30" i="20"/>
  <c r="Y30" i="20"/>
  <c r="Z30" i="20"/>
  <c r="AA30" i="20" s="1"/>
  <c r="AB30" i="20" s="1"/>
  <c r="V31" i="20" s="1"/>
  <c r="AG44" i="19"/>
  <c r="AI44" i="19"/>
  <c r="AC32" i="19" l="1"/>
  <c r="X33" i="19" s="1"/>
  <c r="Y33" i="19" s="1"/>
  <c r="AG43" i="24"/>
  <c r="AK41" i="25"/>
  <c r="AI42" i="25"/>
  <c r="AG42" i="25"/>
  <c r="AK42" i="25" s="1"/>
  <c r="AO41" i="25"/>
  <c r="AG44" i="22"/>
  <c r="AI44" i="22"/>
  <c r="AO44" i="22" s="1"/>
  <c r="AI36" i="12"/>
  <c r="AO36" i="12" s="1"/>
  <c r="Z33" i="19"/>
  <c r="AA33" i="19" s="1"/>
  <c r="AB33" i="19" s="1"/>
  <c r="V34" i="19" s="1"/>
  <c r="W34" i="19" s="1"/>
  <c r="AD33" i="19"/>
  <c r="AK43" i="24"/>
  <c r="AG44" i="24" s="1"/>
  <c r="AI44" i="24"/>
  <c r="AO43" i="24"/>
  <c r="W31" i="25"/>
  <c r="AC30" i="25"/>
  <c r="X31" i="25" s="1"/>
  <c r="W33" i="24"/>
  <c r="AC32" i="24"/>
  <c r="X33" i="24" s="1"/>
  <c r="W30" i="23"/>
  <c r="AC29" i="23"/>
  <c r="X30" i="23" s="1"/>
  <c r="AO44" i="19"/>
  <c r="AD32" i="22"/>
  <c r="Y32" i="22"/>
  <c r="Z32" i="22"/>
  <c r="AA32" i="22" s="1"/>
  <c r="AB32" i="22" s="1"/>
  <c r="V33" i="22" s="1"/>
  <c r="W30" i="21"/>
  <c r="AC29" i="21"/>
  <c r="X30" i="21" s="1"/>
  <c r="W31" i="20"/>
  <c r="AC30" i="20"/>
  <c r="X31" i="20" s="1"/>
  <c r="AK44" i="19"/>
  <c r="AI43" i="25" l="1"/>
  <c r="AG43" i="25"/>
  <c r="AK43" i="25" s="1"/>
  <c r="AO42" i="25"/>
  <c r="AK36" i="12"/>
  <c r="AG37" i="12" s="1"/>
  <c r="AC33" i="19"/>
  <c r="X34" i="19" s="1"/>
  <c r="Z34" i="19" s="1"/>
  <c r="AK44" i="22"/>
  <c r="AO44" i="24"/>
  <c r="AK44" i="24"/>
  <c r="AD31" i="25"/>
  <c r="Y31" i="25"/>
  <c r="Z31" i="25"/>
  <c r="AA31" i="25" s="1"/>
  <c r="AB31" i="25" s="1"/>
  <c r="V32" i="25" s="1"/>
  <c r="AD33" i="24"/>
  <c r="Y33" i="24"/>
  <c r="Z33" i="24"/>
  <c r="AA33" i="24" s="1"/>
  <c r="AB33" i="24" s="1"/>
  <c r="V34" i="24" s="1"/>
  <c r="AD30" i="23"/>
  <c r="Y30" i="23"/>
  <c r="Z30" i="23"/>
  <c r="AA30" i="23" s="1"/>
  <c r="AB30" i="23" s="1"/>
  <c r="V31" i="23" s="1"/>
  <c r="W33" i="22"/>
  <c r="AC32" i="22"/>
  <c r="X33" i="22" s="1"/>
  <c r="AD30" i="21"/>
  <c r="Y30" i="21"/>
  <c r="Z30" i="21"/>
  <c r="AA30" i="21" s="1"/>
  <c r="AB30" i="21" s="1"/>
  <c r="V31" i="21" s="1"/>
  <c r="AD31" i="20"/>
  <c r="Y31" i="20"/>
  <c r="Z31" i="20"/>
  <c r="AA31" i="20" s="1"/>
  <c r="AB31" i="20" s="1"/>
  <c r="V32" i="20" s="1"/>
  <c r="AI37" i="12" l="1"/>
  <c r="Y34" i="19"/>
  <c r="AD34" i="19"/>
  <c r="AI44" i="25"/>
  <c r="AG44" i="25"/>
  <c r="AO43" i="25"/>
  <c r="W32" i="25"/>
  <c r="AC31" i="25"/>
  <c r="X32" i="25" s="1"/>
  <c r="W34" i="24"/>
  <c r="AC33" i="24"/>
  <c r="X34" i="24" s="1"/>
  <c r="W31" i="23"/>
  <c r="AC30" i="23"/>
  <c r="X31" i="23" s="1"/>
  <c r="AD33" i="22"/>
  <c r="Y33" i="22"/>
  <c r="Z33" i="22"/>
  <c r="AA33" i="22" s="1"/>
  <c r="AB33" i="22" s="1"/>
  <c r="V34" i="22" s="1"/>
  <c r="W31" i="21"/>
  <c r="AC30" i="21"/>
  <c r="X31" i="21" s="1"/>
  <c r="W32" i="20"/>
  <c r="AC31" i="20"/>
  <c r="X32" i="20" s="1"/>
  <c r="O26" i="19"/>
  <c r="O27" i="19" s="1"/>
  <c r="G17" i="19" s="1"/>
  <c r="AA34" i="19"/>
  <c r="AB34" i="19" s="1"/>
  <c r="AO37" i="12"/>
  <c r="AK37" i="12"/>
  <c r="AK44" i="25" l="1"/>
  <c r="AO44" i="25"/>
  <c r="AD32" i="25"/>
  <c r="Y32" i="25"/>
  <c r="Z32" i="25"/>
  <c r="AA32" i="25" s="1"/>
  <c r="AB32" i="25" s="1"/>
  <c r="V33" i="25" s="1"/>
  <c r="AD34" i="24"/>
  <c r="Y34" i="24"/>
  <c r="Z34" i="24"/>
  <c r="AD31" i="23"/>
  <c r="Y31" i="23"/>
  <c r="Z31" i="23"/>
  <c r="AA31" i="23" s="1"/>
  <c r="AB31" i="23" s="1"/>
  <c r="V32" i="23" s="1"/>
  <c r="W34" i="22"/>
  <c r="AC33" i="22"/>
  <c r="X34" i="22" s="1"/>
  <c r="AD31" i="21"/>
  <c r="Y31" i="21"/>
  <c r="Z31" i="21"/>
  <c r="AA31" i="21" s="1"/>
  <c r="AB31" i="21" s="1"/>
  <c r="V32" i="21" s="1"/>
  <c r="AD32" i="20"/>
  <c r="Y32" i="20"/>
  <c r="Z32" i="20"/>
  <c r="AA32" i="20" s="1"/>
  <c r="AB32" i="20" s="1"/>
  <c r="V33" i="20" s="1"/>
  <c r="AC34" i="19"/>
  <c r="G20" i="19"/>
  <c r="G18" i="19"/>
  <c r="AI38" i="12"/>
  <c r="AG38" i="12"/>
  <c r="W33" i="25" l="1"/>
  <c r="AC32" i="25"/>
  <c r="X33" i="25" s="1"/>
  <c r="O26" i="24"/>
  <c r="O27" i="24" s="1"/>
  <c r="G17" i="24" s="1"/>
  <c r="AA34" i="24"/>
  <c r="AB34" i="24" s="1"/>
  <c r="W32" i="23"/>
  <c r="AC31" i="23"/>
  <c r="X32" i="23" s="1"/>
  <c r="AD34" i="22"/>
  <c r="Y34" i="22"/>
  <c r="Z34" i="22"/>
  <c r="W32" i="21"/>
  <c r="AC31" i="21"/>
  <c r="X32" i="21" s="1"/>
  <c r="W33" i="20"/>
  <c r="AC32" i="20"/>
  <c r="X33" i="20" s="1"/>
  <c r="K6" i="19"/>
  <c r="G33" i="19"/>
  <c r="K10" i="19" s="1"/>
  <c r="AK38" i="12"/>
  <c r="AG39" i="12" s="1"/>
  <c r="AO38" i="12"/>
  <c r="K15" i="19" l="1"/>
  <c r="E8" i="26"/>
  <c r="AD33" i="25"/>
  <c r="Y33" i="25"/>
  <c r="Z33" i="25"/>
  <c r="AA33" i="25" s="1"/>
  <c r="AB33" i="25" s="1"/>
  <c r="V34" i="25" s="1"/>
  <c r="AC34" i="24"/>
  <c r="G20" i="24"/>
  <c r="G18" i="24"/>
  <c r="AD32" i="23"/>
  <c r="Y32" i="23"/>
  <c r="Z32" i="23"/>
  <c r="AA32" i="23" s="1"/>
  <c r="AB32" i="23" s="1"/>
  <c r="V33" i="23" s="1"/>
  <c r="O26" i="22"/>
  <c r="O27" i="22" s="1"/>
  <c r="G17" i="22" s="1"/>
  <c r="AA34" i="22"/>
  <c r="AB34" i="22" s="1"/>
  <c r="AD32" i="21"/>
  <c r="Y32" i="21"/>
  <c r="Z32" i="21"/>
  <c r="AA32" i="21" s="1"/>
  <c r="AB32" i="21" s="1"/>
  <c r="V33" i="21" s="1"/>
  <c r="AD33" i="20"/>
  <c r="Y33" i="20"/>
  <c r="Z33" i="20"/>
  <c r="AA33" i="20" s="1"/>
  <c r="AB33" i="20" s="1"/>
  <c r="V34" i="20" s="1"/>
  <c r="K43" i="19"/>
  <c r="K35" i="19"/>
  <c r="K7" i="19"/>
  <c r="K18" i="19"/>
  <c r="K19" i="19"/>
  <c r="AI39" i="12"/>
  <c r="AO39" i="12" s="1"/>
  <c r="W34" i="25" l="1"/>
  <c r="AC33" i="25"/>
  <c r="X34" i="25" s="1"/>
  <c r="K6" i="24"/>
  <c r="G33" i="24"/>
  <c r="K10" i="24" s="1"/>
  <c r="W33" i="23"/>
  <c r="AC32" i="23"/>
  <c r="X33" i="23" s="1"/>
  <c r="AC34" i="22"/>
  <c r="G20" i="22"/>
  <c r="G18" i="22"/>
  <c r="W33" i="21"/>
  <c r="AC32" i="21"/>
  <c r="X33" i="21" s="1"/>
  <c r="W34" i="20"/>
  <c r="AC33" i="20"/>
  <c r="X34" i="20" s="1"/>
  <c r="K30" i="19"/>
  <c r="K31" i="19" s="1"/>
  <c r="K44" i="19"/>
  <c r="K47" i="19" s="1"/>
  <c r="K36" i="19"/>
  <c r="K39" i="19" s="1"/>
  <c r="AK39" i="12"/>
  <c r="AG40" i="12" s="1"/>
  <c r="K15" i="24" l="1"/>
  <c r="E14" i="26"/>
  <c r="AI40" i="12"/>
  <c r="AO40" i="12" s="1"/>
  <c r="AD34" i="25"/>
  <c r="Y34" i="25"/>
  <c r="Z34" i="25"/>
  <c r="K43" i="24"/>
  <c r="K35" i="24"/>
  <c r="K7" i="24"/>
  <c r="K19" i="24"/>
  <c r="K18" i="24"/>
  <c r="AD33" i="23"/>
  <c r="Y33" i="23"/>
  <c r="Z33" i="23"/>
  <c r="AA33" i="23" s="1"/>
  <c r="AB33" i="23" s="1"/>
  <c r="V34" i="23" s="1"/>
  <c r="K6" i="22"/>
  <c r="G33" i="22"/>
  <c r="K10" i="22" s="1"/>
  <c r="AD33" i="21"/>
  <c r="Y33" i="21"/>
  <c r="Z33" i="21"/>
  <c r="AA33" i="21" s="1"/>
  <c r="AB33" i="21" s="1"/>
  <c r="V34" i="21" s="1"/>
  <c r="AJ4" i="19"/>
  <c r="AL4" i="19"/>
  <c r="AH4" i="19"/>
  <c r="AD34" i="20"/>
  <c r="Y34" i="20"/>
  <c r="Z34" i="20"/>
  <c r="AK40" i="12" l="1"/>
  <c r="K15" i="22"/>
  <c r="E12" i="26"/>
  <c r="O26" i="25"/>
  <c r="O27" i="25" s="1"/>
  <c r="G17" i="25" s="1"/>
  <c r="AA34" i="25"/>
  <c r="AB34" i="25" s="1"/>
  <c r="K44" i="24"/>
  <c r="K47" i="24" s="1"/>
  <c r="K36" i="24"/>
  <c r="K39" i="24" s="1"/>
  <c r="K30" i="24"/>
  <c r="W34" i="23"/>
  <c r="AC33" i="23"/>
  <c r="X34" i="23" s="1"/>
  <c r="K35" i="22"/>
  <c r="K43" i="22"/>
  <c r="K7" i="22"/>
  <c r="K19" i="22"/>
  <c r="K18" i="22"/>
  <c r="W34" i="21"/>
  <c r="AC33" i="21"/>
  <c r="X34" i="21" s="1"/>
  <c r="O26" i="20"/>
  <c r="O27" i="20" s="1"/>
  <c r="G17" i="20" s="1"/>
  <c r="AA34" i="20"/>
  <c r="AB34" i="20" s="1"/>
  <c r="AI41" i="12"/>
  <c r="AG41" i="12"/>
  <c r="K30" i="22" l="1"/>
  <c r="AH4" i="22" s="1"/>
  <c r="AC34" i="25"/>
  <c r="G20" i="25"/>
  <c r="G18" i="25"/>
  <c r="K31" i="24"/>
  <c r="AH4" i="24"/>
  <c r="AL4" i="24"/>
  <c r="AJ4" i="24"/>
  <c r="AD34" i="23"/>
  <c r="Y34" i="23"/>
  <c r="Z34" i="23"/>
  <c r="K31" i="22"/>
  <c r="K44" i="22"/>
  <c r="K47" i="22" s="1"/>
  <c r="K36" i="22"/>
  <c r="K39" i="22" s="1"/>
  <c r="AD34" i="21"/>
  <c r="Y34" i="21"/>
  <c r="Z34" i="21"/>
  <c r="AC34" i="20"/>
  <c r="G20" i="20"/>
  <c r="G18" i="20"/>
  <c r="AK41" i="12"/>
  <c r="AG42" i="12" s="1"/>
  <c r="AO41" i="12"/>
  <c r="AL4" i="22" l="1"/>
  <c r="AJ4" i="22"/>
  <c r="AI42" i="12"/>
  <c r="AO42" i="12" s="1"/>
  <c r="K6" i="25"/>
  <c r="G33" i="25"/>
  <c r="K10" i="25" s="1"/>
  <c r="O26" i="23"/>
  <c r="O27" i="23" s="1"/>
  <c r="G17" i="23" s="1"/>
  <c r="AA34" i="23"/>
  <c r="AB34" i="23" s="1"/>
  <c r="O26" i="21"/>
  <c r="O27" i="21" s="1"/>
  <c r="G17" i="21" s="1"/>
  <c r="AA34" i="21"/>
  <c r="AB34" i="21" s="1"/>
  <c r="K6" i="20"/>
  <c r="G33" i="20"/>
  <c r="K10" i="20" s="1"/>
  <c r="K15" i="25" l="1"/>
  <c r="K35" i="25" s="1"/>
  <c r="E15" i="26"/>
  <c r="K15" i="20"/>
  <c r="E9" i="26"/>
  <c r="AK42" i="12"/>
  <c r="AG43" i="12" s="1"/>
  <c r="K7" i="25"/>
  <c r="K18" i="25"/>
  <c r="K19" i="25"/>
  <c r="AC34" i="23"/>
  <c r="G20" i="23"/>
  <c r="G18" i="23"/>
  <c r="AC34" i="21"/>
  <c r="G20" i="21"/>
  <c r="G18" i="21"/>
  <c r="K43" i="20"/>
  <c r="K35" i="20"/>
  <c r="K7" i="20"/>
  <c r="K19" i="20"/>
  <c r="K18" i="20"/>
  <c r="AI43" i="12"/>
  <c r="K43" i="25" l="1"/>
  <c r="K44" i="25"/>
  <c r="K47" i="25" s="1"/>
  <c r="K36" i="25"/>
  <c r="K39" i="25" s="1"/>
  <c r="K30" i="25"/>
  <c r="K6" i="23"/>
  <c r="G33" i="23"/>
  <c r="K10" i="23" s="1"/>
  <c r="K6" i="21"/>
  <c r="G33" i="21"/>
  <c r="K10" i="21" s="1"/>
  <c r="K36" i="20"/>
  <c r="K39" i="20" s="1"/>
  <c r="K44" i="20"/>
  <c r="K47" i="20" s="1"/>
  <c r="K30" i="20"/>
  <c r="AO43" i="12"/>
  <c r="AK43" i="12"/>
  <c r="K15" i="23" l="1"/>
  <c r="K35" i="23" s="1"/>
  <c r="E13" i="26"/>
  <c r="F4" i="26" s="1"/>
  <c r="K15" i="21"/>
  <c r="K43" i="21" s="1"/>
  <c r="E10" i="26"/>
  <c r="K31" i="25"/>
  <c r="AJ4" i="25"/>
  <c r="AH4" i="25"/>
  <c r="AL4" i="25"/>
  <c r="K43" i="23"/>
  <c r="K7" i="23"/>
  <c r="K18" i="23"/>
  <c r="K19" i="23"/>
  <c r="K7" i="21"/>
  <c r="K19" i="21"/>
  <c r="K18" i="21"/>
  <c r="K31" i="20"/>
  <c r="AH4" i="20"/>
  <c r="AL4" i="20"/>
  <c r="AJ4" i="20"/>
  <c r="AG44" i="12"/>
  <c r="AI44" i="12"/>
  <c r="K35" i="21" l="1"/>
  <c r="K36" i="23"/>
  <c r="K39" i="23" s="1"/>
  <c r="K44" i="23"/>
  <c r="K47" i="23" s="1"/>
  <c r="K30" i="23"/>
  <c r="K44" i="21"/>
  <c r="K47" i="21" s="1"/>
  <c r="K36" i="21"/>
  <c r="K30" i="21"/>
  <c r="AO44" i="12"/>
  <c r="AK44" i="12"/>
  <c r="K39" i="21" l="1"/>
  <c r="K31" i="23"/>
  <c r="AL4" i="23"/>
  <c r="AH4" i="23"/>
  <c r="AJ4" i="23"/>
  <c r="AL4" i="21"/>
  <c r="K31" i="21"/>
  <c r="AH4" i="21"/>
  <c r="AJ4" i="21"/>
  <c r="G29" i="12"/>
  <c r="G27" i="12" s="1"/>
  <c r="K29" i="12"/>
  <c r="K24" i="12"/>
  <c r="K27" i="12"/>
  <c r="O4" i="12"/>
  <c r="G7" i="12"/>
  <c r="G26" i="12"/>
  <c r="G10" i="12"/>
  <c r="K14" i="12"/>
  <c r="K34" i="12"/>
  <c r="K20" i="12"/>
  <c r="K23" i="12"/>
  <c r="K26" i="12"/>
  <c r="K21" i="12"/>
  <c r="O6" i="12"/>
  <c r="K22" i="12"/>
  <c r="K28" i="12"/>
  <c r="G28" i="12" l="1"/>
  <c r="K25" i="12"/>
  <c r="K45" i="12" s="1"/>
  <c r="G8" i="12"/>
  <c r="G9" i="12" s="1"/>
  <c r="K4" i="12"/>
  <c r="K5" i="12" s="1"/>
  <c r="O12" i="12"/>
  <c r="O13" i="12" s="1"/>
  <c r="K38" i="12"/>
  <c r="K46" i="12"/>
  <c r="O16" i="12" l="1"/>
  <c r="O14" i="12"/>
  <c r="K37" i="12"/>
  <c r="O20" i="12" l="1"/>
  <c r="O15" i="12"/>
  <c r="O23" i="12" l="1"/>
  <c r="O28" i="12"/>
  <c r="O30" i="12" s="1"/>
  <c r="G16" i="12"/>
  <c r="K16" i="12"/>
  <c r="G19" i="12" l="1"/>
  <c r="AA4" i="12"/>
  <c r="Y4" i="12"/>
  <c r="W4" i="12"/>
  <c r="AB4" i="12" l="1"/>
  <c r="V5" i="12" s="1"/>
  <c r="W5" i="12" s="1"/>
  <c r="AC4" i="12"/>
  <c r="X5" i="12" s="1"/>
  <c r="Y5" i="12" s="1"/>
  <c r="Z5" i="12" l="1"/>
  <c r="AA5" i="12" s="1"/>
  <c r="AC5" i="12" s="1"/>
  <c r="X6" i="12" s="1"/>
  <c r="Y6" i="12" s="1"/>
  <c r="AD5" i="12"/>
  <c r="AB5" i="12" l="1"/>
  <c r="V6" i="12" s="1"/>
  <c r="W6" i="12" s="1"/>
  <c r="AD6" i="12" l="1"/>
  <c r="Z6" i="12"/>
  <c r="AA6" i="12" s="1"/>
  <c r="AC6" i="12" s="1"/>
  <c r="X7" i="12" s="1"/>
  <c r="Y7" i="12" s="1"/>
  <c r="AB6" i="12" l="1"/>
  <c r="V7" i="12" s="1"/>
  <c r="Z7" i="12" s="1"/>
  <c r="AA7" i="12" s="1"/>
  <c r="AC7" i="12" s="1"/>
  <c r="X8" i="12" s="1"/>
  <c r="AD7" i="12" l="1"/>
  <c r="W7" i="12"/>
  <c r="AB7" i="12" s="1"/>
  <c r="V8" i="12" s="1"/>
  <c r="Z8" i="12" s="1"/>
  <c r="AA8" i="12" s="1"/>
  <c r="Y8" i="12"/>
  <c r="AD8" i="12" l="1"/>
  <c r="W8" i="12"/>
  <c r="AB8" i="12" s="1"/>
  <c r="V9" i="12" s="1"/>
  <c r="W9" i="12" s="1"/>
  <c r="AC8" i="12"/>
  <c r="X9" i="12" s="1"/>
  <c r="Y9" i="12" s="1"/>
  <c r="AD9" i="12" l="1"/>
  <c r="Z9" i="12"/>
  <c r="AA9" i="12" s="1"/>
  <c r="AB9" i="12" s="1"/>
  <c r="V10" i="12" s="1"/>
  <c r="W10" i="12" s="1"/>
  <c r="AC9" i="12" l="1"/>
  <c r="X10" i="12" s="1"/>
  <c r="Z10" i="12" s="1"/>
  <c r="AA10" i="12" s="1"/>
  <c r="AB10" i="12" s="1"/>
  <c r="V11" i="12" s="1"/>
  <c r="W11" i="12" s="1"/>
  <c r="AD10" i="12" l="1"/>
  <c r="Y10" i="12"/>
  <c r="AC10" i="12" s="1"/>
  <c r="X11" i="12" s="1"/>
  <c r="Y11" i="12" s="1"/>
  <c r="Z11" i="12" l="1"/>
  <c r="AA11" i="12" s="1"/>
  <c r="AB11" i="12" s="1"/>
  <c r="V12" i="12" s="1"/>
  <c r="W12" i="12" s="1"/>
  <c r="AD11" i="12"/>
  <c r="AC11" i="12" l="1"/>
  <c r="X12" i="12" s="1"/>
  <c r="AD12" i="12" s="1"/>
  <c r="Z12" i="12" l="1"/>
  <c r="AA12" i="12" s="1"/>
  <c r="AB12" i="12" s="1"/>
  <c r="V13" i="12" s="1"/>
  <c r="W13" i="12" s="1"/>
  <c r="Y12" i="12"/>
  <c r="AC12" i="12" l="1"/>
  <c r="X13" i="12" s="1"/>
  <c r="Z13" i="12" s="1"/>
  <c r="AA13" i="12" s="1"/>
  <c r="AB13" i="12" s="1"/>
  <c r="V14" i="12" s="1"/>
  <c r="W14" i="12" s="1"/>
  <c r="AD13" i="12" l="1"/>
  <c r="Y13" i="12"/>
  <c r="AC13" i="12" s="1"/>
  <c r="X14" i="12" s="1"/>
  <c r="AD14" i="12" s="1"/>
  <c r="Z14" i="12" l="1"/>
  <c r="AA14" i="12" s="1"/>
  <c r="AB14" i="12" s="1"/>
  <c r="V15" i="12" s="1"/>
  <c r="W15" i="12" s="1"/>
  <c r="Y14" i="12"/>
  <c r="AC14" i="12" l="1"/>
  <c r="X15" i="12" s="1"/>
  <c r="Z15" i="12" s="1"/>
  <c r="AA15" i="12" s="1"/>
  <c r="AB15" i="12" s="1"/>
  <c r="V16" i="12" s="1"/>
  <c r="Y15" i="12" l="1"/>
  <c r="AC15" i="12" s="1"/>
  <c r="X16" i="12" s="1"/>
  <c r="Z16" i="12" s="1"/>
  <c r="AA16" i="12" s="1"/>
  <c r="AD15" i="12"/>
  <c r="W16" i="12"/>
  <c r="AB16" i="12" l="1"/>
  <c r="V17" i="12" s="1"/>
  <c r="W17" i="12" s="1"/>
  <c r="AD16" i="12"/>
  <c r="Y16" i="12"/>
  <c r="AC16" i="12" s="1"/>
  <c r="X17" i="12" s="1"/>
  <c r="Y17" i="12" l="1"/>
  <c r="AD17" i="12"/>
  <c r="Z17" i="12"/>
  <c r="AA17" i="12" s="1"/>
  <c r="AB17" i="12" s="1"/>
  <c r="V18" i="12" s="1"/>
  <c r="W18" i="12" s="1"/>
  <c r="AC17" i="12" l="1"/>
  <c r="X18" i="12" s="1"/>
  <c r="Y18" i="12" l="1"/>
  <c r="AD18" i="12"/>
  <c r="Z18" i="12"/>
  <c r="AA18" i="12" s="1"/>
  <c r="AB18" i="12" s="1"/>
  <c r="V19" i="12" s="1"/>
  <c r="W19" i="12" s="1"/>
  <c r="AC18" i="12" l="1"/>
  <c r="X19" i="12" s="1"/>
  <c r="Z19" i="12" l="1"/>
  <c r="AA19" i="12" s="1"/>
  <c r="AB19" i="12" s="1"/>
  <c r="V20" i="12" s="1"/>
  <c r="AD19" i="12"/>
  <c r="Y19" i="12"/>
  <c r="AC19" i="12" l="1"/>
  <c r="X20" i="12" s="1"/>
  <c r="Y20" i="12" s="1"/>
  <c r="W20" i="12"/>
  <c r="Z20" i="12" l="1"/>
  <c r="AA20" i="12" s="1"/>
  <c r="AB20" i="12" s="1"/>
  <c r="V21" i="12" s="1"/>
  <c r="W21" i="12" s="1"/>
  <c r="AD20" i="12"/>
  <c r="AC20" i="12" l="1"/>
  <c r="X21" i="12" s="1"/>
  <c r="Z21" i="12" s="1"/>
  <c r="AA21" i="12" s="1"/>
  <c r="AB21" i="12" s="1"/>
  <c r="V22" i="12" s="1"/>
  <c r="Y21" i="12" l="1"/>
  <c r="AC21" i="12" s="1"/>
  <c r="X22" i="12" s="1"/>
  <c r="Z22" i="12" s="1"/>
  <c r="AA22" i="12" s="1"/>
  <c r="AD21" i="12"/>
  <c r="W22" i="12"/>
  <c r="Y22" i="12" l="1"/>
  <c r="AC22" i="12" s="1"/>
  <c r="X23" i="12" s="1"/>
  <c r="Y23" i="12" s="1"/>
  <c r="AD22" i="12"/>
  <c r="AB22" i="12"/>
  <c r="V23" i="12" s="1"/>
  <c r="W23" i="12" s="1"/>
  <c r="Z23" i="12" l="1"/>
  <c r="AA23" i="12" s="1"/>
  <c r="AB23" i="12" s="1"/>
  <c r="V24" i="12" s="1"/>
  <c r="AD23" i="12"/>
  <c r="W24" i="12" l="1"/>
  <c r="AC23" i="12"/>
  <c r="X24" i="12" s="1"/>
  <c r="Y24" i="12" l="1"/>
  <c r="AD24" i="12"/>
  <c r="Z24" i="12"/>
  <c r="AA24" i="12" s="1"/>
  <c r="AB24" i="12" s="1"/>
  <c r="V25" i="12" s="1"/>
  <c r="W25" i="12" l="1"/>
  <c r="AC24" i="12"/>
  <c r="X25" i="12" s="1"/>
  <c r="AD25" i="12" l="1"/>
  <c r="Y25" i="12"/>
  <c r="Z25" i="12"/>
  <c r="AA25" i="12" s="1"/>
  <c r="AB25" i="12" s="1"/>
  <c r="V26" i="12" s="1"/>
  <c r="W26" i="12" l="1"/>
  <c r="AC25" i="12"/>
  <c r="X26" i="12" s="1"/>
  <c r="Z26" i="12" s="1"/>
  <c r="AA26" i="12" s="1"/>
  <c r="Y26" i="12" l="1"/>
  <c r="AC26" i="12" s="1"/>
  <c r="X27" i="12" s="1"/>
  <c r="AD26" i="12"/>
  <c r="AB26" i="12"/>
  <c r="V27" i="12" s="1"/>
  <c r="W27" i="12" l="1"/>
  <c r="Z27" i="12"/>
  <c r="AA27" i="12" s="1"/>
  <c r="Y27" i="12"/>
  <c r="AD27" i="12"/>
  <c r="AB27" i="12" l="1"/>
  <c r="V28" i="12" s="1"/>
  <c r="W28" i="12" s="1"/>
  <c r="AC27" i="12"/>
  <c r="X28" i="12" s="1"/>
  <c r="Z28" i="12" l="1"/>
  <c r="AA28" i="12" s="1"/>
  <c r="AB28" i="12" s="1"/>
  <c r="V29" i="12" s="1"/>
  <c r="AD28" i="12"/>
  <c r="Y28" i="12"/>
  <c r="AC28" i="12" l="1"/>
  <c r="X29" i="12" s="1"/>
  <c r="Y29" i="12" s="1"/>
  <c r="W29" i="12"/>
  <c r="Z29" i="12" l="1"/>
  <c r="AA29" i="12" s="1"/>
  <c r="AB29" i="12" s="1"/>
  <c r="V30" i="12" s="1"/>
  <c r="W30" i="12" s="1"/>
  <c r="AD29" i="12"/>
  <c r="AC29" i="12" l="1"/>
  <c r="X30" i="12" s="1"/>
  <c r="Z30" i="12" s="1"/>
  <c r="AA30" i="12" s="1"/>
  <c r="AB30" i="12" s="1"/>
  <c r="V31" i="12" s="1"/>
  <c r="AD30" i="12" l="1"/>
  <c r="Y30" i="12"/>
  <c r="AC30" i="12" s="1"/>
  <c r="X31" i="12" s="1"/>
  <c r="Y31" i="12" s="1"/>
  <c r="W31" i="12"/>
  <c r="Z31" i="12" l="1"/>
  <c r="AA31" i="12" s="1"/>
  <c r="AB31" i="12" s="1"/>
  <c r="V32" i="12" s="1"/>
  <c r="W32" i="12" s="1"/>
  <c r="AD31" i="12"/>
  <c r="AC31" i="12" l="1"/>
  <c r="X32" i="12" s="1"/>
  <c r="Y32" i="12" s="1"/>
  <c r="Z32" i="12" l="1"/>
  <c r="AA32" i="12" s="1"/>
  <c r="AB32" i="12" s="1"/>
  <c r="V33" i="12" s="1"/>
  <c r="W33" i="12" s="1"/>
  <c r="AD32" i="12"/>
  <c r="AC32" i="12" l="1"/>
  <c r="X33" i="12" s="1"/>
  <c r="AD33" i="12" s="1"/>
  <c r="Z33" i="12" l="1"/>
  <c r="AA33" i="12" s="1"/>
  <c r="AB33" i="12" s="1"/>
  <c r="V34" i="12" s="1"/>
  <c r="W34" i="12" s="1"/>
  <c r="Y33" i="12"/>
  <c r="AC33" i="12" l="1"/>
  <c r="X34" i="12" s="1"/>
  <c r="Z34" i="12" s="1"/>
  <c r="O26" i="12" s="1"/>
  <c r="O27" i="12" s="1"/>
  <c r="G17" i="12" s="1"/>
  <c r="Y34" i="12" l="1"/>
  <c r="AD34" i="12"/>
  <c r="AA34" i="12"/>
  <c r="AB34" i="12" s="1"/>
  <c r="G18" i="12"/>
  <c r="G20" i="12"/>
  <c r="AC34" i="12" l="1"/>
  <c r="G33" i="12"/>
  <c r="K10" i="12" s="1"/>
  <c r="K6" i="12"/>
  <c r="K15" i="12" l="1"/>
  <c r="E7" i="26"/>
  <c r="K7" i="12"/>
  <c r="K18" i="12"/>
  <c r="K19" i="12"/>
  <c r="K43" i="12"/>
  <c r="K35" i="12"/>
  <c r="E4" i="26" l="1"/>
  <c r="K30" i="12"/>
  <c r="K31" i="12" s="1"/>
  <c r="K36" i="12"/>
  <c r="K39" i="12" s="1"/>
  <c r="K44" i="12"/>
  <c r="K47" i="12" s="1"/>
  <c r="AL4" i="12" l="1"/>
  <c r="AH4" i="12"/>
  <c r="AJ4" i="12"/>
</calcChain>
</file>

<file path=xl/sharedStrings.xml><?xml version="1.0" encoding="utf-8"?>
<sst xmlns="http://schemas.openxmlformats.org/spreadsheetml/2006/main" count="2295" uniqueCount="185">
  <si>
    <t>!!! Press F9 to recalculate !!!</t>
  </si>
  <si>
    <t>Cd0</t>
  </si>
  <si>
    <t>Battery parameters</t>
  </si>
  <si>
    <t>battery_rho</t>
  </si>
  <si>
    <t>Wh/kg</t>
  </si>
  <si>
    <t>battery_eff</t>
  </si>
  <si>
    <t>battery_max_discharge</t>
  </si>
  <si>
    <t>kg</t>
  </si>
  <si>
    <t>m</t>
  </si>
  <si>
    <t>cruise_speed</t>
  </si>
  <si>
    <t>m/s</t>
  </si>
  <si>
    <t>m^2</t>
  </si>
  <si>
    <t>Mission requirements</t>
  </si>
  <si>
    <t>flight_range</t>
  </si>
  <si>
    <t>s</t>
  </si>
  <si>
    <t>rho_air</t>
  </si>
  <si>
    <t>kg/m^3</t>
  </si>
  <si>
    <t>gravitational_accel</t>
  </si>
  <si>
    <t>m/s^2</t>
  </si>
  <si>
    <t>W</t>
  </si>
  <si>
    <t>thrust_each</t>
  </si>
  <si>
    <t>N</t>
  </si>
  <si>
    <t>Energy and time</t>
  </si>
  <si>
    <t>flight_time</t>
  </si>
  <si>
    <t>dyn_pressure</t>
  </si>
  <si>
    <t>N/m^2</t>
  </si>
  <si>
    <t>alpha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</si>
  <si>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</si>
  <si>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</si>
  <si>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</si>
  <si>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</si>
  <si>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</si>
  <si>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</si>
  <si>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</si>
  <si>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</si>
  <si>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</si>
  <si>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</si>
  <si>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evtol_config</t>
  </si>
  <si>
    <t>W_total_takeoff</t>
  </si>
  <si>
    <t>Parasite_drag</t>
  </si>
  <si>
    <t>Total_drag</t>
  </si>
  <si>
    <t>deg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</si>
  <si>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</si>
  <si>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</si>
  <si>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</si>
  <si>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</si>
  <si>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</si>
  <si>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</si>
  <si>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</si>
  <si>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</si>
  <si>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</si>
  <si>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</si>
  <si>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</si>
  <si>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</si>
  <si>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W_motors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</si>
  <si>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</si>
  <si>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</si>
  <si>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</si>
  <si>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</si>
  <si>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</si>
  <si>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</si>
  <si>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</si>
  <si>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</si>
  <si>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</si>
  <si>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</si>
  <si>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</si>
  <si>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</si>
  <si>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</si>
  <si>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</si>
  <si>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</si>
  <si>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W_structure</t>
  </si>
  <si>
    <t>W_equipment</t>
  </si>
  <si>
    <t>Constants</t>
  </si>
  <si>
    <t>W_controllers</t>
  </si>
  <si>
    <t>W_propulsion</t>
  </si>
  <si>
    <t>W_takeoff</t>
  </si>
  <si>
    <t>Hover climb segment</t>
  </si>
  <si>
    <t>Hover descent segment</t>
  </si>
  <si>
    <t>power_hover_climb</t>
  </si>
  <si>
    <t>power_hover_descent</t>
  </si>
  <si>
    <t>hover_climb_speed</t>
  </si>
  <si>
    <t>hover_descent_speed</t>
  </si>
  <si>
    <t>Cruise segment</t>
  </si>
  <si>
    <t>hover_climb_distance</t>
  </si>
  <si>
    <t>hover climb duration</t>
  </si>
  <si>
    <t>cruise duration</t>
  </si>
  <si>
    <t>hover descent duration</t>
  </si>
  <si>
    <t>hover_descent_distance</t>
  </si>
  <si>
    <t>Aerodynamics in cruise</t>
  </si>
  <si>
    <t>Bisection method for solving RotorInflow lambda in cruise</t>
  </si>
  <si>
    <t>N_lift_rotor</t>
  </si>
  <si>
    <t>r_lift_rotor</t>
  </si>
  <si>
    <t>energy_consumption</t>
  </si>
  <si>
    <t>power_each</t>
  </si>
  <si>
    <t>Power maximum for design</t>
  </si>
  <si>
    <t>p_max_liftrotor</t>
  </si>
  <si>
    <t>p_max_liftrotor_each</t>
  </si>
  <si>
    <t>kW</t>
  </si>
  <si>
    <t>kWh</t>
  </si>
  <si>
    <t>mins</t>
  </si>
  <si>
    <t>Fuselage parameters</t>
  </si>
  <si>
    <t>n_pax</t>
  </si>
  <si>
    <t>l_fuse</t>
  </si>
  <si>
    <t>d_max</t>
  </si>
  <si>
    <t>Landing gear parameters</t>
  </si>
  <si>
    <t>l_sm</t>
  </si>
  <si>
    <t>n_ult</t>
  </si>
  <si>
    <t>N_blade_lift_rotor</t>
  </si>
  <si>
    <t>Rotor parameters</t>
  </si>
  <si>
    <t>Weight breakdown</t>
  </si>
  <si>
    <t>W_booms</t>
  </si>
  <si>
    <t>f/(W/1000)^2/3</t>
  </si>
  <si>
    <t>f_e_rotor_hubs</t>
  </si>
  <si>
    <t>m2</t>
  </si>
  <si>
    <t>CD0_total</t>
  </si>
  <si>
    <t>type</t>
  </si>
  <si>
    <t>wheeled</t>
  </si>
  <si>
    <t>f_LG</t>
  </si>
  <si>
    <t>eVTOL design parameters</t>
  </si>
  <si>
    <t>lift_rotor_solidity</t>
  </si>
  <si>
    <t>M</t>
  </si>
  <si>
    <t>sound_speed</t>
  </si>
  <si>
    <t>RPM</t>
  </si>
  <si>
    <t>W_rotors_and_hubs</t>
  </si>
  <si>
    <t>W_extra_hubs</t>
  </si>
  <si>
    <t>Pa s</t>
  </si>
  <si>
    <t>mu_air</t>
  </si>
  <si>
    <t>c_to_r_lift_rotor</t>
  </si>
  <si>
    <t>power_cruise</t>
  </si>
  <si>
    <t>Bisection method for solving W_total</t>
  </si>
  <si>
    <t>lift+cruise</t>
  </si>
  <si>
    <t>lift</t>
  </si>
  <si>
    <t>p_max_prop</t>
  </si>
  <si>
    <t>p_max_prop_each</t>
  </si>
  <si>
    <t>r_propeller</t>
  </si>
  <si>
    <t>wing_area</t>
  </si>
  <si>
    <t>wing_AR</t>
  </si>
  <si>
    <t>Oswald_e</t>
  </si>
  <si>
    <t>CL</t>
  </si>
  <si>
    <t>CD</t>
  </si>
  <si>
    <t>L/D</t>
  </si>
  <si>
    <t>Propeller performance in cruise</t>
  </si>
  <si>
    <t>prop_tip_speed</t>
  </si>
  <si>
    <t>prop_tip_speed_Mach</t>
  </si>
  <si>
    <t>W_wing</t>
  </si>
  <si>
    <t>lift_rotor_FM</t>
  </si>
  <si>
    <t>Propeller parameters</t>
  </si>
  <si>
    <t>N_propeller</t>
  </si>
  <si>
    <t>N_blade_propeller</t>
  </si>
  <si>
    <t>propeller_solidity</t>
  </si>
  <si>
    <t>propeller_FM</t>
  </si>
  <si>
    <t>Wing parameters</t>
  </si>
  <si>
    <t>Horizontal tail parameters</t>
  </si>
  <si>
    <t>htail_AR</t>
  </si>
  <si>
    <t>htail_S</t>
  </si>
  <si>
    <t>t_rh</t>
  </si>
  <si>
    <t>Vertical tail parameters</t>
  </si>
  <si>
    <t>vtail_AR</t>
  </si>
  <si>
    <t>vtail_S</t>
  </si>
  <si>
    <t>t_rv</t>
  </si>
  <si>
    <t>quarter_chord_sweep</t>
  </si>
  <si>
    <t>AoA</t>
  </si>
  <si>
    <t>c_to_r_propeller</t>
  </si>
  <si>
    <t>mission_repetition</t>
  </si>
  <si>
    <t>rho_softmax</t>
  </si>
  <si>
    <t>tf_propulsion</t>
  </si>
  <si>
    <t>tf_structure</t>
  </si>
  <si>
    <t>tf_equipments</t>
  </si>
  <si>
    <t>Propeller|RPM_cruise</t>
  </si>
  <si>
    <t>Environment at 5500 ft</t>
  </si>
  <si>
    <t>Environment at 6500 ft</t>
  </si>
  <si>
    <t>efficiency T/P</t>
  </si>
  <si>
    <t>g/W</t>
  </si>
  <si>
    <t>CT/sigma</t>
  </si>
  <si>
    <t>motor_power_margin</t>
  </si>
  <si>
    <t>Reserve cruise segment</t>
  </si>
  <si>
    <t>reserve cruise duration</t>
  </si>
  <si>
    <t>CD0_wing</t>
  </si>
  <si>
    <t>f_e_non_hub_non_wing</t>
  </si>
  <si>
    <t>uniform</t>
  </si>
  <si>
    <t>linear</t>
  </si>
  <si>
    <t>uniform
coeffs</t>
  </si>
  <si>
    <t>weights</t>
  </si>
  <si>
    <t>linear
coeffs</t>
  </si>
  <si>
    <t>weighted_sum_of_energy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</si>
</sst>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0" xfId="0" applyFill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0" fillId="9" borderId="0" xfId="0" applyFill="1" applyAlignment="1">
      <alignment vertical="center"/>
    </xf>
    <xf numFmtId="0" fontId="3" fillId="6" borderId="0" xfId="0" applyFont="1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4" borderId="0" xfId="0" applyFill="1" applyAlignment="1">
      <alignment vertical="center"/>
    </xf>
    <xf numFmtId="0" fontId="4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0" fillId="4" borderId="0" xfId="0" applyFill="1" applyAlignment="1">
      <alignment horizontal="right" vertical="center"/>
    </xf>
    <xf numFmtId="11" fontId="0" fillId="4" borderId="0" xfId="0" applyNumberFormat="1" applyFill="1" applyAlignment="1">
      <alignment vertical="center"/>
    </xf>
    <xf numFmtId="0" fontId="0" fillId="11" borderId="0" xfId="0" applyFill="1" applyAlignment="1">
      <alignment vertical="center"/>
    </xf>
    <xf numFmtId="0" fontId="3" fillId="11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4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AB5F-4646-9083-700F5D6198D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AB5F-4646-9083-700F5D6198D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AB5F-4646-9083-700F5D6198D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AB5F-4646-9083-700F5D6198D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AB5F-4646-9083-700F5D6198D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620.70000000000005</c:v>
                </c:pt>
                <c:pt idx="2">
                  <c:v>346.42</c:v>
                </c:pt>
                <c:pt idx="3">
                  <c:v>642.23</c:v>
                </c:pt>
                <c:pt idx="4">
                  <c:v>112.05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AB5F-4646-9083-700F5D6198D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7A9-D34A-80CC-998DBF2EAB6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7A9-D34A-80CC-998DBF2EAB6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7A9-D34A-80CC-998DBF2EAB6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7A9-D34A-80CC-998DBF2EAB6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7A9-D34A-80CC-998DBF2EAB6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uniform_250!$K$34:$K$38</c:f>
              <c:numCache>
                <c:formatCode>General</c:formatCode>
                <c:ptCount val="5"/>
                <c:pt idx="0">
                  <c:v>25.85</c:v>
                </c:pt>
                <c:pt idx="1">
                  <c:v>26.74</c:v>
                </c:pt>
                <c:pt idx="2">
                  <c:v>14.92</c:v>
                </c:pt>
                <c:pt idx="3">
                  <c:v>27.67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A9-D34A-80CC-998DBF2EAB6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07-E94B-B13B-C211704CAF6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07-E94B-B13B-C211704CAF6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07-E94B-B13B-C211704CAF6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07-E94B-B13B-C211704CAF6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07-E94B-B13B-C211704CAF6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334.21</c:v>
                </c:pt>
                <c:pt idx="2">
                  <c:v>274.79000000000002</c:v>
                </c:pt>
                <c:pt idx="3">
                  <c:v>589.16</c:v>
                </c:pt>
                <c:pt idx="4">
                  <c:v>90.07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307-E94B-B13B-C211704CAF6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449E-DA4A-A8F0-5E5709DF7EE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449E-DA4A-A8F0-5E5709DF7EE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449E-DA4A-A8F0-5E5709DF7EE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449E-DA4A-A8F0-5E5709DF7EE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449E-DA4A-A8F0-5E5709DF7EE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uniform_400!$K$34:$K$38</c:f>
              <c:numCache>
                <c:formatCode>General</c:formatCode>
                <c:ptCount val="5"/>
                <c:pt idx="0">
                  <c:v>31.78</c:v>
                </c:pt>
                <c:pt idx="1">
                  <c:v>17.7</c:v>
                </c:pt>
                <c:pt idx="2">
                  <c:v>14.55</c:v>
                </c:pt>
                <c:pt idx="3">
                  <c:v>31.2</c:v>
                </c:pt>
                <c:pt idx="4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449E-DA4A-A8F0-5E5709DF7EE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4DE-2242-ABB2-61C77477FCA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4DE-2242-ABB2-61C77477FCA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4DE-2242-ABB2-61C77477FCA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4DE-2242-ABB2-61C77477FCA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4DE-2242-ABB2-61C77477FC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230.44</c:v>
                </c:pt>
                <c:pt idx="2">
                  <c:v>249.96</c:v>
                </c:pt>
                <c:pt idx="3">
                  <c:v>568.92999999999995</c:v>
                </c:pt>
                <c:pt idx="4">
                  <c:v>82.25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E-2242-ABB2-61C77477FCA3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41-3E40-BF25-7077355B37E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41-3E40-BF25-7077355B37E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41-3E40-BF25-7077355B37E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41-3E40-BF25-7077355B37E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41-3E40-BF25-7077355B37E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uniform_550!$K$34:$K$38</c:f>
              <c:numCache>
                <c:formatCode>General</c:formatCode>
                <c:ptCount val="5"/>
                <c:pt idx="0">
                  <c:v>34.65</c:v>
                </c:pt>
                <c:pt idx="1">
                  <c:v>13.31</c:v>
                </c:pt>
                <c:pt idx="2">
                  <c:v>14.44</c:v>
                </c:pt>
                <c:pt idx="3">
                  <c:v>32.86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41-3E40-BF25-7077355B37E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AC-D547-8F73-C59A2B2BDBB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AC-D547-8F73-C59A2B2BDBB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AC-D547-8F73-C59A2B2BDBB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AC-D547-8F73-C59A2B2BDBB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AC-D547-8F73-C59A2B2BDBB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176.12</c:v>
                </c:pt>
                <c:pt idx="2">
                  <c:v>237.2</c:v>
                </c:pt>
                <c:pt idx="3">
                  <c:v>558.05999999999995</c:v>
                </c:pt>
                <c:pt idx="4">
                  <c:v>78.19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AC-D547-8F73-C59A2B2BDBB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46-984E-B21E-5F01E9092432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46-984E-B21E-5F01E9092432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46-984E-B21E-5F01E9092432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746-984E-B21E-5F01E9092432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746-984E-B21E-5F01E909243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uniform_700!$J$34:$J$38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uniform_700!$K$34:$K$38</c:f>
              <c:numCache>
                <c:formatCode>General</c:formatCode>
                <c:ptCount val="5"/>
                <c:pt idx="0">
                  <c:v>36.369999999999997</c:v>
                </c:pt>
                <c:pt idx="1">
                  <c:v>10.68</c:v>
                </c:pt>
                <c:pt idx="2">
                  <c:v>14.38</c:v>
                </c:pt>
                <c:pt idx="3">
                  <c:v>33.83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9746-984E-B21E-5F01E9092432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EC31-F147-8E3B-235EF7FED19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EC31-F147-8E3B-235EF7FED19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EC31-F147-8E3B-235EF7FED19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31-F147-8E3B-235EF7FED19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EC31-F147-8E3B-235EF7FED1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631.77</c:v>
                </c:pt>
                <c:pt idx="2">
                  <c:v>356.58</c:v>
                </c:pt>
                <c:pt idx="3">
                  <c:v>648.85</c:v>
                </c:pt>
                <c:pt idx="4">
                  <c:v>113.55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EC31-F147-8E3B-235EF7FED191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99D-054F-BF9D-594ABFFA280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99D-054F-BF9D-594ABFFA280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99D-054F-BF9D-594ABFFA280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99D-054F-BF9D-594ABFFA280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99D-054F-BF9D-594ABFFA28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linear_250!$J$34:$J$38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linear_250!$K$34:$K$38</c:f>
              <c:numCache>
                <c:formatCode>General</c:formatCode>
                <c:ptCount val="5"/>
                <c:pt idx="0">
                  <c:v>25.52</c:v>
                </c:pt>
                <c:pt idx="1">
                  <c:v>26.88</c:v>
                </c:pt>
                <c:pt idx="2">
                  <c:v>15.17</c:v>
                </c:pt>
                <c:pt idx="3">
                  <c:v>27.6</c:v>
                </c:pt>
                <c:pt idx="4">
                  <c:v>4.83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99D-054F-BF9D-594ABFFA2806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76F-A94C-9473-768CE600703C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76F-A94C-9473-768CE600703C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76F-A94C-9473-768CE600703C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76F-A94C-9473-768CE600703C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76F-A94C-9473-768CE600703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334.51</c:v>
                </c:pt>
                <c:pt idx="2">
                  <c:v>279.47000000000003</c:v>
                </c:pt>
                <c:pt idx="3">
                  <c:v>593.05999999999995</c:v>
                </c:pt>
                <c:pt idx="4">
                  <c:v>90.54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76F-A94C-9473-768CE600703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3998-3C46-B365-7C2FB1EB42A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3998-3C46-B365-7C2FB1EB42A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3998-3C46-B365-7C2FB1EB42A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3998-3C46-B365-7C2FB1EB42A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3998-3C46-B365-7C2FB1EB42A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linear_400!$J$34:$J$38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linear_400!$K$34:$K$38</c:f>
              <c:numCache>
                <c:formatCode>General</c:formatCode>
                <c:ptCount val="5"/>
                <c:pt idx="0">
                  <c:v>31.62</c:v>
                </c:pt>
                <c:pt idx="1">
                  <c:v>17.63</c:v>
                </c:pt>
                <c:pt idx="2">
                  <c:v>14.73</c:v>
                </c:pt>
                <c:pt idx="3">
                  <c:v>31.25</c:v>
                </c:pt>
                <c:pt idx="4">
                  <c:v>4.7699999999999996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3998-3C46-B365-7C2FB1EB42A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D196-9746-929D-9D379D51AB3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D196-9746-929D-9D379D51AB3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D196-9746-929D-9D379D51AB3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D196-9746-929D-9D379D51AB3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D196-9746-929D-9D379D51AB3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linear_550!$K$42:$K$46</c:f>
              <c:numCache>
                <c:formatCode>General</c:formatCode>
                <c:ptCount val="5"/>
                <c:pt idx="0">
                  <c:v>600</c:v>
                </c:pt>
                <c:pt idx="1">
                  <c:v>229.53</c:v>
                </c:pt>
                <c:pt idx="2">
                  <c:v>253.51</c:v>
                </c:pt>
                <c:pt idx="3">
                  <c:v>572.32000000000005</c:v>
                </c:pt>
                <c:pt idx="4">
                  <c:v>82.57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196-9746-929D-9D379D51AB3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D33-444E-9331-197FAD1AD5B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7D33-444E-9331-197FAD1AD5B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7D33-444E-9331-197FAD1AD5BE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7D33-444E-9331-197FAD1AD5BE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7D33-444E-9331-197FAD1AD5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linear_550!$J$34:$J$38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linear_550!$K$34:$K$38</c:f>
              <c:numCache>
                <c:formatCode>General</c:formatCode>
                <c:ptCount val="5"/>
                <c:pt idx="0">
                  <c:v>34.520000000000003</c:v>
                </c:pt>
                <c:pt idx="1">
                  <c:v>13.21</c:v>
                </c:pt>
                <c:pt idx="2">
                  <c:v>14.59</c:v>
                </c:pt>
                <c:pt idx="3">
                  <c:v>32.93</c:v>
                </c:pt>
                <c:pt idx="4">
                  <c:v>4.75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D33-444E-9331-197FAD1AD5BE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Breakdown (kg)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15C3-6148-854C-757FD56E51D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15C3-6148-854C-757FD56E51D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15C3-6148-854C-757FD56E51D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15C3-6148-854C-757FD56E51D8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15C3-6148-854C-757FD56E51D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linear_700!$J$42:$J$46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linear_700!$K$42:$K$46</c:f>
              <c:numCache>
                <c:formatCode>General</c:formatCode>
                <c:ptCount val="5"/>
                <c:pt idx="0">
                  <c:v>600</c:v>
                </c:pt>
                <c:pt idx="1">
                  <c:v>175.02</c:v>
                </c:pt>
                <c:pt idx="2">
                  <c:v>240.29</c:v>
                </c:pt>
                <c:pt idx="3">
                  <c:v>561.27</c:v>
                </c:pt>
                <c:pt idx="4">
                  <c:v>78.459999999999994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15C3-6148-854C-757FD56E51D8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6EC-C447-8527-1A1FB5EFEF50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B6EC-C447-8527-1A1FB5EFEF50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B6EC-C447-8527-1A1FB5EFEF50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B6EC-C447-8527-1A1FB5EFEF50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B6EC-C447-8527-1A1FB5EFEF5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linear_700!$J$34:$J$38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linear_700!$K$34:$K$38</c:f>
              <c:numCache>
                <c:formatCode>General</c:formatCode>
                <c:ptCount val="5"/>
                <c:pt idx="0">
                  <c:v>36.25</c:v>
                </c:pt>
                <c:pt idx="1">
                  <c:v>10.57</c:v>
                </c:pt>
                <c:pt idx="2">
                  <c:v>14.52</c:v>
                </c:pt>
                <c:pt idx="3">
                  <c:v>33.909999999999997</c:v>
                </c:pt>
                <c:pt idx="4">
                  <c:v>4.74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6EC-C447-8527-1A1FB5EFEF50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DB1CBC6-84EC-8745-BD4C-46A724EFF3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EE1386F-6C97-874B-857E-C5B3029F59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9EBDA40-F24D-9343-A762-7E559C61EF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6A4612-758F-064D-8F06-F700304E55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58BBB3-E1AB-9E43-84F5-083CA8E5DB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88A2940-D8F7-A74F-9578-E629963B04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54CFFF4-03F9-944C-A86B-ADFDB8ED77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B3E8C7-8FD5-134F-AAB7-3680C5335F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15E2C3-5EF0-394D-8F36-27411F4E31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0DD1BCB-8546-2A4F-8F83-20501D41B1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B47B53-0996-E746-AECF-BB2822473B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69EE131-EC7D-7244-9D52-638B840C29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995307-5CCD-EF42-84F1-5FC73929A3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C3441D2-1031-4742-9CA4-8BAD48BDF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327227</xdr:colOff>
      <xdr:row>50</xdr:row>
      <xdr:rowOff>85113</xdr:rowOff>
    </xdr:from>
    <xdr:to>
      <xdr:col>12</xdr:col>
      <xdr:colOff>204759</xdr:colOff>
      <xdr:row>62</xdr:row>
      <xdr:rowOff>65357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5ED848-C4ED-7F40-8725-CD8BDDF0D5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286433</xdr:colOff>
      <xdr:row>62</xdr:row>
      <xdr:rowOff>189610</xdr:rowOff>
    </xdr:from>
    <xdr:to>
      <xdr:col>12</xdr:col>
      <xdr:colOff>175436</xdr:colOff>
      <xdr:row>74</xdr:row>
      <xdr:rowOff>169855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90B7A-8D32-2A45-BEE2-3A493BD177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866A-75E0-C34B-9B47-0CDA4F201F3C}">
  <dimension ref="B3:G15"/>
  <sheetViews>
    <sheetView tabSelected="1" topLeftCell="A2" workbookViewId="0">
      <selection activeCell="F12" sqref="F12"/>
    </sheetView>
  </sheetViews>
  <sheetFormatPr baseColWidth="10" defaultRowHeight="16" x14ac:dyDescent="0.2"/>
  <sheetData>
    <row r="3" spans="2:7" x14ac:dyDescent="0.2">
      <c r="B3" s="2"/>
      <c r="C3" s="2"/>
      <c r="D3" s="2"/>
      <c r="E3" s="2" t="s">
        <v>179</v>
      </c>
      <c r="F3" s="2" t="s">
        <v>180</v>
      </c>
    </row>
    <row r="4" spans="2:7" x14ac:dyDescent="0.2">
      <c r="B4" s="27" t="s">
        <v>184</v>
      </c>
      <c r="C4" s="27"/>
      <c r="D4" s="27"/>
      <c r="E4" s="4">
        <f>C7*E7 + C8*E8 + C9*E9 + C10*E10</f>
        <v>91.610241845475429</v>
      </c>
      <c r="F4" s="4">
        <f xml:space="preserve"> C12*E12 + C13*E13 + C14*E14 + C15*E15</f>
        <v>88.013904853464652</v>
      </c>
    </row>
    <row r="6" spans="2:7" x14ac:dyDescent="0.2">
      <c r="D6" s="2"/>
      <c r="E6" s="2"/>
      <c r="F6" s="2"/>
      <c r="G6" s="2"/>
    </row>
    <row r="7" spans="2:7" x14ac:dyDescent="0.2">
      <c r="B7" s="28" t="s">
        <v>181</v>
      </c>
      <c r="C7" s="2">
        <v>0.25</v>
      </c>
      <c r="D7" s="27" t="s">
        <v>182</v>
      </c>
      <c r="E7" s="2">
        <f>uniform_250!K10</f>
        <v>105.51968996848382</v>
      </c>
      <c r="F7" s="2"/>
      <c r="G7" s="2"/>
    </row>
    <row r="8" spans="2:7" x14ac:dyDescent="0.2">
      <c r="B8" s="27"/>
      <c r="C8" s="2">
        <v>0.25</v>
      </c>
      <c r="D8" s="27"/>
      <c r="E8" s="2">
        <f>uniform_400!K10</f>
        <v>90.905182042266915</v>
      </c>
      <c r="F8" s="2"/>
      <c r="G8" s="2"/>
    </row>
    <row r="9" spans="2:7" x14ac:dyDescent="0.2">
      <c r="B9" s="27"/>
      <c r="C9" s="2">
        <v>0.25</v>
      </c>
      <c r="D9" s="27"/>
      <c r="E9" s="2">
        <f>uniform_550!K10</f>
        <v>86.183370777189253</v>
      </c>
      <c r="F9" s="2"/>
      <c r="G9" s="2"/>
    </row>
    <row r="10" spans="2:7" x14ac:dyDescent="0.2">
      <c r="B10" s="27"/>
      <c r="C10" s="2">
        <v>0.25</v>
      </c>
      <c r="D10" s="27"/>
      <c r="E10" s="2">
        <f>uniform_700!K10</f>
        <v>83.832724593961728</v>
      </c>
      <c r="F10" s="2"/>
      <c r="G10" s="2"/>
    </row>
    <row r="11" spans="2:7" x14ac:dyDescent="0.2">
      <c r="D11" s="2"/>
      <c r="E11" s="2"/>
      <c r="F11" s="2"/>
      <c r="G11" s="2"/>
    </row>
    <row r="12" spans="2:7" x14ac:dyDescent="0.2">
      <c r="B12" s="28" t="s">
        <v>183</v>
      </c>
      <c r="C12" s="2">
        <v>0.1</v>
      </c>
      <c r="D12" s="27" t="s">
        <v>182</v>
      </c>
      <c r="E12" s="2">
        <f>linear_250!K10</f>
        <v>107.40054918982459</v>
      </c>
      <c r="F12" s="2"/>
      <c r="G12" s="2"/>
    </row>
    <row r="13" spans="2:7" x14ac:dyDescent="0.2">
      <c r="B13" s="27"/>
      <c r="C13" s="2">
        <v>0.2</v>
      </c>
      <c r="D13" s="27"/>
      <c r="E13" s="2">
        <f>linear_400!K10</f>
        <v>90.985719083110908</v>
      </c>
      <c r="F13" s="2"/>
      <c r="G13" s="2"/>
    </row>
    <row r="14" spans="2:7" x14ac:dyDescent="0.2">
      <c r="B14" s="27"/>
      <c r="C14" s="2">
        <v>0.3</v>
      </c>
      <c r="D14" s="27"/>
      <c r="E14" s="2">
        <f>linear_550!K10</f>
        <v>85.844269698837465</v>
      </c>
      <c r="F14" s="2"/>
      <c r="G14" s="2"/>
    </row>
    <row r="15" spans="2:7" x14ac:dyDescent="0.2">
      <c r="B15" s="27"/>
      <c r="C15" s="2">
        <v>0.4</v>
      </c>
      <c r="D15" s="27"/>
      <c r="E15" s="2">
        <f>linear_700!K10</f>
        <v>83.308563020521959</v>
      </c>
      <c r="F15" s="2"/>
      <c r="G15" s="2"/>
    </row>
  </sheetData>
  <mergeCells count="5">
    <mergeCell ref="B4:D4"/>
    <mergeCell ref="B7:B10"/>
    <mergeCell ref="D7:D10"/>
    <mergeCell ref="B12:B15"/>
    <mergeCell ref="D12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2CC91-5E9A-2041-A25C-AEB7F568B05D}">
  <dimension ref="B1:AO81"/>
  <sheetViews>
    <sheetView zoomScale="88" workbookViewId="0">
      <selection activeCell="K10" sqref="K10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510.44401513424452</v>
      </c>
      <c r="L4" s="6" t="s">
        <v>97</v>
      </c>
      <c r="N4" s="6" t="s">
        <v>131</v>
      </c>
      <c r="O4" s="6">
        <f xml:space="preserve"> $C$5 * $C$74</f>
        <v>22750.93503439374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1.2361354549147414</v>
      </c>
      <c r="X4" s="3">
        <v>1</v>
      </c>
      <c r="Y4" s="2">
        <f t="shared" ref="Y4:Y34" si="1" xml:space="preserve"> $O$22 * TAN($O$19/180*PI()) + $O$23 / (2 * SQRT($O$22^2 + X4^2)) - X4</f>
        <v>-2.5079301439411394E-2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0.49806539408399297</v>
      </c>
      <c r="AB4" s="2">
        <f>W4*AA4</f>
        <v>0.61567629249330658</v>
      </c>
      <c r="AC4" s="2">
        <f>Y4*AA4</f>
        <v>-1.2491132154771689E-2</v>
      </c>
      <c r="AD4" s="2">
        <f>X4-V4</f>
        <v>1</v>
      </c>
      <c r="AF4" s="2">
        <v>0</v>
      </c>
      <c r="AH4" s="2">
        <f>K30</f>
        <v>-3.0803888882928732E-3</v>
      </c>
      <c r="AJ4" s="2">
        <f>K30</f>
        <v>-3.0803888882928732E-3</v>
      </c>
      <c r="AL4" s="2">
        <f>K30</f>
        <v>-3.0803888882928732E-3</v>
      </c>
    </row>
    <row r="5" spans="2:41" x14ac:dyDescent="0.2">
      <c r="B5" s="9" t="s">
        <v>38</v>
      </c>
      <c r="C5" s="9">
        <v>2321.3928327582798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63.805501891780565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0.49806539408399297</v>
      </c>
      <c r="X5" s="2">
        <f>IF(AC4&gt;0, Z4, X4)</f>
        <v>1</v>
      </c>
      <c r="Y5" s="2">
        <f t="shared" si="1"/>
        <v>-2.5079301439411394E-2</v>
      </c>
      <c r="Z5" s="2">
        <f t="shared" ref="Z5:Z34" si="3" xml:space="preserve"> (V5 + X5)/2</f>
        <v>0.75</v>
      </c>
      <c r="AA5" s="2">
        <f t="shared" si="2"/>
        <v>0.23271171088053233</v>
      </c>
      <c r="AB5" s="2">
        <f t="shared" ref="AB5:AB34" si="4">W5*AA5</f>
        <v>0.11590564998767257</v>
      </c>
      <c r="AC5" s="2">
        <f t="shared" ref="AC5:AC34" si="5">Y5*AA5</f>
        <v>-5.8362471456540228E-3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-922.0552148064636</v>
      </c>
      <c r="AI5" s="3">
        <v>10000</v>
      </c>
      <c r="AJ5" s="2">
        <f t="dataTable" ref="AJ5:AJ44" dt2D="0" dtr="0" r1="C5"/>
        <v>3069.8864715915197</v>
      </c>
      <c r="AK5" s="2">
        <f>(AG5+AI5)/2</f>
        <v>5250</v>
      </c>
      <c r="AL5" s="2">
        <f t="dataTable" ref="AL5:AL44" dt2D="0" dtr="0" r1="C5" ca="1"/>
        <v>1640.6153371595851</v>
      </c>
      <c r="AM5" s="2">
        <f>AH5*AL5</f>
        <v>-1512737.92711946</v>
      </c>
      <c r="AN5" s="2">
        <f>AJ5*AL5</f>
        <v>5036502.8286317699</v>
      </c>
      <c r="AO5" s="2">
        <f>AI5-AG5</f>
        <v>9500</v>
      </c>
    </row>
    <row r="6" spans="2:41" x14ac:dyDescent="0.2">
      <c r="B6" s="6" t="s">
        <v>168</v>
      </c>
      <c r="C6" s="16">
        <v>470.55333218058303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158.62262610220401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0.22955795185794198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0.23271171088053233</v>
      </c>
      <c r="X6" s="2">
        <f t="shared" ref="X6:X34" si="8">IF(AC5&gt;0, Z5, X5)</f>
        <v>1</v>
      </c>
      <c r="Y6" s="2">
        <f t="shared" si="1"/>
        <v>-2.5079301439411394E-2</v>
      </c>
      <c r="Z6" s="2">
        <f t="shared" si="3"/>
        <v>0.875</v>
      </c>
      <c r="AA6" s="2">
        <f t="shared" si="2"/>
        <v>0.10326729076044383</v>
      </c>
      <c r="AB6" s="2">
        <f t="shared" si="4"/>
        <v>2.4031507910860273E-2</v>
      </c>
      <c r="AC6" s="2">
        <f t="shared" si="5"/>
        <v>-2.5898715138125139E-3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-922.0552148064636</v>
      </c>
      <c r="AI6" s="2">
        <f>IF(AN5&gt;0,AK5,AI5)</f>
        <v>5250</v>
      </c>
      <c r="AJ6" s="2">
        <v>1640.6153371595851</v>
      </c>
      <c r="AK6" s="2">
        <f t="shared" ref="AK6:AK44" si="9">(AG6+AI6)/2</f>
        <v>2875</v>
      </c>
      <c r="AL6" s="2">
        <v>234.84236900642918</v>
      </c>
      <c r="AM6" s="2">
        <f t="shared" ref="AM6:AM44" si="10">AH6*AL6</f>
        <v>-216537.63099988183</v>
      </c>
      <c r="AN6" s="2">
        <f t="shared" ref="AN6:AN44" si="11">AJ6*AL6</f>
        <v>385285.99240683852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2844.1389255478684</v>
      </c>
      <c r="H7" s="6" t="s">
        <v>21</v>
      </c>
      <c r="J7" s="6" t="s">
        <v>133</v>
      </c>
      <c r="K7" s="6">
        <f>K6/$C$28</f>
        <v>158.62262610220401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0.10326729076044383</v>
      </c>
      <c r="X7" s="2">
        <f t="shared" si="8"/>
        <v>1</v>
      </c>
      <c r="Y7" s="2">
        <f t="shared" si="1"/>
        <v>-2.5079301439411394E-2</v>
      </c>
      <c r="Z7" s="2">
        <f t="shared" si="3"/>
        <v>0.9375</v>
      </c>
      <c r="AA7" s="2">
        <f t="shared" si="2"/>
        <v>3.8983753877340988E-2</v>
      </c>
      <c r="AB7" s="2">
        <f t="shared" si="4"/>
        <v>4.0257466465849516E-3</v>
      </c>
      <c r="AC7" s="2">
        <f t="shared" si="5"/>
        <v>-9.7768531472965732E-4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-922.0552148064636</v>
      </c>
      <c r="AI7" s="2">
        <f t="shared" ref="AI7:AI44" si="14">IF(AN6&gt;0,AK6,AI6)</f>
        <v>2875</v>
      </c>
      <c r="AJ7" s="2">
        <v>234.84236900642918</v>
      </c>
      <c r="AK7" s="2">
        <f t="shared" si="9"/>
        <v>1687.5</v>
      </c>
      <c r="AL7" s="2">
        <v>-298.23119976588418</v>
      </c>
      <c r="AM7" s="2">
        <f t="shared" si="10"/>
        <v>274985.63296212169</v>
      </c>
      <c r="AN7" s="2">
        <f t="shared" si="11"/>
        <v>-70037.321464649867</v>
      </c>
      <c r="AO7" s="2">
        <f t="shared" si="12"/>
        <v>2375</v>
      </c>
    </row>
    <row r="8" spans="2:41" x14ac:dyDescent="0.2">
      <c r="B8" s="6" t="s">
        <v>91</v>
      </c>
      <c r="C8" s="16">
        <v>2.1149292720305501</v>
      </c>
      <c r="D8" s="6" t="s">
        <v>8</v>
      </c>
      <c r="F8" t="s">
        <v>93</v>
      </c>
      <c r="G8" s="6">
        <f>G10/$C$21</f>
        <v>42.537001261187044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3.8983753877340988E-2</v>
      </c>
      <c r="X8" s="2">
        <f t="shared" si="8"/>
        <v>1</v>
      </c>
      <c r="Y8" s="2">
        <f t="shared" si="1"/>
        <v>-2.5079301439411394E-2</v>
      </c>
      <c r="Z8" s="2">
        <f t="shared" si="3"/>
        <v>0.96875</v>
      </c>
      <c r="AA8" s="2">
        <f t="shared" si="2"/>
        <v>6.927292910761107E-3</v>
      </c>
      <c r="AB8" s="2">
        <f t="shared" si="4"/>
        <v>2.7005188186936003E-4</v>
      </c>
      <c r="AC8" s="2">
        <f t="shared" si="5"/>
        <v>-1.7373166706807539E-4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-298.23119976588418</v>
      </c>
      <c r="AI8" s="2">
        <f t="shared" si="14"/>
        <v>2875</v>
      </c>
      <c r="AJ8" s="2">
        <v>234.84236900642918</v>
      </c>
      <c r="AK8" s="2">
        <f t="shared" si="9"/>
        <v>2281.25</v>
      </c>
      <c r="AL8" s="2">
        <v>-17.977823527209466</v>
      </c>
      <c r="AM8" s="2">
        <f t="shared" si="10"/>
        <v>5361.5478796990192</v>
      </c>
      <c r="AN8" s="2">
        <f t="shared" si="11"/>
        <v>-4221.95466670939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6.8216868959108989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2.1159055041514482E-2</v>
      </c>
      <c r="U9" s="2">
        <v>5</v>
      </c>
      <c r="V9" s="2">
        <f t="shared" si="7"/>
        <v>0.96875</v>
      </c>
      <c r="W9" s="2">
        <f t="shared" si="0"/>
        <v>6.927292910761107E-3</v>
      </c>
      <c r="X9" s="2">
        <f t="shared" si="8"/>
        <v>1</v>
      </c>
      <c r="Y9" s="2">
        <f t="shared" si="1"/>
        <v>-2.5079301439411394E-2</v>
      </c>
      <c r="Z9" s="2">
        <f t="shared" si="3"/>
        <v>0.984375</v>
      </c>
      <c r="AA9" s="2">
        <f t="shared" si="2"/>
        <v>-9.0819450408856639E-3</v>
      </c>
      <c r="AB9" s="2">
        <f t="shared" si="4"/>
        <v>-6.2913293497649252E-5</v>
      </c>
      <c r="AC9" s="2">
        <f t="shared" si="5"/>
        <v>2.2776883733653902E-4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-17.977823527209466</v>
      </c>
      <c r="AI9" s="2">
        <f t="shared" si="14"/>
        <v>2875</v>
      </c>
      <c r="AJ9" s="2">
        <v>234.84236900642918</v>
      </c>
      <c r="AK9" s="2">
        <f t="shared" si="9"/>
        <v>2578.125</v>
      </c>
      <c r="AL9" s="2">
        <v>111.94935108063737</v>
      </c>
      <c r="AM9" s="2">
        <f t="shared" si="10"/>
        <v>-2012.6056777133149</v>
      </c>
      <c r="AN9" s="2">
        <f t="shared" si="11"/>
        <v>26290.450816509332</v>
      </c>
      <c r="AO9" s="2">
        <f t="shared" si="12"/>
        <v>593.75</v>
      </c>
    </row>
    <row r="10" spans="2:41" x14ac:dyDescent="0.2">
      <c r="B10" s="6" t="s">
        <v>134</v>
      </c>
      <c r="C10" s="16">
        <v>1.42504569367809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340.29601008949635</v>
      </c>
      <c r="H10" s="22" t="s">
        <v>97</v>
      </c>
      <c r="J10" s="6" t="s">
        <v>92</v>
      </c>
      <c r="K10" s="6">
        <f xml:space="preserve"> $C$18 * (G10*G6 + G20*G13 + G29*G25 + G33*G32)/3600</f>
        <v>105.51968996848382</v>
      </c>
      <c r="L10" s="6" t="s">
        <v>98</v>
      </c>
      <c r="N10" s="6" t="s">
        <v>39</v>
      </c>
      <c r="O10" s="6">
        <f xml:space="preserve"> O5 * $C$12 * O9</f>
        <v>1090.6212349561201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6.927292910761107E-3</v>
      </c>
      <c r="X10" s="2">
        <f t="shared" si="8"/>
        <v>0.984375</v>
      </c>
      <c r="Y10" s="2">
        <f t="shared" si="1"/>
        <v>-9.0819450408856639E-3</v>
      </c>
      <c r="Z10" s="2">
        <f t="shared" si="3"/>
        <v>0.9765625</v>
      </c>
      <c r="AA10" s="2">
        <f t="shared" si="2"/>
        <v>-1.0788463918747215E-3</v>
      </c>
      <c r="AB10" s="2">
        <f t="shared" si="4"/>
        <v>-7.4734849622339573E-6</v>
      </c>
      <c r="AC10" s="2">
        <f t="shared" si="5"/>
        <v>9.7980236385640185E-6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-17.977823527209466</v>
      </c>
      <c r="AI10" s="2">
        <f t="shared" si="14"/>
        <v>2578.125</v>
      </c>
      <c r="AJ10" s="2">
        <v>111.94935108063737</v>
      </c>
      <c r="AK10" s="2">
        <f t="shared" si="9"/>
        <v>2429.6875</v>
      </c>
      <c r="AL10" s="2">
        <v>47.856699640851048</v>
      </c>
      <c r="AM10" s="2">
        <f t="shared" si="10"/>
        <v>-860.35930073788882</v>
      </c>
      <c r="AN10" s="2">
        <f t="shared" si="11"/>
        <v>5357.5264696542463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0.74808027867791738</v>
      </c>
      <c r="U11" s="2">
        <v>7</v>
      </c>
      <c r="V11" s="2">
        <f t="shared" si="7"/>
        <v>0.96875</v>
      </c>
      <c r="W11" s="2">
        <f t="shared" si="0"/>
        <v>6.927292910761107E-3</v>
      </c>
      <c r="X11" s="2">
        <f t="shared" si="8"/>
        <v>0.9765625</v>
      </c>
      <c r="Y11" s="2">
        <f t="shared" si="1"/>
        <v>-1.0788463918747215E-3</v>
      </c>
      <c r="Z11" s="2">
        <f t="shared" si="3"/>
        <v>0.97265625</v>
      </c>
      <c r="AA11" s="2">
        <f t="shared" si="2"/>
        <v>2.9238386649357295E-3</v>
      </c>
      <c r="AB11" s="2">
        <f t="shared" si="4"/>
        <v>2.02542868558185E-5</v>
      </c>
      <c r="AC11" s="2">
        <f t="shared" si="5"/>
        <v>-3.1543727940897148E-6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-17.977823527209466</v>
      </c>
      <c r="AI11" s="2">
        <f t="shared" si="14"/>
        <v>2429.6875</v>
      </c>
      <c r="AJ11" s="2">
        <v>47.856699640851048</v>
      </c>
      <c r="AK11" s="2">
        <f t="shared" si="9"/>
        <v>2355.46875</v>
      </c>
      <c r="AL11" s="2">
        <v>15.155962605656896</v>
      </c>
      <c r="AM11" s="2">
        <f t="shared" si="10"/>
        <v>-272.47122110948544</v>
      </c>
      <c r="AN11" s="2">
        <f t="shared" si="11"/>
        <v>725.31435018689228</v>
      </c>
      <c r="AO11" s="2">
        <f t="shared" si="12"/>
        <v>148.4375</v>
      </c>
    </row>
    <row r="12" spans="2:41" x14ac:dyDescent="0.2">
      <c r="B12" s="6" t="s">
        <v>135</v>
      </c>
      <c r="C12" s="16">
        <v>22.731982944952499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0.44138906451608328</v>
      </c>
      <c r="U12" s="2">
        <v>8</v>
      </c>
      <c r="V12" s="2">
        <f t="shared" si="7"/>
        <v>0.97265625</v>
      </c>
      <c r="W12" s="2">
        <f t="shared" si="0"/>
        <v>2.9238386649357295E-3</v>
      </c>
      <c r="X12" s="2">
        <f t="shared" si="8"/>
        <v>0.9765625</v>
      </c>
      <c r="Y12" s="2">
        <f t="shared" si="1"/>
        <v>-1.0788463918747215E-3</v>
      </c>
      <c r="Z12" s="2">
        <f t="shared" si="3"/>
        <v>0.974609375</v>
      </c>
      <c r="AA12" s="2">
        <f t="shared" si="2"/>
        <v>9.2240055755377082E-4</v>
      </c>
      <c r="AB12" s="2">
        <f t="shared" si="4"/>
        <v>2.6969504147339897E-6</v>
      </c>
      <c r="AC12" s="2">
        <f t="shared" si="5"/>
        <v>-9.9512851338011704E-7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-17.977823527209466</v>
      </c>
      <c r="AI12" s="2">
        <f t="shared" si="14"/>
        <v>2355.46875</v>
      </c>
      <c r="AJ12" s="2">
        <v>15.155962605656896</v>
      </c>
      <c r="AK12" s="2">
        <f t="shared" si="9"/>
        <v>2318.359375</v>
      </c>
      <c r="AL12" s="2">
        <v>-1.3569638661033423</v>
      </c>
      <c r="AM12" s="2">
        <f t="shared" si="10"/>
        <v>24.395256917605781</v>
      </c>
      <c r="AN12" s="2">
        <f t="shared" si="11"/>
        <v>-20.566093611889865</v>
      </c>
      <c r="AO12" s="2">
        <f t="shared" si="12"/>
        <v>74.21875</v>
      </c>
    </row>
    <row r="13" spans="2:41" x14ac:dyDescent="0.2">
      <c r="B13" s="6" t="s">
        <v>136</v>
      </c>
      <c r="C13" s="16">
        <v>10.329173931813299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2.9184691243554731E-2</v>
      </c>
      <c r="U13" s="2">
        <v>9</v>
      </c>
      <c r="V13" s="2">
        <f t="shared" si="7"/>
        <v>0.974609375</v>
      </c>
      <c r="W13" s="2">
        <f t="shared" si="0"/>
        <v>9.2240055755377082E-4</v>
      </c>
      <c r="X13" s="2">
        <f t="shared" si="8"/>
        <v>0.9765625</v>
      </c>
      <c r="Y13" s="2">
        <f t="shared" si="1"/>
        <v>-1.0788463918747215E-3</v>
      </c>
      <c r="Z13" s="2">
        <f t="shared" si="3"/>
        <v>0.9755859375</v>
      </c>
      <c r="AA13" s="2">
        <f t="shared" si="2"/>
        <v>-7.8246741188281455E-5</v>
      </c>
      <c r="AB13" s="2">
        <f t="shared" si="4"/>
        <v>-7.2174837698836421E-8</v>
      </c>
      <c r="AC13" s="2">
        <f t="shared" si="5"/>
        <v>8.4416214406932603E-8</v>
      </c>
      <c r="AD13" s="2">
        <f t="shared" si="6"/>
        <v>1.953125E-3</v>
      </c>
      <c r="AF13" s="2">
        <v>9</v>
      </c>
      <c r="AG13" s="2">
        <f t="shared" si="13"/>
        <v>2318.359375</v>
      </c>
      <c r="AH13" s="2">
        <v>-1.3569638661033423</v>
      </c>
      <c r="AI13" s="2">
        <f t="shared" si="14"/>
        <v>2355.46875</v>
      </c>
      <c r="AJ13" s="2">
        <v>15.155962605656896</v>
      </c>
      <c r="AK13" s="2">
        <f t="shared" si="9"/>
        <v>2336.9140625</v>
      </c>
      <c r="AL13" s="2">
        <v>6.9130124912799147</v>
      </c>
      <c r="AM13" s="2">
        <f t="shared" si="10"/>
        <v>-9.3807081565878914</v>
      </c>
      <c r="AN13" s="2">
        <f t="shared" si="11"/>
        <v>104.7733588102774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70.220878958462222</v>
      </c>
      <c r="H14" s="6" t="s">
        <v>10</v>
      </c>
      <c r="J14" s="9" t="s">
        <v>75</v>
      </c>
      <c r="K14" s="17">
        <f>C5</f>
        <v>2321.3928327582798</v>
      </c>
      <c r="L14" s="6" t="s">
        <v>7</v>
      </c>
      <c r="N14" s="6" t="s">
        <v>40</v>
      </c>
      <c r="O14" s="6">
        <f xml:space="preserve"> O5 * O13 * $C$12</f>
        <v>1504.2942108430045</v>
      </c>
      <c r="P14" s="6" t="s">
        <v>21</v>
      </c>
      <c r="U14" s="2">
        <v>10</v>
      </c>
      <c r="V14" s="2">
        <f t="shared" si="7"/>
        <v>0.974609375</v>
      </c>
      <c r="W14" s="2">
        <f t="shared" si="0"/>
        <v>9.2240055755377082E-4</v>
      </c>
      <c r="X14" s="2">
        <f t="shared" si="8"/>
        <v>0.9755859375</v>
      </c>
      <c r="Y14" s="2">
        <f t="shared" si="1"/>
        <v>-7.8246741188281455E-5</v>
      </c>
      <c r="Z14" s="2">
        <f t="shared" si="3"/>
        <v>0.97509765625</v>
      </c>
      <c r="AA14" s="2">
        <f t="shared" si="2"/>
        <v>4.2207094335799944E-4</v>
      </c>
      <c r="AB14" s="2">
        <f t="shared" si="4"/>
        <v>3.8931847348066469E-7</v>
      </c>
      <c r="AC14" s="2">
        <f t="shared" si="5"/>
        <v>-3.3025675868027181E-8</v>
      </c>
      <c r="AD14" s="2">
        <f t="shared" si="6"/>
        <v>9.765625E-4</v>
      </c>
      <c r="AF14" s="2">
        <v>10</v>
      </c>
      <c r="AG14" s="2">
        <f t="shared" si="13"/>
        <v>2318.359375</v>
      </c>
      <c r="AH14" s="2">
        <v>-1.3569638661033423</v>
      </c>
      <c r="AI14" s="2">
        <f t="shared" si="14"/>
        <v>2336.9140625</v>
      </c>
      <c r="AJ14" s="2">
        <v>6.9130124912799147</v>
      </c>
      <c r="AK14" s="2">
        <f t="shared" si="9"/>
        <v>2327.63671875</v>
      </c>
      <c r="AL14" s="2">
        <v>2.7814001776926034</v>
      </c>
      <c r="AM14" s="2">
        <f t="shared" si="10"/>
        <v>-3.7742595383022786</v>
      </c>
      <c r="AN14" s="2">
        <f t="shared" si="11"/>
        <v>19.227854171637141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0.21104985924457148</v>
      </c>
      <c r="H15" s="6" t="s">
        <v>120</v>
      </c>
      <c r="J15" s="10" t="s">
        <v>53</v>
      </c>
      <c r="K15" s="6">
        <f xml:space="preserve"> 1000 * K10 / ($C$60 * $C$61 * $C$62)</f>
        <v>620.70405863814005</v>
      </c>
      <c r="L15" s="6" t="s">
        <v>7</v>
      </c>
      <c r="N15" s="6" t="s">
        <v>140</v>
      </c>
      <c r="O15" s="6">
        <f>O4/O14</f>
        <v>15.123992946595298</v>
      </c>
      <c r="U15" s="2">
        <v>11</v>
      </c>
      <c r="V15" s="2">
        <f t="shared" si="7"/>
        <v>0.97509765625</v>
      </c>
      <c r="W15" s="2">
        <f t="shared" si="0"/>
        <v>4.2207094335799944E-4</v>
      </c>
      <c r="X15" s="2">
        <f t="shared" si="8"/>
        <v>0.9755859375</v>
      </c>
      <c r="Y15" s="2">
        <f t="shared" si="1"/>
        <v>-7.8246741188281455E-5</v>
      </c>
      <c r="Z15" s="2">
        <f t="shared" si="3"/>
        <v>0.975341796875</v>
      </c>
      <c r="AA15" s="2">
        <f t="shared" si="2"/>
        <v>1.7191061098220661E-4</v>
      </c>
      <c r="AB15" s="2">
        <f t="shared" si="4"/>
        <v>7.2558473750509998E-8</v>
      </c>
      <c r="AC15" s="2">
        <f t="shared" si="5"/>
        <v>-1.3451445085044057E-8</v>
      </c>
      <c r="AD15" s="2">
        <f t="shared" si="6"/>
        <v>4.8828125E-4</v>
      </c>
      <c r="AF15" s="2">
        <v>11</v>
      </c>
      <c r="AG15" s="2">
        <f t="shared" si="13"/>
        <v>2318.359375</v>
      </c>
      <c r="AH15" s="2">
        <v>-1.3569638661033423</v>
      </c>
      <c r="AI15" s="2">
        <f t="shared" si="14"/>
        <v>2327.63671875</v>
      </c>
      <c r="AJ15" s="2">
        <v>2.7814001776926034</v>
      </c>
      <c r="AK15" s="2">
        <f t="shared" si="9"/>
        <v>2322.998046875</v>
      </c>
      <c r="AL15" s="2">
        <v>0.71306192990482486</v>
      </c>
      <c r="AM15" s="2">
        <f t="shared" si="10"/>
        <v>-0.96759927317476158</v>
      </c>
      <c r="AN15" s="2">
        <f t="shared" si="11"/>
        <v>1.9833105785431107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1504.2942108430045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170.47828267571725</v>
      </c>
      <c r="L16" s="6" t="s">
        <v>7</v>
      </c>
      <c r="N16" s="6" t="s">
        <v>111</v>
      </c>
      <c r="O16" s="6">
        <f>(O13*$C$12)/(0.3048^2)/($C$5*2.20462/1000)^(2/3)</f>
        <v>2.4045893051537361</v>
      </c>
      <c r="U16" s="2">
        <v>12</v>
      </c>
      <c r="V16" s="2">
        <f t="shared" si="7"/>
        <v>0.975341796875</v>
      </c>
      <c r="W16" s="2">
        <f t="shared" si="0"/>
        <v>1.7191061098220661E-4</v>
      </c>
      <c r="X16" s="2">
        <f t="shared" si="8"/>
        <v>0.9755859375</v>
      </c>
      <c r="Y16" s="2">
        <f t="shared" si="1"/>
        <v>-7.8246741188281455E-5</v>
      </c>
      <c r="Z16" s="2">
        <f t="shared" si="3"/>
        <v>0.9754638671875</v>
      </c>
      <c r="AA16" s="2">
        <f t="shared" si="2"/>
        <v>4.6831562509175306E-5</v>
      </c>
      <c r="AB16" s="2">
        <f t="shared" si="4"/>
        <v>8.0508425242037281E-9</v>
      </c>
      <c r="AC16" s="2">
        <f t="shared" si="5"/>
        <v>-3.664417151098265E-9</v>
      </c>
      <c r="AD16" s="2">
        <f t="shared" si="6"/>
        <v>2.44140625E-4</v>
      </c>
      <c r="AF16" s="2">
        <v>12</v>
      </c>
      <c r="AG16" s="2">
        <f t="shared" si="13"/>
        <v>2318.359375</v>
      </c>
      <c r="AH16" s="2">
        <v>-1.3569638661033423</v>
      </c>
      <c r="AI16" s="2">
        <f t="shared" si="14"/>
        <v>2322.998046875</v>
      </c>
      <c r="AJ16" s="2">
        <v>0.71306192990482486</v>
      </c>
      <c r="AK16" s="2">
        <f t="shared" si="9"/>
        <v>2320.6787109375</v>
      </c>
      <c r="AL16" s="2">
        <v>-0.32174027585961085</v>
      </c>
      <c r="AM16" s="2">
        <f t="shared" si="10"/>
        <v>0.43658992861161339</v>
      </c>
      <c r="AN16" s="2">
        <f t="shared" si="11"/>
        <v>-0.22942074203256485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105.74841740146934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0.9754638671875</v>
      </c>
      <c r="W17" s="2">
        <f t="shared" si="0"/>
        <v>4.6831562509175306E-5</v>
      </c>
      <c r="X17" s="2">
        <f t="shared" si="8"/>
        <v>0.9755859375</v>
      </c>
      <c r="Y17" s="2">
        <f t="shared" si="1"/>
        <v>-7.8246741188281455E-5</v>
      </c>
      <c r="Z17" s="2">
        <f t="shared" si="3"/>
        <v>0.97552490234375</v>
      </c>
      <c r="AA17" s="2">
        <f t="shared" si="2"/>
        <v>-1.5707682419319191E-5</v>
      </c>
      <c r="AB17" s="2">
        <f t="shared" si="4"/>
        <v>-7.356153110946207E-10</v>
      </c>
      <c r="AC17" s="2">
        <f t="shared" si="5"/>
        <v>1.2290749609321874E-9</v>
      </c>
      <c r="AD17" s="2">
        <f t="shared" si="6"/>
        <v>1.220703125E-4</v>
      </c>
      <c r="AF17" s="2">
        <v>13</v>
      </c>
      <c r="AG17" s="2">
        <f t="shared" si="13"/>
        <v>2320.6787109375</v>
      </c>
      <c r="AH17" s="2">
        <v>-0.32174027585961085</v>
      </c>
      <c r="AI17" s="2">
        <f t="shared" si="14"/>
        <v>2322.998046875</v>
      </c>
      <c r="AJ17" s="2">
        <v>0.71306192990482486</v>
      </c>
      <c r="AK17" s="2">
        <f t="shared" si="9"/>
        <v>2321.83837890625</v>
      </c>
      <c r="AL17" s="2">
        <v>0.19571343540951602</v>
      </c>
      <c r="AM17" s="2">
        <f t="shared" si="10"/>
        <v>-6.296889469808982E-2</v>
      </c>
      <c r="AN17" s="2">
        <f t="shared" si="11"/>
        <v>0.13955579996141279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1.4514707772176825</v>
      </c>
      <c r="H18" s="6" t="s">
        <v>172</v>
      </c>
      <c r="J18" s="12" t="s">
        <v>54</v>
      </c>
      <c r="K18" s="6">
        <f xml:space="preserve"> $C$78 * (0.2138 * K4 + 0.2138 * K6)</f>
        <v>114.43715831708215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0.9754638671875</v>
      </c>
      <c r="W18" s="2">
        <f t="shared" si="0"/>
        <v>4.6831562509175306E-5</v>
      </c>
      <c r="X18" s="2">
        <f t="shared" si="8"/>
        <v>0.97552490234375</v>
      </c>
      <c r="Y18" s="2">
        <f t="shared" si="1"/>
        <v>-1.5707682419319191E-5</v>
      </c>
      <c r="Z18" s="2">
        <f t="shared" si="3"/>
        <v>0.975494384765625</v>
      </c>
      <c r="AA18" s="2">
        <f t="shared" si="2"/>
        <v>1.5561916772877105E-5</v>
      </c>
      <c r="AB18" s="2">
        <f t="shared" si="4"/>
        <v>7.2878887811157778E-10</v>
      </c>
      <c r="AC18" s="2">
        <f t="shared" si="5"/>
        <v>-2.4444164650423014E-10</v>
      </c>
      <c r="AD18" s="2">
        <f t="shared" si="6"/>
        <v>6.103515625E-5</v>
      </c>
      <c r="AF18" s="2">
        <v>14</v>
      </c>
      <c r="AG18" s="2">
        <f t="shared" si="13"/>
        <v>2320.6787109375</v>
      </c>
      <c r="AH18" s="2">
        <v>-0.32174027585961085</v>
      </c>
      <c r="AI18" s="2">
        <f t="shared" si="14"/>
        <v>2321.83837890625</v>
      </c>
      <c r="AJ18" s="2">
        <v>0.19571343540951602</v>
      </c>
      <c r="AK18" s="2">
        <f t="shared" si="9"/>
        <v>2321.258544921875</v>
      </c>
      <c r="AL18" s="2">
        <v>-6.3000198921827177E-2</v>
      </c>
      <c r="AM18" s="2">
        <f t="shared" si="10"/>
        <v>2.0269701380319034E-2</v>
      </c>
      <c r="AN18" s="2">
        <f t="shared" si="11"/>
        <v>-1.2329985362473685E-2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5.5781162065908142E-2</v>
      </c>
      <c r="J19" s="12" t="s">
        <v>73</v>
      </c>
      <c r="K19" s="6">
        <f xml:space="preserve"> $C$78 * (0.1149 * K4 + 0.1149 * K6)</f>
        <v>61.500605662454348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0.975494384765625</v>
      </c>
      <c r="W19" s="2">
        <f t="shared" si="0"/>
        <v>1.5561916772877105E-5</v>
      </c>
      <c r="X19" s="2">
        <f t="shared" si="8"/>
        <v>0.97552490234375</v>
      </c>
      <c r="Y19" s="2">
        <f t="shared" si="1"/>
        <v>-1.5707682419319191E-5</v>
      </c>
      <c r="Z19" s="2">
        <f t="shared" si="3"/>
        <v>0.9755096435546875</v>
      </c>
      <c r="AA19" s="2">
        <f t="shared" si="2"/>
        <v>-7.2888641011736865E-8</v>
      </c>
      <c r="AB19" s="2">
        <f t="shared" si="4"/>
        <v>-1.134286965112766E-12</v>
      </c>
      <c r="AC19" s="2">
        <f t="shared" si="5"/>
        <v>1.144911624988127E-12</v>
      </c>
      <c r="AD19" s="2">
        <f t="shared" si="6"/>
        <v>3.0517578125E-5</v>
      </c>
      <c r="AF19" s="2">
        <v>15</v>
      </c>
      <c r="AG19" s="2">
        <f t="shared" si="13"/>
        <v>2321.258544921875</v>
      </c>
      <c r="AH19" s="2">
        <v>-6.3000198921827177E-2</v>
      </c>
      <c r="AI19" s="2">
        <f t="shared" si="14"/>
        <v>2321.83837890625</v>
      </c>
      <c r="AJ19" s="2">
        <v>0.19571343540951602</v>
      </c>
      <c r="AK19" s="2">
        <f t="shared" si="9"/>
        <v>2321.5484619140625</v>
      </c>
      <c r="AL19" s="2">
        <v>6.6359853802850921E-2</v>
      </c>
      <c r="AM19" s="2">
        <f t="shared" si="10"/>
        <v>-4.1806839900029773E-3</v>
      </c>
      <c r="AN19" s="2">
        <f t="shared" si="11"/>
        <v>1.2987514961029191E-2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105.74841740146934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216.57749920583879</v>
      </c>
      <c r="L20" s="6" t="s">
        <v>7</v>
      </c>
      <c r="N20" s="6" t="s">
        <v>20</v>
      </c>
      <c r="O20" s="6">
        <f xml:space="preserve"> O14 / $C$28</f>
        <v>1504.2942108430045</v>
      </c>
      <c r="P20" s="6" t="s">
        <v>21</v>
      </c>
      <c r="U20" s="2">
        <v>16</v>
      </c>
      <c r="V20" s="2">
        <f t="shared" si="7"/>
        <v>0.975494384765625</v>
      </c>
      <c r="W20" s="2">
        <f t="shared" si="0"/>
        <v>1.5561916772877105E-5</v>
      </c>
      <c r="X20" s="2">
        <f t="shared" si="8"/>
        <v>0.9755096435546875</v>
      </c>
      <c r="Y20" s="2">
        <f t="shared" si="1"/>
        <v>-7.2888641011736865E-8</v>
      </c>
      <c r="Z20" s="2">
        <f t="shared" si="3"/>
        <v>0.97550201416015625</v>
      </c>
      <c r="AA20" s="2">
        <f t="shared" si="2"/>
        <v>7.7445126114294993E-6</v>
      </c>
      <c r="AB20" s="2">
        <f t="shared" si="4"/>
        <v>1.20519460705563E-10</v>
      </c>
      <c r="AC20" s="2">
        <f t="shared" si="5"/>
        <v>-5.6448699954535362E-13</v>
      </c>
      <c r="AD20" s="2">
        <f t="shared" si="6"/>
        <v>1.52587890625E-5</v>
      </c>
      <c r="AF20" s="2">
        <v>16</v>
      </c>
      <c r="AG20" s="2">
        <f t="shared" si="13"/>
        <v>2321.258544921875</v>
      </c>
      <c r="AH20" s="2">
        <v>-6.3000198921827177E-2</v>
      </c>
      <c r="AI20" s="2">
        <f t="shared" si="14"/>
        <v>2321.5484619140625</v>
      </c>
      <c r="AJ20" s="2">
        <v>6.6359853802850921E-2</v>
      </c>
      <c r="AK20" s="2">
        <f t="shared" si="9"/>
        <v>2321.4035034179688</v>
      </c>
      <c r="AL20" s="2">
        <v>1.680915715496667E-3</v>
      </c>
      <c r="AM20" s="2">
        <f t="shared" si="10"/>
        <v>-1.0589802444711548E-4</v>
      </c>
      <c r="AN20" s="2">
        <f t="shared" si="11"/>
        <v>1.1154532113527337E-4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60.356213651715279</v>
      </c>
      <c r="L21" s="6" t="s">
        <v>7</v>
      </c>
      <c r="N21" s="6" t="s">
        <v>27</v>
      </c>
      <c r="O21" s="6">
        <f>$C$6*2*PI()/60</f>
        <v>49.276229716690573</v>
      </c>
      <c r="P21" s="6" t="s">
        <v>28</v>
      </c>
      <c r="U21" s="2">
        <v>17</v>
      </c>
      <c r="V21" s="2">
        <f t="shared" si="7"/>
        <v>0.97550201416015625</v>
      </c>
      <c r="W21" s="2">
        <f t="shared" si="0"/>
        <v>7.7445126114294993E-6</v>
      </c>
      <c r="X21" s="2">
        <f t="shared" si="8"/>
        <v>0.9755096435546875</v>
      </c>
      <c r="Y21" s="2">
        <f t="shared" si="1"/>
        <v>-7.2888641011736865E-8</v>
      </c>
      <c r="Z21" s="2">
        <f t="shared" si="3"/>
        <v>0.97550582885742188</v>
      </c>
      <c r="AA21" s="2">
        <f t="shared" si="2"/>
        <v>3.8358116216663518E-6</v>
      </c>
      <c r="AB21" s="2">
        <f t="shared" si="4"/>
        <v>2.9706491479062903E-11</v>
      </c>
      <c r="AC21" s="2">
        <f t="shared" si="5"/>
        <v>-2.7958709628028694E-13</v>
      </c>
      <c r="AD21" s="2">
        <f t="shared" si="6"/>
        <v>7.62939453125E-6</v>
      </c>
      <c r="AF21" s="2">
        <v>17</v>
      </c>
      <c r="AG21" s="2">
        <f t="shared" si="13"/>
        <v>2321.258544921875</v>
      </c>
      <c r="AH21" s="2">
        <v>-6.3000198921827177E-2</v>
      </c>
      <c r="AI21" s="2">
        <f t="shared" si="14"/>
        <v>2321.4035034179688</v>
      </c>
      <c r="AJ21" s="2">
        <v>1.680915715496667E-3</v>
      </c>
      <c r="AK21" s="2">
        <f t="shared" si="9"/>
        <v>2321.3310241699219</v>
      </c>
      <c r="AL21" s="2">
        <v>-3.0659718775041256E-2</v>
      </c>
      <c r="AM21" s="2">
        <f t="shared" si="10"/>
        <v>1.9315683817148785E-3</v>
      </c>
      <c r="AN21" s="2">
        <f t="shared" si="11"/>
        <v>-5.1536403121675068E-5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307.14672490691163</v>
      </c>
      <c r="L22" s="6" t="s">
        <v>7</v>
      </c>
      <c r="N22" s="6" t="s">
        <v>29</v>
      </c>
      <c r="O22" s="6">
        <f xml:space="preserve"> $C$7 * COS(O19/180*PI()) / (O21 * $C$10)</f>
        <v>8.3227603703793965E-2</v>
      </c>
      <c r="U22" s="2">
        <v>18</v>
      </c>
      <c r="V22" s="2">
        <f t="shared" si="7"/>
        <v>0.97550582885742188</v>
      </c>
      <c r="W22" s="2">
        <f t="shared" si="0"/>
        <v>3.8358116216663518E-6</v>
      </c>
      <c r="X22" s="2">
        <f t="shared" si="8"/>
        <v>0.9755096435546875</v>
      </c>
      <c r="Y22" s="2">
        <f t="shared" si="1"/>
        <v>-7.2888641011736865E-8</v>
      </c>
      <c r="Z22" s="2">
        <f t="shared" si="3"/>
        <v>0.97550773620605469</v>
      </c>
      <c r="AA22" s="2">
        <f t="shared" si="2"/>
        <v>1.8814613994555529E-6</v>
      </c>
      <c r="AB22" s="2">
        <f t="shared" si="4"/>
        <v>7.2169315017482483E-12</v>
      </c>
      <c r="AC22" s="2">
        <f t="shared" si="5"/>
        <v>-1.3713716452235586E-13</v>
      </c>
      <c r="AD22" s="2">
        <f t="shared" si="6"/>
        <v>3.814697265625E-6</v>
      </c>
      <c r="AF22" s="2">
        <v>18</v>
      </c>
      <c r="AG22" s="2">
        <f t="shared" si="13"/>
        <v>2321.3310241699219</v>
      </c>
      <c r="AH22" s="2">
        <v>-3.0659718775041256E-2</v>
      </c>
      <c r="AI22" s="2">
        <f t="shared" si="14"/>
        <v>2321.4035034179688</v>
      </c>
      <c r="AJ22" s="2">
        <v>1.680915715496667E-3</v>
      </c>
      <c r="AK22" s="2">
        <f t="shared" si="9"/>
        <v>2321.3672637939453</v>
      </c>
      <c r="AL22" s="2">
        <v>-1.4489071585558122E-2</v>
      </c>
      <c r="AM22" s="2">
        <f t="shared" si="10"/>
        <v>4.4423086012465314E-4</v>
      </c>
      <c r="AN22" s="2">
        <f t="shared" si="11"/>
        <v>-2.4354908131120858E-5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26.033490596632461</v>
      </c>
      <c r="L23" s="6" t="s">
        <v>7</v>
      </c>
      <c r="N23" s="6" t="s">
        <v>30</v>
      </c>
      <c r="O23" s="6">
        <f xml:space="preserve"> O20 / ( $C$71 * PI() * $C$10^2 * O21^2 * $C$10^2)</f>
        <v>4.7413033288829322E-2</v>
      </c>
      <c r="U23" s="2">
        <v>19</v>
      </c>
      <c r="V23" s="2">
        <f t="shared" si="7"/>
        <v>0.97550773620605469</v>
      </c>
      <c r="W23" s="2">
        <f t="shared" si="0"/>
        <v>1.8814613994555529E-6</v>
      </c>
      <c r="X23" s="2">
        <f t="shared" si="8"/>
        <v>0.9755096435546875</v>
      </c>
      <c r="Y23" s="2">
        <f t="shared" si="1"/>
        <v>-7.2888641011736865E-8</v>
      </c>
      <c r="Z23" s="2">
        <f t="shared" si="3"/>
        <v>0.97550868988037109</v>
      </c>
      <c r="AA23" s="2">
        <f t="shared" si="2"/>
        <v>9.0428635646233602E-7</v>
      </c>
      <c r="AB23" s="2">
        <f t="shared" si="4"/>
        <v>1.7013798737381898E-12</v>
      </c>
      <c r="AC23" s="2">
        <f t="shared" si="5"/>
        <v>-6.5912203607994721E-14</v>
      </c>
      <c r="AD23" s="2">
        <f t="shared" si="6"/>
        <v>1.9073486328125E-6</v>
      </c>
      <c r="AF23" s="2">
        <v>19</v>
      </c>
      <c r="AG23" s="2">
        <f t="shared" si="13"/>
        <v>2321.3672637939453</v>
      </c>
      <c r="AH23" s="2">
        <v>-1.4489071585558122E-2</v>
      </c>
      <c r="AI23" s="2">
        <f t="shared" si="14"/>
        <v>2321.4035034179688</v>
      </c>
      <c r="AJ23" s="2">
        <v>1.680915715496667E-3</v>
      </c>
      <c r="AK23" s="2">
        <f t="shared" si="9"/>
        <v>2321.385383605957</v>
      </c>
      <c r="AL23" s="2">
        <v>-6.404065295782857E-3</v>
      </c>
      <c r="AM23" s="2">
        <f t="shared" si="10"/>
        <v>9.2788960509186259E-5</v>
      </c>
      <c r="AN23" s="2">
        <f t="shared" si="11"/>
        <v>-1.0764693998748215E-5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8.9317143410397541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0.97550868988037109</v>
      </c>
      <c r="W24" s="2">
        <f t="shared" si="0"/>
        <v>9.0428635646233602E-7</v>
      </c>
      <c r="X24" s="2">
        <f t="shared" si="8"/>
        <v>0.9755096435546875</v>
      </c>
      <c r="Y24" s="2">
        <f t="shared" si="1"/>
        <v>-7.2888641011736865E-8</v>
      </c>
      <c r="Z24" s="2">
        <f t="shared" si="3"/>
        <v>0.9755091667175293</v>
      </c>
      <c r="AA24" s="2">
        <f t="shared" si="2"/>
        <v>4.156988521186733E-7</v>
      </c>
      <c r="AB24" s="2">
        <f t="shared" si="4"/>
        <v>3.7591080036797049E-13</v>
      </c>
      <c r="AC24" s="2">
        <f t="shared" si="5"/>
        <v>-3.0299724401069071E-14</v>
      </c>
      <c r="AD24" s="2">
        <f t="shared" si="6"/>
        <v>9.5367431640625E-7</v>
      </c>
      <c r="AF24" s="2">
        <v>20</v>
      </c>
      <c r="AG24" s="2">
        <f t="shared" si="13"/>
        <v>2321.385383605957</v>
      </c>
      <c r="AH24" s="2">
        <v>-6.404065295782857E-3</v>
      </c>
      <c r="AI24" s="2">
        <f t="shared" si="14"/>
        <v>2321.4035034179688</v>
      </c>
      <c r="AJ24" s="2">
        <v>1.680915715496667E-3</v>
      </c>
      <c r="AK24" s="2">
        <f t="shared" si="9"/>
        <v>2321.3944435119629</v>
      </c>
      <c r="AL24" s="2">
        <v>-2.3618510242613411E-3</v>
      </c>
      <c r="AM24" s="2">
        <f t="shared" si="10"/>
        <v>1.5125448178281249E-5</v>
      </c>
      <c r="AN24" s="2">
        <f t="shared" si="11"/>
        <v>-3.970072504342788E-6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23.183346325001558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2174.6004642566927</v>
      </c>
      <c r="P25" s="6" t="s">
        <v>19</v>
      </c>
      <c r="U25" s="2">
        <v>21</v>
      </c>
      <c r="V25" s="2">
        <f t="shared" si="7"/>
        <v>0.9755091667175293</v>
      </c>
      <c r="W25" s="2">
        <f t="shared" si="0"/>
        <v>4.156988521186733E-7</v>
      </c>
      <c r="X25" s="2">
        <f t="shared" si="8"/>
        <v>0.9755096435546875</v>
      </c>
      <c r="Y25" s="2">
        <f t="shared" si="1"/>
        <v>-7.2888641011736865E-8</v>
      </c>
      <c r="Z25" s="2">
        <f t="shared" si="3"/>
        <v>0.9755094051361084</v>
      </c>
      <c r="AA25" s="2">
        <f t="shared" si="2"/>
        <v>1.7140510411017829E-7</v>
      </c>
      <c r="AB25" s="2">
        <f t="shared" si="4"/>
        <v>7.1252905025882804E-14</v>
      </c>
      <c r="AC25" s="2">
        <f t="shared" si="5"/>
        <v>-1.2493485101066169E-14</v>
      </c>
      <c r="AD25" s="2">
        <f t="shared" si="6"/>
        <v>4.76837158203125E-7</v>
      </c>
      <c r="AF25" s="2">
        <v>21</v>
      </c>
      <c r="AG25" s="2">
        <f t="shared" si="13"/>
        <v>2321.3944435119629</v>
      </c>
      <c r="AH25" s="2">
        <v>-2.3618510242613411E-3</v>
      </c>
      <c r="AI25" s="2">
        <f t="shared" si="14"/>
        <v>2321.4035034179688</v>
      </c>
      <c r="AJ25" s="2">
        <v>1.680915715496667E-3</v>
      </c>
      <c r="AK25" s="2">
        <f t="shared" si="9"/>
        <v>2321.3989734649658</v>
      </c>
      <c r="AL25" s="2">
        <v>-3.4046686391775438E-4</v>
      </c>
      <c r="AM25" s="2">
        <f t="shared" si="10"/>
        <v>8.0413201127119478E-7</v>
      </c>
      <c r="AN25" s="2">
        <f t="shared" si="11"/>
        <v>-5.7229610216521849E-7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2844.1389255478684</v>
      </c>
      <c r="H26" s="6" t="s">
        <v>21</v>
      </c>
      <c r="J26" s="14" t="s">
        <v>65</v>
      </c>
      <c r="K26" s="6">
        <f xml:space="preserve"> $C$80 * (0.0268 * $C$5)</f>
        <v>49.770662334337523</v>
      </c>
      <c r="L26" s="6" t="s">
        <v>7</v>
      </c>
      <c r="N26" s="6" t="s">
        <v>32</v>
      </c>
      <c r="O26" s="17">
        <f>Z34</f>
        <v>0.97550957230851054</v>
      </c>
      <c r="U26" s="2">
        <v>22</v>
      </c>
      <c r="V26" s="2">
        <f t="shared" si="7"/>
        <v>0.9755094051361084</v>
      </c>
      <c r="W26" s="2">
        <f t="shared" si="0"/>
        <v>1.7140510411017829E-7</v>
      </c>
      <c r="X26" s="2">
        <f t="shared" si="8"/>
        <v>0.9755096435546875</v>
      </c>
      <c r="Y26" s="2">
        <f t="shared" si="1"/>
        <v>-7.2888641011736865E-8</v>
      </c>
      <c r="Z26" s="2">
        <f t="shared" si="3"/>
        <v>0.97550952434539795</v>
      </c>
      <c r="AA26" s="2">
        <f t="shared" si="2"/>
        <v>4.9258231160642652E-8</v>
      </c>
      <c r="AB26" s="2">
        <f t="shared" si="4"/>
        <v>8.4431122403731813E-15</v>
      </c>
      <c r="AC26" s="2">
        <f t="shared" si="5"/>
        <v>-3.5903655279412324E-15</v>
      </c>
      <c r="AD26" s="2">
        <f t="shared" si="6"/>
        <v>2.384185791015625E-7</v>
      </c>
      <c r="AF26" s="2">
        <v>22</v>
      </c>
      <c r="AG26" s="2">
        <f t="shared" si="13"/>
        <v>2321.3989734649658</v>
      </c>
      <c r="AH26" s="2">
        <v>-3.4046686391775438E-4</v>
      </c>
      <c r="AI26" s="2">
        <f t="shared" si="14"/>
        <v>2321.4035034179688</v>
      </c>
      <c r="AJ26" s="2">
        <v>1.680915715496667E-3</v>
      </c>
      <c r="AK26" s="2">
        <f t="shared" si="9"/>
        <v>2321.4012384414673</v>
      </c>
      <c r="AL26" s="2">
        <v>6.699452289922192E-4</v>
      </c>
      <c r="AM26" s="2">
        <f t="shared" si="10"/>
        <v>-2.280941511116427E-7</v>
      </c>
      <c r="AN26" s="2">
        <f t="shared" si="11"/>
        <v>1.1261214639350345E-6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37.412212959951958</v>
      </c>
      <c r="H27" t="s">
        <v>97</v>
      </c>
      <c r="J27" s="14" t="s">
        <v>66</v>
      </c>
      <c r="K27" s="6">
        <f xml:space="preserve"> $C$80 * (11.5 * ($C$5*2.20462/1000)^0.4 * 0.453592)</f>
        <v>8.0183713670630308</v>
      </c>
      <c r="L27" s="6" t="s">
        <v>7</v>
      </c>
      <c r="N27" s="6" t="s">
        <v>33</v>
      </c>
      <c r="O27" s="6">
        <f xml:space="preserve"> O21 * $C$10 * O26 - $C$7 * SIN(O19/180*PI())</f>
        <v>1.700307924657082</v>
      </c>
      <c r="P27" s="6" t="s">
        <v>10</v>
      </c>
      <c r="U27" s="2">
        <v>23</v>
      </c>
      <c r="V27" s="2">
        <f t="shared" si="7"/>
        <v>0.97550952434539795</v>
      </c>
      <c r="W27" s="2">
        <f t="shared" si="0"/>
        <v>4.9258231160642652E-8</v>
      </c>
      <c r="X27" s="2">
        <f t="shared" si="8"/>
        <v>0.9755096435546875</v>
      </c>
      <c r="Y27" s="2">
        <f t="shared" si="1"/>
        <v>-7.2888641011736865E-8</v>
      </c>
      <c r="Z27" s="2">
        <f t="shared" si="3"/>
        <v>0.97550958395004272</v>
      </c>
      <c r="AA27" s="2">
        <f t="shared" si="2"/>
        <v>-1.1815204925547107E-8</v>
      </c>
      <c r="AB27" s="2">
        <f t="shared" si="4"/>
        <v>-5.8199609543296306E-16</v>
      </c>
      <c r="AC27" s="2">
        <f t="shared" si="5"/>
        <v>8.6119423029830827E-16</v>
      </c>
      <c r="AD27" s="2">
        <f t="shared" si="6"/>
        <v>1.1920928955078125E-7</v>
      </c>
      <c r="AF27" s="2">
        <v>23</v>
      </c>
      <c r="AG27" s="2">
        <f t="shared" si="13"/>
        <v>2321.3989734649658</v>
      </c>
      <c r="AH27" s="2">
        <v>-3.4046686391775438E-4</v>
      </c>
      <c r="AI27" s="2">
        <f t="shared" si="14"/>
        <v>2321.4012384414673</v>
      </c>
      <c r="AJ27" s="2">
        <v>6.699452289922192E-4</v>
      </c>
      <c r="AK27" s="2">
        <f t="shared" si="9"/>
        <v>2321.4001059532166</v>
      </c>
      <c r="AL27" s="2">
        <v>1.6473923210469366E-4</v>
      </c>
      <c r="AM27" s="2">
        <f t="shared" si="10"/>
        <v>-5.6088249718904089E-8</v>
      </c>
      <c r="AN27" s="2">
        <f t="shared" si="11"/>
        <v>1.1036626257638134E-7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7.756133121700203</v>
      </c>
      <c r="H28" s="6" t="s">
        <v>172</v>
      </c>
      <c r="J28" s="14" t="s">
        <v>67</v>
      </c>
      <c r="K28" s="6">
        <f xml:space="preserve"> $C$80 * (8 * ($C$5/1000))</f>
        <v>14.856914129652992</v>
      </c>
      <c r="L28" s="6" t="s">
        <v>7</v>
      </c>
      <c r="N28" s="6" t="s">
        <v>34</v>
      </c>
      <c r="O28" s="6">
        <f xml:space="preserve"> 1/$C$31 - O25 * SQRT( (2*$C$71*PI()*$C$10^2) / O20^3 )</f>
        <v>1.1996286688420088</v>
      </c>
      <c r="U28" s="2">
        <v>24</v>
      </c>
      <c r="V28" s="2">
        <f t="shared" si="7"/>
        <v>0.97550952434539795</v>
      </c>
      <c r="W28" s="2">
        <f t="shared" si="0"/>
        <v>4.9258231160642652E-8</v>
      </c>
      <c r="X28" s="2">
        <f t="shared" si="8"/>
        <v>0.97550958395004272</v>
      </c>
      <c r="Y28" s="2">
        <f t="shared" si="1"/>
        <v>-1.1815204925547107E-8</v>
      </c>
      <c r="Z28" s="2">
        <f t="shared" si="3"/>
        <v>0.97550955414772034</v>
      </c>
      <c r="AA28" s="2">
        <f t="shared" si="2"/>
        <v>1.8721513117547772E-8</v>
      </c>
      <c r="AB28" s="2">
        <f t="shared" si="4"/>
        <v>9.2218862082117181E-16</v>
      </c>
      <c r="AC28" s="2">
        <f t="shared" si="5"/>
        <v>-2.2119851400014523E-16</v>
      </c>
      <c r="AD28" s="2">
        <f t="shared" si="6"/>
        <v>5.9604644775390625E-8</v>
      </c>
      <c r="AF28" s="2">
        <v>24</v>
      </c>
      <c r="AG28" s="2">
        <f t="shared" si="13"/>
        <v>2321.3989734649658</v>
      </c>
      <c r="AH28" s="2">
        <v>-3.4046686391775438E-4</v>
      </c>
      <c r="AI28" s="2">
        <f t="shared" si="14"/>
        <v>2321.4001059532166</v>
      </c>
      <c r="AJ28" s="2">
        <v>1.6473923210469366E-4</v>
      </c>
      <c r="AK28" s="2">
        <f t="shared" si="9"/>
        <v>2321.3995397090912</v>
      </c>
      <c r="AL28" s="2">
        <v>-8.7584409811825026E-5</v>
      </c>
      <c r="AM28" s="2">
        <f t="shared" si="10"/>
        <v>2.9819589336719462E-8</v>
      </c>
      <c r="AN28" s="2">
        <f t="shared" si="11"/>
        <v>-1.4428588416742851E-8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299.29770367961567</v>
      </c>
      <c r="H29" s="22" t="s">
        <v>97</v>
      </c>
      <c r="J29" s="14" t="s">
        <v>68</v>
      </c>
      <c r="K29" s="6">
        <f xml:space="preserve"> $C$80 * (13 * ($C$5*2.20462/1000)^1.3 * 0.453592)</f>
        <v>39.400870995581521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0.97550955414772034</v>
      </c>
      <c r="W29" s="2">
        <f t="shared" si="0"/>
        <v>1.8721513117547772E-8</v>
      </c>
      <c r="X29" s="2">
        <f t="shared" si="8"/>
        <v>0.97550958395004272</v>
      </c>
      <c r="Y29" s="2">
        <f t="shared" si="1"/>
        <v>-1.1815204925547107E-8</v>
      </c>
      <c r="Z29" s="2">
        <f t="shared" si="3"/>
        <v>0.97550956904888153</v>
      </c>
      <c r="AA29" s="2">
        <f t="shared" si="2"/>
        <v>3.4531540960003326E-9</v>
      </c>
      <c r="AB29" s="2">
        <f t="shared" si="4"/>
        <v>6.4648269705184047E-17</v>
      </c>
      <c r="AC29" s="2">
        <f t="shared" si="5"/>
        <v>-4.0799723283736298E-17</v>
      </c>
      <c r="AD29" s="2">
        <f t="shared" si="6"/>
        <v>2.9802322387695312E-8</v>
      </c>
      <c r="AF29" s="2">
        <v>25</v>
      </c>
      <c r="AG29" s="2">
        <f t="shared" si="13"/>
        <v>2321.3995397090912</v>
      </c>
      <c r="AH29" s="2">
        <v>-8.7584409811825026E-5</v>
      </c>
      <c r="AI29" s="2">
        <f t="shared" si="14"/>
        <v>2321.4001059532166</v>
      </c>
      <c r="AJ29" s="2">
        <v>1.6473923210469366E-4</v>
      </c>
      <c r="AK29" s="2">
        <f t="shared" si="9"/>
        <v>2321.3998228311539</v>
      </c>
      <c r="AL29" s="2">
        <v>3.8577413761231583E-5</v>
      </c>
      <c r="AM29" s="2">
        <f t="shared" si="10"/>
        <v>-3.3787800163440452E-9</v>
      </c>
      <c r="AN29" s="2">
        <f t="shared" si="11"/>
        <v>6.355213519610333E-9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-3.0803888882928732E-3</v>
      </c>
      <c r="L30" s="9" t="s">
        <v>7</v>
      </c>
      <c r="N30" s="6" t="s">
        <v>36</v>
      </c>
      <c r="O30" s="6">
        <f xml:space="preserve"> 1/$C$77 * LN( EXP($C$77 * O28) + EXP($C$77 * O29) )</f>
        <v>1.2064104942636227</v>
      </c>
      <c r="U30" s="2">
        <v>26</v>
      </c>
      <c r="V30" s="2">
        <f>IF(AB29&gt;0, Z29, V29)</f>
        <v>0.97550956904888153</v>
      </c>
      <c r="W30" s="2">
        <f t="shared" si="0"/>
        <v>3.4531540960003326E-9</v>
      </c>
      <c r="X30" s="2">
        <f t="shared" si="8"/>
        <v>0.97550958395004272</v>
      </c>
      <c r="Y30" s="2">
        <f t="shared" si="1"/>
        <v>-1.1815204925547107E-8</v>
      </c>
      <c r="Z30" s="2">
        <f t="shared" si="3"/>
        <v>0.97550957649946213</v>
      </c>
      <c r="AA30" s="2">
        <f t="shared" si="2"/>
        <v>-4.1810254147733872E-9</v>
      </c>
      <c r="AB30" s="2">
        <f t="shared" si="4"/>
        <v>-1.4437725036506212E-17</v>
      </c>
      <c r="AC30" s="2">
        <f t="shared" si="5"/>
        <v>4.939967207446816E-17</v>
      </c>
      <c r="AD30" s="2">
        <f t="shared" si="6"/>
        <v>1.4901161193847656E-8</v>
      </c>
      <c r="AF30" s="2">
        <v>26</v>
      </c>
      <c r="AG30" s="2">
        <f t="shared" si="13"/>
        <v>2321.3995397090912</v>
      </c>
      <c r="AH30" s="2">
        <v>-8.7584409811825026E-5</v>
      </c>
      <c r="AI30" s="2">
        <f t="shared" si="14"/>
        <v>2321.3998228311539</v>
      </c>
      <c r="AJ30" s="2">
        <v>3.8577413761231583E-5</v>
      </c>
      <c r="AK30" s="2">
        <f t="shared" si="9"/>
        <v>2321.3996812701225</v>
      </c>
      <c r="AL30" s="2">
        <v>-2.4503497343175695E-5</v>
      </c>
      <c r="AM30" s="2">
        <f t="shared" si="10"/>
        <v>2.1461243531276656E-9</v>
      </c>
      <c r="AN30" s="2">
        <f t="shared" si="11"/>
        <v>-9.4528155560492759E-10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0.97550956904888153</v>
      </c>
      <c r="W31" s="2">
        <f t="shared" si="0"/>
        <v>3.4531540960003326E-9</v>
      </c>
      <c r="X31" s="2">
        <f t="shared" si="8"/>
        <v>0.97550957649946213</v>
      </c>
      <c r="Y31" s="2">
        <f t="shared" si="1"/>
        <v>-4.1810254147733872E-9</v>
      </c>
      <c r="Z31" s="2">
        <f t="shared" si="3"/>
        <v>0.97550957277417183</v>
      </c>
      <c r="AA31" s="2">
        <f t="shared" si="2"/>
        <v>-3.6393565938652728E-10</v>
      </c>
      <c r="AB31" s="2">
        <f t="shared" si="4"/>
        <v>-1.2567259128911686E-18</v>
      </c>
      <c r="AC31" s="2">
        <f t="shared" si="5"/>
        <v>1.5216242412373814E-18</v>
      </c>
      <c r="AD31" s="2">
        <f t="shared" si="6"/>
        <v>7.4505805969238281E-9</v>
      </c>
      <c r="AF31" s="2">
        <v>27</v>
      </c>
      <c r="AG31" s="2">
        <f t="shared" si="13"/>
        <v>2321.3996812701225</v>
      </c>
      <c r="AH31" s="2">
        <v>-2.4503497343175695E-5</v>
      </c>
      <c r="AI31" s="2">
        <f t="shared" si="14"/>
        <v>2321.3998228311539</v>
      </c>
      <c r="AJ31" s="2">
        <v>3.8577413761231583E-5</v>
      </c>
      <c r="AK31" s="2">
        <f t="shared" si="9"/>
        <v>2321.3997520506382</v>
      </c>
      <c r="AL31" s="2">
        <v>6.7575645061879186E-6</v>
      </c>
      <c r="AM31" s="2">
        <f t="shared" si="10"/>
        <v>-1.6558396392371404E-10</v>
      </c>
      <c r="AN31" s="2">
        <f t="shared" si="11"/>
        <v>2.6068936197342391E-10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0.97550956904888153</v>
      </c>
      <c r="W32" s="2">
        <f t="shared" si="0"/>
        <v>3.4531540960003326E-9</v>
      </c>
      <c r="X32" s="2">
        <f t="shared" si="8"/>
        <v>0.97550957277417183</v>
      </c>
      <c r="Y32" s="2">
        <f t="shared" si="1"/>
        <v>-3.6393565938652728E-10</v>
      </c>
      <c r="Z32" s="2">
        <f t="shared" si="3"/>
        <v>0.97550957091152668</v>
      </c>
      <c r="AA32" s="2">
        <f t="shared" si="2"/>
        <v>1.5446092183069027E-9</v>
      </c>
      <c r="AB32" s="2">
        <f t="shared" si="4"/>
        <v>5.3337736489163529E-18</v>
      </c>
      <c r="AC32" s="2">
        <f t="shared" si="5"/>
        <v>-5.6213837435903108E-19</v>
      </c>
      <c r="AD32" s="2">
        <f t="shared" si="6"/>
        <v>3.7252902984619141E-9</v>
      </c>
      <c r="AF32" s="2">
        <v>28</v>
      </c>
      <c r="AG32" s="2">
        <f t="shared" si="13"/>
        <v>2321.3996812701225</v>
      </c>
      <c r="AH32" s="2">
        <v>-2.4503497343175695E-5</v>
      </c>
      <c r="AI32" s="2">
        <f t="shared" si="14"/>
        <v>2321.3997520506382</v>
      </c>
      <c r="AJ32" s="2">
        <v>6.7575645061879186E-6</v>
      </c>
      <c r="AK32" s="2">
        <f t="shared" si="9"/>
        <v>2321.3997166603804</v>
      </c>
      <c r="AL32" s="2">
        <v>-9.1523597802734002E-6</v>
      </c>
      <c r="AM32" s="2">
        <f t="shared" si="10"/>
        <v>2.2426482355971735E-10</v>
      </c>
      <c r="AN32" s="2">
        <f t="shared" si="11"/>
        <v>-6.1847661599037387E-11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105.74841740146934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0.97550957091152668</v>
      </c>
      <c r="W33" s="2">
        <f t="shared" si="0"/>
        <v>1.5446092183069027E-9</v>
      </c>
      <c r="X33" s="2">
        <f t="shared" si="8"/>
        <v>0.97550957277417183</v>
      </c>
      <c r="Y33" s="2">
        <f t="shared" si="1"/>
        <v>-3.6393565938652728E-10</v>
      </c>
      <c r="Z33" s="2">
        <f t="shared" si="3"/>
        <v>0.97550957184284925</v>
      </c>
      <c r="AA33" s="2">
        <f t="shared" si="2"/>
        <v>5.903367794601877E-10</v>
      </c>
      <c r="AB33" s="2">
        <f t="shared" si="4"/>
        <v>9.1183963145981492E-19</v>
      </c>
      <c r="AC33" s="2">
        <f t="shared" si="5"/>
        <v>-2.1484460509296234E-19</v>
      </c>
      <c r="AD33" s="2">
        <f t="shared" si="6"/>
        <v>1.862645149230957E-9</v>
      </c>
      <c r="AF33" s="2">
        <v>29</v>
      </c>
      <c r="AG33" s="2">
        <f t="shared" si="13"/>
        <v>2321.3997166603804</v>
      </c>
      <c r="AH33" s="2">
        <v>-9.1523597802734002E-6</v>
      </c>
      <c r="AI33" s="2">
        <f t="shared" si="14"/>
        <v>2321.3997520506382</v>
      </c>
      <c r="AJ33" s="2">
        <v>6.7575645061879186E-6</v>
      </c>
      <c r="AK33" s="2">
        <f t="shared" si="9"/>
        <v>2321.3997343555093</v>
      </c>
      <c r="AL33" s="2">
        <v>-1.1973977507295785E-6</v>
      </c>
      <c r="AM33" s="2">
        <f t="shared" si="10"/>
        <v>1.0959015014767229E-11</v>
      </c>
      <c r="AN33" s="2">
        <f t="shared" si="11"/>
        <v>-8.0914925401194489E-12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25.85</v>
      </c>
      <c r="L34" s="6" t="s">
        <v>59</v>
      </c>
      <c r="U34" s="2">
        <v>30</v>
      </c>
      <c r="V34" s="2">
        <f t="shared" si="7"/>
        <v>0.97550957184284925</v>
      </c>
      <c r="W34" s="2">
        <f t="shared" si="0"/>
        <v>5.903367794601877E-10</v>
      </c>
      <c r="X34" s="2">
        <f t="shared" si="8"/>
        <v>0.97550957277417183</v>
      </c>
      <c r="Y34" s="2">
        <f t="shared" si="1"/>
        <v>-3.6393565938652728E-10</v>
      </c>
      <c r="Z34" s="2">
        <f t="shared" si="3"/>
        <v>0.97550957230851054</v>
      </c>
      <c r="AA34" s="2">
        <f t="shared" si="2"/>
        <v>1.1320056003683021E-10</v>
      </c>
      <c r="AB34" s="2">
        <f t="shared" si="4"/>
        <v>6.6826454045231974E-20</v>
      </c>
      <c r="AC34" s="2">
        <f t="shared" si="5"/>
        <v>-4.1197720459927971E-20</v>
      </c>
      <c r="AD34" s="2">
        <f t="shared" si="6"/>
        <v>9.3132257461547852E-10</v>
      </c>
      <c r="AF34" s="2">
        <v>30</v>
      </c>
      <c r="AG34" s="2">
        <f t="shared" si="13"/>
        <v>2321.3997343555093</v>
      </c>
      <c r="AH34" s="2">
        <v>-1.1973977507295785E-6</v>
      </c>
      <c r="AI34" s="2">
        <f t="shared" si="14"/>
        <v>2321.3997520506382</v>
      </c>
      <c r="AJ34" s="2">
        <v>6.7575645061879186E-6</v>
      </c>
      <c r="AK34" s="2">
        <f t="shared" si="9"/>
        <v>2321.3997432030737</v>
      </c>
      <c r="AL34" s="2">
        <v>2.7800829229818191E-6</v>
      </c>
      <c r="AM34" s="2">
        <f t="shared" si="10"/>
        <v>-3.3288650388201424E-12</v>
      </c>
      <c r="AN34" s="2">
        <f t="shared" si="11"/>
        <v>1.8786589684601102E-11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26.74</v>
      </c>
      <c r="L35" s="6" t="s">
        <v>59</v>
      </c>
      <c r="AF35" s="2">
        <v>31</v>
      </c>
      <c r="AG35" s="2">
        <f t="shared" si="13"/>
        <v>2321.3997343555093</v>
      </c>
      <c r="AH35" s="2">
        <v>-1.1973977507295785E-6</v>
      </c>
      <c r="AI35" s="2">
        <f t="shared" si="14"/>
        <v>2321.3997432030737</v>
      </c>
      <c r="AJ35" s="2">
        <v>2.7800829229818191E-6</v>
      </c>
      <c r="AK35" s="2">
        <f t="shared" si="9"/>
        <v>2321.3997387792915</v>
      </c>
      <c r="AL35" s="2">
        <v>7.9134338193398435E-7</v>
      </c>
      <c r="AM35" s="2">
        <f t="shared" si="10"/>
        <v>-9.4755278558249066E-13</v>
      </c>
      <c r="AN35" s="2">
        <f t="shared" si="11"/>
        <v>2.2000002223293493E-12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14.92</v>
      </c>
      <c r="L36" s="6" t="s">
        <v>59</v>
      </c>
      <c r="AF36" s="2">
        <v>32</v>
      </c>
      <c r="AG36" s="2">
        <f t="shared" si="13"/>
        <v>2321.3997343555093</v>
      </c>
      <c r="AH36" s="2">
        <v>-1.1973977507295785E-6</v>
      </c>
      <c r="AI36" s="2">
        <f t="shared" si="14"/>
        <v>2321.3997387792915</v>
      </c>
      <c r="AJ36" s="2">
        <v>7.9134338193398435E-7</v>
      </c>
      <c r="AK36" s="2">
        <f t="shared" si="9"/>
        <v>2321.3997365674004</v>
      </c>
      <c r="AL36" s="2">
        <v>-2.0302741177147254E-7</v>
      </c>
      <c r="AM36" s="2">
        <f t="shared" si="10"/>
        <v>2.4310456619160918E-13</v>
      </c>
      <c r="AN36" s="2">
        <f t="shared" si="11"/>
        <v>-1.6066439865654071E-13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27.67</v>
      </c>
      <c r="L37" s="6" t="s">
        <v>59</v>
      </c>
      <c r="AF37" s="2">
        <v>33</v>
      </c>
      <c r="AG37" s="2">
        <f t="shared" si="13"/>
        <v>2321.3997365674004</v>
      </c>
      <c r="AH37" s="2">
        <v>-2.0302741177147254E-7</v>
      </c>
      <c r="AI37" s="2">
        <f t="shared" si="14"/>
        <v>2321.3997387792915</v>
      </c>
      <c r="AJ37" s="2">
        <v>7.9134338193398435E-7</v>
      </c>
      <c r="AK37" s="2">
        <f t="shared" si="9"/>
        <v>2321.399737673346</v>
      </c>
      <c r="AL37" s="2">
        <v>2.9415787139441818E-7</v>
      </c>
      <c r="AM37" s="2">
        <f t="shared" si="10"/>
        <v>-5.9722111281414404E-14</v>
      </c>
      <c r="AN37" s="2">
        <f t="shared" si="11"/>
        <v>2.3277988477176091E-13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2321.3997365674004</v>
      </c>
      <c r="AH38" s="2">
        <v>-2.0302741177147254E-7</v>
      </c>
      <c r="AI38" s="2">
        <f t="shared" si="14"/>
        <v>2321.399737673346</v>
      </c>
      <c r="AJ38" s="2">
        <v>2.9415787139441818E-7</v>
      </c>
      <c r="AK38" s="2">
        <f t="shared" si="9"/>
        <v>2321.3997371203732</v>
      </c>
      <c r="AL38" s="2">
        <v>4.5565002437797375E-8</v>
      </c>
      <c r="AM38" s="2">
        <f t="shared" si="10"/>
        <v>-9.2509445123068379E-15</v>
      </c>
      <c r="AN38" s="2">
        <f t="shared" si="11"/>
        <v>1.3403304127183951E-14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100.01</v>
      </c>
      <c r="L39" s="9" t="s">
        <v>59</v>
      </c>
      <c r="AF39" s="2">
        <v>35</v>
      </c>
      <c r="AG39" s="2">
        <f t="shared" si="13"/>
        <v>2321.3997365674004</v>
      </c>
      <c r="AH39" s="2">
        <v>-2.0302741177147254E-7</v>
      </c>
      <c r="AI39" s="2">
        <f t="shared" si="14"/>
        <v>2321.3997371203732</v>
      </c>
      <c r="AJ39" s="2">
        <v>4.5565002437797375E-8</v>
      </c>
      <c r="AK39" s="2">
        <f t="shared" si="9"/>
        <v>2321.3997368438868</v>
      </c>
      <c r="AL39" s="2">
        <v>-7.8731318353675306E-8</v>
      </c>
      <c r="AM39" s="2">
        <f t="shared" si="10"/>
        <v>1.598461579070253E-14</v>
      </c>
      <c r="AN39" s="2">
        <f t="shared" si="11"/>
        <v>-3.5873927127162165E-15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2321.3997368438868</v>
      </c>
      <c r="AH40" s="2">
        <v>-7.8731318353675306E-8</v>
      </c>
      <c r="AI40" s="2">
        <f t="shared" si="14"/>
        <v>2321.3997371203732</v>
      </c>
      <c r="AJ40" s="2">
        <v>4.5565002437797375E-8</v>
      </c>
      <c r="AK40" s="2">
        <f t="shared" si="9"/>
        <v>2321.39973698213</v>
      </c>
      <c r="AL40" s="2">
        <v>-1.6583044271101244E-8</v>
      </c>
      <c r="AM40" s="2">
        <f t="shared" si="10"/>
        <v>1.3056049377811635E-15</v>
      </c>
      <c r="AN40" s="2">
        <f t="shared" si="11"/>
        <v>-7.5560645263882997E-16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2321.39973698213</v>
      </c>
      <c r="AH41" s="2">
        <v>-1.6583044271101244E-8</v>
      </c>
      <c r="AI41" s="2">
        <f t="shared" si="14"/>
        <v>2321.3997371203732</v>
      </c>
      <c r="AJ41" s="2">
        <v>4.5565002437797375E-8</v>
      </c>
      <c r="AK41" s="2">
        <f t="shared" si="9"/>
        <v>2321.3997370512516</v>
      </c>
      <c r="AL41" s="2">
        <v>1.4491661204374395E-8</v>
      </c>
      <c r="AM41" s="2">
        <f t="shared" si="10"/>
        <v>-2.4031585931394097E-16</v>
      </c>
      <c r="AN41" s="2">
        <f t="shared" si="11"/>
        <v>6.6031257810505297E-16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2321.39973698213</v>
      </c>
      <c r="AH42" s="2">
        <v>-1.6583044271101244E-8</v>
      </c>
      <c r="AI42" s="2">
        <f t="shared" si="14"/>
        <v>2321.3997370512516</v>
      </c>
      <c r="AJ42" s="2">
        <v>1.4491661204374395E-8</v>
      </c>
      <c r="AK42" s="2">
        <f t="shared" si="9"/>
        <v>2321.3997370166908</v>
      </c>
      <c r="AL42" s="2">
        <v>-1.045464159687981E-9</v>
      </c>
      <c r="AM42" s="2">
        <f t="shared" si="10"/>
        <v>1.7336978443955449E-17</v>
      </c>
      <c r="AN42" s="2">
        <f t="shared" si="11"/>
        <v>-1.5150512403514192E-17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620.70000000000005</v>
      </c>
      <c r="L43" s="6" t="s">
        <v>7</v>
      </c>
      <c r="AF43" s="2">
        <v>39</v>
      </c>
      <c r="AG43" s="2">
        <f t="shared" si="13"/>
        <v>2321.3997370166908</v>
      </c>
      <c r="AH43" s="2">
        <v>-1.045464159687981E-9</v>
      </c>
      <c r="AI43" s="2">
        <f t="shared" si="14"/>
        <v>2321.3997370512516</v>
      </c>
      <c r="AJ43" s="2">
        <v>1.4491661204374395E-8</v>
      </c>
      <c r="AK43" s="2">
        <f t="shared" si="9"/>
        <v>2321.3997370339712</v>
      </c>
      <c r="AL43" s="2">
        <v>6.7227574618300423E-9</v>
      </c>
      <c r="AM43" s="2">
        <f t="shared" si="10"/>
        <v>-7.0284019806182492E-18</v>
      </c>
      <c r="AN43" s="2">
        <f t="shared" si="11"/>
        <v>9.7423923496020904E-17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346.42</v>
      </c>
      <c r="L44" s="6" t="s">
        <v>7</v>
      </c>
      <c r="AF44" s="2">
        <v>40</v>
      </c>
      <c r="AG44" s="2">
        <f t="shared" si="13"/>
        <v>2321.3997370166908</v>
      </c>
      <c r="AH44" s="2">
        <v>-1.045464159687981E-9</v>
      </c>
      <c r="AI44" s="2">
        <f t="shared" si="14"/>
        <v>2321.3997370339712</v>
      </c>
      <c r="AJ44" s="2">
        <v>6.7227574618300423E-9</v>
      </c>
      <c r="AK44" s="5">
        <f t="shared" si="9"/>
        <v>2321.399737025331</v>
      </c>
      <c r="AL44" s="2">
        <v>2.838532964233309E-9</v>
      </c>
      <c r="AM44" s="2">
        <f t="shared" si="10"/>
        <v>-2.9675844801988103E-18</v>
      </c>
      <c r="AN44" s="2">
        <f t="shared" si="11"/>
        <v>1.9082768665950027E-17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642.23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112.05</v>
      </c>
      <c r="L46" s="6" t="s">
        <v>7</v>
      </c>
    </row>
    <row r="47" spans="2:41" x14ac:dyDescent="0.2">
      <c r="J47" s="9" t="s">
        <v>60</v>
      </c>
      <c r="K47" s="9">
        <f>SUM(K42:K46)</f>
        <v>2321.4000000000005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48:D48"/>
    <mergeCell ref="B53:D53"/>
    <mergeCell ref="B76:D76"/>
    <mergeCell ref="B59:D59"/>
    <mergeCell ref="B64:D64"/>
    <mergeCell ref="B70:D70"/>
    <mergeCell ref="F22:H22"/>
    <mergeCell ref="B27:D27"/>
    <mergeCell ref="B39:D39"/>
    <mergeCell ref="J41:L41"/>
    <mergeCell ref="B45:D45"/>
    <mergeCell ref="B34:D34"/>
    <mergeCell ref="F31:H31"/>
    <mergeCell ref="J9:L9"/>
    <mergeCell ref="F12:H12"/>
    <mergeCell ref="B15:D15"/>
    <mergeCell ref="N18:P18"/>
    <mergeCell ref="B20:D20"/>
    <mergeCell ref="B1:D1"/>
    <mergeCell ref="B3:D3"/>
    <mergeCell ref="F3:H3"/>
    <mergeCell ref="J3:L3"/>
    <mergeCell ref="N3:P3"/>
  </mergeCells>
  <conditionalFormatting sqref="K31">
    <cfRule type="containsText" dxfId="47" priority="7" operator="containsText" text="FALSE">
      <formula>NOT(ISERROR(SEARCH("FALSE",K31)))</formula>
    </cfRule>
    <cfRule type="containsText" dxfId="46" priority="8" operator="containsText" text="TRUE">
      <formula>NOT(ISERROR(SEARCH("TRUE",K31)))</formula>
    </cfRule>
    <cfRule type="cellIs" dxfId="45" priority="9" operator="equal">
      <formula>1</formula>
    </cfRule>
    <cfRule type="cellIs" dxfId="44" priority="10" operator="equal">
      <formula>TRUE</formula>
    </cfRule>
    <cfRule type="containsText" dxfId="43" priority="11" operator="containsText" text="YES">
      <formula>NOT(ISERROR(SEARCH("YES",K31)))</formula>
    </cfRule>
    <cfRule type="cellIs" dxfId="42" priority="12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BE599-B8DB-7C45-AD35-81934DFC24D5}">
  <dimension ref="B1:AO81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379.69330060423505</v>
      </c>
      <c r="L4" s="6" t="s">
        <v>97</v>
      </c>
      <c r="N4" s="6" t="s">
        <v>131</v>
      </c>
      <c r="O4" s="6">
        <f xml:space="preserve"> $C$5 * $C$74</f>
        <v>18505.669485413931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1.2096306529622456</v>
      </c>
      <c r="X4" s="3">
        <v>1</v>
      </c>
      <c r="Y4" s="2">
        <f t="shared" ref="Y4:Y34" si="1" xml:space="preserve"> $O$22 * TAN($O$19/180*PI()) + $O$23 / (2 * SQRT($O$22^2 + X4^2)) - X4</f>
        <v>-2.7277631996421192E-2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0.49371341077187569</v>
      </c>
      <c r="AB4" s="2">
        <f>W4*AA4</f>
        <v>0.59721087544820139</v>
      </c>
      <c r="AC4" s="2">
        <f>Y4*AA4</f>
        <v>-1.3467332730733157E-2</v>
      </c>
      <c r="AD4" s="2">
        <f>X4-V4</f>
        <v>1</v>
      </c>
      <c r="AF4" s="2">
        <v>0</v>
      </c>
      <c r="AH4" s="2">
        <f>K30</f>
        <v>-3.4404480679768312E-3</v>
      </c>
      <c r="AJ4" s="2">
        <f>K30</f>
        <v>-3.4404480679768312E-3</v>
      </c>
      <c r="AL4" s="2">
        <f>K30</f>
        <v>-3.4404480679768312E-3</v>
      </c>
    </row>
    <row r="5" spans="2:41" x14ac:dyDescent="0.2">
      <c r="B5" s="9" t="s">
        <v>38</v>
      </c>
      <c r="C5" s="9">
        <v>1888.2269429318101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47.461662575529381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0.49371341077187569</v>
      </c>
      <c r="X5" s="2">
        <f>IF(AC4&gt;0, Z4, X4)</f>
        <v>1</v>
      </c>
      <c r="Y5" s="2">
        <f t="shared" si="1"/>
        <v>-2.7277631996421192E-2</v>
      </c>
      <c r="Z5" s="2">
        <f t="shared" ref="Z5:Z34" si="3" xml:space="preserve"> (V5 + X5)/2</f>
        <v>0.75</v>
      </c>
      <c r="AA5" s="2">
        <f t="shared" si="2"/>
        <v>0.22978841355388169</v>
      </c>
      <c r="AB5" s="2">
        <f t="shared" ref="AB5:AB34" si="4">W5*AA5</f>
        <v>0.11344962141154524</v>
      </c>
      <c r="AC5" s="2">
        <f t="shared" ref="AC5:AC34" si="5">Y5*AA5</f>
        <v>-6.2680837819642284E-3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-789.41766873571521</v>
      </c>
      <c r="AI5" s="3">
        <v>10000</v>
      </c>
      <c r="AJ5" s="2">
        <f t="dataTable" ref="AJ5:AJ44" dt2D="0" dtr="0" r1="C5" ca="1"/>
        <v>3963.0004216679899</v>
      </c>
      <c r="AK5" s="2">
        <f>(AG5+AI5)/2</f>
        <v>5250</v>
      </c>
      <c r="AL5" s="2">
        <f t="dataTable" ref="AL5:AL44" dt2D="0" dtr="0" r1="C5" ca="1"/>
        <v>1984.7126374594759</v>
      </c>
      <c r="AM5" s="2">
        <f>AH5*AL5</f>
        <v>-1566767.2233735721</v>
      </c>
      <c r="AN5" s="2">
        <f>AJ5*AL5</f>
        <v>7865417.0191416917</v>
      </c>
      <c r="AO5" s="2">
        <f>AI5-AG5</f>
        <v>9500</v>
      </c>
    </row>
    <row r="6" spans="2:41" x14ac:dyDescent="0.2">
      <c r="B6" s="6" t="s">
        <v>168</v>
      </c>
      <c r="C6" s="16">
        <v>470.55333218058303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143.73314371756601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0.20003041774874233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0.22978841355388169</v>
      </c>
      <c r="X6" s="2">
        <f t="shared" ref="X6:X34" si="8">IF(AC5&gt;0, Z5, X5)</f>
        <v>1</v>
      </c>
      <c r="Y6" s="2">
        <f t="shared" si="1"/>
        <v>-2.7277631996421192E-2</v>
      </c>
      <c r="Z6" s="2">
        <f t="shared" si="3"/>
        <v>0.875</v>
      </c>
      <c r="AA6" s="2">
        <f t="shared" si="2"/>
        <v>0.10075755418367671</v>
      </c>
      <c r="AB6" s="2">
        <f t="shared" si="4"/>
        <v>2.3152918529436347E-2</v>
      </c>
      <c r="AC6" s="2">
        <f t="shared" si="5"/>
        <v>-2.7484274838818017E-3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-789.41766873571521</v>
      </c>
      <c r="AI6" s="2">
        <f>IF(AN5&gt;0,AK5,AI5)</f>
        <v>5250</v>
      </c>
      <c r="AJ6" s="2">
        <v>1984.7126374594759</v>
      </c>
      <c r="AK6" s="2">
        <f t="shared" ref="AK6:AK44" si="9">(AG6+AI6)/2</f>
        <v>2875</v>
      </c>
      <c r="AL6" s="2">
        <v>516.03126157868542</v>
      </c>
      <c r="AM6" s="2">
        <f t="shared" ref="AM6:AM44" si="10">AH6*AL6</f>
        <v>-407364.19551019592</v>
      </c>
      <c r="AN6" s="2">
        <f t="shared" ref="AN6:AN44" si="11">AJ6*AL6</f>
        <v>1024173.7661793735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2313.429968800036</v>
      </c>
      <c r="H7" s="6" t="s">
        <v>21</v>
      </c>
      <c r="J7" s="6" t="s">
        <v>133</v>
      </c>
      <c r="K7" s="6">
        <f>K6/$C$28</f>
        <v>143.73314371756601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0.10075755418367671</v>
      </c>
      <c r="X7" s="2">
        <f t="shared" si="8"/>
        <v>1</v>
      </c>
      <c r="Y7" s="2">
        <f t="shared" si="1"/>
        <v>-2.7277631996421192E-2</v>
      </c>
      <c r="Z7" s="2">
        <f t="shared" si="3"/>
        <v>0.9375</v>
      </c>
      <c r="AA7" s="2">
        <f t="shared" si="2"/>
        <v>3.6639978400310191E-2</v>
      </c>
      <c r="AB7" s="2">
        <f t="shared" si="4"/>
        <v>3.6917546089579984E-3</v>
      </c>
      <c r="AC7" s="2">
        <f t="shared" si="5"/>
        <v>-9.9945184716048255E-4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-789.41766873571521</v>
      </c>
      <c r="AI7" s="2">
        <f t="shared" ref="AI7:AI44" si="14">IF(AN6&gt;0,AK6,AI6)</f>
        <v>2875</v>
      </c>
      <c r="AJ7" s="2">
        <v>516.03126157868542</v>
      </c>
      <c r="AK7" s="2">
        <f t="shared" si="9"/>
        <v>1687.5</v>
      </c>
      <c r="AL7" s="2">
        <v>-110.93075539386427</v>
      </c>
      <c r="AM7" s="2">
        <f t="shared" si="10"/>
        <v>87570.698314116205</v>
      </c>
      <c r="AN7" s="2">
        <f t="shared" si="11"/>
        <v>-57243.737653772347</v>
      </c>
      <c r="AO7" s="2">
        <f t="shared" si="12"/>
        <v>2375</v>
      </c>
    </row>
    <row r="8" spans="2:41" x14ac:dyDescent="0.2">
      <c r="B8" s="6" t="s">
        <v>91</v>
      </c>
      <c r="C8" s="16">
        <v>2.1149292720305501</v>
      </c>
      <c r="D8" s="6" t="s">
        <v>8</v>
      </c>
      <c r="F8" t="s">
        <v>93</v>
      </c>
      <c r="G8" s="6">
        <f>G10/$C$21</f>
        <v>31.641108383686255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3.6639978400310191E-2</v>
      </c>
      <c r="X8" s="2">
        <f t="shared" si="8"/>
        <v>1</v>
      </c>
      <c r="Y8" s="2">
        <f t="shared" si="1"/>
        <v>-2.7277631996421192E-2</v>
      </c>
      <c r="Z8" s="2">
        <f t="shared" si="3"/>
        <v>0.96875</v>
      </c>
      <c r="AA8" s="2">
        <f t="shared" si="2"/>
        <v>4.658559979907162E-3</v>
      </c>
      <c r="AB8" s="2">
        <f t="shared" si="4"/>
        <v>1.7068953704034789E-4</v>
      </c>
      <c r="AC8" s="2">
        <f t="shared" si="5"/>
        <v>-1.2707448476516288E-4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-110.93075539386427</v>
      </c>
      <c r="AI8" s="2">
        <f t="shared" si="14"/>
        <v>2875</v>
      </c>
      <c r="AJ8" s="2">
        <v>516.03126157868542</v>
      </c>
      <c r="AK8" s="2">
        <f t="shared" si="9"/>
        <v>2281.25</v>
      </c>
      <c r="AL8" s="2">
        <v>211.58845666821753</v>
      </c>
      <c r="AM8" s="2">
        <f t="shared" si="10"/>
        <v>-23471.667330827288</v>
      </c>
      <c r="AN8" s="2">
        <f t="shared" si="11"/>
        <v>109186.2582299873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7.4595480349281766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2.1159055041514482E-2</v>
      </c>
      <c r="U9" s="2">
        <v>5</v>
      </c>
      <c r="V9" s="2">
        <f t="shared" si="7"/>
        <v>0.96875</v>
      </c>
      <c r="W9" s="2">
        <f t="shared" si="0"/>
        <v>4.658559979907162E-3</v>
      </c>
      <c r="X9" s="2">
        <f t="shared" si="8"/>
        <v>1</v>
      </c>
      <c r="Y9" s="2">
        <f t="shared" si="1"/>
        <v>-2.7277631996421192E-2</v>
      </c>
      <c r="Z9" s="2">
        <f t="shared" si="3"/>
        <v>0.984375</v>
      </c>
      <c r="AA9" s="2">
        <f t="shared" si="2"/>
        <v>-1.1314923985590086E-2</v>
      </c>
      <c r="AB9" s="2">
        <f t="shared" si="4"/>
        <v>-5.2711252054961617E-5</v>
      </c>
      <c r="AC9" s="2">
        <f t="shared" si="5"/>
        <v>3.0864433254640573E-4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-110.93075539386427</v>
      </c>
      <c r="AI9" s="2">
        <f t="shared" si="14"/>
        <v>2281.25</v>
      </c>
      <c r="AJ9" s="2">
        <v>211.58845666821753</v>
      </c>
      <c r="AK9" s="2">
        <f t="shared" si="9"/>
        <v>1984.375</v>
      </c>
      <c r="AL9" s="2">
        <v>52.464173938587237</v>
      </c>
      <c r="AM9" s="2">
        <f t="shared" si="10"/>
        <v>-5819.8904461225693</v>
      </c>
      <c r="AN9" s="2">
        <f t="shared" si="11"/>
        <v>11100.813594038593</v>
      </c>
      <c r="AO9" s="2">
        <f t="shared" si="12"/>
        <v>593.75</v>
      </c>
    </row>
    <row r="10" spans="2:41" x14ac:dyDescent="0.2">
      <c r="B10" s="6" t="s">
        <v>134</v>
      </c>
      <c r="C10" s="16">
        <v>1.42504569367809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253.12886706949004</v>
      </c>
      <c r="H10" s="22" t="s">
        <v>97</v>
      </c>
      <c r="J10" s="6" t="s">
        <v>92</v>
      </c>
      <c r="K10" s="6">
        <f xml:space="preserve"> $C$18 * (G10*G6 + G20*G13 + G29*G25 + G33*G32)/3600</f>
        <v>90.905182042266915</v>
      </c>
      <c r="L10" s="6" t="s">
        <v>98</v>
      </c>
      <c r="N10" s="6" t="s">
        <v>39</v>
      </c>
      <c r="O10" s="6">
        <f xml:space="preserve"> O5 * $C$12 * O9</f>
        <v>1090.6212349561201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4.658559979907162E-3</v>
      </c>
      <c r="X10" s="2">
        <f t="shared" si="8"/>
        <v>0.984375</v>
      </c>
      <c r="Y10" s="2">
        <f t="shared" si="1"/>
        <v>-1.1314923985590086E-2</v>
      </c>
      <c r="Z10" s="2">
        <f t="shared" si="3"/>
        <v>0.9765625</v>
      </c>
      <c r="AA10" s="2">
        <f t="shared" si="2"/>
        <v>-3.329560860692915E-3</v>
      </c>
      <c r="AB10" s="2">
        <f t="shared" si="4"/>
        <v>-1.551095897628926E-5</v>
      </c>
      <c r="AC10" s="2">
        <f t="shared" si="5"/>
        <v>3.7673728044136239E-5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-110.93075539386427</v>
      </c>
      <c r="AI10" s="2">
        <f t="shared" si="14"/>
        <v>1984.375</v>
      </c>
      <c r="AJ10" s="2">
        <v>52.464173938587237</v>
      </c>
      <c r="AK10" s="2">
        <f t="shared" si="9"/>
        <v>1835.9375</v>
      </c>
      <c r="AL10" s="2">
        <v>-28.72188958946208</v>
      </c>
      <c r="AM10" s="2">
        <f t="shared" si="10"/>
        <v>3186.1409084981947</v>
      </c>
      <c r="AN10" s="2">
        <f t="shared" si="11"/>
        <v>-1506.8702112664366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0.74808027867791738</v>
      </c>
      <c r="U11" s="2">
        <v>7</v>
      </c>
      <c r="V11" s="2">
        <f t="shared" si="7"/>
        <v>0.96875</v>
      </c>
      <c r="W11" s="2">
        <f t="shared" si="0"/>
        <v>4.658559979907162E-3</v>
      </c>
      <c r="X11" s="2">
        <f t="shared" si="8"/>
        <v>0.9765625</v>
      </c>
      <c r="Y11" s="2">
        <f t="shared" si="1"/>
        <v>-3.329560860692915E-3</v>
      </c>
      <c r="Z11" s="2">
        <f t="shared" si="3"/>
        <v>0.97265625</v>
      </c>
      <c r="AA11" s="2">
        <f t="shared" si="2"/>
        <v>6.6415075226400333E-4</v>
      </c>
      <c r="AB11" s="2">
        <f t="shared" si="4"/>
        <v>3.0939861151223218E-6</v>
      </c>
      <c r="AC11" s="2">
        <f t="shared" si="5"/>
        <v>-2.2113303503379819E-6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-28.72188958946208</v>
      </c>
      <c r="AI11" s="2">
        <f t="shared" si="14"/>
        <v>1984.375</v>
      </c>
      <c r="AJ11" s="2">
        <v>52.464173938587237</v>
      </c>
      <c r="AK11" s="2">
        <f t="shared" si="9"/>
        <v>1910.15625</v>
      </c>
      <c r="AL11" s="2">
        <v>12.002235275539988</v>
      </c>
      <c r="AM11" s="2">
        <f t="shared" si="10"/>
        <v>-344.72687641080654</v>
      </c>
      <c r="AN11" s="2">
        <f t="shared" si="11"/>
        <v>629.68735914777744</v>
      </c>
      <c r="AO11" s="2">
        <f t="shared" si="12"/>
        <v>148.4375</v>
      </c>
    </row>
    <row r="12" spans="2:41" x14ac:dyDescent="0.2">
      <c r="B12" s="6" t="s">
        <v>135</v>
      </c>
      <c r="C12" s="16">
        <v>22.731982944952499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0.35902700834327916</v>
      </c>
      <c r="U12" s="2">
        <v>8</v>
      </c>
      <c r="V12" s="2">
        <f t="shared" si="7"/>
        <v>0.97265625</v>
      </c>
      <c r="W12" s="2">
        <f t="shared" si="0"/>
        <v>6.6415075226400333E-4</v>
      </c>
      <c r="X12" s="2">
        <f t="shared" si="8"/>
        <v>0.9765625</v>
      </c>
      <c r="Y12" s="2">
        <f t="shared" si="1"/>
        <v>-3.329560860692915E-3</v>
      </c>
      <c r="Z12" s="2">
        <f t="shared" si="3"/>
        <v>0.974609375</v>
      </c>
      <c r="AA12" s="2">
        <f t="shared" si="2"/>
        <v>-1.3327917394070354E-3</v>
      </c>
      <c r="AB12" s="2">
        <f t="shared" si="4"/>
        <v>-8.8517463633843203E-7</v>
      </c>
      <c r="AC12" s="2">
        <f t="shared" si="5"/>
        <v>4.4376112109844965E-6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-28.72188958946208</v>
      </c>
      <c r="AI12" s="2">
        <f t="shared" si="14"/>
        <v>1910.15625</v>
      </c>
      <c r="AJ12" s="2">
        <v>12.002235275539988</v>
      </c>
      <c r="AK12" s="2">
        <f t="shared" si="9"/>
        <v>1873.046875</v>
      </c>
      <c r="AL12" s="2">
        <v>-8.3274268026195841</v>
      </c>
      <c r="AM12" s="2">
        <f t="shared" si="10"/>
        <v>239.17943318916693</v>
      </c>
      <c r="AN12" s="2">
        <f t="shared" si="11"/>
        <v>-99.947735724877944</v>
      </c>
      <c r="AO12" s="2">
        <f t="shared" si="12"/>
        <v>74.21875</v>
      </c>
    </row>
    <row r="13" spans="2:41" x14ac:dyDescent="0.2">
      <c r="B13" s="6" t="s">
        <v>136</v>
      </c>
      <c r="C13" s="16">
        <v>10.329173931813299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2.6469006751612064E-2</v>
      </c>
      <c r="U13" s="2">
        <v>9</v>
      </c>
      <c r="V13" s="2">
        <f t="shared" si="7"/>
        <v>0.97265625</v>
      </c>
      <c r="W13" s="2">
        <f t="shared" si="0"/>
        <v>6.6415075226400333E-4</v>
      </c>
      <c r="X13" s="2">
        <f t="shared" si="8"/>
        <v>0.974609375</v>
      </c>
      <c r="Y13" s="2">
        <f t="shared" si="1"/>
        <v>-1.3327917394070354E-3</v>
      </c>
      <c r="Z13" s="2">
        <f t="shared" si="3"/>
        <v>0.9736328125</v>
      </c>
      <c r="AA13" s="2">
        <f t="shared" si="2"/>
        <v>-3.3434222913208966E-4</v>
      </c>
      <c r="AB13" s="2">
        <f t="shared" si="4"/>
        <v>-2.2205364299170113E-7</v>
      </c>
      <c r="AC13" s="2">
        <f t="shared" si="5"/>
        <v>4.4560856112218339E-7</v>
      </c>
      <c r="AD13" s="2">
        <f t="shared" si="6"/>
        <v>1.953125E-3</v>
      </c>
      <c r="AF13" s="2">
        <v>9</v>
      </c>
      <c r="AG13" s="2">
        <f t="shared" si="13"/>
        <v>1873.046875</v>
      </c>
      <c r="AH13" s="2">
        <v>-8.3274268026195841</v>
      </c>
      <c r="AI13" s="2">
        <f t="shared" si="14"/>
        <v>1910.15625</v>
      </c>
      <c r="AJ13" s="2">
        <v>12.002235275539988</v>
      </c>
      <c r="AK13" s="2">
        <f t="shared" si="9"/>
        <v>1891.6015625</v>
      </c>
      <c r="AL13" s="2">
        <v>1.8455526136485787</v>
      </c>
      <c r="AM13" s="2">
        <f t="shared" si="10"/>
        <v>-15.3687043005418</v>
      </c>
      <c r="AN13" s="2">
        <f t="shared" si="11"/>
        <v>22.150756682397994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70.220878958462222</v>
      </c>
      <c r="H14" s="6" t="s">
        <v>10</v>
      </c>
      <c r="J14" s="9" t="s">
        <v>75</v>
      </c>
      <c r="K14" s="17">
        <f>C5</f>
        <v>1888.2269429318101</v>
      </c>
      <c r="L14" s="6" t="s">
        <v>7</v>
      </c>
      <c r="N14" s="6" t="s">
        <v>40</v>
      </c>
      <c r="O14" s="6">
        <f xml:space="preserve"> O5 * O13 * $C$12</f>
        <v>1364.3171103277587</v>
      </c>
      <c r="P14" s="6" t="s">
        <v>21</v>
      </c>
      <c r="U14" s="2">
        <v>10</v>
      </c>
      <c r="V14" s="2">
        <f t="shared" si="7"/>
        <v>0.97265625</v>
      </c>
      <c r="W14" s="2">
        <f t="shared" si="0"/>
        <v>6.6415075226400333E-4</v>
      </c>
      <c r="X14" s="2">
        <f t="shared" si="8"/>
        <v>0.9736328125</v>
      </c>
      <c r="Y14" s="2">
        <f t="shared" si="1"/>
        <v>-3.3434222913208966E-4</v>
      </c>
      <c r="Z14" s="2">
        <f t="shared" si="3"/>
        <v>0.97314453125</v>
      </c>
      <c r="AA14" s="2">
        <f t="shared" si="2"/>
        <v>1.6489881961523345E-4</v>
      </c>
      <c r="AB14" s="2">
        <f t="shared" si="4"/>
        <v>1.0951767509490348E-7</v>
      </c>
      <c r="AC14" s="2">
        <f t="shared" si="5"/>
        <v>-5.5132638931407506E-8</v>
      </c>
      <c r="AD14" s="2">
        <f t="shared" si="6"/>
        <v>9.765625E-4</v>
      </c>
      <c r="AF14" s="2">
        <v>10</v>
      </c>
      <c r="AG14" s="2">
        <f t="shared" si="13"/>
        <v>1873.046875</v>
      </c>
      <c r="AH14" s="2">
        <v>-8.3274268026195841</v>
      </c>
      <c r="AI14" s="2">
        <f t="shared" si="14"/>
        <v>1891.6015625</v>
      </c>
      <c r="AJ14" s="2">
        <v>1.8455526136485787</v>
      </c>
      <c r="AK14" s="2">
        <f t="shared" si="9"/>
        <v>1882.32421875</v>
      </c>
      <c r="AL14" s="2">
        <v>-3.2389059054337395</v>
      </c>
      <c r="AM14" s="2">
        <f t="shared" si="10"/>
        <v>26.971751848071776</v>
      </c>
      <c r="AN14" s="2">
        <f t="shared" si="11"/>
        <v>-5.977571259135054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0.21104985924457148</v>
      </c>
      <c r="H15" s="6" t="s">
        <v>120</v>
      </c>
      <c r="J15" s="10" t="s">
        <v>53</v>
      </c>
      <c r="K15" s="6">
        <f xml:space="preserve"> 1000 * K10 / ($C$60 * $C$61 * $C$62)</f>
        <v>334.21022809656955</v>
      </c>
      <c r="L15" s="6" t="s">
        <v>7</v>
      </c>
      <c r="N15" s="6" t="s">
        <v>140</v>
      </c>
      <c r="O15" s="6">
        <f>O4/O14</f>
        <v>13.564052920928475</v>
      </c>
      <c r="U15" s="2">
        <v>11</v>
      </c>
      <c r="V15" s="2">
        <f t="shared" si="7"/>
        <v>0.97314453125</v>
      </c>
      <c r="W15" s="2">
        <f t="shared" si="0"/>
        <v>1.6489881961523345E-4</v>
      </c>
      <c r="X15" s="2">
        <f t="shared" si="8"/>
        <v>0.9736328125</v>
      </c>
      <c r="Y15" s="2">
        <f t="shared" si="1"/>
        <v>-3.3434222913208966E-4</v>
      </c>
      <c r="Z15" s="2">
        <f t="shared" si="3"/>
        <v>0.973388671875</v>
      </c>
      <c r="AA15" s="2">
        <f t="shared" si="2"/>
        <v>-8.4723064237346435E-5</v>
      </c>
      <c r="AB15" s="2">
        <f t="shared" si="4"/>
        <v>-1.3970733286924026E-8</v>
      </c>
      <c r="AC15" s="2">
        <f t="shared" si="5"/>
        <v>2.8326498156015632E-8</v>
      </c>
      <c r="AD15" s="2">
        <f t="shared" si="6"/>
        <v>4.8828125E-4</v>
      </c>
      <c r="AF15" s="2">
        <v>11</v>
      </c>
      <c r="AG15" s="2">
        <f t="shared" si="13"/>
        <v>1882.32421875</v>
      </c>
      <c r="AH15" s="2">
        <v>-3.2389059054337395</v>
      </c>
      <c r="AI15" s="2">
        <f t="shared" si="14"/>
        <v>1891.6015625</v>
      </c>
      <c r="AJ15" s="2">
        <v>1.8455526136485787</v>
      </c>
      <c r="AK15" s="2">
        <f t="shared" si="9"/>
        <v>1886.962890625</v>
      </c>
      <c r="AL15" s="2">
        <v>-0.69616809797093993</v>
      </c>
      <c r="AM15" s="2">
        <f t="shared" si="10"/>
        <v>2.2548229636926513</v>
      </c>
      <c r="AN15" s="2">
        <f t="shared" si="11"/>
        <v>-1.284814852749028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1364.3171103277587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137.14735214153319</v>
      </c>
      <c r="L16" s="6" t="s">
        <v>7</v>
      </c>
      <c r="N16" s="6" t="s">
        <v>111</v>
      </c>
      <c r="O16" s="6">
        <f>(O13*$C$12)/(0.3048^2)/($C$5*2.20462/1000)^(2/3)</f>
        <v>2.5027631511828607</v>
      </c>
      <c r="U16" s="2">
        <v>12</v>
      </c>
      <c r="V16" s="2">
        <f t="shared" si="7"/>
        <v>0.97314453125</v>
      </c>
      <c r="W16" s="2">
        <f t="shared" si="0"/>
        <v>1.6489881961523345E-4</v>
      </c>
      <c r="X16" s="2">
        <f t="shared" si="8"/>
        <v>0.973388671875</v>
      </c>
      <c r="Y16" s="2">
        <f t="shared" si="1"/>
        <v>-8.4723064237346435E-5</v>
      </c>
      <c r="Z16" s="2">
        <f t="shared" si="3"/>
        <v>0.9732666015625</v>
      </c>
      <c r="AA16" s="2">
        <f t="shared" si="2"/>
        <v>4.0087537693245245E-5</v>
      </c>
      <c r="AB16" s="2">
        <f t="shared" si="4"/>
        <v>6.6103876468973196E-9</v>
      </c>
      <c r="AC16" s="2">
        <f t="shared" si="5"/>
        <v>-3.3963390311018636E-9</v>
      </c>
      <c r="AD16" s="2">
        <f t="shared" si="6"/>
        <v>2.44140625E-4</v>
      </c>
      <c r="AF16" s="2">
        <v>12</v>
      </c>
      <c r="AG16" s="2">
        <f t="shared" si="13"/>
        <v>1886.962890625</v>
      </c>
      <c r="AH16" s="2">
        <v>-0.69616809797093993</v>
      </c>
      <c r="AI16" s="2">
        <f t="shared" si="14"/>
        <v>1891.6015625</v>
      </c>
      <c r="AJ16" s="2">
        <v>1.8455526136485787</v>
      </c>
      <c r="AK16" s="2">
        <f t="shared" si="9"/>
        <v>1889.2822265625</v>
      </c>
      <c r="AL16" s="2">
        <v>0.57481969320042481</v>
      </c>
      <c r="AM16" s="2">
        <f t="shared" si="10"/>
        <v>-0.40017113249157898</v>
      </c>
      <c r="AN16" s="2">
        <f t="shared" si="11"/>
        <v>1.0608599871627182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95.822095811710668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0.9732666015625</v>
      </c>
      <c r="W17" s="2">
        <f t="shared" si="0"/>
        <v>4.0087537693245245E-5</v>
      </c>
      <c r="X17" s="2">
        <f t="shared" si="8"/>
        <v>0.973388671875</v>
      </c>
      <c r="Y17" s="2">
        <f t="shared" si="1"/>
        <v>-8.4723064237346435E-5</v>
      </c>
      <c r="Z17" s="2">
        <f t="shared" si="3"/>
        <v>0.97332763671875</v>
      </c>
      <c r="AA17" s="2">
        <f t="shared" si="2"/>
        <v>-2.2317848255237749E-5</v>
      </c>
      <c r="AB17" s="2">
        <f t="shared" si="4"/>
        <v>-8.9466758316397085E-10</v>
      </c>
      <c r="AC17" s="2">
        <f t="shared" si="5"/>
        <v>1.8908364913678581E-9</v>
      </c>
      <c r="AD17" s="2">
        <f t="shared" si="6"/>
        <v>1.220703125E-4</v>
      </c>
      <c r="AF17" s="2">
        <v>13</v>
      </c>
      <c r="AG17" s="2">
        <f t="shared" si="13"/>
        <v>1886.962890625</v>
      </c>
      <c r="AH17" s="2">
        <v>-0.69616809797093993</v>
      </c>
      <c r="AI17" s="2">
        <f t="shared" si="14"/>
        <v>1889.2822265625</v>
      </c>
      <c r="AJ17" s="2">
        <v>0.57481969320042481</v>
      </c>
      <c r="AK17" s="2">
        <f t="shared" si="9"/>
        <v>1888.12255859375</v>
      </c>
      <c r="AL17" s="2">
        <v>-6.0642314178494416E-2</v>
      </c>
      <c r="AM17" s="2">
        <f t="shared" si="10"/>
        <v>4.2217244518198617E-2</v>
      </c>
      <c r="AN17" s="2">
        <f t="shared" si="11"/>
        <v>-3.4858396431045935E-2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1.452777313272865</v>
      </c>
      <c r="H18" s="6" t="s">
        <v>172</v>
      </c>
      <c r="J18" s="12" t="s">
        <v>54</v>
      </c>
      <c r="K18" s="6">
        <f xml:space="preserve"> $C$78 * (0.2138 * K4 + 0.2138 * K6)</f>
        <v>89.526859036800857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0.9732666015625</v>
      </c>
      <c r="W18" s="2">
        <f t="shared" si="0"/>
        <v>4.0087537693245245E-5</v>
      </c>
      <c r="X18" s="2">
        <f t="shared" si="8"/>
        <v>0.97332763671875</v>
      </c>
      <c r="Y18" s="2">
        <f t="shared" si="1"/>
        <v>-2.2317848255237749E-5</v>
      </c>
      <c r="Z18" s="2">
        <f t="shared" si="3"/>
        <v>0.973297119140625</v>
      </c>
      <c r="AA18" s="2">
        <f t="shared" si="2"/>
        <v>8.8848234712779472E-6</v>
      </c>
      <c r="AB18" s="2">
        <f t="shared" si="4"/>
        <v>3.5617069580268476E-10</v>
      </c>
      <c r="AC18" s="2">
        <f t="shared" si="5"/>
        <v>-1.9829014200655594E-10</v>
      </c>
      <c r="AD18" s="2">
        <f t="shared" si="6"/>
        <v>6.103515625E-5</v>
      </c>
      <c r="AF18" s="2">
        <v>14</v>
      </c>
      <c r="AG18" s="2">
        <f t="shared" si="13"/>
        <v>1888.12255859375</v>
      </c>
      <c r="AH18" s="2">
        <v>-6.0642314178494416E-2</v>
      </c>
      <c r="AI18" s="2">
        <f t="shared" si="14"/>
        <v>1889.2822265625</v>
      </c>
      <c r="AJ18" s="2">
        <v>0.57481969320042481</v>
      </c>
      <c r="AK18" s="2">
        <f t="shared" si="9"/>
        <v>1888.702392578125</v>
      </c>
      <c r="AL18" s="2">
        <v>0.25709666302691403</v>
      </c>
      <c r="AM18" s="2">
        <f t="shared" si="10"/>
        <v>-1.559093661352063E-2</v>
      </c>
      <c r="AN18" s="2">
        <f t="shared" si="11"/>
        <v>0.14778422496398372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5.0590631335233317E-2</v>
      </c>
      <c r="J19" s="12" t="s">
        <v>73</v>
      </c>
      <c r="K19" s="6">
        <f xml:space="preserve"> $C$78 * (0.1149 * K4 + 0.1149 * K6)</f>
        <v>48.11335876205996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0.973297119140625</v>
      </c>
      <c r="W19" s="2">
        <f t="shared" si="0"/>
        <v>8.8848234712779472E-6</v>
      </c>
      <c r="X19" s="2">
        <f t="shared" si="8"/>
        <v>0.97332763671875</v>
      </c>
      <c r="Y19" s="2">
        <f t="shared" si="1"/>
        <v>-2.2317848255237749E-5</v>
      </c>
      <c r="Z19" s="2">
        <f t="shared" si="3"/>
        <v>0.9733123779296875</v>
      </c>
      <c r="AA19" s="2">
        <f t="shared" si="2"/>
        <v>-6.7165177036754287E-6</v>
      </c>
      <c r="AB19" s="2">
        <f t="shared" si="4"/>
        <v>-5.9675074138869312E-11</v>
      </c>
      <c r="AC19" s="2">
        <f t="shared" si="5"/>
        <v>1.4989822291424612E-10</v>
      </c>
      <c r="AD19" s="2">
        <f t="shared" si="6"/>
        <v>3.0517578125E-5</v>
      </c>
      <c r="AF19" s="2">
        <v>15</v>
      </c>
      <c r="AG19" s="2">
        <f t="shared" si="13"/>
        <v>1888.12255859375</v>
      </c>
      <c r="AH19" s="2">
        <v>-6.0642314178494416E-2</v>
      </c>
      <c r="AI19" s="2">
        <f t="shared" si="14"/>
        <v>1888.702392578125</v>
      </c>
      <c r="AJ19" s="2">
        <v>0.25709666302691403</v>
      </c>
      <c r="AK19" s="2">
        <f t="shared" si="9"/>
        <v>1888.4124755859375</v>
      </c>
      <c r="AL19" s="2">
        <v>9.8229126589330917E-2</v>
      </c>
      <c r="AM19" s="2">
        <f t="shared" si="10"/>
        <v>-5.9568415561093054E-3</v>
      </c>
      <c r="AN19" s="2">
        <f t="shared" si="11"/>
        <v>2.5254380658165293E-2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95.822095811710668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210.23127974623819</v>
      </c>
      <c r="L20" s="6" t="s">
        <v>7</v>
      </c>
      <c r="N20" s="6" t="s">
        <v>20</v>
      </c>
      <c r="O20" s="6">
        <f xml:space="preserve"> O14 / $C$28</f>
        <v>1364.3171103277587</v>
      </c>
      <c r="P20" s="6" t="s">
        <v>21</v>
      </c>
      <c r="U20" s="2">
        <v>16</v>
      </c>
      <c r="V20" s="2">
        <f t="shared" si="7"/>
        <v>0.973297119140625</v>
      </c>
      <c r="W20" s="2">
        <f t="shared" si="0"/>
        <v>8.8848234712779472E-6</v>
      </c>
      <c r="X20" s="2">
        <f t="shared" si="8"/>
        <v>0.9733123779296875</v>
      </c>
      <c r="Y20" s="2">
        <f t="shared" si="1"/>
        <v>-6.7165177036754287E-6</v>
      </c>
      <c r="Z20" s="2">
        <f t="shared" si="3"/>
        <v>0.97330474853515625</v>
      </c>
      <c r="AA20" s="2">
        <f t="shared" si="2"/>
        <v>1.0841515558634995E-6</v>
      </c>
      <c r="AB20" s="2">
        <f t="shared" si="4"/>
        <v>9.6324951899585258E-12</v>
      </c>
      <c r="AC20" s="2">
        <f t="shared" si="5"/>
        <v>-7.2817231184244553E-12</v>
      </c>
      <c r="AD20" s="2">
        <f t="shared" si="6"/>
        <v>1.52587890625E-5</v>
      </c>
      <c r="AF20" s="2">
        <v>16</v>
      </c>
      <c r="AG20" s="2">
        <f t="shared" si="13"/>
        <v>1888.12255859375</v>
      </c>
      <c r="AH20" s="2">
        <v>-6.0642314178494416E-2</v>
      </c>
      <c r="AI20" s="2">
        <f t="shared" si="14"/>
        <v>1888.4124755859375</v>
      </c>
      <c r="AJ20" s="2">
        <v>9.8229126589330917E-2</v>
      </c>
      <c r="AK20" s="2">
        <f t="shared" si="9"/>
        <v>1888.2675170898438</v>
      </c>
      <c r="AL20" s="2">
        <v>1.8793894224245378E-2</v>
      </c>
      <c r="AM20" s="2">
        <f t="shared" si="10"/>
        <v>-1.1397052381840799E-3</v>
      </c>
      <c r="AN20" s="2">
        <f t="shared" si="11"/>
        <v>1.8461078148598944E-3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49.093900516227066</v>
      </c>
      <c r="L21" s="6" t="s">
        <v>7</v>
      </c>
      <c r="N21" s="6" t="s">
        <v>27</v>
      </c>
      <c r="O21" s="6">
        <f>$C$6*2*PI()/60</f>
        <v>49.276229716690573</v>
      </c>
      <c r="P21" s="6" t="s">
        <v>28</v>
      </c>
      <c r="U21" s="2">
        <v>17</v>
      </c>
      <c r="V21" s="2">
        <f t="shared" si="7"/>
        <v>0.97330474853515625</v>
      </c>
      <c r="W21" s="2">
        <f t="shared" si="0"/>
        <v>1.0841515558634995E-6</v>
      </c>
      <c r="X21" s="2">
        <f t="shared" si="8"/>
        <v>0.9733123779296875</v>
      </c>
      <c r="Y21" s="2">
        <f t="shared" si="1"/>
        <v>-6.7165177036754287E-6</v>
      </c>
      <c r="Z21" s="2">
        <f t="shared" si="3"/>
        <v>0.97330856323242188</v>
      </c>
      <c r="AA21" s="2">
        <f t="shared" si="2"/>
        <v>-2.8161834059181601E-6</v>
      </c>
      <c r="AB21" s="2">
        <f t="shared" si="4"/>
        <v>-3.0531696211231424E-12</v>
      </c>
      <c r="AC21" s="2">
        <f t="shared" si="5"/>
        <v>1.8914945702646288E-11</v>
      </c>
      <c r="AD21" s="2">
        <f t="shared" si="6"/>
        <v>7.62939453125E-6</v>
      </c>
      <c r="AF21" s="2">
        <v>17</v>
      </c>
      <c r="AG21" s="2">
        <f t="shared" si="13"/>
        <v>1888.12255859375</v>
      </c>
      <c r="AH21" s="2">
        <v>-6.0642314178494416E-2</v>
      </c>
      <c r="AI21" s="2">
        <f t="shared" si="14"/>
        <v>1888.2675170898438</v>
      </c>
      <c r="AJ21" s="2">
        <v>1.8793894224245378E-2</v>
      </c>
      <c r="AK21" s="2">
        <f t="shared" si="9"/>
        <v>1888.1950378417969</v>
      </c>
      <c r="AL21" s="2">
        <v>-2.09240879751178E-2</v>
      </c>
      <c r="AM21" s="2">
        <f t="shared" si="10"/>
        <v>1.2688851168855507E-3</v>
      </c>
      <c r="AN21" s="2">
        <f t="shared" si="11"/>
        <v>-3.9324509614316859E-4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282.96791355394157</v>
      </c>
      <c r="L22" s="6" t="s">
        <v>7</v>
      </c>
      <c r="N22" s="6" t="s">
        <v>29</v>
      </c>
      <c r="O22" s="6">
        <f xml:space="preserve"> $C$7 * COS(O19/180*PI()) / (O21 * $C$10)</f>
        <v>8.3227603703793965E-2</v>
      </c>
      <c r="U22" s="2">
        <v>18</v>
      </c>
      <c r="V22" s="2">
        <f t="shared" si="7"/>
        <v>0.97330474853515625</v>
      </c>
      <c r="W22" s="2">
        <f t="shared" si="0"/>
        <v>1.0841515558634995E-6</v>
      </c>
      <c r="X22" s="2">
        <f t="shared" si="8"/>
        <v>0.97330856323242188</v>
      </c>
      <c r="Y22" s="2">
        <f t="shared" si="1"/>
        <v>-2.8161834059181601E-6</v>
      </c>
      <c r="Z22" s="2">
        <f t="shared" si="3"/>
        <v>0.97330665588378906</v>
      </c>
      <c r="AA22" s="2">
        <f t="shared" si="2"/>
        <v>-8.6601600801650136E-7</v>
      </c>
      <c r="AB22" s="2">
        <f t="shared" si="4"/>
        <v>-9.3889260249378692E-13</v>
      </c>
      <c r="AC22" s="2">
        <f t="shared" si="5"/>
        <v>2.4388599110355594E-12</v>
      </c>
      <c r="AD22" s="2">
        <f t="shared" si="6"/>
        <v>3.814697265625E-6</v>
      </c>
      <c r="AF22" s="2">
        <v>18</v>
      </c>
      <c r="AG22" s="2">
        <f t="shared" si="13"/>
        <v>1888.1950378417969</v>
      </c>
      <c r="AH22" s="2">
        <v>-2.09240879751178E-2</v>
      </c>
      <c r="AI22" s="2">
        <f t="shared" si="14"/>
        <v>1888.2675170898438</v>
      </c>
      <c r="AJ22" s="2">
        <v>1.8793894224245378E-2</v>
      </c>
      <c r="AK22" s="2">
        <f t="shared" si="9"/>
        <v>1888.2312774658203</v>
      </c>
      <c r="AL22" s="2">
        <v>-1.0650663743945188E-3</v>
      </c>
      <c r="AM22" s="2">
        <f t="shared" si="10"/>
        <v>2.2285542517170664E-5</v>
      </c>
      <c r="AN22" s="2">
        <f t="shared" si="11"/>
        <v>-2.0016744782171113E-5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21.675714714748551</v>
      </c>
      <c r="L23" s="6" t="s">
        <v>7</v>
      </c>
      <c r="N23" s="6" t="s">
        <v>30</v>
      </c>
      <c r="O23" s="6">
        <f xml:space="preserve"> O20 / ( $C$71 * PI() * $C$10^2 * O21^2 * $C$10^2)</f>
        <v>4.3001170982529584E-2</v>
      </c>
      <c r="U23" s="2">
        <v>19</v>
      </c>
      <c r="V23" s="2">
        <f t="shared" si="7"/>
        <v>0.97330474853515625</v>
      </c>
      <c r="W23" s="2">
        <f t="shared" si="0"/>
        <v>1.0841515558634995E-6</v>
      </c>
      <c r="X23" s="2">
        <f t="shared" si="8"/>
        <v>0.97330665588378906</v>
      </c>
      <c r="Y23" s="2">
        <f t="shared" si="1"/>
        <v>-8.6601600801650136E-7</v>
      </c>
      <c r="Z23" s="2">
        <f t="shared" si="3"/>
        <v>0.97330570220947266</v>
      </c>
      <c r="AA23" s="2">
        <f t="shared" si="2"/>
        <v>1.0906775316232853E-7</v>
      </c>
      <c r="AB23" s="2">
        <f t="shared" si="4"/>
        <v>1.1824597428547461E-13</v>
      </c>
      <c r="AC23" s="2">
        <f t="shared" si="5"/>
        <v>-9.445442019696889E-14</v>
      </c>
      <c r="AD23" s="2">
        <f t="shared" si="6"/>
        <v>1.9073486328125E-6</v>
      </c>
      <c r="AF23" s="2">
        <v>19</v>
      </c>
      <c r="AG23" s="2">
        <f t="shared" si="13"/>
        <v>1888.2312774658203</v>
      </c>
      <c r="AH23" s="2">
        <v>-1.0650663743945188E-3</v>
      </c>
      <c r="AI23" s="2">
        <f t="shared" si="14"/>
        <v>1888.2675170898438</v>
      </c>
      <c r="AJ23" s="2">
        <v>1.8793894224245378E-2</v>
      </c>
      <c r="AK23" s="2">
        <f t="shared" si="9"/>
        <v>1888.249397277832</v>
      </c>
      <c r="AL23" s="2">
        <v>8.864421550242696E-3</v>
      </c>
      <c r="AM23" s="2">
        <f t="shared" si="10"/>
        <v>-9.4411973216216276E-6</v>
      </c>
      <c r="AN23" s="2">
        <f t="shared" si="11"/>
        <v>1.6659700097438246E-4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7.9447104227243175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0.97330570220947266</v>
      </c>
      <c r="W24" s="2">
        <f t="shared" si="0"/>
        <v>1.0906775316232853E-7</v>
      </c>
      <c r="X24" s="2">
        <f t="shared" si="8"/>
        <v>0.97330665588378906</v>
      </c>
      <c r="Y24" s="2">
        <f t="shared" si="1"/>
        <v>-8.6601600801650136E-7</v>
      </c>
      <c r="Z24" s="2">
        <f t="shared" si="3"/>
        <v>0.97330617904663086</v>
      </c>
      <c r="AA24" s="2">
        <f t="shared" si="2"/>
        <v>-3.7847413258962348E-7</v>
      </c>
      <c r="AB24" s="2">
        <f t="shared" si="4"/>
        <v>-4.1279323271611453E-14</v>
      </c>
      <c r="AC24" s="2">
        <f t="shared" si="5"/>
        <v>3.2776465744277376E-13</v>
      </c>
      <c r="AD24" s="2">
        <f t="shared" si="6"/>
        <v>9.5367431640625E-7</v>
      </c>
      <c r="AF24" s="2">
        <v>20</v>
      </c>
      <c r="AG24" s="2">
        <f t="shared" si="13"/>
        <v>1888.2312774658203</v>
      </c>
      <c r="AH24" s="2">
        <v>-1.0650663743945188E-3</v>
      </c>
      <c r="AI24" s="2">
        <f t="shared" si="14"/>
        <v>1888.249397277832</v>
      </c>
      <c r="AJ24" s="2">
        <v>8.864421550242696E-3</v>
      </c>
      <c r="AK24" s="2">
        <f t="shared" si="9"/>
        <v>1888.2403373718262</v>
      </c>
      <c r="AL24" s="2">
        <v>3.899515377042917E-3</v>
      </c>
      <c r="AM24" s="2">
        <f t="shared" si="10"/>
        <v>-4.1532427045227746E-6</v>
      </c>
      <c r="AN24" s="2">
        <f t="shared" si="11"/>
        <v>3.4566948143762004E-5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17.244910360788285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2174.6004642566927</v>
      </c>
      <c r="P25" s="6" t="s">
        <v>19</v>
      </c>
      <c r="U25" s="2">
        <v>21</v>
      </c>
      <c r="V25" s="2">
        <f t="shared" si="7"/>
        <v>0.97330570220947266</v>
      </c>
      <c r="W25" s="2">
        <f t="shared" si="0"/>
        <v>1.0906775316232853E-7</v>
      </c>
      <c r="X25" s="2">
        <f t="shared" si="8"/>
        <v>0.97330617904663086</v>
      </c>
      <c r="Y25" s="2">
        <f t="shared" si="1"/>
        <v>-3.7847413258962348E-7</v>
      </c>
      <c r="Z25" s="2">
        <f t="shared" si="3"/>
        <v>0.97330594062805176</v>
      </c>
      <c r="AA25" s="2">
        <f t="shared" si="2"/>
        <v>-1.347031910459151E-7</v>
      </c>
      <c r="AB25" s="2">
        <f t="shared" si="4"/>
        <v>-1.4691774391173853E-14</v>
      </c>
      <c r="AC25" s="2">
        <f t="shared" si="5"/>
        <v>5.0981673388157055E-14</v>
      </c>
      <c r="AD25" s="2">
        <f t="shared" si="6"/>
        <v>4.76837158203125E-7</v>
      </c>
      <c r="AF25" s="2">
        <v>21</v>
      </c>
      <c r="AG25" s="2">
        <f t="shared" si="13"/>
        <v>1888.2312774658203</v>
      </c>
      <c r="AH25" s="2">
        <v>-1.0650663743945188E-3</v>
      </c>
      <c r="AI25" s="2">
        <f t="shared" si="14"/>
        <v>1888.2403373718262</v>
      </c>
      <c r="AJ25" s="2">
        <v>3.899515377042917E-3</v>
      </c>
      <c r="AK25" s="2">
        <f t="shared" si="9"/>
        <v>1888.2358074188232</v>
      </c>
      <c r="AL25" s="2">
        <v>1.4170608612857905E-3</v>
      </c>
      <c r="AM25" s="2">
        <f t="shared" si="10"/>
        <v>-1.509263873826031E-6</v>
      </c>
      <c r="AN25" s="2">
        <f t="shared" si="11"/>
        <v>5.5258506187896195E-6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2313.429968800036</v>
      </c>
      <c r="H26" s="6" t="s">
        <v>21</v>
      </c>
      <c r="J26" s="14" t="s">
        <v>65</v>
      </c>
      <c r="K26" s="6">
        <f xml:space="preserve"> $C$80 * (0.0268 * $C$5)</f>
        <v>40.483585656458011</v>
      </c>
      <c r="L26" s="6" t="s">
        <v>7</v>
      </c>
      <c r="N26" s="6" t="s">
        <v>32</v>
      </c>
      <c r="O26" s="17">
        <f>Z34</f>
        <v>0.97330580884590745</v>
      </c>
      <c r="U26" s="2">
        <v>22</v>
      </c>
      <c r="V26" s="2">
        <f t="shared" si="7"/>
        <v>0.97330570220947266</v>
      </c>
      <c r="W26" s="2">
        <f t="shared" si="0"/>
        <v>1.0906775316232853E-7</v>
      </c>
      <c r="X26" s="2">
        <f t="shared" si="8"/>
        <v>0.97330594062805176</v>
      </c>
      <c r="Y26" s="2">
        <f t="shared" si="1"/>
        <v>-1.347031910459151E-7</v>
      </c>
      <c r="Z26" s="2">
        <f t="shared" si="3"/>
        <v>0.97330582141876221</v>
      </c>
      <c r="AA26" s="2">
        <f t="shared" si="2"/>
        <v>-1.2817719219349044E-8</v>
      </c>
      <c r="AB26" s="2">
        <f t="shared" si="4"/>
        <v>-1.3979998359199959E-15</v>
      </c>
      <c r="AC26" s="2">
        <f t="shared" si="5"/>
        <v>1.7265876807768721E-15</v>
      </c>
      <c r="AD26" s="2">
        <f t="shared" si="6"/>
        <v>2.384185791015625E-7</v>
      </c>
      <c r="AF26" s="2">
        <v>22</v>
      </c>
      <c r="AG26" s="2">
        <f t="shared" si="13"/>
        <v>1888.2312774658203</v>
      </c>
      <c r="AH26" s="2">
        <v>-1.0650663743945188E-3</v>
      </c>
      <c r="AI26" s="2">
        <f t="shared" si="14"/>
        <v>1888.2358074188232</v>
      </c>
      <c r="AJ26" s="2">
        <v>1.4170608612857905E-3</v>
      </c>
      <c r="AK26" s="2">
        <f t="shared" si="9"/>
        <v>1888.2335424423218</v>
      </c>
      <c r="AL26" s="2">
        <v>1.7616147920307412E-4</v>
      </c>
      <c r="AM26" s="2">
        <f t="shared" si="10"/>
        <v>-1.8762366796279357E-7</v>
      </c>
      <c r="AN26" s="2">
        <f t="shared" si="11"/>
        <v>2.4963153744488707E-7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27.4455364755662</v>
      </c>
      <c r="H27" t="s">
        <v>97</v>
      </c>
      <c r="J27" s="14" t="s">
        <v>66</v>
      </c>
      <c r="K27" s="6">
        <f xml:space="preserve"> $C$80 * (11.5 * ($C$5*2.20462/1000)^0.4 * 0.453592)</f>
        <v>7.3825838266861723</v>
      </c>
      <c r="L27" s="6" t="s">
        <v>7</v>
      </c>
      <c r="N27" s="6" t="s">
        <v>33</v>
      </c>
      <c r="O27" s="6">
        <f xml:space="preserve"> O21 * $C$10 * O26 - $C$7 * SIN(O19/180*PI())</f>
        <v>1.5455577172965462</v>
      </c>
      <c r="P27" s="6" t="s">
        <v>10</v>
      </c>
      <c r="U27" s="2">
        <v>23</v>
      </c>
      <c r="V27" s="2">
        <f t="shared" si="7"/>
        <v>0.97330570220947266</v>
      </c>
      <c r="W27" s="2">
        <f t="shared" si="0"/>
        <v>1.0906775316232853E-7</v>
      </c>
      <c r="X27" s="2">
        <f t="shared" si="8"/>
        <v>0.97330582141876221</v>
      </c>
      <c r="Y27" s="2">
        <f t="shared" si="1"/>
        <v>-1.2817719219349044E-8</v>
      </c>
      <c r="Z27" s="2">
        <f t="shared" si="3"/>
        <v>0.97330576181411743</v>
      </c>
      <c r="AA27" s="2">
        <f t="shared" si="2"/>
        <v>4.812501686046744E-8</v>
      </c>
      <c r="AB27" s="2">
        <f t="shared" si="4"/>
        <v>5.2488874598703614E-15</v>
      </c>
      <c r="AC27" s="2">
        <f t="shared" si="5"/>
        <v>-6.168529535439103E-16</v>
      </c>
      <c r="AD27" s="2">
        <f t="shared" si="6"/>
        <v>1.1920928955078125E-7</v>
      </c>
      <c r="AF27" s="2">
        <v>23</v>
      </c>
      <c r="AG27" s="2">
        <f t="shared" si="13"/>
        <v>1888.2312774658203</v>
      </c>
      <c r="AH27" s="2">
        <v>-1.0650663743945188E-3</v>
      </c>
      <c r="AI27" s="2">
        <f t="shared" si="14"/>
        <v>1888.2335424423218</v>
      </c>
      <c r="AJ27" s="2">
        <v>1.7616147920307412E-4</v>
      </c>
      <c r="AK27" s="2">
        <f t="shared" si="9"/>
        <v>1888.232409954071</v>
      </c>
      <c r="AL27" s="2">
        <v>-4.4461653419602953E-4</v>
      </c>
      <c r="AM27" s="2">
        <f t="shared" si="10"/>
        <v>4.7354612007202174E-7</v>
      </c>
      <c r="AN27" s="2">
        <f t="shared" si="11"/>
        <v>-7.8324306342116745E-8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8.5998817358372293</v>
      </c>
      <c r="H28" s="6" t="s">
        <v>172</v>
      </c>
      <c r="J28" s="14" t="s">
        <v>67</v>
      </c>
      <c r="K28" s="6">
        <f xml:space="preserve"> $C$80 * (8 * ($C$5/1000))</f>
        <v>12.084652434763585</v>
      </c>
      <c r="L28" s="6" t="s">
        <v>7</v>
      </c>
      <c r="N28" s="6" t="s">
        <v>34</v>
      </c>
      <c r="O28" s="6">
        <f xml:space="preserve"> 1/$C$31 - O25 * SQRT( (2*$C$71*PI()*$C$10^2) / O20^3 )</f>
        <v>1.1785326953884452</v>
      </c>
      <c r="U28" s="2">
        <v>24</v>
      </c>
      <c r="V28" s="2">
        <f t="shared" si="7"/>
        <v>0.97330576181411743</v>
      </c>
      <c r="W28" s="2">
        <f t="shared" si="0"/>
        <v>4.812501686046744E-8</v>
      </c>
      <c r="X28" s="2">
        <f t="shared" si="8"/>
        <v>0.97330582141876221</v>
      </c>
      <c r="Y28" s="2">
        <f t="shared" si="1"/>
        <v>-1.2817719219349044E-8</v>
      </c>
      <c r="Z28" s="2">
        <f t="shared" si="3"/>
        <v>0.97330579161643982</v>
      </c>
      <c r="AA28" s="2">
        <f t="shared" si="2"/>
        <v>1.7653648765048047E-8</v>
      </c>
      <c r="AB28" s="2">
        <f t="shared" si="4"/>
        <v>8.4958214446670745E-16</v>
      </c>
      <c r="AC28" s="2">
        <f t="shared" si="5"/>
        <v>-2.2627951306739387E-16</v>
      </c>
      <c r="AD28" s="2">
        <f t="shared" si="6"/>
        <v>5.9604644775390625E-8</v>
      </c>
      <c r="AF28" s="2">
        <v>24</v>
      </c>
      <c r="AG28" s="2">
        <f t="shared" si="13"/>
        <v>1888.232409954071</v>
      </c>
      <c r="AH28" s="2">
        <v>-4.4461653419602953E-4</v>
      </c>
      <c r="AI28" s="2">
        <f t="shared" si="14"/>
        <v>1888.2335424423218</v>
      </c>
      <c r="AJ28" s="2">
        <v>1.7616147920307412E-4</v>
      </c>
      <c r="AK28" s="2">
        <f t="shared" si="9"/>
        <v>1888.2329761981964</v>
      </c>
      <c r="AL28" s="2">
        <v>-1.3439163649309194E-4</v>
      </c>
      <c r="AM28" s="2">
        <f t="shared" si="10"/>
        <v>5.975274364249118E-8</v>
      </c>
      <c r="AN28" s="2">
        <f t="shared" si="11"/>
        <v>-2.3674629477144912E-8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219.5642918045296</v>
      </c>
      <c r="H29" s="22" t="s">
        <v>97</v>
      </c>
      <c r="J29" s="14" t="s">
        <v>68</v>
      </c>
      <c r="K29" s="6">
        <f xml:space="preserve"> $C$80 * (13 * ($C$5*2.20462/1000)^1.3 * 0.453592)</f>
        <v>30.123334110338874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0.97330579161643982</v>
      </c>
      <c r="W29" s="2">
        <f t="shared" si="0"/>
        <v>1.7653648765048047E-8</v>
      </c>
      <c r="X29" s="2">
        <f t="shared" si="8"/>
        <v>0.97330582141876221</v>
      </c>
      <c r="Y29" s="2">
        <f t="shared" si="1"/>
        <v>-1.2817719219349044E-8</v>
      </c>
      <c r="Z29" s="2">
        <f t="shared" si="3"/>
        <v>0.97330580651760101</v>
      </c>
      <c r="AA29" s="2">
        <f t="shared" si="2"/>
        <v>2.4179647173383501E-9</v>
      </c>
      <c r="AB29" s="2">
        <f t="shared" si="4"/>
        <v>4.2685899846169913E-17</v>
      </c>
      <c r="AC29" s="2">
        <f t="shared" si="5"/>
        <v>-3.0992792829135648E-17</v>
      </c>
      <c r="AD29" s="2">
        <f t="shared" si="6"/>
        <v>2.9802322387695312E-8</v>
      </c>
      <c r="AF29" s="2">
        <v>25</v>
      </c>
      <c r="AG29" s="2">
        <f t="shared" si="13"/>
        <v>1888.2329761981964</v>
      </c>
      <c r="AH29" s="2">
        <v>-1.3439163649309194E-4</v>
      </c>
      <c r="AI29" s="2">
        <f t="shared" si="14"/>
        <v>1888.2335424423218</v>
      </c>
      <c r="AJ29" s="2">
        <v>1.7616147920307412E-4</v>
      </c>
      <c r="AK29" s="2">
        <f t="shared" si="9"/>
        <v>1888.2332593202591</v>
      </c>
      <c r="AL29" s="2">
        <v>2.0884923287667334E-5</v>
      </c>
      <c r="AM29" s="2">
        <f t="shared" si="10"/>
        <v>-2.8067590186622989E-9</v>
      </c>
      <c r="AN29" s="2">
        <f t="shared" si="11"/>
        <v>3.6791189793982075E-9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-3.4404480679768312E-3</v>
      </c>
      <c r="L30" s="9" t="s">
        <v>7</v>
      </c>
      <c r="N30" s="6" t="s">
        <v>36</v>
      </c>
      <c r="O30" s="6">
        <f xml:space="preserve"> 1/$C$77 * LN( EXP($C$77 * O28) + EXP($C$77 * O29) )</f>
        <v>1.1903352937485969</v>
      </c>
      <c r="U30" s="2">
        <v>26</v>
      </c>
      <c r="V30" s="2">
        <f>IF(AB29&gt;0, Z29, V29)</f>
        <v>0.97330580651760101</v>
      </c>
      <c r="W30" s="2">
        <f t="shared" si="0"/>
        <v>2.4179647173383501E-9</v>
      </c>
      <c r="X30" s="2">
        <f t="shared" si="8"/>
        <v>0.97330582141876221</v>
      </c>
      <c r="Y30" s="2">
        <f t="shared" si="1"/>
        <v>-1.2817719219349044E-8</v>
      </c>
      <c r="Z30" s="2">
        <f t="shared" si="3"/>
        <v>0.97330581396818161</v>
      </c>
      <c r="AA30" s="2">
        <f t="shared" si="2"/>
        <v>-5.1998771954941958E-9</v>
      </c>
      <c r="AB30" s="2">
        <f t="shared" si="4"/>
        <v>-1.2573119593197256E-17</v>
      </c>
      <c r="AC30" s="2">
        <f t="shared" si="5"/>
        <v>6.665056586694076E-17</v>
      </c>
      <c r="AD30" s="2">
        <f t="shared" si="6"/>
        <v>1.4901161193847656E-8</v>
      </c>
      <c r="AF30" s="2">
        <v>26</v>
      </c>
      <c r="AG30" s="2">
        <f t="shared" si="13"/>
        <v>1888.2329761981964</v>
      </c>
      <c r="AH30" s="2">
        <v>-1.3439163649309194E-4</v>
      </c>
      <c r="AI30" s="2">
        <f t="shared" si="14"/>
        <v>1888.2332593202591</v>
      </c>
      <c r="AJ30" s="2">
        <v>2.0884923287667334E-5</v>
      </c>
      <c r="AK30" s="2">
        <f t="shared" si="9"/>
        <v>1888.2331177592278</v>
      </c>
      <c r="AL30" s="2">
        <v>-5.6589239648019429E-5</v>
      </c>
      <c r="AM30" s="2">
        <f t="shared" si="10"/>
        <v>7.6051205241970922E-9</v>
      </c>
      <c r="AN30" s="2">
        <f t="shared" si="11"/>
        <v>-1.1818619289563086E-9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0.97330580651760101</v>
      </c>
      <c r="W31" s="2">
        <f t="shared" si="0"/>
        <v>2.4179647173383501E-9</v>
      </c>
      <c r="X31" s="2">
        <f t="shared" si="8"/>
        <v>0.97330581396818161</v>
      </c>
      <c r="Y31" s="2">
        <f t="shared" si="1"/>
        <v>-5.1998771954941958E-9</v>
      </c>
      <c r="Z31" s="2">
        <f t="shared" si="3"/>
        <v>0.97330581024289131</v>
      </c>
      <c r="AA31" s="2">
        <f t="shared" si="2"/>
        <v>-1.3909562390779229E-9</v>
      </c>
      <c r="AB31" s="2">
        <f t="shared" si="4"/>
        <v>-3.3632831094520642E-18</v>
      </c>
      <c r="AC31" s="2">
        <f t="shared" si="5"/>
        <v>7.2328016275116637E-18</v>
      </c>
      <c r="AD31" s="2">
        <f t="shared" si="6"/>
        <v>7.4505805969238281E-9</v>
      </c>
      <c r="AF31" s="2">
        <v>27</v>
      </c>
      <c r="AG31" s="2">
        <f t="shared" si="13"/>
        <v>1888.2331177592278</v>
      </c>
      <c r="AH31" s="2">
        <v>-5.6589239648019429E-5</v>
      </c>
      <c r="AI31" s="2">
        <f t="shared" si="14"/>
        <v>1888.2332593202591</v>
      </c>
      <c r="AJ31" s="2">
        <v>2.0884923287667334E-5</v>
      </c>
      <c r="AK31" s="2">
        <f t="shared" si="9"/>
        <v>1888.2331885397434</v>
      </c>
      <c r="AL31" s="2">
        <v>-1.8016274907495244E-5</v>
      </c>
      <c r="AM31" s="2">
        <f t="shared" si="10"/>
        <v>1.0195272983048475E-9</v>
      </c>
      <c r="AN31" s="2">
        <f t="shared" si="11"/>
        <v>-3.7626851937256407E-10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0.97330580651760101</v>
      </c>
      <c r="W32" s="2">
        <f t="shared" si="0"/>
        <v>2.4179647173383501E-9</v>
      </c>
      <c r="X32" s="2">
        <f t="shared" si="8"/>
        <v>0.97330581024289131</v>
      </c>
      <c r="Y32" s="2">
        <f t="shared" si="1"/>
        <v>-1.3909562390779229E-9</v>
      </c>
      <c r="Z32" s="2">
        <f t="shared" si="3"/>
        <v>0.97330580838024616</v>
      </c>
      <c r="AA32" s="2">
        <f t="shared" si="2"/>
        <v>5.1350423913021359E-10</v>
      </c>
      <c r="AB32" s="2">
        <f t="shared" si="4"/>
        <v>1.2416351324205314E-18</v>
      </c>
      <c r="AC32" s="2">
        <f t="shared" si="5"/>
        <v>-7.1426192521113225E-19</v>
      </c>
      <c r="AD32" s="2">
        <f t="shared" si="6"/>
        <v>3.7252902984619141E-9</v>
      </c>
      <c r="AF32" s="2">
        <v>28</v>
      </c>
      <c r="AG32" s="2">
        <f t="shared" si="13"/>
        <v>1888.2331885397434</v>
      </c>
      <c r="AH32" s="2">
        <v>-1.8016274907495244E-5</v>
      </c>
      <c r="AI32" s="2">
        <f t="shared" si="14"/>
        <v>1888.2332593202591</v>
      </c>
      <c r="AJ32" s="2">
        <v>2.0884923287667334E-5</v>
      </c>
      <c r="AK32" s="2">
        <f t="shared" si="9"/>
        <v>1888.2332239300013</v>
      </c>
      <c r="AL32" s="2">
        <v>1.4343243037728826E-6</v>
      </c>
      <c r="AM32" s="2">
        <f t="shared" si="10"/>
        <v>-2.5841180963273971E-11</v>
      </c>
      <c r="AN32" s="2">
        <f t="shared" si="11"/>
        <v>2.995575305393351E-11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95.822095811710668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0.97330580838024616</v>
      </c>
      <c r="W33" s="2">
        <f t="shared" si="0"/>
        <v>5.1350423913021359E-10</v>
      </c>
      <c r="X33" s="2">
        <f t="shared" si="8"/>
        <v>0.97330581024289131</v>
      </c>
      <c r="Y33" s="2">
        <f t="shared" si="1"/>
        <v>-1.3909562390779229E-9</v>
      </c>
      <c r="Z33" s="2">
        <f t="shared" si="3"/>
        <v>0.97330580931156874</v>
      </c>
      <c r="AA33" s="2">
        <f t="shared" si="2"/>
        <v>-4.3872594446270341E-10</v>
      </c>
      <c r="AB33" s="2">
        <f t="shared" si="4"/>
        <v>-2.2528763229800486E-19</v>
      </c>
      <c r="AC33" s="2">
        <f t="shared" si="5"/>
        <v>6.102485896957516E-19</v>
      </c>
      <c r="AD33" s="2">
        <f t="shared" si="6"/>
        <v>1.862645149230957E-9</v>
      </c>
      <c r="AF33" s="2">
        <v>29</v>
      </c>
      <c r="AG33" s="2">
        <f t="shared" si="13"/>
        <v>1888.2331885397434</v>
      </c>
      <c r="AH33" s="2">
        <v>-1.8016274907495244E-5</v>
      </c>
      <c r="AI33" s="2">
        <f t="shared" si="14"/>
        <v>1888.2332239300013</v>
      </c>
      <c r="AJ33" s="2">
        <v>1.4343243037728826E-6</v>
      </c>
      <c r="AK33" s="2">
        <f t="shared" si="9"/>
        <v>1888.2332062348723</v>
      </c>
      <c r="AL33" s="2">
        <v>-8.29097484711383E-6</v>
      </c>
      <c r="AM33" s="2">
        <f t="shared" si="10"/>
        <v>1.4937248209673112E-10</v>
      </c>
      <c r="AN33" s="2">
        <f t="shared" si="11"/>
        <v>-1.1891946725185026E-11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31.78</v>
      </c>
      <c r="L34" s="6" t="s">
        <v>59</v>
      </c>
      <c r="U34" s="2">
        <v>30</v>
      </c>
      <c r="V34" s="2">
        <f t="shared" si="7"/>
        <v>0.97330580838024616</v>
      </c>
      <c r="W34" s="2">
        <f t="shared" si="0"/>
        <v>5.1350423913021359E-10</v>
      </c>
      <c r="X34" s="2">
        <f t="shared" si="8"/>
        <v>0.97330580931156874</v>
      </c>
      <c r="Y34" s="2">
        <f t="shared" si="1"/>
        <v>-4.3872594446270341E-10</v>
      </c>
      <c r="Z34" s="2">
        <f t="shared" si="3"/>
        <v>0.97330580884590745</v>
      </c>
      <c r="AA34" s="2">
        <f t="shared" si="2"/>
        <v>3.7389091822603859E-11</v>
      </c>
      <c r="AB34" s="2">
        <f t="shared" si="4"/>
        <v>1.9199457148135886E-20</v>
      </c>
      <c r="AC34" s="2">
        <f t="shared" si="5"/>
        <v>-1.6403564622474619E-20</v>
      </c>
      <c r="AD34" s="2">
        <f t="shared" si="6"/>
        <v>9.3132257461547852E-10</v>
      </c>
      <c r="AF34" s="2">
        <v>30</v>
      </c>
      <c r="AG34" s="2">
        <f t="shared" si="13"/>
        <v>1888.2332062348723</v>
      </c>
      <c r="AH34" s="2">
        <v>-8.29097484711383E-6</v>
      </c>
      <c r="AI34" s="2">
        <f t="shared" si="14"/>
        <v>1888.2332239300013</v>
      </c>
      <c r="AJ34" s="2">
        <v>1.4343243037728826E-6</v>
      </c>
      <c r="AK34" s="2">
        <f t="shared" si="9"/>
        <v>1888.2332150824368</v>
      </c>
      <c r="AL34" s="2">
        <v>-3.4283257264178246E-6</v>
      </c>
      <c r="AM34" s="2">
        <f t="shared" si="10"/>
        <v>2.8424162365443434E-11</v>
      </c>
      <c r="AN34" s="2">
        <f t="shared" si="11"/>
        <v>-4.9173309106509082E-12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17.7</v>
      </c>
      <c r="L35" s="6" t="s">
        <v>59</v>
      </c>
      <c r="AF35" s="2">
        <v>31</v>
      </c>
      <c r="AG35" s="2">
        <f t="shared" si="13"/>
        <v>1888.2332150824368</v>
      </c>
      <c r="AH35" s="2">
        <v>-3.4283257264178246E-6</v>
      </c>
      <c r="AI35" s="2">
        <f t="shared" si="14"/>
        <v>1888.2332239300013</v>
      </c>
      <c r="AJ35" s="2">
        <v>1.4343243037728826E-6</v>
      </c>
      <c r="AK35" s="2">
        <f t="shared" si="9"/>
        <v>1888.233219506219</v>
      </c>
      <c r="AL35" s="2">
        <v>-9.9700082500930876E-7</v>
      </c>
      <c r="AM35" s="2">
        <f t="shared" si="10"/>
        <v>3.4180435776392089E-12</v>
      </c>
      <c r="AN35" s="2">
        <f t="shared" si="11"/>
        <v>-1.4300225141924663E-12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14.55</v>
      </c>
      <c r="L36" s="6" t="s">
        <v>59</v>
      </c>
      <c r="AF36" s="2">
        <v>32</v>
      </c>
      <c r="AG36" s="2">
        <f t="shared" si="13"/>
        <v>1888.233219506219</v>
      </c>
      <c r="AH36" s="2">
        <v>-9.9700082500930876E-7</v>
      </c>
      <c r="AI36" s="2">
        <f t="shared" si="14"/>
        <v>1888.2332239300013</v>
      </c>
      <c r="AJ36" s="2">
        <v>1.4343243037728826E-6</v>
      </c>
      <c r="AK36" s="2">
        <f t="shared" si="9"/>
        <v>1888.2332217181101</v>
      </c>
      <c r="AL36" s="2">
        <v>2.1866162569494918E-7</v>
      </c>
      <c r="AM36" s="2">
        <f t="shared" si="10"/>
        <v>-2.18005821215741E-13</v>
      </c>
      <c r="AN36" s="2">
        <f t="shared" si="11"/>
        <v>3.1363168403675463E-13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31.2</v>
      </c>
      <c r="L37" s="6" t="s">
        <v>59</v>
      </c>
      <c r="AF37" s="2">
        <v>33</v>
      </c>
      <c r="AG37" s="2">
        <f t="shared" si="13"/>
        <v>1888.233219506219</v>
      </c>
      <c r="AH37" s="2">
        <v>-9.9700082500930876E-7</v>
      </c>
      <c r="AI37" s="2">
        <f t="shared" si="14"/>
        <v>1888.2332217181101</v>
      </c>
      <c r="AJ37" s="2">
        <v>2.1866162569494918E-7</v>
      </c>
      <c r="AK37" s="2">
        <f t="shared" si="9"/>
        <v>1888.2332206121646</v>
      </c>
      <c r="AL37" s="2">
        <v>-3.8916959965717979E-7</v>
      </c>
      <c r="AM37" s="2">
        <f t="shared" si="10"/>
        <v>3.8800241192675065E-13</v>
      </c>
      <c r="AN37" s="2">
        <f t="shared" si="11"/>
        <v>-8.5096457332091469E-14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4.7699999999999996</v>
      </c>
      <c r="L38" s="6" t="s">
        <v>59</v>
      </c>
      <c r="AF38" s="2">
        <v>34</v>
      </c>
      <c r="AG38" s="2">
        <f t="shared" si="13"/>
        <v>1888.2332206121646</v>
      </c>
      <c r="AH38" s="2">
        <v>-3.8916959965717979E-7</v>
      </c>
      <c r="AI38" s="2">
        <f t="shared" si="14"/>
        <v>1888.2332217181101</v>
      </c>
      <c r="AJ38" s="2">
        <v>2.1866162569494918E-7</v>
      </c>
      <c r="AK38" s="2">
        <f t="shared" si="9"/>
        <v>1888.2332211651374</v>
      </c>
      <c r="AL38" s="2">
        <v>-8.5253532233764417E-8</v>
      </c>
      <c r="AM38" s="2">
        <f t="shared" si="10"/>
        <v>3.3178083008774571E-14</v>
      </c>
      <c r="AN38" s="2">
        <f t="shared" si="11"/>
        <v>-1.864167595447168E-14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1888.2332211651374</v>
      </c>
      <c r="AH39" s="2">
        <v>-8.5253532233764417E-8</v>
      </c>
      <c r="AI39" s="2">
        <f t="shared" si="14"/>
        <v>1888.2332217181101</v>
      </c>
      <c r="AJ39" s="2">
        <v>2.1866162569494918E-7</v>
      </c>
      <c r="AK39" s="2">
        <f t="shared" si="9"/>
        <v>1888.2332214416238</v>
      </c>
      <c r="AL39" s="2">
        <v>6.6703478296403773E-8</v>
      </c>
      <c r="AM39" s="2">
        <f t="shared" si="10"/>
        <v>-5.6867071370466643E-15</v>
      </c>
      <c r="AN39" s="2">
        <f t="shared" si="11"/>
        <v>1.4585491003799408E-14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1888.2332211651374</v>
      </c>
      <c r="AH40" s="2">
        <v>-8.5253532233764417E-8</v>
      </c>
      <c r="AI40" s="2">
        <f t="shared" si="14"/>
        <v>1888.2332214416238</v>
      </c>
      <c r="AJ40" s="2">
        <v>6.6703478296403773E-8</v>
      </c>
      <c r="AK40" s="2">
        <f t="shared" si="9"/>
        <v>1888.2332213033806</v>
      </c>
      <c r="AL40" s="2">
        <v>-9.2747995950048789E-9</v>
      </c>
      <c r="AM40" s="2">
        <f t="shared" si="10"/>
        <v>7.9070942623445361E-16</v>
      </c>
      <c r="AN40" s="2">
        <f t="shared" si="11"/>
        <v>-6.1866139348890245E-16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1888.2332213033806</v>
      </c>
      <c r="AH41" s="2">
        <v>-9.2747995950048789E-9</v>
      </c>
      <c r="AI41" s="2">
        <f t="shared" si="14"/>
        <v>1888.2332214416238</v>
      </c>
      <c r="AJ41" s="2">
        <v>6.6703478296403773E-8</v>
      </c>
      <c r="AK41" s="2">
        <f t="shared" si="9"/>
        <v>1888.2332213725022</v>
      </c>
      <c r="AL41" s="2">
        <v>2.8714794098050334E-8</v>
      </c>
      <c r="AM41" s="2">
        <f t="shared" si="10"/>
        <v>-2.6632396067124572E-16</v>
      </c>
      <c r="AN41" s="2">
        <f t="shared" si="11"/>
        <v>1.9153766449050036E-15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1888.2332213033806</v>
      </c>
      <c r="AH42" s="2">
        <v>-9.2747995950048789E-9</v>
      </c>
      <c r="AI42" s="2">
        <f t="shared" si="14"/>
        <v>1888.2332213725022</v>
      </c>
      <c r="AJ42" s="2">
        <v>2.8714794098050334E-8</v>
      </c>
      <c r="AK42" s="2">
        <f t="shared" si="9"/>
        <v>1888.2332213379414</v>
      </c>
      <c r="AL42" s="2">
        <v>9.7195425041718408E-9</v>
      </c>
      <c r="AM42" s="2">
        <f t="shared" si="10"/>
        <v>-9.0146808881325696E-17</v>
      </c>
      <c r="AN42" s="2">
        <f t="shared" si="11"/>
        <v>2.7909466173454294E-16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334.21</v>
      </c>
      <c r="L43" s="6" t="s">
        <v>7</v>
      </c>
      <c r="AF43" s="2">
        <v>39</v>
      </c>
      <c r="AG43" s="2">
        <f t="shared" si="13"/>
        <v>1888.2332213033806</v>
      </c>
      <c r="AH43" s="2">
        <v>-9.2747995950048789E-9</v>
      </c>
      <c r="AI43" s="2">
        <f t="shared" si="14"/>
        <v>1888.2332213379414</v>
      </c>
      <c r="AJ43" s="2">
        <v>9.7195425041718408E-9</v>
      </c>
      <c r="AK43" s="2">
        <f t="shared" si="9"/>
        <v>1888.233221320661</v>
      </c>
      <c r="AL43" s="2">
        <v>2.2282620193436742E-10</v>
      </c>
      <c r="AM43" s="2">
        <f t="shared" si="10"/>
        <v>-2.0666683674573463E-18</v>
      </c>
      <c r="AN43" s="2">
        <f t="shared" si="11"/>
        <v>2.1657687407442618E-18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274.79000000000002</v>
      </c>
      <c r="L44" s="6" t="s">
        <v>7</v>
      </c>
      <c r="AF44" s="2">
        <v>40</v>
      </c>
      <c r="AG44" s="2">
        <f t="shared" si="13"/>
        <v>1888.2332213033806</v>
      </c>
      <c r="AH44" s="2">
        <v>-9.2747995950048789E-9</v>
      </c>
      <c r="AI44" s="2">
        <f t="shared" si="14"/>
        <v>1888.233221320661</v>
      </c>
      <c r="AJ44" s="2">
        <v>2.2282620193436742E-10</v>
      </c>
      <c r="AK44" s="5">
        <f t="shared" si="9"/>
        <v>1888.2332213120208</v>
      </c>
      <c r="AL44" s="2">
        <v>-4.5261003833729774E-9</v>
      </c>
      <c r="AM44" s="2">
        <f t="shared" si="10"/>
        <v>4.1978674002659118E-17</v>
      </c>
      <c r="AN44" s="2">
        <f t="shared" si="11"/>
        <v>-1.0085337580006848E-18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589.16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90.07</v>
      </c>
      <c r="L46" s="6" t="s">
        <v>7</v>
      </c>
    </row>
    <row r="47" spans="2:41" x14ac:dyDescent="0.2">
      <c r="J47" s="9" t="s">
        <v>60</v>
      </c>
      <c r="K47" s="9">
        <f>SUM(K42:K46)</f>
        <v>1888.2299999999998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41" priority="1" operator="containsText" text="FALSE">
      <formula>NOT(ISERROR(SEARCH("FALSE",K31)))</formula>
    </cfRule>
    <cfRule type="containsText" dxfId="40" priority="2" operator="containsText" text="TRUE">
      <formula>NOT(ISERROR(SEARCH("TRUE",K31)))</formula>
    </cfRule>
    <cfRule type="cellIs" dxfId="39" priority="3" operator="equal">
      <formula>1</formula>
    </cfRule>
    <cfRule type="cellIs" dxfId="38" priority="4" operator="equal">
      <formula>TRUE</formula>
    </cfRule>
    <cfRule type="containsText" dxfId="37" priority="5" operator="containsText" text="YES">
      <formula>NOT(ISERROR(SEARCH("YES",K31)))</formula>
    </cfRule>
    <cfRule type="cellIs" dxfId="36" priority="6" operator="equal">
      <formula>"""YES"""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287B-15E3-F74A-8EAB-6E6701AC89FE}">
  <dimension ref="B1:AO81"/>
  <sheetViews>
    <sheetView zoomScale="88" workbookViewId="0">
      <selection activeCell="C5" sqref="C5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335.52755182956855</v>
      </c>
      <c r="L4" s="6" t="s">
        <v>97</v>
      </c>
      <c r="N4" s="6" t="s">
        <v>131</v>
      </c>
      <c r="O4" s="6">
        <f xml:space="preserve"> $C$5 * $C$74</f>
        <v>16970.394667612702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1.2013883651000994</v>
      </c>
      <c r="X4" s="3">
        <v>1</v>
      </c>
      <c r="Y4" s="2">
        <f t="shared" ref="Y4:Y34" si="1" xml:space="preserve"> $O$22 * TAN($O$19/180*PI()) + $O$23 / (2 * SQRT($O$22^2 + X4^2)) - X4</f>
        <v>-2.796125428114915E-2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0.49236005980950981</v>
      </c>
      <c r="AB4" s="2">
        <f>W4*AA4</f>
        <v>0.59151564729513417</v>
      </c>
      <c r="AC4" s="2">
        <f>Y4*AA4</f>
        <v>-1.3767004830215509E-2</v>
      </c>
      <c r="AD4" s="2">
        <f>X4-V4</f>
        <v>1</v>
      </c>
      <c r="AF4" s="2">
        <v>0</v>
      </c>
      <c r="AH4" s="2">
        <f>K30</f>
        <v>-3.4837388689084037E-3</v>
      </c>
      <c r="AJ4" s="2">
        <f>K30</f>
        <v>-3.4837388689084037E-3</v>
      </c>
      <c r="AL4" s="2">
        <f>K30</f>
        <v>-3.4837388689084037E-3</v>
      </c>
    </row>
    <row r="5" spans="2:41" x14ac:dyDescent="0.2">
      <c r="B5" s="9" t="s">
        <v>38</v>
      </c>
      <c r="C5" s="9">
        <v>1731.57509750347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41.940943978696069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0.49236005980950981</v>
      </c>
      <c r="X5" s="2">
        <f>IF(AC4&gt;0, Z4, X4)</f>
        <v>1</v>
      </c>
      <c r="Y5" s="2">
        <f t="shared" si="1"/>
        <v>-2.796125428114915E-2</v>
      </c>
      <c r="Z5" s="2">
        <f t="shared" ref="Z5:Z34" si="3" xml:space="preserve"> (V5 + X5)/2</f>
        <v>0.75</v>
      </c>
      <c r="AA5" s="2">
        <f t="shared" si="2"/>
        <v>0.22887934590206216</v>
      </c>
      <c r="AB5" s="2">
        <f t="shared" ref="AB5:AB34" si="4">W5*AA5</f>
        <v>0.11269104843750082</v>
      </c>
      <c r="AC5" s="2">
        <f t="shared" ref="AC5:AC34" si="5">Y5*AA5</f>
        <v>-6.3997535904706526E-3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-729.12787506719326</v>
      </c>
      <c r="AI5" s="3">
        <v>10000</v>
      </c>
      <c r="AJ5" s="2">
        <f t="dataTable" ref="AJ5:AJ44" dt2D="0" dtr="0" r1="C5"/>
        <v>4368.9613080663858</v>
      </c>
      <c r="AK5" s="2">
        <f>(AG5+AI5)/2</f>
        <v>5250</v>
      </c>
      <c r="AL5" s="2">
        <f t="dataTable" ref="AL5:AL44" dt2D="0" dtr="0" r1="C5" ca="1"/>
        <v>2141.1205012321534</v>
      </c>
      <c r="AM5" s="2">
        <f>AH5*AL5</f>
        <v>-1561150.6413262037</v>
      </c>
      <c r="AN5" s="2">
        <f>AJ5*AL5</f>
        <v>9354472.6257909853</v>
      </c>
      <c r="AO5" s="2">
        <f>AI5-AG5</f>
        <v>9500</v>
      </c>
    </row>
    <row r="6" spans="2:41" x14ac:dyDescent="0.2">
      <c r="B6" s="6" t="s">
        <v>168</v>
      </c>
      <c r="C6" s="16">
        <v>470.55333218058303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139.12203864595236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0.18880817861259544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0.22887934590206216</v>
      </c>
      <c r="X6" s="2">
        <f t="shared" ref="X6:X34" si="8">IF(AC5&gt;0, Z5, X5)</f>
        <v>1</v>
      </c>
      <c r="Y6" s="2">
        <f t="shared" si="1"/>
        <v>-2.796125428114915E-2</v>
      </c>
      <c r="Z6" s="2">
        <f t="shared" si="3"/>
        <v>0.875</v>
      </c>
      <c r="AA6" s="2">
        <f t="shared" si="2"/>
        <v>9.997709291628265E-2</v>
      </c>
      <c r="AB6" s="2">
        <f t="shared" si="4"/>
        <v>2.2882691631868464E-2</v>
      </c>
      <c r="AC6" s="2">
        <f t="shared" si="5"/>
        <v>-2.7954849173222546E-3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-729.12787506719326</v>
      </c>
      <c r="AI6" s="2">
        <f>IF(AN5&gt;0,AK5,AI5)</f>
        <v>5250</v>
      </c>
      <c r="AJ6" s="2">
        <v>2141.1205012321534</v>
      </c>
      <c r="AK6" s="2">
        <f t="shared" ref="AK6:AK44" si="9">(AG6+AI6)/2</f>
        <v>2875</v>
      </c>
      <c r="AL6" s="2">
        <v>643.84439456607447</v>
      </c>
      <c r="AM6" s="2">
        <f t="shared" ref="AM6:AM44" si="10">AH6*AL6</f>
        <v>-469444.89528388542</v>
      </c>
      <c r="AN6" s="2">
        <f t="shared" ref="AN6:AN44" si="11">AJ6*AL6</f>
        <v>1378548.4328088257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2121.5022583951327</v>
      </c>
      <c r="H7" s="6" t="s">
        <v>21</v>
      </c>
      <c r="J7" s="6" t="s">
        <v>133</v>
      </c>
      <c r="K7" s="6">
        <f>K6/$C$28</f>
        <v>139.12203864595236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9.997709291628265E-2</v>
      </c>
      <c r="X7" s="2">
        <f t="shared" si="8"/>
        <v>1</v>
      </c>
      <c r="Y7" s="2">
        <f t="shared" si="1"/>
        <v>-2.796125428114915E-2</v>
      </c>
      <c r="Z7" s="2">
        <f t="shared" si="3"/>
        <v>0.9375</v>
      </c>
      <c r="AA7" s="2">
        <f t="shared" si="2"/>
        <v>3.5911126617129585E-2</v>
      </c>
      <c r="AB7" s="2">
        <f t="shared" si="4"/>
        <v>3.5902900425291554E-3</v>
      </c>
      <c r="AC7" s="2">
        <f t="shared" si="5"/>
        <v>-1.0041201428641038E-3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-729.12787506719326</v>
      </c>
      <c r="AI7" s="2">
        <f t="shared" ref="AI7:AI44" si="14">IF(AN6&gt;0,AK6,AI6)</f>
        <v>2875</v>
      </c>
      <c r="AJ7" s="2">
        <v>643.84439456607447</v>
      </c>
      <c r="AK7" s="2">
        <f t="shared" si="9"/>
        <v>1687.5</v>
      </c>
      <c r="AL7" s="2">
        <v>-25.794189770218964</v>
      </c>
      <c r="AM7" s="2">
        <f t="shared" si="10"/>
        <v>18807.262776239688</v>
      </c>
      <c r="AN7" s="2">
        <f t="shared" si="11"/>
        <v>-16607.444495929059</v>
      </c>
      <c r="AO7" s="2">
        <f t="shared" si="12"/>
        <v>2375</v>
      </c>
    </row>
    <row r="8" spans="2:41" x14ac:dyDescent="0.2">
      <c r="B8" s="6" t="s">
        <v>91</v>
      </c>
      <c r="C8" s="16">
        <v>2.1149292720305501</v>
      </c>
      <c r="D8" s="6" t="s">
        <v>8</v>
      </c>
      <c r="F8" t="s">
        <v>93</v>
      </c>
      <c r="G8" s="6">
        <f>G10/$C$21</f>
        <v>27.960629319130714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3.5911126617129585E-2</v>
      </c>
      <c r="X8" s="2">
        <f t="shared" si="8"/>
        <v>1</v>
      </c>
      <c r="Y8" s="2">
        <f t="shared" si="1"/>
        <v>-2.796125428114915E-2</v>
      </c>
      <c r="Z8" s="2">
        <f t="shared" si="3"/>
        <v>0.96875</v>
      </c>
      <c r="AA8" s="2">
        <f t="shared" si="2"/>
        <v>3.9530444309909818E-3</v>
      </c>
      <c r="AB8" s="2">
        <f t="shared" si="4"/>
        <v>1.4195827908445612E-4</v>
      </c>
      <c r="AC8" s="2">
        <f t="shared" si="5"/>
        <v>-1.1053208051961939E-4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-25.794189770218964</v>
      </c>
      <c r="AI8" s="2">
        <f t="shared" si="14"/>
        <v>2875</v>
      </c>
      <c r="AJ8" s="2">
        <v>643.84439456607447</v>
      </c>
      <c r="AK8" s="2">
        <f t="shared" si="9"/>
        <v>2281.25</v>
      </c>
      <c r="AL8" s="2">
        <v>315.93676584795708</v>
      </c>
      <c r="AM8" s="2">
        <f t="shared" si="10"/>
        <v>-8149.3328936714388</v>
      </c>
      <c r="AN8" s="2">
        <f t="shared" si="11"/>
        <v>203414.11572854157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7.7411307419980142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2.1159055041514482E-2</v>
      </c>
      <c r="U9" s="2">
        <v>5</v>
      </c>
      <c r="V9" s="2">
        <f t="shared" si="7"/>
        <v>0.96875</v>
      </c>
      <c r="W9" s="2">
        <f t="shared" si="0"/>
        <v>3.9530444309909818E-3</v>
      </c>
      <c r="X9" s="2">
        <f t="shared" si="8"/>
        <v>1</v>
      </c>
      <c r="Y9" s="2">
        <f t="shared" si="1"/>
        <v>-2.796125428114915E-2</v>
      </c>
      <c r="Z9" s="2">
        <f t="shared" si="3"/>
        <v>0.984375</v>
      </c>
      <c r="AA9" s="2">
        <f t="shared" si="2"/>
        <v>-1.2009320996567596E-2</v>
      </c>
      <c r="AB9" s="2">
        <f t="shared" si="4"/>
        <v>-4.7473379485464602E-5</v>
      </c>
      <c r="AC9" s="2">
        <f t="shared" si="5"/>
        <v>3.3579567812897008E-4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-25.794189770218964</v>
      </c>
      <c r="AI9" s="2">
        <f t="shared" si="14"/>
        <v>2281.25</v>
      </c>
      <c r="AJ9" s="2">
        <v>315.93676584795708</v>
      </c>
      <c r="AK9" s="2">
        <f t="shared" si="9"/>
        <v>1984.375</v>
      </c>
      <c r="AL9" s="2">
        <v>146.66785852519365</v>
      </c>
      <c r="AM9" s="2">
        <f t="shared" si="10"/>
        <v>-3783.1785759904724</v>
      </c>
      <c r="AN9" s="2">
        <f t="shared" si="11"/>
        <v>46337.768876295399</v>
      </c>
      <c r="AO9" s="2">
        <f t="shared" si="12"/>
        <v>593.75</v>
      </c>
    </row>
    <row r="10" spans="2:41" x14ac:dyDescent="0.2">
      <c r="B10" s="6" t="s">
        <v>134</v>
      </c>
      <c r="C10" s="16">
        <v>1.42504569367809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223.68503455304571</v>
      </c>
      <c r="H10" s="22" t="s">
        <v>97</v>
      </c>
      <c r="J10" s="6" t="s">
        <v>92</v>
      </c>
      <c r="K10" s="6">
        <f xml:space="preserve"> $C$18 * (G10*G6 + G20*G13 + G29*G25 + G33*G32)/3600</f>
        <v>86.183370777189253</v>
      </c>
      <c r="L10" s="6" t="s">
        <v>98</v>
      </c>
      <c r="N10" s="6" t="s">
        <v>39</v>
      </c>
      <c r="O10" s="6">
        <f xml:space="preserve"> O5 * $C$12 * O9</f>
        <v>1090.6212349561201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3.9530444309909818E-3</v>
      </c>
      <c r="X10" s="2">
        <f t="shared" si="8"/>
        <v>0.984375</v>
      </c>
      <c r="Y10" s="2">
        <f t="shared" si="1"/>
        <v>-1.2009320996567596E-2</v>
      </c>
      <c r="Z10" s="2">
        <f t="shared" si="3"/>
        <v>0.9765625</v>
      </c>
      <c r="AA10" s="2">
        <f t="shared" si="2"/>
        <v>-4.0294731475586376E-3</v>
      </c>
      <c r="AB10" s="2">
        <f t="shared" si="4"/>
        <v>-1.5928686385784375E-5</v>
      </c>
      <c r="AC10" s="2">
        <f t="shared" si="5"/>
        <v>4.8391236476081268E-5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-25.794189770218964</v>
      </c>
      <c r="AI10" s="2">
        <f t="shared" si="14"/>
        <v>1984.375</v>
      </c>
      <c r="AJ10" s="2">
        <v>146.66785852519365</v>
      </c>
      <c r="AK10" s="2">
        <f t="shared" si="9"/>
        <v>1835.9375</v>
      </c>
      <c r="AL10" s="2">
        <v>60.812332300935623</v>
      </c>
      <c r="AM10" s="2">
        <f t="shared" si="10"/>
        <v>-1568.60483973995</v>
      </c>
      <c r="AN10" s="2">
        <f t="shared" si="11"/>
        <v>8919.2145505006902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0.74808027867791738</v>
      </c>
      <c r="U11" s="2">
        <v>7</v>
      </c>
      <c r="V11" s="2">
        <f t="shared" si="7"/>
        <v>0.96875</v>
      </c>
      <c r="W11" s="2">
        <f t="shared" si="0"/>
        <v>3.9530444309909818E-3</v>
      </c>
      <c r="X11" s="2">
        <f t="shared" si="8"/>
        <v>0.9765625</v>
      </c>
      <c r="Y11" s="2">
        <f t="shared" si="1"/>
        <v>-4.0294731475586376E-3</v>
      </c>
      <c r="Z11" s="2">
        <f t="shared" si="3"/>
        <v>0.97265625</v>
      </c>
      <c r="AA11" s="2">
        <f t="shared" si="2"/>
        <v>-3.8552036771610787E-5</v>
      </c>
      <c r="AB11" s="2">
        <f t="shared" si="4"/>
        <v>-1.5239791426337557E-7</v>
      </c>
      <c r="AC11" s="2">
        <f t="shared" si="5"/>
        <v>1.5534439695489886E-7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-25.794189770218964</v>
      </c>
      <c r="AI11" s="2">
        <f t="shared" si="14"/>
        <v>1835.9375</v>
      </c>
      <c r="AJ11" s="2">
        <v>60.812332300935623</v>
      </c>
      <c r="AK11" s="2">
        <f t="shared" si="9"/>
        <v>1761.71875</v>
      </c>
      <c r="AL11" s="2">
        <v>17.599308072213489</v>
      </c>
      <c r="AM11" s="2">
        <f t="shared" si="10"/>
        <v>-453.95989223922123</v>
      </c>
      <c r="AN11" s="2">
        <f t="shared" si="11"/>
        <v>1070.2549707539854</v>
      </c>
      <c r="AO11" s="2">
        <f t="shared" si="12"/>
        <v>148.4375</v>
      </c>
    </row>
    <row r="12" spans="2:41" x14ac:dyDescent="0.2">
      <c r="B12" s="6" t="s">
        <v>135</v>
      </c>
      <c r="C12" s="16">
        <v>22.731982944952499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0.32924126483076233</v>
      </c>
      <c r="U12" s="2">
        <v>8</v>
      </c>
      <c r="V12" s="2">
        <f t="shared" si="7"/>
        <v>0.96875</v>
      </c>
      <c r="W12" s="2">
        <f t="shared" si="0"/>
        <v>3.9530444309909818E-3</v>
      </c>
      <c r="X12" s="2">
        <f t="shared" si="8"/>
        <v>0.97265625</v>
      </c>
      <c r="Y12" s="2">
        <f t="shared" si="1"/>
        <v>-3.8552036771610787E-5</v>
      </c>
      <c r="Z12" s="2">
        <f t="shared" si="3"/>
        <v>0.970703125</v>
      </c>
      <c r="AA12" s="2">
        <f t="shared" si="2"/>
        <v>1.9571612753525036E-3</v>
      </c>
      <c r="AB12" s="2">
        <f t="shared" si="4"/>
        <v>7.7367454800834224E-6</v>
      </c>
      <c r="AC12" s="2">
        <f t="shared" si="5"/>
        <v>-7.5452553455362385E-8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-25.794189770218964</v>
      </c>
      <c r="AI12" s="2">
        <f t="shared" si="14"/>
        <v>1761.71875</v>
      </c>
      <c r="AJ12" s="2">
        <v>17.599308072213489</v>
      </c>
      <c r="AK12" s="2">
        <f t="shared" si="9"/>
        <v>1724.609375</v>
      </c>
      <c r="AL12" s="2">
        <v>-4.0753899151347923</v>
      </c>
      <c r="AM12" s="2">
        <f t="shared" si="10"/>
        <v>105.1213808586234</v>
      </c>
      <c r="AN12" s="2">
        <f t="shared" si="11"/>
        <v>-71.724042630849198</v>
      </c>
      <c r="AO12" s="2">
        <f t="shared" si="12"/>
        <v>74.21875</v>
      </c>
    </row>
    <row r="13" spans="2:41" x14ac:dyDescent="0.2">
      <c r="B13" s="6" t="s">
        <v>136</v>
      </c>
      <c r="C13" s="16">
        <v>10.329173931813299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2.5624501164832916E-2</v>
      </c>
      <c r="U13" s="2">
        <v>9</v>
      </c>
      <c r="V13" s="2">
        <f t="shared" si="7"/>
        <v>0.970703125</v>
      </c>
      <c r="W13" s="2">
        <f t="shared" si="0"/>
        <v>1.9571612753525036E-3</v>
      </c>
      <c r="X13" s="2">
        <f t="shared" si="8"/>
        <v>0.97265625</v>
      </c>
      <c r="Y13" s="2">
        <f t="shared" si="1"/>
        <v>-3.8552036771610787E-5</v>
      </c>
      <c r="Z13" s="2">
        <f t="shared" si="3"/>
        <v>0.9716796875</v>
      </c>
      <c r="AA13" s="2">
        <f t="shared" si="2"/>
        <v>9.5928345192775044E-4</v>
      </c>
      <c r="AB13" s="2">
        <f t="shared" si="4"/>
        <v>1.8774724241994682E-6</v>
      </c>
      <c r="AC13" s="2">
        <f t="shared" si="5"/>
        <v>-3.6982330913116366E-8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-4.0753899151347923</v>
      </c>
      <c r="AI13" s="2">
        <f t="shared" si="14"/>
        <v>1761.71875</v>
      </c>
      <c r="AJ13" s="2">
        <v>17.599308072213489</v>
      </c>
      <c r="AK13" s="2">
        <f t="shared" si="9"/>
        <v>1743.1640625</v>
      </c>
      <c r="AL13" s="2">
        <v>6.7675380654980017</v>
      </c>
      <c r="AM13" s="2">
        <f t="shared" si="10"/>
        <v>-27.580356382421378</v>
      </c>
      <c r="AN13" s="2">
        <f t="shared" si="11"/>
        <v>119.10398730513104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70.220878958462222</v>
      </c>
      <c r="H14" s="6" t="s">
        <v>10</v>
      </c>
      <c r="J14" s="9" t="s">
        <v>75</v>
      </c>
      <c r="K14" s="17">
        <f>C5</f>
        <v>1731.57509750347</v>
      </c>
      <c r="L14" s="6" t="s">
        <v>7</v>
      </c>
      <c r="N14" s="6" t="s">
        <v>40</v>
      </c>
      <c r="O14" s="6">
        <f xml:space="preserve"> O5 * O13 * $C$12</f>
        <v>1320.7879581906084</v>
      </c>
      <c r="P14" s="6" t="s">
        <v>21</v>
      </c>
      <c r="U14" s="2">
        <v>10</v>
      </c>
      <c r="V14" s="2">
        <f t="shared" si="7"/>
        <v>0.9716796875</v>
      </c>
      <c r="W14" s="2">
        <f t="shared" si="0"/>
        <v>9.5928345192775044E-4</v>
      </c>
      <c r="X14" s="2">
        <f t="shared" si="8"/>
        <v>0.97265625</v>
      </c>
      <c r="Y14" s="2">
        <f t="shared" si="1"/>
        <v>-3.8552036771610787E-5</v>
      </c>
      <c r="Z14" s="2">
        <f t="shared" si="3"/>
        <v>0.97216796875</v>
      </c>
      <c r="AA14" s="2">
        <f t="shared" si="2"/>
        <v>4.6036042359476337E-4</v>
      </c>
      <c r="AB14" s="2">
        <f t="shared" si="4"/>
        <v>4.4161613627690599E-7</v>
      </c>
      <c r="AC14" s="2">
        <f t="shared" si="5"/>
        <v>-1.7747831978619635E-8</v>
      </c>
      <c r="AD14" s="2">
        <f t="shared" si="6"/>
        <v>9.765625E-4</v>
      </c>
      <c r="AF14" s="2">
        <v>10</v>
      </c>
      <c r="AG14" s="2">
        <f t="shared" si="13"/>
        <v>1724.609375</v>
      </c>
      <c r="AH14" s="2">
        <v>-4.0753899151347923</v>
      </c>
      <c r="AI14" s="2">
        <f t="shared" si="14"/>
        <v>1743.1640625</v>
      </c>
      <c r="AJ14" s="2">
        <v>6.7675380654980017</v>
      </c>
      <c r="AK14" s="2">
        <f t="shared" si="9"/>
        <v>1733.88671875</v>
      </c>
      <c r="AL14" s="2">
        <v>1.34746059360441</v>
      </c>
      <c r="AM14" s="2">
        <f t="shared" si="10"/>
        <v>-5.4914273142169527</v>
      </c>
      <c r="AN14" s="2">
        <f t="shared" si="11"/>
        <v>9.1189908589763782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0.21104985924457148</v>
      </c>
      <c r="H15" s="6" t="s">
        <v>120</v>
      </c>
      <c r="J15" s="10" t="s">
        <v>53</v>
      </c>
      <c r="K15" s="6">
        <f xml:space="preserve"> 1000 * K10 / ($C$60 * $C$61 * $C$62)</f>
        <v>230.43682025986431</v>
      </c>
      <c r="L15" s="6" t="s">
        <v>7</v>
      </c>
      <c r="N15" s="6" t="s">
        <v>140</v>
      </c>
      <c r="O15" s="6">
        <f>O4/O14</f>
        <v>12.848689725231152</v>
      </c>
      <c r="U15" s="2">
        <v>11</v>
      </c>
      <c r="V15" s="2">
        <f t="shared" si="7"/>
        <v>0.97216796875</v>
      </c>
      <c r="W15" s="2">
        <f t="shared" si="0"/>
        <v>4.6036042359476337E-4</v>
      </c>
      <c r="X15" s="2">
        <f t="shared" si="8"/>
        <v>0.97265625</v>
      </c>
      <c r="Y15" s="2">
        <f t="shared" si="1"/>
        <v>-3.8552036771610787E-5</v>
      </c>
      <c r="Z15" s="2">
        <f t="shared" si="3"/>
        <v>0.972412109375</v>
      </c>
      <c r="AA15" s="2">
        <f t="shared" si="2"/>
        <v>2.1090287339620151E-4</v>
      </c>
      <c r="AB15" s="2">
        <f t="shared" si="4"/>
        <v>9.7091336134028082E-8</v>
      </c>
      <c r="AC15" s="2">
        <f t="shared" si="5"/>
        <v>-8.1307353304087344E-9</v>
      </c>
      <c r="AD15" s="2">
        <f t="shared" si="6"/>
        <v>4.8828125E-4</v>
      </c>
      <c r="AF15" s="2">
        <v>11</v>
      </c>
      <c r="AG15" s="2">
        <f t="shared" si="13"/>
        <v>1724.609375</v>
      </c>
      <c r="AH15" s="2">
        <v>-4.0753899151347923</v>
      </c>
      <c r="AI15" s="2">
        <f t="shared" si="14"/>
        <v>1733.88671875</v>
      </c>
      <c r="AJ15" s="2">
        <v>1.34746059360441</v>
      </c>
      <c r="AK15" s="2">
        <f t="shared" si="9"/>
        <v>1729.248046875</v>
      </c>
      <c r="AL15" s="2">
        <v>-1.3636190594552318</v>
      </c>
      <c r="AM15" s="2">
        <f t="shared" si="10"/>
        <v>5.5572793629894424</v>
      </c>
      <c r="AN15" s="2">
        <f t="shared" si="11"/>
        <v>-1.8374229473038337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1320.7879581906084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125.1473257926727</v>
      </c>
      <c r="L16" s="6" t="s">
        <v>7</v>
      </c>
      <c r="N16" s="6" t="s">
        <v>111</v>
      </c>
      <c r="O16" s="6">
        <f>(O13*$C$12)/(0.3048^2)/($C$5*2.20462/1000)^(2/3)</f>
        <v>2.5669225565388269</v>
      </c>
      <c r="U16" s="2">
        <v>12</v>
      </c>
      <c r="V16" s="2">
        <f t="shared" si="7"/>
        <v>0.972412109375</v>
      </c>
      <c r="W16" s="2">
        <f t="shared" si="0"/>
        <v>2.1090287339620151E-4</v>
      </c>
      <c r="X16" s="2">
        <f t="shared" si="8"/>
        <v>0.97265625</v>
      </c>
      <c r="Y16" s="2">
        <f t="shared" si="1"/>
        <v>-3.8552036771610787E-5</v>
      </c>
      <c r="Z16" s="2">
        <f t="shared" si="3"/>
        <v>0.9725341796875</v>
      </c>
      <c r="AA16" s="2">
        <f t="shared" si="2"/>
        <v>8.6175088431006408E-5</v>
      </c>
      <c r="AB16" s="2">
        <f t="shared" si="4"/>
        <v>1.8174573765271013E-8</v>
      </c>
      <c r="AC16" s="2">
        <f t="shared" si="5"/>
        <v>-3.3222251779889705E-9</v>
      </c>
      <c r="AD16" s="2">
        <f t="shared" si="6"/>
        <v>2.44140625E-4</v>
      </c>
      <c r="AF16" s="2">
        <v>12</v>
      </c>
      <c r="AG16" s="2">
        <f t="shared" si="13"/>
        <v>1729.248046875</v>
      </c>
      <c r="AH16" s="2">
        <v>-1.3636190594552318</v>
      </c>
      <c r="AI16" s="2">
        <f t="shared" si="14"/>
        <v>1733.88671875</v>
      </c>
      <c r="AJ16" s="2">
        <v>1.34746059360441</v>
      </c>
      <c r="AK16" s="2">
        <f t="shared" si="9"/>
        <v>1731.5673828125</v>
      </c>
      <c r="AL16" s="2">
        <v>-7.9925527002160379E-3</v>
      </c>
      <c r="AM16" s="2">
        <f t="shared" si="10"/>
        <v>1.0898797195714967E-2</v>
      </c>
      <c r="AN16" s="2">
        <f t="shared" si="11"/>
        <v>-1.0769649805847633E-2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92.748025763968243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0.9725341796875</v>
      </c>
      <c r="W17" s="2">
        <f t="shared" si="0"/>
        <v>8.6175088431006408E-5</v>
      </c>
      <c r="X17" s="2">
        <f t="shared" si="8"/>
        <v>0.97265625</v>
      </c>
      <c r="Y17" s="2">
        <f t="shared" si="1"/>
        <v>-3.8552036771610787E-5</v>
      </c>
      <c r="Z17" s="2">
        <f t="shared" si="3"/>
        <v>0.97259521484375</v>
      </c>
      <c r="AA17" s="2">
        <f t="shared" si="2"/>
        <v>2.3811443374599506E-5</v>
      </c>
      <c r="AB17" s="2">
        <f t="shared" si="4"/>
        <v>2.0519532384760141E-9</v>
      </c>
      <c r="AC17" s="2">
        <f t="shared" si="5"/>
        <v>-9.1797964056268818E-10</v>
      </c>
      <c r="AD17" s="2">
        <f t="shared" si="6"/>
        <v>1.220703125E-4</v>
      </c>
      <c r="AF17" s="2">
        <v>13</v>
      </c>
      <c r="AG17" s="2">
        <f t="shared" si="13"/>
        <v>1731.5673828125</v>
      </c>
      <c r="AH17" s="2">
        <v>-7.9925527002160379E-3</v>
      </c>
      <c r="AI17" s="2">
        <f t="shared" si="14"/>
        <v>1733.88671875</v>
      </c>
      <c r="AJ17" s="2">
        <v>1.34746059360441</v>
      </c>
      <c r="AK17" s="2">
        <f t="shared" si="9"/>
        <v>1732.72705078125</v>
      </c>
      <c r="AL17" s="2">
        <v>0.66975573677564171</v>
      </c>
      <c r="AM17" s="2">
        <f t="shared" si="10"/>
        <v>-5.3530580224513367E-3</v>
      </c>
      <c r="AN17" s="2">
        <f t="shared" si="11"/>
        <v>0.90246946264566508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1.453040822228707</v>
      </c>
      <c r="H18" s="6" t="s">
        <v>172</v>
      </c>
      <c r="J18" s="12" t="s">
        <v>54</v>
      </c>
      <c r="K18" s="6">
        <f xml:space="preserve"> $C$78 * (0.2138 * K4 + 0.2138 * K6)</f>
        <v>81.184065954933089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0.97259521484375</v>
      </c>
      <c r="W18" s="2">
        <f t="shared" si="0"/>
        <v>2.3811443374599506E-5</v>
      </c>
      <c r="X18" s="2">
        <f t="shared" si="8"/>
        <v>0.97265625</v>
      </c>
      <c r="Y18" s="2">
        <f t="shared" si="1"/>
        <v>-3.8552036771610787E-5</v>
      </c>
      <c r="Z18" s="2">
        <f t="shared" si="3"/>
        <v>0.972625732421875</v>
      </c>
      <c r="AA18" s="2">
        <f t="shared" si="2"/>
        <v>-7.3703173103512043E-6</v>
      </c>
      <c r="AB18" s="2">
        <f t="shared" si="4"/>
        <v>-1.7549789328825823E-10</v>
      </c>
      <c r="AC18" s="2">
        <f t="shared" si="5"/>
        <v>2.8414074396709913E-10</v>
      </c>
      <c r="AD18" s="2">
        <f t="shared" si="6"/>
        <v>6.103515625E-5</v>
      </c>
      <c r="AF18" s="2">
        <v>14</v>
      </c>
      <c r="AG18" s="2">
        <f t="shared" si="13"/>
        <v>1731.5673828125</v>
      </c>
      <c r="AH18" s="2">
        <v>-7.9925527002160379E-3</v>
      </c>
      <c r="AI18" s="2">
        <f t="shared" si="14"/>
        <v>1732.72705078125</v>
      </c>
      <c r="AJ18" s="2">
        <v>0.66975573677564171</v>
      </c>
      <c r="AK18" s="2">
        <f t="shared" si="9"/>
        <v>1732.147216796875</v>
      </c>
      <c r="AL18" s="2">
        <v>0.33088689853866526</v>
      </c>
      <c r="AM18" s="2">
        <f t="shared" si="10"/>
        <v>-2.6446309743813194E-3</v>
      </c>
      <c r="AN18" s="2">
        <f t="shared" si="11"/>
        <v>0.22161339852017076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4.8976514447425019E-2</v>
      </c>
      <c r="J19" s="12" t="s">
        <v>73</v>
      </c>
      <c r="K19" s="6">
        <f xml:space="preserve"> $C$78 * (0.1149 * K4 + 0.1149 * K6)</f>
        <v>43.629790356509886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0.97259521484375</v>
      </c>
      <c r="W19" s="2">
        <f t="shared" si="0"/>
        <v>2.3811443374599506E-5</v>
      </c>
      <c r="X19" s="2">
        <f t="shared" si="8"/>
        <v>0.972625732421875</v>
      </c>
      <c r="Y19" s="2">
        <f t="shared" si="1"/>
        <v>-7.3703173103512043E-6</v>
      </c>
      <c r="Z19" s="2">
        <f t="shared" si="3"/>
        <v>0.9726104736328125</v>
      </c>
      <c r="AA19" s="2">
        <f t="shared" si="2"/>
        <v>8.2205578789684708E-6</v>
      </c>
      <c r="AB19" s="2">
        <f t="shared" si="4"/>
        <v>1.9574334844267556E-10</v>
      </c>
      <c r="AC19" s="2">
        <f t="shared" si="5"/>
        <v>-6.0588120036105304E-11</v>
      </c>
      <c r="AD19" s="2">
        <f t="shared" si="6"/>
        <v>3.0517578125E-5</v>
      </c>
      <c r="AF19" s="2">
        <v>15</v>
      </c>
      <c r="AG19" s="2">
        <f t="shared" si="13"/>
        <v>1731.5673828125</v>
      </c>
      <c r="AH19" s="2">
        <v>-7.9925527002160379E-3</v>
      </c>
      <c r="AI19" s="2">
        <f t="shared" si="14"/>
        <v>1732.147216796875</v>
      </c>
      <c r="AJ19" s="2">
        <v>0.33088689853866526</v>
      </c>
      <c r="AK19" s="2">
        <f t="shared" si="9"/>
        <v>1731.8572998046875</v>
      </c>
      <c r="AL19" s="2">
        <v>0.16144849929833072</v>
      </c>
      <c r="AM19" s="2">
        <f t="shared" si="10"/>
        <v>-1.2903856390127002E-3</v>
      </c>
      <c r="AN19" s="2">
        <f t="shared" si="11"/>
        <v>5.3421193206546529E-2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92.748025763968243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207.62568693443092</v>
      </c>
      <c r="L20" s="6" t="s">
        <v>7</v>
      </c>
      <c r="N20" s="6" t="s">
        <v>20</v>
      </c>
      <c r="O20" s="6">
        <f xml:space="preserve"> O14 / $C$28</f>
        <v>1320.7879581906084</v>
      </c>
      <c r="P20" s="6" t="s">
        <v>21</v>
      </c>
      <c r="U20" s="2">
        <v>16</v>
      </c>
      <c r="V20" s="2">
        <f t="shared" si="7"/>
        <v>0.9726104736328125</v>
      </c>
      <c r="W20" s="2">
        <f t="shared" si="0"/>
        <v>8.2205578789684708E-6</v>
      </c>
      <c r="X20" s="2">
        <f t="shared" si="8"/>
        <v>0.972625732421875</v>
      </c>
      <c r="Y20" s="2">
        <f t="shared" si="1"/>
        <v>-7.3703173103512043E-6</v>
      </c>
      <c r="Z20" s="2">
        <f t="shared" si="3"/>
        <v>0.97261810302734375</v>
      </c>
      <c r="AA20" s="2">
        <f t="shared" si="2"/>
        <v>4.2511899611685777E-7</v>
      </c>
      <c r="AB20" s="2">
        <f t="shared" si="4"/>
        <v>3.4947153130276019E-12</v>
      </c>
      <c r="AC20" s="2">
        <f t="shared" si="5"/>
        <v>-3.1332618960392034E-12</v>
      </c>
      <c r="AD20" s="2">
        <f t="shared" si="6"/>
        <v>1.52587890625E-5</v>
      </c>
      <c r="AF20" s="2">
        <v>16</v>
      </c>
      <c r="AG20" s="2">
        <f t="shared" si="13"/>
        <v>1731.5673828125</v>
      </c>
      <c r="AH20" s="2">
        <v>-7.9925527002160379E-3</v>
      </c>
      <c r="AI20" s="2">
        <f t="shared" si="14"/>
        <v>1731.8572998046875</v>
      </c>
      <c r="AJ20" s="2">
        <v>0.16144849929833072</v>
      </c>
      <c r="AK20" s="2">
        <f t="shared" si="9"/>
        <v>1731.7123413085938</v>
      </c>
      <c r="AL20" s="2">
        <v>7.6728304863308949E-2</v>
      </c>
      <c r="AM20" s="2">
        <f t="shared" si="10"/>
        <v>-6.1325502021823935E-4</v>
      </c>
      <c r="AN20" s="2">
        <f t="shared" si="11"/>
        <v>1.2387669673886039E-2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45.020952535090224</v>
      </c>
      <c r="L21" s="6" t="s">
        <v>7</v>
      </c>
      <c r="N21" s="6" t="s">
        <v>27</v>
      </c>
      <c r="O21" s="6">
        <f>$C$6*2*PI()/60</f>
        <v>49.276229716690573</v>
      </c>
      <c r="P21" s="6" t="s">
        <v>28</v>
      </c>
      <c r="U21" s="2">
        <v>17</v>
      </c>
      <c r="V21" s="2">
        <f t="shared" si="7"/>
        <v>0.97261810302734375</v>
      </c>
      <c r="W21" s="2">
        <f t="shared" si="0"/>
        <v>4.2511899611685777E-7</v>
      </c>
      <c r="X21" s="2">
        <f t="shared" si="8"/>
        <v>0.972625732421875</v>
      </c>
      <c r="Y21" s="2">
        <f t="shared" si="1"/>
        <v>-7.3703173103512043E-6</v>
      </c>
      <c r="Z21" s="2">
        <f t="shared" si="3"/>
        <v>0.97262191772460938</v>
      </c>
      <c r="AA21" s="2">
        <f t="shared" si="2"/>
        <v>-3.4725994791928727E-6</v>
      </c>
      <c r="AB21" s="2">
        <f t="shared" si="4"/>
        <v>-1.4762680045103972E-12</v>
      </c>
      <c r="AC21" s="2">
        <f t="shared" si="5"/>
        <v>2.5594160053411808E-11</v>
      </c>
      <c r="AD21" s="2">
        <f t="shared" si="6"/>
        <v>7.62939453125E-6</v>
      </c>
      <c r="AF21" s="2">
        <v>17</v>
      </c>
      <c r="AG21" s="2">
        <f t="shared" si="13"/>
        <v>1731.5673828125</v>
      </c>
      <c r="AH21" s="2">
        <v>-7.9925527002160379E-3</v>
      </c>
      <c r="AI21" s="2">
        <f t="shared" si="14"/>
        <v>1731.7123413085938</v>
      </c>
      <c r="AJ21" s="2">
        <v>7.6728304863308949E-2</v>
      </c>
      <c r="AK21" s="2">
        <f t="shared" si="9"/>
        <v>1731.6398620605469</v>
      </c>
      <c r="AL21" s="2">
        <v>3.4367958968232415E-2</v>
      </c>
      <c r="AM21" s="2">
        <f t="shared" si="10"/>
        <v>-2.7468772325246001E-4</v>
      </c>
      <c r="AN21" s="2">
        <f t="shared" si="11"/>
        <v>2.6369952332442295E-3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273.40401476153778</v>
      </c>
      <c r="L22" s="6" t="s">
        <v>7</v>
      </c>
      <c r="N22" s="6" t="s">
        <v>29</v>
      </c>
      <c r="O22" s="6">
        <f xml:space="preserve"> $C$7 * COS(O19/180*PI()) / (O21 * $C$10)</f>
        <v>8.3227603703793965E-2</v>
      </c>
      <c r="U22" s="2">
        <v>18</v>
      </c>
      <c r="V22" s="2">
        <f t="shared" si="7"/>
        <v>0.97261810302734375</v>
      </c>
      <c r="W22" s="2">
        <f t="shared" si="0"/>
        <v>4.2511899611685777E-7</v>
      </c>
      <c r="X22" s="2">
        <f t="shared" si="8"/>
        <v>0.97262191772460938</v>
      </c>
      <c r="Y22" s="2">
        <f t="shared" si="1"/>
        <v>-3.4725994791928727E-6</v>
      </c>
      <c r="Z22" s="2">
        <f t="shared" si="3"/>
        <v>0.97262001037597656</v>
      </c>
      <c r="AA22" s="2">
        <f t="shared" si="2"/>
        <v>-1.5237403220291768E-6</v>
      </c>
      <c r="AB22" s="2">
        <f t="shared" si="4"/>
        <v>-6.4777095604382122E-13</v>
      </c>
      <c r="AC22" s="2">
        <f t="shared" si="5"/>
        <v>5.2913398487036996E-12</v>
      </c>
      <c r="AD22" s="2">
        <f t="shared" si="6"/>
        <v>3.814697265625E-6</v>
      </c>
      <c r="AF22" s="2">
        <v>18</v>
      </c>
      <c r="AG22" s="2">
        <f t="shared" si="13"/>
        <v>1731.5673828125</v>
      </c>
      <c r="AH22" s="2">
        <v>-7.9925527002160379E-3</v>
      </c>
      <c r="AI22" s="2">
        <f t="shared" si="14"/>
        <v>1731.6398620605469</v>
      </c>
      <c r="AJ22" s="2">
        <v>3.4367958968232415E-2</v>
      </c>
      <c r="AK22" s="2">
        <f t="shared" si="9"/>
        <v>1731.6036224365234</v>
      </c>
      <c r="AL22" s="2">
        <v>1.3187603306278106E-2</v>
      </c>
      <c r="AM22" s="2">
        <f t="shared" si="10"/>
        <v>-1.0540261441497103E-4</v>
      </c>
      <c r="AN22" s="2">
        <f t="shared" si="11"/>
        <v>4.5323100931949208E-4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20.072932335401891</v>
      </c>
      <c r="L23" s="6" t="s">
        <v>7</v>
      </c>
      <c r="N23" s="6" t="s">
        <v>30</v>
      </c>
      <c r="O23" s="6">
        <f xml:space="preserve"> O20 / ( $C$71 * PI() * $C$10^2 * O21^2 * $C$10^2)</f>
        <v>4.1629199246922995E-2</v>
      </c>
      <c r="U23" s="2">
        <v>19</v>
      </c>
      <c r="V23" s="2">
        <f t="shared" si="7"/>
        <v>0.97261810302734375</v>
      </c>
      <c r="W23" s="2">
        <f t="shared" si="0"/>
        <v>4.2511899611685777E-7</v>
      </c>
      <c r="X23" s="2">
        <f t="shared" si="8"/>
        <v>0.97262001037597656</v>
      </c>
      <c r="Y23" s="2">
        <f t="shared" si="1"/>
        <v>-1.5237403220291768E-6</v>
      </c>
      <c r="Z23" s="2">
        <f t="shared" si="3"/>
        <v>0.97261905670166016</v>
      </c>
      <c r="AA23" s="2">
        <f t="shared" si="2"/>
        <v>-5.4931068316221854E-7</v>
      </c>
      <c r="AB23" s="2">
        <f t="shared" si="4"/>
        <v>-2.3352240618218767E-13</v>
      </c>
      <c r="AC23" s="2">
        <f t="shared" si="5"/>
        <v>8.3700683725566595E-13</v>
      </c>
      <c r="AD23" s="2">
        <f t="shared" si="6"/>
        <v>1.9073486328125E-6</v>
      </c>
      <c r="AF23" s="2">
        <v>19</v>
      </c>
      <c r="AG23" s="2">
        <f t="shared" si="13"/>
        <v>1731.5673828125</v>
      </c>
      <c r="AH23" s="2">
        <v>-7.9925527002160379E-3</v>
      </c>
      <c r="AI23" s="2">
        <f t="shared" si="14"/>
        <v>1731.6036224365234</v>
      </c>
      <c r="AJ23" s="2">
        <v>1.3187603306278106E-2</v>
      </c>
      <c r="AK23" s="2">
        <f t="shared" si="9"/>
        <v>1731.5855026245117</v>
      </c>
      <c r="AL23" s="2">
        <v>2.5975304840812896E-3</v>
      </c>
      <c r="AM23" s="2">
        <f t="shared" si="10"/>
        <v>-2.0760899284437384E-5</v>
      </c>
      <c r="AN23" s="2">
        <f t="shared" si="11"/>
        <v>3.4255201600028585E-5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7.5640010637078765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0.97261810302734375</v>
      </c>
      <c r="W24" s="2">
        <f t="shared" si="0"/>
        <v>4.2511899611685777E-7</v>
      </c>
      <c r="X24" s="2">
        <f t="shared" si="8"/>
        <v>0.97261905670166016</v>
      </c>
      <c r="Y24" s="2">
        <f t="shared" si="1"/>
        <v>-5.4931068316221854E-7</v>
      </c>
      <c r="Z24" s="2">
        <f t="shared" si="3"/>
        <v>0.97261857986450195</v>
      </c>
      <c r="AA24" s="2">
        <f t="shared" si="2"/>
        <v>-6.2095848574195145E-8</v>
      </c>
      <c r="AB24" s="2">
        <f t="shared" si="4"/>
        <v>-2.6398124808886253E-14</v>
      </c>
      <c r="AC24" s="2">
        <f t="shared" si="5"/>
        <v>3.4109913001828809E-14</v>
      </c>
      <c r="AD24" s="2">
        <f t="shared" si="6"/>
        <v>9.5367431640625E-7</v>
      </c>
      <c r="AF24" s="2">
        <v>20</v>
      </c>
      <c r="AG24" s="2">
        <f t="shared" si="13"/>
        <v>1731.5673828125</v>
      </c>
      <c r="AH24" s="2">
        <v>-7.9925527002160379E-3</v>
      </c>
      <c r="AI24" s="2">
        <f t="shared" si="14"/>
        <v>1731.5855026245117</v>
      </c>
      <c r="AJ24" s="2">
        <v>2.5975304840812896E-3</v>
      </c>
      <c r="AK24" s="2">
        <f t="shared" si="9"/>
        <v>1731.5764427185059</v>
      </c>
      <c r="AL24" s="2">
        <v>-2.697509813515353E-3</v>
      </c>
      <c r="AM24" s="2">
        <f t="shared" si="10"/>
        <v>2.1559989343871396E-5</v>
      </c>
      <c r="AN24" s="2">
        <f t="shared" si="11"/>
        <v>-7.0068639717145642E-6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15.238990378991998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2174.6004642566927</v>
      </c>
      <c r="P25" s="6" t="s">
        <v>19</v>
      </c>
      <c r="U25" s="2">
        <v>21</v>
      </c>
      <c r="V25" s="2">
        <f t="shared" si="7"/>
        <v>0.97261810302734375</v>
      </c>
      <c r="W25" s="2">
        <f t="shared" si="0"/>
        <v>4.2511899611685777E-7</v>
      </c>
      <c r="X25" s="2">
        <f t="shared" si="8"/>
        <v>0.97261857986450195</v>
      </c>
      <c r="Y25" s="2">
        <f t="shared" si="1"/>
        <v>-6.2095848574195145E-8</v>
      </c>
      <c r="Z25" s="2">
        <f t="shared" si="3"/>
        <v>0.97261834144592285</v>
      </c>
      <c r="AA25" s="2">
        <f t="shared" si="2"/>
        <v>1.8151157243906368E-7</v>
      </c>
      <c r="AB25" s="2">
        <f t="shared" si="4"/>
        <v>7.7164017458887064E-14</v>
      </c>
      <c r="AC25" s="2">
        <f t="shared" si="5"/>
        <v>-1.1271115116640152E-14</v>
      </c>
      <c r="AD25" s="2">
        <f t="shared" si="6"/>
        <v>4.76837158203125E-7</v>
      </c>
      <c r="AF25" s="2">
        <v>21</v>
      </c>
      <c r="AG25" s="2">
        <f t="shared" si="13"/>
        <v>1731.5764427185059</v>
      </c>
      <c r="AH25" s="2">
        <v>-2.697509813515353E-3</v>
      </c>
      <c r="AI25" s="2">
        <f t="shared" si="14"/>
        <v>1731.5855026245117</v>
      </c>
      <c r="AJ25" s="2">
        <v>2.5975304840812896E-3</v>
      </c>
      <c r="AK25" s="2">
        <f t="shared" si="9"/>
        <v>1731.5809726715088</v>
      </c>
      <c r="AL25" s="2">
        <v>-5.0109889571103849E-5</v>
      </c>
      <c r="AM25" s="2">
        <f t="shared" si="10"/>
        <v>1.3517191887222327E-7</v>
      </c>
      <c r="AN25" s="2">
        <f t="shared" si="11"/>
        <v>-1.3016196571488935E-7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2121.5022583951327</v>
      </c>
      <c r="H26" s="6" t="s">
        <v>21</v>
      </c>
      <c r="J26" s="14" t="s">
        <v>65</v>
      </c>
      <c r="K26" s="6">
        <f xml:space="preserve"> $C$80 * (0.0268 * $C$5)</f>
        <v>37.124970090474399</v>
      </c>
      <c r="L26" s="6" t="s">
        <v>7</v>
      </c>
      <c r="N26" s="6" t="s">
        <v>32</v>
      </c>
      <c r="O26" s="17">
        <f>Z34</f>
        <v>0.97261851886287332</v>
      </c>
      <c r="U26" s="2">
        <v>22</v>
      </c>
      <c r="V26" s="2">
        <f t="shared" si="7"/>
        <v>0.97261834144592285</v>
      </c>
      <c r="W26" s="2">
        <f t="shared" si="0"/>
        <v>1.8151157243906368E-7</v>
      </c>
      <c r="X26" s="2">
        <f t="shared" si="8"/>
        <v>0.97261857986450195</v>
      </c>
      <c r="Y26" s="2">
        <f t="shared" si="1"/>
        <v>-6.2095848574195145E-8</v>
      </c>
      <c r="Z26" s="2">
        <f t="shared" si="3"/>
        <v>0.9726184606552124</v>
      </c>
      <c r="AA26" s="2">
        <f t="shared" si="2"/>
        <v>5.9707861654878513E-8</v>
      </c>
      <c r="AB26" s="2">
        <f t="shared" si="4"/>
        <v>1.0837667855951075E-14</v>
      </c>
      <c r="AC26" s="2">
        <f t="shared" si="5"/>
        <v>-3.7076103360103291E-15</v>
      </c>
      <c r="AD26" s="2">
        <f t="shared" si="6"/>
        <v>2.384185791015625E-7</v>
      </c>
      <c r="AF26" s="2">
        <v>22</v>
      </c>
      <c r="AG26" s="2">
        <f t="shared" si="13"/>
        <v>1731.5809726715088</v>
      </c>
      <c r="AH26" s="2">
        <v>-5.0109889571103849E-5</v>
      </c>
      <c r="AI26" s="2">
        <f t="shared" si="14"/>
        <v>1731.5855026245117</v>
      </c>
      <c r="AJ26" s="2">
        <v>2.5975304840812896E-3</v>
      </c>
      <c r="AK26" s="2">
        <f t="shared" si="9"/>
        <v>1731.5832376480103</v>
      </c>
      <c r="AL26" s="2">
        <v>1.2737103779727477E-3</v>
      </c>
      <c r="AM26" s="2">
        <f t="shared" si="10"/>
        <v>-6.3825486385783333E-8</v>
      </c>
      <c r="AN26" s="2">
        <f t="shared" si="11"/>
        <v>3.3085015346749138E-6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24.101964146649799</v>
      </c>
      <c r="H27" t="s">
        <v>97</v>
      </c>
      <c r="J27" s="14" t="s">
        <v>66</v>
      </c>
      <c r="K27" s="6">
        <f xml:space="preserve"> $C$80 * (11.5 * ($C$5*2.20462/1000)^0.4 * 0.453592)</f>
        <v>7.1312102897973277</v>
      </c>
      <c r="L27" s="6" t="s">
        <v>7</v>
      </c>
      <c r="N27" s="6" t="s">
        <v>33</v>
      </c>
      <c r="O27" s="6">
        <f xml:space="preserve"> O21 * $C$10 * O26 - $C$7 * SIN(O19/180*PI())</f>
        <v>1.4972956105885373</v>
      </c>
      <c r="P27" s="6" t="s">
        <v>10</v>
      </c>
      <c r="U27" s="2">
        <v>23</v>
      </c>
      <c r="V27" s="2">
        <f t="shared" si="7"/>
        <v>0.9726184606552124</v>
      </c>
      <c r="W27" s="2">
        <f t="shared" si="0"/>
        <v>5.9707861654878513E-8</v>
      </c>
      <c r="X27" s="2">
        <f t="shared" si="8"/>
        <v>0.97261857986450195</v>
      </c>
      <c r="Y27" s="2">
        <f t="shared" si="1"/>
        <v>-6.2095848574195145E-8</v>
      </c>
      <c r="Z27" s="2">
        <f t="shared" si="3"/>
        <v>0.97261852025985718</v>
      </c>
      <c r="AA27" s="2">
        <f t="shared" si="2"/>
        <v>-1.1939935706806182E-9</v>
      </c>
      <c r="AB27" s="2">
        <f t="shared" si="4"/>
        <v>-7.129080293501276E-17</v>
      </c>
      <c r="AC27" s="2">
        <f t="shared" si="5"/>
        <v>7.4142043963546234E-17</v>
      </c>
      <c r="AD27" s="2">
        <f t="shared" si="6"/>
        <v>1.1920928955078125E-7</v>
      </c>
      <c r="AF27" s="2">
        <v>23</v>
      </c>
      <c r="AG27" s="2">
        <f t="shared" si="13"/>
        <v>1731.5809726715088</v>
      </c>
      <c r="AH27" s="2">
        <v>-5.0109889571103849E-5</v>
      </c>
      <c r="AI27" s="2">
        <f t="shared" si="14"/>
        <v>1731.5832376480103</v>
      </c>
      <c r="AJ27" s="2">
        <v>1.2737103779727477E-3</v>
      </c>
      <c r="AK27" s="2">
        <f t="shared" si="9"/>
        <v>1731.5821051597595</v>
      </c>
      <c r="AL27" s="2">
        <v>6.1180026432339218E-4</v>
      </c>
      <c r="AM27" s="2">
        <f t="shared" si="10"/>
        <v>-3.0657243684817326E-8</v>
      </c>
      <c r="AN27" s="2">
        <f t="shared" si="11"/>
        <v>7.7925634591517477E-7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8.9804667317132374</v>
      </c>
      <c r="H28" s="6" t="s">
        <v>172</v>
      </c>
      <c r="J28" s="14" t="s">
        <v>67</v>
      </c>
      <c r="K28" s="6">
        <f xml:space="preserve"> $C$80 * (8 * ($C$5/1000))</f>
        <v>11.082080624022209</v>
      </c>
      <c r="L28" s="6" t="s">
        <v>7</v>
      </c>
      <c r="N28" s="6" t="s">
        <v>34</v>
      </c>
      <c r="O28" s="6">
        <f xml:space="preserve"> 1/$C$31 - O25 * SQRT( (2*$C$71*PI()*$C$10^2) / O20^3 )</f>
        <v>1.170817348616827</v>
      </c>
      <c r="U28" s="2">
        <v>24</v>
      </c>
      <c r="V28" s="2">
        <f t="shared" si="7"/>
        <v>0.9726184606552124</v>
      </c>
      <c r="W28" s="2">
        <f t="shared" si="0"/>
        <v>5.9707861654878513E-8</v>
      </c>
      <c r="X28" s="2">
        <f t="shared" si="8"/>
        <v>0.97261852025985718</v>
      </c>
      <c r="Y28" s="2">
        <f t="shared" si="1"/>
        <v>-1.1939935706806182E-9</v>
      </c>
      <c r="Z28" s="2">
        <f t="shared" si="3"/>
        <v>0.97261849045753479</v>
      </c>
      <c r="AA28" s="2">
        <f t="shared" si="2"/>
        <v>2.9256933986587796E-8</v>
      </c>
      <c r="AB28" s="2">
        <f t="shared" si="4"/>
        <v>1.7468689669170974E-15</v>
      </c>
      <c r="AC28" s="2">
        <f t="shared" si="5"/>
        <v>-3.4932591077813096E-17</v>
      </c>
      <c r="AD28" s="2">
        <f t="shared" si="6"/>
        <v>5.9604644775390625E-8</v>
      </c>
      <c r="AF28" s="2">
        <v>24</v>
      </c>
      <c r="AG28" s="2">
        <f t="shared" si="13"/>
        <v>1731.5809726715088</v>
      </c>
      <c r="AH28" s="2">
        <v>-5.0109889571103849E-5</v>
      </c>
      <c r="AI28" s="2">
        <f t="shared" si="14"/>
        <v>1731.5821051597595</v>
      </c>
      <c r="AJ28" s="2">
        <v>6.1180026432339218E-4</v>
      </c>
      <c r="AK28" s="2">
        <f t="shared" si="9"/>
        <v>1731.5815389156342</v>
      </c>
      <c r="AL28" s="2">
        <v>2.8096574101255101E-4</v>
      </c>
      <c r="AM28" s="2">
        <f t="shared" si="10"/>
        <v>-1.4079162255402295E-8</v>
      </c>
      <c r="AN28" s="2">
        <f t="shared" si="11"/>
        <v>1.7189491461729646E-7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192.81571317319839</v>
      </c>
      <c r="H29" s="22" t="s">
        <v>97</v>
      </c>
      <c r="J29" s="14" t="s">
        <v>68</v>
      </c>
      <c r="K29" s="6">
        <f xml:space="preserve"> $C$80 * (13 * ($C$5*2.20462/1000)^1.3 * 0.453592)</f>
        <v>26.915739864904374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0.97261849045753479</v>
      </c>
      <c r="W29" s="2">
        <f t="shared" si="0"/>
        <v>2.9256933986587796E-8</v>
      </c>
      <c r="X29" s="2">
        <f t="shared" si="8"/>
        <v>0.97261852025985718</v>
      </c>
      <c r="Y29" s="2">
        <f t="shared" si="1"/>
        <v>-1.1939935706806182E-9</v>
      </c>
      <c r="Z29" s="2">
        <f t="shared" si="3"/>
        <v>0.97261850535869598</v>
      </c>
      <c r="AA29" s="2">
        <f t="shared" si="2"/>
        <v>1.4031470207953589E-8</v>
      </c>
      <c r="AB29" s="2">
        <f t="shared" si="4"/>
        <v>4.105177976088715E-16</v>
      </c>
      <c r="AC29" s="2">
        <f t="shared" si="5"/>
        <v>-1.6753485215493222E-17</v>
      </c>
      <c r="AD29" s="2">
        <f t="shared" si="6"/>
        <v>2.9802322387695312E-8</v>
      </c>
      <c r="AF29" s="2">
        <v>25</v>
      </c>
      <c r="AG29" s="2">
        <f t="shared" si="13"/>
        <v>1731.5809726715088</v>
      </c>
      <c r="AH29" s="2">
        <v>-5.0109889571103849E-5</v>
      </c>
      <c r="AI29" s="2">
        <f t="shared" si="14"/>
        <v>1731.5815389156342</v>
      </c>
      <c r="AJ29" s="2">
        <v>2.8096574101255101E-4</v>
      </c>
      <c r="AK29" s="2">
        <f t="shared" si="9"/>
        <v>1731.5812557935715</v>
      </c>
      <c r="AL29" s="2">
        <v>1.1542792708496563E-4</v>
      </c>
      <c r="AM29" s="2">
        <f t="shared" si="10"/>
        <v>-5.7840806796490548E-9</v>
      </c>
      <c r="AN29" s="2">
        <f t="shared" si="11"/>
        <v>3.2431293066970076E-8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-3.4837388689084037E-3</v>
      </c>
      <c r="L30" s="9" t="s">
        <v>7</v>
      </c>
      <c r="N30" s="6" t="s">
        <v>36</v>
      </c>
      <c r="O30" s="6">
        <f xml:space="preserve"> 1/$C$77 * LN( EXP($C$77 * O28) + EXP($C$77 * O29) )</f>
        <v>1.185112945090103</v>
      </c>
      <c r="U30" s="2">
        <v>26</v>
      </c>
      <c r="V30" s="2">
        <f>IF(AB29&gt;0, Z29, V29)</f>
        <v>0.97261850535869598</v>
      </c>
      <c r="W30" s="2">
        <f t="shared" si="0"/>
        <v>1.4031470207953589E-8</v>
      </c>
      <c r="X30" s="2">
        <f t="shared" si="8"/>
        <v>0.97261852025985718</v>
      </c>
      <c r="Y30" s="2">
        <f t="shared" si="1"/>
        <v>-1.1939935706806182E-9</v>
      </c>
      <c r="Z30" s="2">
        <f t="shared" si="3"/>
        <v>0.97261851280927658</v>
      </c>
      <c r="AA30" s="2">
        <f t="shared" si="2"/>
        <v>6.4187383186364855E-9</v>
      </c>
      <c r="AB30" s="2">
        <f t="shared" si="4"/>
        <v>9.0064335490597958E-17</v>
      </c>
      <c r="AC30" s="2">
        <f t="shared" si="5"/>
        <v>-7.6639322843332848E-18</v>
      </c>
      <c r="AD30" s="2">
        <f t="shared" si="6"/>
        <v>1.4901161193847656E-8</v>
      </c>
      <c r="AF30" s="2">
        <v>26</v>
      </c>
      <c r="AG30" s="2">
        <f t="shared" si="13"/>
        <v>1731.5809726715088</v>
      </c>
      <c r="AH30" s="2">
        <v>-5.0109889571103849E-5</v>
      </c>
      <c r="AI30" s="2">
        <f t="shared" si="14"/>
        <v>1731.5812557935715</v>
      </c>
      <c r="AJ30" s="2">
        <v>1.1542792708496563E-4</v>
      </c>
      <c r="AK30" s="2">
        <f t="shared" si="9"/>
        <v>1731.5811142325401</v>
      </c>
      <c r="AL30" s="2">
        <v>3.2779568073237897E-5</v>
      </c>
      <c r="AM30" s="2">
        <f t="shared" si="10"/>
        <v>-1.6425805363384323E-9</v>
      </c>
      <c r="AN30" s="2">
        <f t="shared" si="11"/>
        <v>3.7836775934343713E-9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0.97261851280927658</v>
      </c>
      <c r="W31" s="2">
        <f t="shared" si="0"/>
        <v>6.4187383186364855E-9</v>
      </c>
      <c r="X31" s="2">
        <f t="shared" si="8"/>
        <v>0.97261852025985718</v>
      </c>
      <c r="Y31" s="2">
        <f t="shared" si="1"/>
        <v>-1.1939935706806182E-9</v>
      </c>
      <c r="Z31" s="2">
        <f t="shared" si="3"/>
        <v>0.97261851653456688</v>
      </c>
      <c r="AA31" s="2">
        <f t="shared" si="2"/>
        <v>2.6123724294890849E-9</v>
      </c>
      <c r="AB31" s="2">
        <f t="shared" si="4"/>
        <v>1.6768135015711079E-17</v>
      </c>
      <c r="AC31" s="2">
        <f t="shared" si="5"/>
        <v>-3.1191558850332739E-18</v>
      </c>
      <c r="AD31" s="2">
        <f t="shared" si="6"/>
        <v>7.4505805969238281E-9</v>
      </c>
      <c r="AF31" s="2">
        <v>27</v>
      </c>
      <c r="AG31" s="2">
        <f t="shared" si="13"/>
        <v>1731.5809726715088</v>
      </c>
      <c r="AH31" s="2">
        <v>-5.0109889571103849E-5</v>
      </c>
      <c r="AI31" s="2">
        <f t="shared" si="14"/>
        <v>1731.5811142325401</v>
      </c>
      <c r="AJ31" s="2">
        <v>3.2779568073237897E-5</v>
      </c>
      <c r="AK31" s="2">
        <f t="shared" si="9"/>
        <v>1731.5810434520245</v>
      </c>
      <c r="AL31" s="2">
        <v>-8.6651605215593008E-6</v>
      </c>
      <c r="AM31" s="2">
        <f t="shared" si="10"/>
        <v>4.342102368512252E-10</v>
      </c>
      <c r="AN31" s="2">
        <f t="shared" si="11"/>
        <v>-2.840402191819867E-10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0.97261851653456688</v>
      </c>
      <c r="W32" s="2">
        <f t="shared" si="0"/>
        <v>2.6123724294890849E-9</v>
      </c>
      <c r="X32" s="2">
        <f t="shared" si="8"/>
        <v>0.97261852025985718</v>
      </c>
      <c r="Y32" s="2">
        <f t="shared" si="1"/>
        <v>-1.1939935706806182E-9</v>
      </c>
      <c r="Z32" s="2">
        <f t="shared" si="3"/>
        <v>0.97261851839721203</v>
      </c>
      <c r="AA32" s="2">
        <f t="shared" si="2"/>
        <v>7.0918948491538458E-10</v>
      </c>
      <c r="AB32" s="2">
        <f t="shared" si="4"/>
        <v>1.8526670576765159E-18</v>
      </c>
      <c r="AC32" s="2">
        <f t="shared" si="5"/>
        <v>-8.4676768538326844E-19</v>
      </c>
      <c r="AD32" s="2">
        <f t="shared" si="6"/>
        <v>3.7252902984619141E-9</v>
      </c>
      <c r="AF32" s="2">
        <v>28</v>
      </c>
      <c r="AG32" s="2">
        <f t="shared" si="13"/>
        <v>1731.5810434520245</v>
      </c>
      <c r="AH32" s="2">
        <v>-8.6651605215593008E-6</v>
      </c>
      <c r="AI32" s="2">
        <f t="shared" si="14"/>
        <v>1731.5811142325401</v>
      </c>
      <c r="AJ32" s="2">
        <v>3.2779568073237897E-5</v>
      </c>
      <c r="AK32" s="2">
        <f t="shared" si="9"/>
        <v>1731.5810788422823</v>
      </c>
      <c r="AL32" s="2">
        <v>1.2057203548465623E-5</v>
      </c>
      <c r="AM32" s="2">
        <f t="shared" si="10"/>
        <v>-1.0447760418856903E-10</v>
      </c>
      <c r="AN32" s="2">
        <f t="shared" si="11"/>
        <v>3.952299244898144E-10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92.748025763968243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0.97261851839721203</v>
      </c>
      <c r="W33" s="2">
        <f t="shared" si="0"/>
        <v>7.0918948491538458E-10</v>
      </c>
      <c r="X33" s="2">
        <f t="shared" si="8"/>
        <v>0.97261852025985718</v>
      </c>
      <c r="Y33" s="2">
        <f t="shared" si="1"/>
        <v>-1.1939935706806182E-9</v>
      </c>
      <c r="Z33" s="2">
        <f t="shared" si="3"/>
        <v>0.9726185193285346</v>
      </c>
      <c r="AA33" s="2">
        <f t="shared" si="2"/>
        <v>-2.4240209839376803E-10</v>
      </c>
      <c r="AB33" s="2">
        <f t="shared" si="4"/>
        <v>-1.7190901930228472E-19</v>
      </c>
      <c r="AC33" s="2">
        <f t="shared" si="5"/>
        <v>2.8942654700164963E-19</v>
      </c>
      <c r="AD33" s="2">
        <f t="shared" si="6"/>
        <v>1.862645149230957E-9</v>
      </c>
      <c r="AF33" s="2">
        <v>29</v>
      </c>
      <c r="AG33" s="2">
        <f t="shared" si="13"/>
        <v>1731.5810434520245</v>
      </c>
      <c r="AH33" s="2">
        <v>-8.6651605215593008E-6</v>
      </c>
      <c r="AI33" s="2">
        <f t="shared" si="14"/>
        <v>1731.5810788422823</v>
      </c>
      <c r="AJ33" s="2">
        <v>1.2057203548465623E-5</v>
      </c>
      <c r="AK33" s="2">
        <f t="shared" si="9"/>
        <v>1731.5810611471534</v>
      </c>
      <c r="AL33" s="2">
        <v>1.6960213997663232E-6</v>
      </c>
      <c r="AM33" s="2">
        <f t="shared" si="10"/>
        <v>-1.4696297676974888E-11</v>
      </c>
      <c r="AN33" s="2">
        <f t="shared" si="11"/>
        <v>2.0449275239536144E-11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34.65</v>
      </c>
      <c r="L34" s="6" t="s">
        <v>59</v>
      </c>
      <c r="U34" s="2">
        <v>30</v>
      </c>
      <c r="V34" s="2">
        <f t="shared" si="7"/>
        <v>0.97261851839721203</v>
      </c>
      <c r="W34" s="2">
        <f t="shared" si="0"/>
        <v>7.0918948491538458E-10</v>
      </c>
      <c r="X34" s="2">
        <f t="shared" si="8"/>
        <v>0.9726185193285346</v>
      </c>
      <c r="Y34" s="2">
        <f t="shared" si="1"/>
        <v>-2.4240209839376803E-10</v>
      </c>
      <c r="Z34" s="2">
        <f t="shared" si="3"/>
        <v>0.97261851886287332</v>
      </c>
      <c r="AA34" s="2">
        <f t="shared" si="2"/>
        <v>2.3339363774965705E-10</v>
      </c>
      <c r="AB34" s="2">
        <f t="shared" si="4"/>
        <v>1.6552031373820714E-19</v>
      </c>
      <c r="AC34" s="2">
        <f t="shared" si="5"/>
        <v>-5.6575107542271819E-20</v>
      </c>
      <c r="AD34" s="2">
        <f t="shared" si="6"/>
        <v>9.3132257461547852E-10</v>
      </c>
      <c r="AF34" s="2">
        <v>30</v>
      </c>
      <c r="AG34" s="2">
        <f t="shared" si="13"/>
        <v>1731.5810434520245</v>
      </c>
      <c r="AH34" s="2">
        <v>-8.6651605215593008E-6</v>
      </c>
      <c r="AI34" s="2">
        <f t="shared" si="14"/>
        <v>1731.5810611471534</v>
      </c>
      <c r="AJ34" s="2">
        <v>1.6960213997663232E-6</v>
      </c>
      <c r="AK34" s="2">
        <f t="shared" si="9"/>
        <v>1731.5810522995889</v>
      </c>
      <c r="AL34" s="2">
        <v>-3.4845697882701643E-6</v>
      </c>
      <c r="AM34" s="2">
        <f t="shared" si="10"/>
        <v>3.0194356563936879E-11</v>
      </c>
      <c r="AN34" s="2">
        <f t="shared" si="11"/>
        <v>-5.9099049298854043E-12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13.31</v>
      </c>
      <c r="L35" s="6" t="s">
        <v>59</v>
      </c>
      <c r="AF35" s="2">
        <v>31</v>
      </c>
      <c r="AG35" s="2">
        <f t="shared" si="13"/>
        <v>1731.5810522995889</v>
      </c>
      <c r="AH35" s="2">
        <v>-3.4845697882701643E-6</v>
      </c>
      <c r="AI35" s="2">
        <f t="shared" si="14"/>
        <v>1731.5810611471534</v>
      </c>
      <c r="AJ35" s="2">
        <v>1.6960213997663232E-6</v>
      </c>
      <c r="AK35" s="2">
        <f t="shared" si="9"/>
        <v>1731.5810567233711</v>
      </c>
      <c r="AL35" s="2">
        <v>-8.9427430793875828E-7</v>
      </c>
      <c r="AM35" s="2">
        <f t="shared" si="10"/>
        <v>3.1161612358696066E-12</v>
      </c>
      <c r="AN35" s="2">
        <f t="shared" si="11"/>
        <v>-1.5167083635253527E-12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14.44</v>
      </c>
      <c r="L36" s="6" t="s">
        <v>59</v>
      </c>
      <c r="AF36" s="2">
        <v>32</v>
      </c>
      <c r="AG36" s="2">
        <f t="shared" si="13"/>
        <v>1731.5810567233711</v>
      </c>
      <c r="AH36" s="2">
        <v>-8.9427430793875828E-7</v>
      </c>
      <c r="AI36" s="2">
        <f t="shared" si="14"/>
        <v>1731.5810611471534</v>
      </c>
      <c r="AJ36" s="2">
        <v>1.6960213997663232E-6</v>
      </c>
      <c r="AK36" s="2">
        <f t="shared" si="9"/>
        <v>1731.5810589352623</v>
      </c>
      <c r="AL36" s="2">
        <v>4.0087365960062016E-7</v>
      </c>
      <c r="AM36" s="2">
        <f t="shared" si="10"/>
        <v>-3.5849101451022196E-13</v>
      </c>
      <c r="AN36" s="2">
        <f t="shared" si="11"/>
        <v>6.7989030528529235E-13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32.86</v>
      </c>
      <c r="L37" s="6" t="s">
        <v>59</v>
      </c>
      <c r="AF37" s="2">
        <v>33</v>
      </c>
      <c r="AG37" s="2">
        <f t="shared" si="13"/>
        <v>1731.5810567233711</v>
      </c>
      <c r="AH37" s="2">
        <v>-8.9427430793875828E-7</v>
      </c>
      <c r="AI37" s="2">
        <f t="shared" si="14"/>
        <v>1731.5810589352623</v>
      </c>
      <c r="AJ37" s="2">
        <v>4.0087365960062016E-7</v>
      </c>
      <c r="AK37" s="2">
        <f t="shared" si="9"/>
        <v>1731.5810578293167</v>
      </c>
      <c r="AL37" s="2">
        <v>-2.4670021048223134E-7</v>
      </c>
      <c r="AM37" s="2">
        <f t="shared" si="10"/>
        <v>2.2061765999734343E-13</v>
      </c>
      <c r="AN37" s="2">
        <f t="shared" si="11"/>
        <v>-9.8895616200255352E-14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1731.5810578293167</v>
      </c>
      <c r="AH38" s="2">
        <v>-2.4670021048223134E-7</v>
      </c>
      <c r="AI38" s="2">
        <f t="shared" si="14"/>
        <v>1731.5810589352623</v>
      </c>
      <c r="AJ38" s="2">
        <v>4.0087365960062016E-7</v>
      </c>
      <c r="AK38" s="2">
        <f t="shared" si="9"/>
        <v>1731.5810583822895</v>
      </c>
      <c r="AL38" s="2">
        <v>7.7086497185518965E-8</v>
      </c>
      <c r="AM38" s="2">
        <f t="shared" si="10"/>
        <v>-1.9017255081005463E-14</v>
      </c>
      <c r="AN38" s="2">
        <f t="shared" si="11"/>
        <v>3.0901946232551893E-14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100.00999999999999</v>
      </c>
      <c r="L39" s="9" t="s">
        <v>59</v>
      </c>
      <c r="AF39" s="2">
        <v>35</v>
      </c>
      <c r="AG39" s="2">
        <f t="shared" si="13"/>
        <v>1731.5810578293167</v>
      </c>
      <c r="AH39" s="2">
        <v>-2.4670021048223134E-7</v>
      </c>
      <c r="AI39" s="2">
        <f t="shared" si="14"/>
        <v>1731.5810583822895</v>
      </c>
      <c r="AJ39" s="2">
        <v>7.7086497185518965E-8</v>
      </c>
      <c r="AK39" s="2">
        <f t="shared" si="9"/>
        <v>1731.5810581058031</v>
      </c>
      <c r="AL39" s="2">
        <v>-8.4807197708869353E-8</v>
      </c>
      <c r="AM39" s="2">
        <f t="shared" si="10"/>
        <v>2.0921953525186277E-14</v>
      </c>
      <c r="AN39" s="2">
        <f t="shared" si="11"/>
        <v>-6.5374898074965078E-15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1731.5810581058031</v>
      </c>
      <c r="AH40" s="2">
        <v>-8.4807197708869353E-8</v>
      </c>
      <c r="AI40" s="2">
        <f t="shared" si="14"/>
        <v>1731.5810583822895</v>
      </c>
      <c r="AJ40" s="2">
        <v>7.7086497185518965E-8</v>
      </c>
      <c r="AK40" s="2">
        <f t="shared" si="9"/>
        <v>1731.5810582440463</v>
      </c>
      <c r="AL40" s="2">
        <v>-3.8603502616751939E-9</v>
      </c>
      <c r="AM40" s="2">
        <f t="shared" si="10"/>
        <v>3.2738548786737371E-16</v>
      </c>
      <c r="AN40" s="2">
        <f t="shared" si="11"/>
        <v>-2.9758087958174224E-16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1731.5810582440463</v>
      </c>
      <c r="AH41" s="2">
        <v>-3.8603502616751939E-9</v>
      </c>
      <c r="AI41" s="2">
        <f t="shared" si="14"/>
        <v>1731.5810583822895</v>
      </c>
      <c r="AJ41" s="2">
        <v>7.7086497185518965E-8</v>
      </c>
      <c r="AK41" s="2">
        <f t="shared" si="9"/>
        <v>1731.5810583131679</v>
      </c>
      <c r="AL41" s="2">
        <v>3.6613073461921886E-8</v>
      </c>
      <c r="AM41" s="2">
        <f t="shared" si="10"/>
        <v>-1.4133928771946325E-16</v>
      </c>
      <c r="AN41" s="2">
        <f t="shared" si="11"/>
        <v>2.8223735843756405E-15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1731.5810582440463</v>
      </c>
      <c r="AH42" s="2">
        <v>-3.8603502616751939E-9</v>
      </c>
      <c r="AI42" s="2">
        <f t="shared" si="14"/>
        <v>1731.5810583131679</v>
      </c>
      <c r="AJ42" s="2">
        <v>3.6613073461921886E-8</v>
      </c>
      <c r="AK42" s="2">
        <f t="shared" si="9"/>
        <v>1731.5810582786071</v>
      </c>
      <c r="AL42" s="2">
        <v>1.6376588973798789E-8</v>
      </c>
      <c r="AM42" s="2">
        <f t="shared" si="10"/>
        <v>-6.3219369530351251E-17</v>
      </c>
      <c r="AN42" s="2">
        <f t="shared" si="11"/>
        <v>5.9959725515339501E-16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230.44</v>
      </c>
      <c r="L43" s="6" t="s">
        <v>7</v>
      </c>
      <c r="AF43" s="2">
        <v>39</v>
      </c>
      <c r="AG43" s="2">
        <f t="shared" si="13"/>
        <v>1731.5810582440463</v>
      </c>
      <c r="AH43" s="2">
        <v>-3.8603502616751939E-9</v>
      </c>
      <c r="AI43" s="2">
        <f t="shared" si="14"/>
        <v>1731.5810582786071</v>
      </c>
      <c r="AJ43" s="2">
        <v>1.6376588973798789E-8</v>
      </c>
      <c r="AK43" s="2">
        <f t="shared" si="9"/>
        <v>1731.5810582613267</v>
      </c>
      <c r="AL43" s="2">
        <v>6.2584604165749624E-9</v>
      </c>
      <c r="AM43" s="2">
        <f t="shared" si="10"/>
        <v>-2.4159849306808999E-17</v>
      </c>
      <c r="AN43" s="2">
        <f t="shared" si="11"/>
        <v>1.0249223385103771E-16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249.96</v>
      </c>
      <c r="L44" s="6" t="s">
        <v>7</v>
      </c>
      <c r="AF44" s="2">
        <v>40</v>
      </c>
      <c r="AG44" s="2">
        <f t="shared" si="13"/>
        <v>1731.5810582440463</v>
      </c>
      <c r="AH44" s="2">
        <v>-3.8603502616751939E-9</v>
      </c>
      <c r="AI44" s="2">
        <f t="shared" si="14"/>
        <v>1731.5810582613267</v>
      </c>
      <c r="AJ44" s="2">
        <v>6.2584604165749624E-9</v>
      </c>
      <c r="AK44" s="5">
        <f t="shared" si="9"/>
        <v>1731.5810582526865</v>
      </c>
      <c r="AL44" s="2">
        <v>1.1987140169367194E-9</v>
      </c>
      <c r="AM44" s="2">
        <f t="shared" si="10"/>
        <v>-4.6274559689553876E-18</v>
      </c>
      <c r="AN44" s="2">
        <f t="shared" si="11"/>
        <v>7.5021042257920276E-18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568.92999999999995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82.25</v>
      </c>
      <c r="L46" s="6" t="s">
        <v>7</v>
      </c>
    </row>
    <row r="47" spans="2:41" x14ac:dyDescent="0.2">
      <c r="J47" s="9" t="s">
        <v>60</v>
      </c>
      <c r="K47" s="9">
        <f>SUM(K42:K46)</f>
        <v>1731.58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35" priority="1" operator="containsText" text="FALSE">
      <formula>NOT(ISERROR(SEARCH("FALSE",K31)))</formula>
    </cfRule>
    <cfRule type="containsText" dxfId="34" priority="2" operator="containsText" text="TRUE">
      <formula>NOT(ISERROR(SEARCH("TRUE",K31)))</formula>
    </cfRule>
    <cfRule type="cellIs" dxfId="33" priority="3" operator="equal">
      <formula>1</formula>
    </cfRule>
    <cfRule type="cellIs" dxfId="32" priority="4" operator="equal">
      <formula>TRUE</formula>
    </cfRule>
    <cfRule type="containsText" dxfId="31" priority="5" operator="containsText" text="YES">
      <formula>NOT(ISERROR(SEARCH("YES",K31)))</formula>
    </cfRule>
    <cfRule type="cellIs" dxfId="30" priority="6" operator="equal">
      <formula>"""YES"""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C6D9D-F2B2-6B44-A3B6-9B79311720B3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313.10868071010015</v>
      </c>
      <c r="L4" s="6" t="s">
        <v>97</v>
      </c>
      <c r="N4" s="6" t="s">
        <v>131</v>
      </c>
      <c r="O4" s="6">
        <f xml:space="preserve"> $C$5 * $C$74</f>
        <v>16166.727813734951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1.1973582535245431</v>
      </c>
      <c r="X4" s="3">
        <v>1</v>
      </c>
      <c r="Y4" s="2">
        <f t="shared" ref="Y4:Y34" si="1" xml:space="preserve"> $O$22 * TAN($O$19/180*PI()) + $O$23 / (2 * SQRT($O$22^2 + X4^2)) - X4</f>
        <v>-2.8295515123413995E-2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0.49169833147989517</v>
      </c>
      <c r="AB4" s="2">
        <f>W4*AA4</f>
        <v>0.58873905544169913</v>
      </c>
      <c r="AC4" s="2">
        <f>Y4*AA4</f>
        <v>-1.3912857574546801E-2</v>
      </c>
      <c r="AD4" s="2">
        <f>X4-V4</f>
        <v>1</v>
      </c>
      <c r="AF4" s="2">
        <v>0</v>
      </c>
      <c r="AH4" s="2">
        <f>K30</f>
        <v>-3.4881803071584727E-3</v>
      </c>
      <c r="AJ4" s="2">
        <f>K30</f>
        <v>-3.4881803071584727E-3</v>
      </c>
      <c r="AL4" s="2">
        <f>K30</f>
        <v>-3.4881803071584727E-3</v>
      </c>
    </row>
    <row r="5" spans="2:41" x14ac:dyDescent="0.2">
      <c r="B5" s="9" t="s">
        <v>38</v>
      </c>
      <c r="C5" s="9">
        <v>1649.5729085078599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39.138585088762518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0.49169833147989517</v>
      </c>
      <c r="X5" s="2">
        <f>IF(AC4&gt;0, Z4, X4)</f>
        <v>1</v>
      </c>
      <c r="Y5" s="2">
        <f t="shared" si="1"/>
        <v>-2.8295515123413995E-2</v>
      </c>
      <c r="Z5" s="2">
        <f t="shared" ref="Z5:Z34" si="3" xml:space="preserve"> (V5 + X5)/2</f>
        <v>0.75</v>
      </c>
      <c r="AA5" s="2">
        <f t="shared" si="2"/>
        <v>0.22843485231874683</v>
      </c>
      <c r="AB5" s="2">
        <f t="shared" ref="AB5:AB34" si="4">W5*AA5</f>
        <v>0.11232103573698407</v>
      </c>
      <c r="AC5" s="2">
        <f t="shared" ref="AC5:AC34" si="5">Y5*AA5</f>
        <v>-6.4636818184999429E-3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-694.67656439946643</v>
      </c>
      <c r="AI5" s="3">
        <v>10000</v>
      </c>
      <c r="AJ5" s="2">
        <f t="dataTable" ref="AJ5:AJ44" dt2D="0" dtr="0" r1="C5" ca="1"/>
        <v>4600.9389574368988</v>
      </c>
      <c r="AK5" s="2">
        <f>(AG5+AI5)/2</f>
        <v>5250</v>
      </c>
      <c r="AL5" s="2">
        <f t="dataTable" ref="AL5:AL44" dt2D="0" dtr="0" r1="C5" ca="1"/>
        <v>2230.4964233879691</v>
      </c>
      <c r="AM5" s="2">
        <f>AH5*AL5</f>
        <v>-1549473.5923044521</v>
      </c>
      <c r="AN5" s="2">
        <f>AJ5*AL5</f>
        <v>10262377.888789374</v>
      </c>
      <c r="AO5" s="2">
        <f>AI5-AG5</f>
        <v>9500</v>
      </c>
    </row>
    <row r="6" spans="2:41" x14ac:dyDescent="0.2">
      <c r="B6" s="6" t="s">
        <v>168</v>
      </c>
      <c r="C6" s="16">
        <v>470.55333218058303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136.8708128604363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0.18279918651934882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0.22843485231874683</v>
      </c>
      <c r="X6" s="2">
        <f t="shared" ref="X6:X34" si="8">IF(AC5&gt;0, Z5, X5)</f>
        <v>1</v>
      </c>
      <c r="Y6" s="2">
        <f t="shared" si="1"/>
        <v>-2.8295515123413995E-2</v>
      </c>
      <c r="Z6" s="2">
        <f t="shared" si="3"/>
        <v>0.875</v>
      </c>
      <c r="AA6" s="2">
        <f t="shared" si="2"/>
        <v>9.959548212561331E-2</v>
      </c>
      <c r="AB6" s="2">
        <f t="shared" si="4"/>
        <v>2.2751079250978867E-2</v>
      </c>
      <c r="AC6" s="2">
        <f t="shared" si="5"/>
        <v>-2.8181054707089996E-3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-694.67656439946643</v>
      </c>
      <c r="AI6" s="2">
        <f>IF(AN5&gt;0,AK5,AI5)</f>
        <v>5250</v>
      </c>
      <c r="AJ6" s="2">
        <v>2230.4964233879691</v>
      </c>
      <c r="AK6" s="2">
        <f t="shared" ref="AK6:AK44" si="9">(AG6+AI6)/2</f>
        <v>2875</v>
      </c>
      <c r="AL6" s="2">
        <v>716.88047055886864</v>
      </c>
      <c r="AM6" s="2">
        <f t="shared" ref="AM6:AM44" si="10">AH6*AL6</f>
        <v>-498000.06237290771</v>
      </c>
      <c r="AN6" s="2">
        <f t="shared" ref="AN6:AN44" si="11">AJ6*AL6</f>
        <v>1598999.3255782407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2021.0342917453738</v>
      </c>
      <c r="H7" s="6" t="s">
        <v>21</v>
      </c>
      <c r="J7" s="6" t="s">
        <v>133</v>
      </c>
      <c r="K7" s="6">
        <f>K6/$C$28</f>
        <v>136.8708128604363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9.959548212561331E-2</v>
      </c>
      <c r="X7" s="2">
        <f t="shared" si="8"/>
        <v>1</v>
      </c>
      <c r="Y7" s="2">
        <f t="shared" si="1"/>
        <v>-2.8295515123413995E-2</v>
      </c>
      <c r="Z7" s="2">
        <f t="shared" si="3"/>
        <v>0.9375</v>
      </c>
      <c r="AA7" s="2">
        <f t="shared" si="2"/>
        <v>3.5554750565068738E-2</v>
      </c>
      <c r="AB7" s="2">
        <f t="shared" si="4"/>
        <v>3.5410925243839434E-3</v>
      </c>
      <c r="AC7" s="2">
        <f t="shared" si="5"/>
        <v>-1.0060399823231148E-3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-694.67656439946643</v>
      </c>
      <c r="AI7" s="2">
        <f t="shared" ref="AI7:AI44" si="14">IF(AN6&gt;0,AK6,AI6)</f>
        <v>2875</v>
      </c>
      <c r="AJ7" s="2">
        <v>716.88047055886864</v>
      </c>
      <c r="AK7" s="2">
        <f t="shared" si="9"/>
        <v>1687.5</v>
      </c>
      <c r="AL7" s="2">
        <v>22.855276300435889</v>
      </c>
      <c r="AM7" s="2">
        <f t="shared" si="10"/>
        <v>-15877.024818787351</v>
      </c>
      <c r="AN7" s="2">
        <f t="shared" si="11"/>
        <v>16384.501229009438</v>
      </c>
      <c r="AO7" s="2">
        <f t="shared" si="12"/>
        <v>2375</v>
      </c>
    </row>
    <row r="8" spans="2:41" x14ac:dyDescent="0.2">
      <c r="B8" s="6" t="s">
        <v>91</v>
      </c>
      <c r="C8" s="16">
        <v>2.1149292720305501</v>
      </c>
      <c r="D8" s="6" t="s">
        <v>8</v>
      </c>
      <c r="F8" t="s">
        <v>93</v>
      </c>
      <c r="G8" s="6">
        <f>G10/$C$21</f>
        <v>26.092390059175013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3.5554750565068738E-2</v>
      </c>
      <c r="X8" s="2">
        <f t="shared" si="8"/>
        <v>1</v>
      </c>
      <c r="Y8" s="2">
        <f t="shared" si="1"/>
        <v>-2.8295515123413995E-2</v>
      </c>
      <c r="Z8" s="2">
        <f t="shared" si="3"/>
        <v>0.96875</v>
      </c>
      <c r="AA8" s="2">
        <f t="shared" si="2"/>
        <v>3.6080787578700591E-3</v>
      </c>
      <c r="AB8" s="2">
        <f t="shared" si="4"/>
        <v>1.2828434025519299E-4</v>
      </c>
      <c r="AC8" s="2">
        <f t="shared" si="5"/>
        <v>-1.0209244705978104E-4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-694.67656439946643</v>
      </c>
      <c r="AI8" s="2">
        <f t="shared" si="14"/>
        <v>1687.5</v>
      </c>
      <c r="AJ8" s="2">
        <v>22.855276300435889</v>
      </c>
      <c r="AK8" s="2">
        <f t="shared" si="9"/>
        <v>1093.75</v>
      </c>
      <c r="AL8" s="2">
        <v>-337.8745822248535</v>
      </c>
      <c r="AM8" s="2">
        <f t="shared" si="10"/>
        <v>234713.55397786625</v>
      </c>
      <c r="AN8" s="2">
        <f t="shared" si="11"/>
        <v>-7722.216931643371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7.9025575309831151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2.1159055041514482E-2</v>
      </c>
      <c r="U9" s="2">
        <v>5</v>
      </c>
      <c r="V9" s="2">
        <f t="shared" si="7"/>
        <v>0.96875</v>
      </c>
      <c r="W9" s="2">
        <f t="shared" si="0"/>
        <v>3.6080787578700591E-3</v>
      </c>
      <c r="X9" s="2">
        <f t="shared" si="8"/>
        <v>1</v>
      </c>
      <c r="Y9" s="2">
        <f t="shared" si="1"/>
        <v>-2.8295515123413995E-2</v>
      </c>
      <c r="Z9" s="2">
        <f t="shared" si="3"/>
        <v>0.984375</v>
      </c>
      <c r="AA9" s="2">
        <f t="shared" si="2"/>
        <v>-1.2348850199960792E-2</v>
      </c>
      <c r="AB9" s="2">
        <f t="shared" si="4"/>
        <v>-4.455562409059797E-5</v>
      </c>
      <c r="AC9" s="2">
        <f t="shared" si="5"/>
        <v>3.4941707758976451E-4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-337.8745822248535</v>
      </c>
      <c r="AI9" s="2">
        <f t="shared" si="14"/>
        <v>1687.5</v>
      </c>
      <c r="AJ9" s="2">
        <v>22.855276300435889</v>
      </c>
      <c r="AK9" s="2">
        <f t="shared" si="9"/>
        <v>1390.625</v>
      </c>
      <c r="AL9" s="2">
        <v>-156.88415290733303</v>
      </c>
      <c r="AM9" s="2">
        <f t="shared" si="10"/>
        <v>53007.16762126518</v>
      </c>
      <c r="AN9" s="2">
        <f t="shared" si="11"/>
        <v>-3585.6306618569288</v>
      </c>
      <c r="AO9" s="2">
        <f t="shared" si="12"/>
        <v>593.75</v>
      </c>
    </row>
    <row r="10" spans="2:41" x14ac:dyDescent="0.2">
      <c r="B10" s="6" t="s">
        <v>134</v>
      </c>
      <c r="C10" s="16">
        <v>1.42504569367809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208.73912047340011</v>
      </c>
      <c r="H10" s="22" t="s">
        <v>97</v>
      </c>
      <c r="J10" s="6" t="s">
        <v>92</v>
      </c>
      <c r="K10" s="6">
        <f xml:space="preserve"> $C$18 * (G10*G6 + G20*G13 + G29*G25 + G33*G32)/3600</f>
        <v>83.832724593961728</v>
      </c>
      <c r="L10" s="6" t="s">
        <v>98</v>
      </c>
      <c r="N10" s="6" t="s">
        <v>39</v>
      </c>
      <c r="O10" s="6">
        <f xml:space="preserve"> O5 * $C$12 * O9</f>
        <v>1090.6212349561201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3.6080787578700591E-3</v>
      </c>
      <c r="X10" s="2">
        <f t="shared" si="8"/>
        <v>0.984375</v>
      </c>
      <c r="Y10" s="2">
        <f t="shared" si="1"/>
        <v>-1.2348850199960792E-2</v>
      </c>
      <c r="Z10" s="2">
        <f t="shared" si="3"/>
        <v>0.9765625</v>
      </c>
      <c r="AA10" s="2">
        <f t="shared" si="2"/>
        <v>-4.3716990751589968E-3</v>
      </c>
      <c r="AB10" s="2">
        <f t="shared" si="4"/>
        <v>-1.5773434568881358E-5</v>
      </c>
      <c r="AC10" s="2">
        <f t="shared" si="5"/>
        <v>5.3985456998445589E-5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-156.88415290733303</v>
      </c>
      <c r="AI10" s="2">
        <f t="shared" si="14"/>
        <v>1687.5</v>
      </c>
      <c r="AJ10" s="2">
        <v>22.855276300435889</v>
      </c>
      <c r="AK10" s="2">
        <f t="shared" si="9"/>
        <v>1539.0625</v>
      </c>
      <c r="AL10" s="2">
        <v>-66.79349190873063</v>
      </c>
      <c r="AM10" s="2">
        <f t="shared" si="10"/>
        <v>10478.840397824008</v>
      </c>
      <c r="AN10" s="2">
        <f t="shared" si="11"/>
        <v>-1526.5837126449676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0.74808027867791738</v>
      </c>
      <c r="U11" s="2">
        <v>7</v>
      </c>
      <c r="V11" s="2">
        <f t="shared" si="7"/>
        <v>0.96875</v>
      </c>
      <c r="W11" s="2">
        <f t="shared" si="0"/>
        <v>3.6080787578700591E-3</v>
      </c>
      <c r="X11" s="2">
        <f t="shared" si="8"/>
        <v>0.9765625</v>
      </c>
      <c r="Y11" s="2">
        <f t="shared" si="1"/>
        <v>-4.3716990751589968E-3</v>
      </c>
      <c r="Z11" s="2">
        <f t="shared" si="3"/>
        <v>0.97265625</v>
      </c>
      <c r="AA11" s="2">
        <f t="shared" si="2"/>
        <v>-3.8214239561762398E-4</v>
      </c>
      <c r="AB11" s="2">
        <f t="shared" si="4"/>
        <v>-1.3787998601095253E-6</v>
      </c>
      <c r="AC11" s="2">
        <f t="shared" si="5"/>
        <v>1.6706115575006103E-6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-66.79349190873063</v>
      </c>
      <c r="AI11" s="2">
        <f t="shared" si="14"/>
        <v>1687.5</v>
      </c>
      <c r="AJ11" s="2">
        <v>22.855276300435889</v>
      </c>
      <c r="AK11" s="2">
        <f t="shared" si="9"/>
        <v>1613.28125</v>
      </c>
      <c r="AL11" s="2">
        <v>-21.907826313521127</v>
      </c>
      <c r="AM11" s="2">
        <f t="shared" si="10"/>
        <v>1463.3002196100495</v>
      </c>
      <c r="AN11" s="2">
        <f t="shared" si="11"/>
        <v>-500.70942353748518</v>
      </c>
      <c r="AO11" s="2">
        <f t="shared" si="12"/>
        <v>148.4375</v>
      </c>
    </row>
    <row r="12" spans="2:41" x14ac:dyDescent="0.2">
      <c r="B12" s="6" t="s">
        <v>135</v>
      </c>
      <c r="C12" s="16">
        <v>22.731982944952499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0.31364938870437803</v>
      </c>
      <c r="U12" s="2">
        <v>8</v>
      </c>
      <c r="V12" s="2">
        <f t="shared" si="7"/>
        <v>0.96875</v>
      </c>
      <c r="W12" s="2">
        <f t="shared" si="0"/>
        <v>3.6080787578700591E-3</v>
      </c>
      <c r="X12" s="2">
        <f t="shared" si="8"/>
        <v>0.97265625</v>
      </c>
      <c r="Y12" s="2">
        <f t="shared" si="1"/>
        <v>-3.8214239561762398E-4</v>
      </c>
      <c r="Z12" s="2">
        <f t="shared" si="3"/>
        <v>0.970703125</v>
      </c>
      <c r="AA12" s="2">
        <f t="shared" si="2"/>
        <v>1.6128846278392617E-3</v>
      </c>
      <c r="AB12" s="2">
        <f t="shared" si="4"/>
        <v>5.819414764601996E-6</v>
      </c>
      <c r="AC12" s="2">
        <f t="shared" si="5"/>
        <v>-6.1635159553733536E-7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-21.907826313521127</v>
      </c>
      <c r="AI12" s="2">
        <f t="shared" si="14"/>
        <v>1687.5</v>
      </c>
      <c r="AJ12" s="2">
        <v>22.855276300435889</v>
      </c>
      <c r="AK12" s="2">
        <f t="shared" si="9"/>
        <v>1650.390625</v>
      </c>
      <c r="AL12" s="2">
        <v>0.48970867471712154</v>
      </c>
      <c r="AM12" s="2">
        <f t="shared" si="10"/>
        <v>-10.728452589927313</v>
      </c>
      <c r="AN12" s="2">
        <f t="shared" si="11"/>
        <v>11.192427067380097</v>
      </c>
      <c r="AO12" s="2">
        <f t="shared" si="12"/>
        <v>74.21875</v>
      </c>
    </row>
    <row r="13" spans="2:41" x14ac:dyDescent="0.2">
      <c r="B13" s="6" t="s">
        <v>136</v>
      </c>
      <c r="C13" s="16">
        <v>10.329173931813299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2.5211575555120665E-2</v>
      </c>
      <c r="U13" s="2">
        <v>9</v>
      </c>
      <c r="V13" s="2">
        <f t="shared" si="7"/>
        <v>0.970703125</v>
      </c>
      <c r="W13" s="2">
        <f t="shared" si="0"/>
        <v>1.6128846278392617E-3</v>
      </c>
      <c r="X13" s="2">
        <f t="shared" si="8"/>
        <v>0.97265625</v>
      </c>
      <c r="Y13" s="2">
        <f t="shared" si="1"/>
        <v>-3.8214239561762398E-4</v>
      </c>
      <c r="Z13" s="2">
        <f t="shared" si="3"/>
        <v>0.9716796875</v>
      </c>
      <c r="AA13" s="2">
        <f t="shared" si="2"/>
        <v>6.1535028984915918E-4</v>
      </c>
      <c r="AB13" s="2">
        <f t="shared" si="4"/>
        <v>9.924890232341429E-7</v>
      </c>
      <c r="AC13" s="2">
        <f t="shared" si="5"/>
        <v>-2.3515143390695698E-7</v>
      </c>
      <c r="AD13" s="2">
        <f t="shared" si="6"/>
        <v>1.953125E-3</v>
      </c>
      <c r="AF13" s="2">
        <v>9</v>
      </c>
      <c r="AG13" s="2">
        <f t="shared" si="13"/>
        <v>1613.28125</v>
      </c>
      <c r="AH13" s="2">
        <v>-21.907826313521127</v>
      </c>
      <c r="AI13" s="2">
        <f t="shared" si="14"/>
        <v>1650.390625</v>
      </c>
      <c r="AJ13" s="2">
        <v>0.48970867471712154</v>
      </c>
      <c r="AK13" s="2">
        <f t="shared" si="9"/>
        <v>1631.8359375</v>
      </c>
      <c r="AL13" s="2">
        <v>-10.705142263743255</v>
      </c>
      <c r="AM13" s="2">
        <f t="shared" si="10"/>
        <v>234.52639737562163</v>
      </c>
      <c r="AN13" s="2">
        <f t="shared" si="11"/>
        <v>-5.2424010306359561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70.220878958462222</v>
      </c>
      <c r="H14" s="6" t="s">
        <v>10</v>
      </c>
      <c r="J14" s="9" t="s">
        <v>75</v>
      </c>
      <c r="K14" s="17">
        <f>C5</f>
        <v>1649.5729085078599</v>
      </c>
      <c r="L14" s="6" t="s">
        <v>7</v>
      </c>
      <c r="N14" s="6" t="s">
        <v>40</v>
      </c>
      <c r="O14" s="6">
        <f xml:space="preserve"> O5 * O13 * $C$12</f>
        <v>1299.5041419934391</v>
      </c>
      <c r="P14" s="6" t="s">
        <v>21</v>
      </c>
      <c r="U14" s="2">
        <v>10</v>
      </c>
      <c r="V14" s="2">
        <f t="shared" si="7"/>
        <v>0.9716796875</v>
      </c>
      <c r="W14" s="2">
        <f t="shared" si="0"/>
        <v>6.1535028984915918E-4</v>
      </c>
      <c r="X14" s="2">
        <f t="shared" si="8"/>
        <v>0.97265625</v>
      </c>
      <c r="Y14" s="2">
        <f t="shared" si="1"/>
        <v>-3.8214239561762398E-4</v>
      </c>
      <c r="Z14" s="2">
        <f t="shared" si="3"/>
        <v>0.97216796875</v>
      </c>
      <c r="AA14" s="2">
        <f t="shared" si="2"/>
        <v>1.1659874828107153E-4</v>
      </c>
      <c r="AB14" s="2">
        <f t="shared" si="4"/>
        <v>7.174907355080651E-8</v>
      </c>
      <c r="AC14" s="2">
        <f t="shared" si="5"/>
        <v>-4.4557324994144992E-8</v>
      </c>
      <c r="AD14" s="2">
        <f t="shared" si="6"/>
        <v>9.765625E-4</v>
      </c>
      <c r="AF14" s="2">
        <v>10</v>
      </c>
      <c r="AG14" s="2">
        <f t="shared" si="13"/>
        <v>1631.8359375</v>
      </c>
      <c r="AH14" s="2">
        <v>-10.705142263743255</v>
      </c>
      <c r="AI14" s="2">
        <f t="shared" si="14"/>
        <v>1650.390625</v>
      </c>
      <c r="AJ14" s="2">
        <v>0.48970867471712154</v>
      </c>
      <c r="AK14" s="2">
        <f t="shared" si="9"/>
        <v>1641.11328125</v>
      </c>
      <c r="AL14" s="2">
        <v>-5.1067274549695867</v>
      </c>
      <c r="AM14" s="2">
        <f t="shared" si="10"/>
        <v>54.668243907612954</v>
      </c>
      <c r="AN14" s="2">
        <f t="shared" si="11"/>
        <v>-2.5008087341146954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0.21104985924457148</v>
      </c>
      <c r="H15" s="6" t="s">
        <v>120</v>
      </c>
      <c r="J15" s="10" t="s">
        <v>53</v>
      </c>
      <c r="K15" s="6">
        <f xml:space="preserve"> 1000 * K10 / ($C$60 * $C$61 * $C$62)</f>
        <v>176.11916931504564</v>
      </c>
      <c r="L15" s="6" t="s">
        <v>7</v>
      </c>
      <c r="N15" s="6" t="s">
        <v>140</v>
      </c>
      <c r="O15" s="6">
        <f>O4/O14</f>
        <v>12.440689714874779</v>
      </c>
      <c r="U15" s="2">
        <v>11</v>
      </c>
      <c r="V15" s="2">
        <f t="shared" si="7"/>
        <v>0.97216796875</v>
      </c>
      <c r="W15" s="2">
        <f t="shared" si="0"/>
        <v>1.1659874828107153E-4</v>
      </c>
      <c r="X15" s="2">
        <f t="shared" si="8"/>
        <v>0.97265625</v>
      </c>
      <c r="Y15" s="2">
        <f t="shared" si="1"/>
        <v>-3.8214239561762398E-4</v>
      </c>
      <c r="Z15" s="2">
        <f t="shared" si="3"/>
        <v>0.972412109375</v>
      </c>
      <c r="AA15" s="2">
        <f t="shared" si="2"/>
        <v>-1.3277312241233297E-4</v>
      </c>
      <c r="AB15" s="2">
        <f t="shared" si="4"/>
        <v>-1.5481179878647508E-8</v>
      </c>
      <c r="AC15" s="2">
        <f t="shared" si="5"/>
        <v>5.0738239072280962E-8</v>
      </c>
      <c r="AD15" s="2">
        <f t="shared" si="6"/>
        <v>4.8828125E-4</v>
      </c>
      <c r="AF15" s="2">
        <v>11</v>
      </c>
      <c r="AG15" s="2">
        <f t="shared" si="13"/>
        <v>1641.11328125</v>
      </c>
      <c r="AH15" s="2">
        <v>-5.1067274549695867</v>
      </c>
      <c r="AI15" s="2">
        <f t="shared" si="14"/>
        <v>1650.390625</v>
      </c>
      <c r="AJ15" s="2">
        <v>0.48970867471712154</v>
      </c>
      <c r="AK15" s="2">
        <f t="shared" si="9"/>
        <v>1645.751953125</v>
      </c>
      <c r="AL15" s="2">
        <v>-2.3082609542564114</v>
      </c>
      <c r="AM15" s="2">
        <f t="shared" si="10"/>
        <v>11.787659588335513</v>
      </c>
      <c r="AN15" s="2">
        <f t="shared" si="11"/>
        <v>-1.1303754128101855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1299.5041419934391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118.87711641726888</v>
      </c>
      <c r="L16" s="6" t="s">
        <v>7</v>
      </c>
      <c r="N16" s="6" t="s">
        <v>111</v>
      </c>
      <c r="O16" s="6">
        <f>(O13*$C$12)/(0.3048^2)/($C$5*2.20462/1000)^(2/3)</f>
        <v>2.6085783027040708</v>
      </c>
      <c r="U16" s="2">
        <v>12</v>
      </c>
      <c r="V16" s="2">
        <f t="shared" si="7"/>
        <v>0.97216796875</v>
      </c>
      <c r="W16" s="2">
        <f t="shared" si="0"/>
        <v>1.1659874828107153E-4</v>
      </c>
      <c r="X16" s="2">
        <f t="shared" si="8"/>
        <v>0.972412109375</v>
      </c>
      <c r="Y16" s="2">
        <f t="shared" si="1"/>
        <v>-1.3277312241233297E-4</v>
      </c>
      <c r="Z16" s="2">
        <f t="shared" si="3"/>
        <v>0.9722900390625</v>
      </c>
      <c r="AA16" s="2">
        <f t="shared" si="2"/>
        <v>-8.087511872090225E-6</v>
      </c>
      <c r="AB16" s="2">
        <f t="shared" si="4"/>
        <v>-9.429937609940257E-10</v>
      </c>
      <c r="AC16" s="2">
        <f t="shared" si="5"/>
        <v>1.0738042038042316E-9</v>
      </c>
      <c r="AD16" s="2">
        <f t="shared" si="6"/>
        <v>2.44140625E-4</v>
      </c>
      <c r="AF16" s="2">
        <v>12</v>
      </c>
      <c r="AG16" s="2">
        <f t="shared" si="13"/>
        <v>1645.751953125</v>
      </c>
      <c r="AH16" s="2">
        <v>-2.3082609542564114</v>
      </c>
      <c r="AI16" s="2">
        <f t="shared" si="14"/>
        <v>1650.390625</v>
      </c>
      <c r="AJ16" s="2">
        <v>0.48970867471712154</v>
      </c>
      <c r="AK16" s="2">
        <f t="shared" si="9"/>
        <v>1648.0712890625</v>
      </c>
      <c r="AL16" s="2">
        <v>-0.9092139248082276</v>
      </c>
      <c r="AM16" s="2">
        <f t="shared" si="10"/>
        <v>2.0987030017010566</v>
      </c>
      <c r="AN16" s="2">
        <f t="shared" si="11"/>
        <v>-0.44524994615218971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91.247208573624206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0.97216796875</v>
      </c>
      <c r="W17" s="2">
        <f t="shared" si="0"/>
        <v>1.1659874828107153E-4</v>
      </c>
      <c r="X17" s="2">
        <f t="shared" si="8"/>
        <v>0.9722900390625</v>
      </c>
      <c r="Y17" s="2">
        <f t="shared" si="1"/>
        <v>-8.087511872090225E-6</v>
      </c>
      <c r="Z17" s="2">
        <f t="shared" si="3"/>
        <v>0.97222900390625</v>
      </c>
      <c r="AA17" s="2">
        <f t="shared" si="2"/>
        <v>5.425553698779062E-5</v>
      </c>
      <c r="AB17" s="2">
        <f t="shared" si="4"/>
        <v>6.3261277000937643E-9</v>
      </c>
      <c r="AC17" s="2">
        <f t="shared" si="5"/>
        <v>-4.3879229951538698E-10</v>
      </c>
      <c r="AD17" s="2">
        <f t="shared" si="6"/>
        <v>1.220703125E-4</v>
      </c>
      <c r="AF17" s="2">
        <v>13</v>
      </c>
      <c r="AG17" s="2">
        <f t="shared" si="13"/>
        <v>1648.0712890625</v>
      </c>
      <c r="AH17" s="2">
        <v>-0.9092139248082276</v>
      </c>
      <c r="AI17" s="2">
        <f t="shared" si="14"/>
        <v>1650.390625</v>
      </c>
      <c r="AJ17" s="2">
        <v>0.48970867471712154</v>
      </c>
      <c r="AK17" s="2">
        <f t="shared" si="9"/>
        <v>1649.23095703125</v>
      </c>
      <c r="AL17" s="2">
        <v>-0.20973707637062944</v>
      </c>
      <c r="AM17" s="2">
        <f t="shared" si="10"/>
        <v>0.19069587038474298</v>
      </c>
      <c r="AN17" s="2">
        <f t="shared" si="11"/>
        <v>-0.10271006570850465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1.4531400401454122</v>
      </c>
      <c r="H18" s="6" t="s">
        <v>172</v>
      </c>
      <c r="J18" s="12" t="s">
        <v>54</v>
      </c>
      <c r="K18" s="6">
        <f xml:space="preserve"> $C$78 * (0.2138 * K4 + 0.2138 * K6)</f>
        <v>76.964492580304565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0.97222900390625</v>
      </c>
      <c r="W18" s="2">
        <f t="shared" si="0"/>
        <v>5.425553698779062E-5</v>
      </c>
      <c r="X18" s="2">
        <f t="shared" si="8"/>
        <v>0.9722900390625</v>
      </c>
      <c r="Y18" s="2">
        <f t="shared" si="1"/>
        <v>-8.087511872090225E-6</v>
      </c>
      <c r="Z18" s="2">
        <f t="shared" si="3"/>
        <v>0.972259521484375</v>
      </c>
      <c r="AA18" s="2">
        <f t="shared" si="2"/>
        <v>2.3083992255590324E-5</v>
      </c>
      <c r="AB18" s="2">
        <f t="shared" si="4"/>
        <v>1.2524343956490531E-9</v>
      </c>
      <c r="AC18" s="2">
        <f t="shared" si="5"/>
        <v>-1.8669206142232556E-10</v>
      </c>
      <c r="AD18" s="2">
        <f t="shared" si="6"/>
        <v>6.103515625E-5</v>
      </c>
      <c r="AF18" s="2">
        <v>14</v>
      </c>
      <c r="AG18" s="2">
        <f t="shared" si="13"/>
        <v>1649.23095703125</v>
      </c>
      <c r="AH18" s="2">
        <v>-0.20973707637062944</v>
      </c>
      <c r="AI18" s="2">
        <f t="shared" si="14"/>
        <v>1650.390625</v>
      </c>
      <c r="AJ18" s="2">
        <v>0.48970867471712154</v>
      </c>
      <c r="AK18" s="2">
        <f t="shared" si="9"/>
        <v>1649.810791015625</v>
      </c>
      <c r="AL18" s="2">
        <v>0.13998961580864488</v>
      </c>
      <c r="AM18" s="2">
        <f t="shared" si="10"/>
        <v>-2.9361012741952828E-2</v>
      </c>
      <c r="AN18" s="2">
        <f t="shared" si="11"/>
        <v>6.8554129231810493E-2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4.8187283197236287E-2</v>
      </c>
      <c r="J19" s="12" t="s">
        <v>73</v>
      </c>
      <c r="K19" s="6">
        <f xml:space="preserve"> $C$78 * (0.1149 * K4 + 0.1149 * K6)</f>
        <v>41.362115049003712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0.972259521484375</v>
      </c>
      <c r="W19" s="2">
        <f t="shared" si="0"/>
        <v>2.3083992255590324E-5</v>
      </c>
      <c r="X19" s="2">
        <f t="shared" si="8"/>
        <v>0.9722900390625</v>
      </c>
      <c r="Y19" s="2">
        <f t="shared" si="1"/>
        <v>-8.087511872090225E-6</v>
      </c>
      <c r="Z19" s="2">
        <f t="shared" si="3"/>
        <v>0.9722747802734375</v>
      </c>
      <c r="AA19" s="2">
        <f t="shared" si="2"/>
        <v>7.4982351163654926E-6</v>
      </c>
      <c r="AB19" s="2">
        <f t="shared" si="4"/>
        <v>1.7308920135677646E-10</v>
      </c>
      <c r="AC19" s="2">
        <f t="shared" si="5"/>
        <v>-6.0642065523329754E-11</v>
      </c>
      <c r="AD19" s="2">
        <f t="shared" si="6"/>
        <v>3.0517578125E-5</v>
      </c>
      <c r="AF19" s="2">
        <v>15</v>
      </c>
      <c r="AG19" s="2">
        <f t="shared" si="13"/>
        <v>1649.23095703125</v>
      </c>
      <c r="AH19" s="2">
        <v>-0.20973707637062944</v>
      </c>
      <c r="AI19" s="2">
        <f t="shared" si="14"/>
        <v>1649.810791015625</v>
      </c>
      <c r="AJ19" s="2">
        <v>0.13998961580864488</v>
      </c>
      <c r="AK19" s="2">
        <f t="shared" si="9"/>
        <v>1649.5208740234375</v>
      </c>
      <c r="AL19" s="2">
        <v>-3.4872679182626598E-2</v>
      </c>
      <c r="AM19" s="2">
        <f t="shared" si="10"/>
        <v>7.3140937769750145E-3</v>
      </c>
      <c r="AN19" s="2">
        <f t="shared" si="11"/>
        <v>-4.8818129609940258E-3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91.247208573624206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206.18023430917316</v>
      </c>
      <c r="L20" s="6" t="s">
        <v>7</v>
      </c>
      <c r="N20" s="6" t="s">
        <v>20</v>
      </c>
      <c r="O20" s="6">
        <f xml:space="preserve"> O14 / $C$28</f>
        <v>1299.5041419934391</v>
      </c>
      <c r="P20" s="6" t="s">
        <v>21</v>
      </c>
      <c r="U20" s="2">
        <v>16</v>
      </c>
      <c r="V20" s="2">
        <f t="shared" si="7"/>
        <v>0.9722747802734375</v>
      </c>
      <c r="W20" s="2">
        <f t="shared" si="0"/>
        <v>7.4982351163654926E-6</v>
      </c>
      <c r="X20" s="2">
        <f t="shared" si="8"/>
        <v>0.9722900390625</v>
      </c>
      <c r="Y20" s="2">
        <f t="shared" si="1"/>
        <v>-8.087511872090225E-6</v>
      </c>
      <c r="Z20" s="2">
        <f t="shared" si="3"/>
        <v>0.97228240966796875</v>
      </c>
      <c r="AA20" s="2">
        <f t="shared" si="2"/>
        <v>-2.9463964668074993E-7</v>
      </c>
      <c r="AB20" s="2">
        <f t="shared" si="4"/>
        <v>-2.2092773454151206E-12</v>
      </c>
      <c r="AC20" s="2">
        <f t="shared" si="5"/>
        <v>2.3829016405190344E-12</v>
      </c>
      <c r="AD20" s="2">
        <f t="shared" si="6"/>
        <v>1.52587890625E-5</v>
      </c>
      <c r="AF20" s="2">
        <v>16</v>
      </c>
      <c r="AG20" s="2">
        <f t="shared" si="13"/>
        <v>1649.5208740234375</v>
      </c>
      <c r="AH20" s="2">
        <v>-3.4872679182626598E-2</v>
      </c>
      <c r="AI20" s="2">
        <f t="shared" si="14"/>
        <v>1649.810791015625</v>
      </c>
      <c r="AJ20" s="2">
        <v>0.13998961580864488</v>
      </c>
      <c r="AK20" s="2">
        <f t="shared" si="9"/>
        <v>1649.6658325195312</v>
      </c>
      <c r="AL20" s="2">
        <v>5.2558804055934161E-2</v>
      </c>
      <c r="AM20" s="2">
        <f t="shared" si="10"/>
        <v>-1.8328663120651255E-3</v>
      </c>
      <c r="AN20" s="2">
        <f t="shared" si="11"/>
        <v>7.3576867871520697E-3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42.888895621204362</v>
      </c>
      <c r="L21" s="6" t="s">
        <v>7</v>
      </c>
      <c r="N21" s="6" t="s">
        <v>27</v>
      </c>
      <c r="O21" s="6">
        <f>$C$6*2*PI()/60</f>
        <v>49.276229716690573</v>
      </c>
      <c r="P21" s="6" t="s">
        <v>28</v>
      </c>
      <c r="U21" s="2">
        <v>17</v>
      </c>
      <c r="V21" s="2">
        <f t="shared" si="7"/>
        <v>0.9722747802734375</v>
      </c>
      <c r="W21" s="2">
        <f t="shared" si="0"/>
        <v>7.4982351163654926E-6</v>
      </c>
      <c r="X21" s="2">
        <f t="shared" si="8"/>
        <v>0.97228240966796875</v>
      </c>
      <c r="Y21" s="2">
        <f t="shared" si="1"/>
        <v>-2.9463964668074993E-7</v>
      </c>
      <c r="Z21" s="2">
        <f t="shared" si="3"/>
        <v>0.97227859497070312</v>
      </c>
      <c r="AA21" s="2">
        <f t="shared" si="2"/>
        <v>3.6017974176516532E-6</v>
      </c>
      <c r="AB21" s="2">
        <f t="shared" si="4"/>
        <v>2.7007123879070175E-11</v>
      </c>
      <c r="AC21" s="2">
        <f t="shared" si="5"/>
        <v>-1.0612323185525206E-12</v>
      </c>
      <c r="AD21" s="2">
        <f t="shared" si="6"/>
        <v>7.62939453125E-6</v>
      </c>
      <c r="AF21" s="2">
        <v>17</v>
      </c>
      <c r="AG21" s="2">
        <f t="shared" si="13"/>
        <v>1649.5208740234375</v>
      </c>
      <c r="AH21" s="2">
        <v>-3.4872679182626598E-2</v>
      </c>
      <c r="AI21" s="2">
        <f t="shared" si="14"/>
        <v>1649.6658325195312</v>
      </c>
      <c r="AJ21" s="2">
        <v>5.2558804055934161E-2</v>
      </c>
      <c r="AK21" s="2">
        <f t="shared" si="9"/>
        <v>1649.5933532714844</v>
      </c>
      <c r="AL21" s="2">
        <v>8.8430248204076634E-3</v>
      </c>
      <c r="AM21" s="2">
        <f t="shared" si="10"/>
        <v>-3.0837996756608065E-4</v>
      </c>
      <c r="AN21" s="2">
        <f t="shared" si="11"/>
        <v>4.6477880879756874E-4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268.18851199512244</v>
      </c>
      <c r="L22" s="6" t="s">
        <v>7</v>
      </c>
      <c r="N22" s="6" t="s">
        <v>29</v>
      </c>
      <c r="O22" s="6">
        <f xml:space="preserve"> $C$7 * COS(O19/180*PI()) / (O21 * $C$10)</f>
        <v>8.3227603703793965E-2</v>
      </c>
      <c r="U22" s="2">
        <v>18</v>
      </c>
      <c r="V22" s="2">
        <f t="shared" si="7"/>
        <v>0.97227859497070312</v>
      </c>
      <c r="W22" s="2">
        <f t="shared" si="0"/>
        <v>3.6017974176516532E-6</v>
      </c>
      <c r="X22" s="2">
        <f t="shared" si="8"/>
        <v>0.97228240966796875</v>
      </c>
      <c r="Y22" s="2">
        <f t="shared" si="1"/>
        <v>-2.9463964668074993E-7</v>
      </c>
      <c r="Z22" s="2">
        <f t="shared" si="3"/>
        <v>0.97228050231933594</v>
      </c>
      <c r="AA22" s="2">
        <f t="shared" si="2"/>
        <v>1.6535788062155277E-6</v>
      </c>
      <c r="AB22" s="2">
        <f t="shared" si="4"/>
        <v>5.9558558741105911E-12</v>
      </c>
      <c r="AC22" s="2">
        <f t="shared" si="5"/>
        <v>-4.8720987522211933E-13</v>
      </c>
      <c r="AD22" s="2">
        <f t="shared" si="6"/>
        <v>3.814697265625E-6</v>
      </c>
      <c r="AF22" s="2">
        <v>18</v>
      </c>
      <c r="AG22" s="2">
        <f t="shared" si="13"/>
        <v>1649.5208740234375</v>
      </c>
      <c r="AH22" s="2">
        <v>-3.4872679182626598E-2</v>
      </c>
      <c r="AI22" s="2">
        <f t="shared" si="14"/>
        <v>1649.5933532714844</v>
      </c>
      <c r="AJ22" s="2">
        <v>8.8430248204076634E-3</v>
      </c>
      <c r="AK22" s="2">
        <f t="shared" si="9"/>
        <v>1649.5571136474609</v>
      </c>
      <c r="AL22" s="2">
        <v>-1.3014812276196608E-2</v>
      </c>
      <c r="AM22" s="2">
        <f t="shared" si="10"/>
        <v>4.5386137312991456E-4</v>
      </c>
      <c r="AN22" s="2">
        <f t="shared" si="11"/>
        <v>-1.1509030799135296E-4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19.227458995177894</v>
      </c>
      <c r="L23" s="6" t="s">
        <v>7</v>
      </c>
      <c r="N23" s="6" t="s">
        <v>30</v>
      </c>
      <c r="O23" s="6">
        <f xml:space="preserve"> O20 / ( $C$71 * PI() * $C$10^2 * O21^2 * $C$10^2)</f>
        <v>4.0958366188738056E-2</v>
      </c>
      <c r="U23" s="2">
        <v>19</v>
      </c>
      <c r="V23" s="2">
        <f t="shared" si="7"/>
        <v>0.97228050231933594</v>
      </c>
      <c r="W23" s="2">
        <f t="shared" si="0"/>
        <v>1.6535788062155277E-6</v>
      </c>
      <c r="X23" s="2">
        <f t="shared" si="8"/>
        <v>0.97228240966796875</v>
      </c>
      <c r="Y23" s="2">
        <f t="shared" si="1"/>
        <v>-2.9463964668074993E-7</v>
      </c>
      <c r="Z23" s="2">
        <f t="shared" si="3"/>
        <v>0.97228145599365234</v>
      </c>
      <c r="AA23" s="2">
        <f t="shared" si="2"/>
        <v>6.7946955994990788E-7</v>
      </c>
      <c r="AB23" s="2">
        <f t="shared" si="4"/>
        <v>1.1235564638017586E-12</v>
      </c>
      <c r="AC23" s="2">
        <f t="shared" si="5"/>
        <v>-2.0019867107396548E-13</v>
      </c>
      <c r="AD23" s="2">
        <f t="shared" si="6"/>
        <v>1.9073486328125E-6</v>
      </c>
      <c r="AF23" s="2">
        <v>19</v>
      </c>
      <c r="AG23" s="2">
        <f t="shared" si="13"/>
        <v>1649.5571136474609</v>
      </c>
      <c r="AH23" s="2">
        <v>-1.3014812276196608E-2</v>
      </c>
      <c r="AI23" s="2">
        <f t="shared" si="14"/>
        <v>1649.5933532714844</v>
      </c>
      <c r="AJ23" s="2">
        <v>8.8430248204076634E-3</v>
      </c>
      <c r="AK23" s="2">
        <f t="shared" si="9"/>
        <v>1649.5752334594727</v>
      </c>
      <c r="AL23" s="2">
        <v>-2.0858900020357396E-3</v>
      </c>
      <c r="AM23" s="2">
        <f t="shared" si="10"/>
        <v>2.7147466805290511E-5</v>
      </c>
      <c r="AN23" s="2">
        <f t="shared" si="11"/>
        <v>-1.8445577060642235E-5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7.3587660421169536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0.97228145599365234</v>
      </c>
      <c r="W24" s="2">
        <f t="shared" si="0"/>
        <v>6.7946955994990788E-7</v>
      </c>
      <c r="X24" s="2">
        <f t="shared" si="8"/>
        <v>0.97228240966796875</v>
      </c>
      <c r="Y24" s="2">
        <f t="shared" si="1"/>
        <v>-2.9463964668074993E-7</v>
      </c>
      <c r="Z24" s="2">
        <f t="shared" si="3"/>
        <v>0.97228193283081055</v>
      </c>
      <c r="AA24" s="2">
        <f t="shared" si="2"/>
        <v>1.9241495163857536E-7</v>
      </c>
      <c r="AB24" s="2">
        <f t="shared" si="4"/>
        <v>1.307401025176456E-13</v>
      </c>
      <c r="AC24" s="2">
        <f t="shared" si="5"/>
        <v>-5.6693073366883428E-14</v>
      </c>
      <c r="AD24" s="2">
        <f t="shared" si="6"/>
        <v>9.5367431640625E-7</v>
      </c>
      <c r="AF24" s="2">
        <v>20</v>
      </c>
      <c r="AG24" s="2">
        <f t="shared" si="13"/>
        <v>1649.5752334594727</v>
      </c>
      <c r="AH24" s="2">
        <v>-2.0858900020357396E-3</v>
      </c>
      <c r="AI24" s="2">
        <f t="shared" si="14"/>
        <v>1649.5933532714844</v>
      </c>
      <c r="AJ24" s="2">
        <v>8.8430248204076634E-3</v>
      </c>
      <c r="AK24" s="2">
        <f t="shared" si="9"/>
        <v>1649.5842933654785</v>
      </c>
      <c r="AL24" s="2">
        <v>3.378568340849597E-3</v>
      </c>
      <c r="AM24" s="2">
        <f t="shared" si="10"/>
        <v>-7.0473219233726516E-6</v>
      </c>
      <c r="AN24" s="2">
        <f t="shared" si="11"/>
        <v>2.9876763695576525E-5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14.220770088483702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2174.6004642566927</v>
      </c>
      <c r="P25" s="6" t="s">
        <v>19</v>
      </c>
      <c r="U25" s="2">
        <v>21</v>
      </c>
      <c r="V25" s="2">
        <f t="shared" si="7"/>
        <v>0.97228193283081055</v>
      </c>
      <c r="W25" s="2">
        <f t="shared" si="0"/>
        <v>1.9241495163857536E-7</v>
      </c>
      <c r="X25" s="2">
        <f t="shared" si="8"/>
        <v>0.97228240966796875</v>
      </c>
      <c r="Y25" s="2">
        <f t="shared" si="1"/>
        <v>-2.9463964668074993E-7</v>
      </c>
      <c r="Z25" s="2">
        <f t="shared" si="3"/>
        <v>0.97228217124938965</v>
      </c>
      <c r="AA25" s="2">
        <f t="shared" si="2"/>
        <v>-5.1112348797843765E-8</v>
      </c>
      <c r="AB25" s="2">
        <f t="shared" si="4"/>
        <v>-9.8347801220711038E-15</v>
      </c>
      <c r="AC25" s="2">
        <f t="shared" si="5"/>
        <v>1.5059724390819941E-14</v>
      </c>
      <c r="AD25" s="2">
        <f t="shared" si="6"/>
        <v>4.76837158203125E-7</v>
      </c>
      <c r="AF25" s="2">
        <v>21</v>
      </c>
      <c r="AG25" s="2">
        <f t="shared" si="13"/>
        <v>1649.5752334594727</v>
      </c>
      <c r="AH25" s="2">
        <v>-2.0858900020357396E-3</v>
      </c>
      <c r="AI25" s="2">
        <f t="shared" si="14"/>
        <v>1649.5842933654785</v>
      </c>
      <c r="AJ25" s="2">
        <v>3.378568340849597E-3</v>
      </c>
      <c r="AK25" s="2">
        <f t="shared" si="9"/>
        <v>1649.5797634124756</v>
      </c>
      <c r="AL25" s="2">
        <v>6.4643663927199668E-4</v>
      </c>
      <c r="AM25" s="2">
        <f t="shared" si="10"/>
        <v>-1.3483957228070418E-6</v>
      </c>
      <c r="AN25" s="2">
        <f t="shared" si="11"/>
        <v>2.1840303638095792E-6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2021.0342917453738</v>
      </c>
      <c r="H26" s="6" t="s">
        <v>21</v>
      </c>
      <c r="J26" s="14" t="s">
        <v>65</v>
      </c>
      <c r="K26" s="6">
        <f xml:space="preserve"> $C$80 * (0.0268 * $C$5)</f>
        <v>35.366843158408521</v>
      </c>
      <c r="L26" s="6" t="s">
        <v>7</v>
      </c>
      <c r="N26" s="6" t="s">
        <v>32</v>
      </c>
      <c r="O26" s="17">
        <f>Z34</f>
        <v>0.97228212142363191</v>
      </c>
      <c r="U26" s="2">
        <v>22</v>
      </c>
      <c r="V26" s="2">
        <f t="shared" si="7"/>
        <v>0.97228193283081055</v>
      </c>
      <c r="W26" s="2">
        <f t="shared" si="0"/>
        <v>1.9241495163857536E-7</v>
      </c>
      <c r="X26" s="2">
        <f t="shared" si="8"/>
        <v>0.97228217124938965</v>
      </c>
      <c r="Y26" s="2">
        <f t="shared" si="1"/>
        <v>-5.1112348797843765E-8</v>
      </c>
      <c r="Z26" s="2">
        <f t="shared" si="3"/>
        <v>0.9722820520401001</v>
      </c>
      <c r="AA26" s="2">
        <f t="shared" si="2"/>
        <v>7.0651301142810041E-8</v>
      </c>
      <c r="AB26" s="2">
        <f t="shared" si="4"/>
        <v>1.3594366692596218E-14</v>
      </c>
      <c r="AC26" s="2">
        <f t="shared" si="5"/>
        <v>-3.611153947032805E-15</v>
      </c>
      <c r="AD26" s="2">
        <f t="shared" si="6"/>
        <v>2.384185791015625E-7</v>
      </c>
      <c r="AF26" s="2">
        <v>22</v>
      </c>
      <c r="AG26" s="2">
        <f t="shared" si="13"/>
        <v>1649.5752334594727</v>
      </c>
      <c r="AH26" s="2">
        <v>-2.0858900020357396E-3</v>
      </c>
      <c r="AI26" s="2">
        <f t="shared" si="14"/>
        <v>1649.5797634124756</v>
      </c>
      <c r="AJ26" s="2">
        <v>6.4643663927199668E-4</v>
      </c>
      <c r="AK26" s="2">
        <f t="shared" si="9"/>
        <v>1649.5774984359741</v>
      </c>
      <c r="AL26" s="2">
        <v>-7.1982385975388752E-4</v>
      </c>
      <c r="AM26" s="2">
        <f t="shared" si="10"/>
        <v>1.5014733922874103E-6</v>
      </c>
      <c r="AN26" s="2">
        <f t="shared" si="11"/>
        <v>-4.653205167671001E-7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22.41030215442894</v>
      </c>
      <c r="H27" t="s">
        <v>97</v>
      </c>
      <c r="J27" s="14" t="s">
        <v>66</v>
      </c>
      <c r="K27" s="6">
        <f xml:space="preserve"> $C$80 * (11.5 * ($C$5*2.20462/1000)^0.4 * 0.453592)</f>
        <v>6.9941560365883007</v>
      </c>
      <c r="L27" s="6" t="s">
        <v>7</v>
      </c>
      <c r="N27" s="6" t="s">
        <v>33</v>
      </c>
      <c r="O27" s="6">
        <f xml:space="preserve"> O21 * $C$10 * O26 - $C$7 * SIN(O19/180*PI())</f>
        <v>1.4736734867256303</v>
      </c>
      <c r="P27" s="6" t="s">
        <v>10</v>
      </c>
      <c r="U27" s="2">
        <v>23</v>
      </c>
      <c r="V27" s="2">
        <f t="shared" si="7"/>
        <v>0.9722820520401001</v>
      </c>
      <c r="W27" s="2">
        <f t="shared" si="0"/>
        <v>7.0651301142810041E-8</v>
      </c>
      <c r="X27" s="2">
        <f t="shared" si="8"/>
        <v>0.97228217124938965</v>
      </c>
      <c r="Y27" s="2">
        <f t="shared" si="1"/>
        <v>-5.1112348797843765E-8</v>
      </c>
      <c r="Z27" s="2">
        <f t="shared" si="3"/>
        <v>0.97228211164474487</v>
      </c>
      <c r="AA27" s="2">
        <f t="shared" si="2"/>
        <v>9.7694761169719868E-9</v>
      </c>
      <c r="AB27" s="2">
        <f t="shared" si="4"/>
        <v>6.9022619914767836E-16</v>
      </c>
      <c r="AC27" s="2">
        <f t="shared" si="5"/>
        <v>-4.9934087086287655E-16</v>
      </c>
      <c r="AD27" s="2">
        <f t="shared" si="6"/>
        <v>1.1920928955078125E-7</v>
      </c>
      <c r="AF27" s="2">
        <v>23</v>
      </c>
      <c r="AG27" s="2">
        <f t="shared" si="13"/>
        <v>1649.5774984359741</v>
      </c>
      <c r="AH27" s="2">
        <v>-7.1982385975388752E-4</v>
      </c>
      <c r="AI27" s="2">
        <f t="shared" si="14"/>
        <v>1649.5797634124756</v>
      </c>
      <c r="AJ27" s="2">
        <v>6.4643663927199668E-4</v>
      </c>
      <c r="AK27" s="2">
        <f t="shared" si="9"/>
        <v>1649.5786309242249</v>
      </c>
      <c r="AL27" s="2">
        <v>-3.6596358995666378E-5</v>
      </c>
      <c r="AM27" s="2">
        <f t="shared" si="10"/>
        <v>2.6342932385199474E-8</v>
      </c>
      <c r="AN27" s="2">
        <f t="shared" si="11"/>
        <v>-2.3657227318750076E-8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9.2009742725727559</v>
      </c>
      <c r="H28" s="6" t="s">
        <v>172</v>
      </c>
      <c r="J28" s="14" t="s">
        <v>67</v>
      </c>
      <c r="K28" s="6">
        <f xml:space="preserve"> $C$80 * (8 * ($C$5/1000))</f>
        <v>10.557266614450304</v>
      </c>
      <c r="L28" s="6" t="s">
        <v>7</v>
      </c>
      <c r="N28" s="6" t="s">
        <v>34</v>
      </c>
      <c r="O28" s="6">
        <f xml:space="preserve"> 1/$C$31 - O25 * SQRT( (2*$C$71*PI()*$C$10^2) / O20^3 )</f>
        <v>1.166808413731139</v>
      </c>
      <c r="U28" s="2">
        <v>24</v>
      </c>
      <c r="V28" s="2">
        <f t="shared" si="7"/>
        <v>0.97228211164474487</v>
      </c>
      <c r="W28" s="2">
        <f t="shared" si="0"/>
        <v>9.7694761169719868E-9</v>
      </c>
      <c r="X28" s="2">
        <f t="shared" si="8"/>
        <v>0.97228217124938965</v>
      </c>
      <c r="Y28" s="2">
        <f t="shared" si="1"/>
        <v>-5.1112348797843765E-8</v>
      </c>
      <c r="Z28" s="2">
        <f t="shared" si="3"/>
        <v>0.97228214144706726</v>
      </c>
      <c r="AA28" s="2">
        <f t="shared" si="2"/>
        <v>-2.0671436340435889E-8</v>
      </c>
      <c r="AB28" s="2">
        <f t="shared" si="4"/>
        <v>-2.0194910363139523E-16</v>
      </c>
      <c r="AC28" s="2">
        <f t="shared" si="5"/>
        <v>1.0565656643847823E-15</v>
      </c>
      <c r="AD28" s="2">
        <f t="shared" si="6"/>
        <v>5.9604644775390625E-8</v>
      </c>
      <c r="AF28" s="2">
        <v>24</v>
      </c>
      <c r="AG28" s="2">
        <f t="shared" si="13"/>
        <v>1649.5786309242249</v>
      </c>
      <c r="AH28" s="2">
        <v>-3.6596358995666378E-5</v>
      </c>
      <c r="AI28" s="2">
        <f t="shared" si="14"/>
        <v>1649.5797634124756</v>
      </c>
      <c r="AJ28" s="2">
        <v>6.4643663927199668E-4</v>
      </c>
      <c r="AK28" s="2">
        <f t="shared" si="9"/>
        <v>1649.5791971683502</v>
      </c>
      <c r="AL28" s="2">
        <v>3.0482290708278015E-4</v>
      </c>
      <c r="AM28" s="2">
        <f t="shared" si="10"/>
        <v>-1.1155408537704078E-8</v>
      </c>
      <c r="AN28" s="2">
        <f t="shared" si="11"/>
        <v>1.9704869562771252E-7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179.28241723543152</v>
      </c>
      <c r="H29" s="22" t="s">
        <v>97</v>
      </c>
      <c r="J29" s="14" t="s">
        <v>68</v>
      </c>
      <c r="K29" s="6">
        <f xml:space="preserve"> $C$80 * (13 * ($C$5*2.20462/1000)^1.3 * 0.453592)</f>
        <v>25.270600465818713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0.97228211164474487</v>
      </c>
      <c r="W29" s="2">
        <f t="shared" si="0"/>
        <v>9.7694761169719868E-9</v>
      </c>
      <c r="X29" s="2">
        <f t="shared" si="8"/>
        <v>0.97228214144706726</v>
      </c>
      <c r="Y29" s="2">
        <f t="shared" si="1"/>
        <v>-2.0671436340435889E-8</v>
      </c>
      <c r="Z29" s="2">
        <f t="shared" si="3"/>
        <v>0.97228212654590607</v>
      </c>
      <c r="AA29" s="2">
        <f t="shared" si="2"/>
        <v>-5.4509801117319512E-9</v>
      </c>
      <c r="AB29" s="2">
        <f t="shared" si="4"/>
        <v>-5.3253220015654589E-17</v>
      </c>
      <c r="AC29" s="2">
        <f t="shared" si="5"/>
        <v>1.1267958837264914E-16</v>
      </c>
      <c r="AD29" s="2">
        <f t="shared" si="6"/>
        <v>2.9802322387695312E-8</v>
      </c>
      <c r="AF29" s="2">
        <v>25</v>
      </c>
      <c r="AG29" s="2">
        <f t="shared" si="13"/>
        <v>1649.5786309242249</v>
      </c>
      <c r="AH29" s="2">
        <v>-3.6596358995666378E-5</v>
      </c>
      <c r="AI29" s="2">
        <f t="shared" si="14"/>
        <v>1649.5791971683502</v>
      </c>
      <c r="AJ29" s="2">
        <v>3.0482290708278015E-4</v>
      </c>
      <c r="AK29" s="2">
        <f t="shared" si="9"/>
        <v>1649.5789140462875</v>
      </c>
      <c r="AL29" s="2">
        <v>1.3401603791862726E-4</v>
      </c>
      <c r="AM29" s="2">
        <f t="shared" si="10"/>
        <v>-4.9044990348469212E-9</v>
      </c>
      <c r="AN29" s="2">
        <f t="shared" si="11"/>
        <v>4.0851158274072059E-8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-3.4881803071584727E-3</v>
      </c>
      <c r="L30" s="9" t="s">
        <v>7</v>
      </c>
      <c r="N30" s="6" t="s">
        <v>36</v>
      </c>
      <c r="O30" s="6">
        <f xml:space="preserve"> 1/$C$77 * LN( EXP($C$77 * O28) + EXP($C$77 * O29) )</f>
        <v>1.1825575353905533</v>
      </c>
      <c r="U30" s="2">
        <v>26</v>
      </c>
      <c r="V30" s="2">
        <f>IF(AB29&gt;0, Z29, V29)</f>
        <v>0.97228211164474487</v>
      </c>
      <c r="W30" s="2">
        <f t="shared" si="0"/>
        <v>9.7694761169719868E-9</v>
      </c>
      <c r="X30" s="2">
        <f t="shared" si="8"/>
        <v>0.97228212654590607</v>
      </c>
      <c r="Y30" s="2">
        <f t="shared" si="1"/>
        <v>-5.4509801117319512E-9</v>
      </c>
      <c r="Z30" s="2">
        <f t="shared" si="3"/>
        <v>0.97228211909532547</v>
      </c>
      <c r="AA30" s="2">
        <f t="shared" si="2"/>
        <v>2.1592480026200178E-9</v>
      </c>
      <c r="AB30" s="2">
        <f t="shared" si="4"/>
        <v>2.109472179221573E-17</v>
      </c>
      <c r="AC30" s="2">
        <f t="shared" si="5"/>
        <v>-1.1770017918578657E-17</v>
      </c>
      <c r="AD30" s="2">
        <f t="shared" si="6"/>
        <v>1.4901161193847656E-8</v>
      </c>
      <c r="AF30" s="2">
        <v>26</v>
      </c>
      <c r="AG30" s="2">
        <f t="shared" si="13"/>
        <v>1649.5786309242249</v>
      </c>
      <c r="AH30" s="2">
        <v>-3.6596358995666378E-5</v>
      </c>
      <c r="AI30" s="2">
        <f t="shared" si="14"/>
        <v>1649.5789140462875</v>
      </c>
      <c r="AJ30" s="2">
        <v>1.3401603791862726E-4</v>
      </c>
      <c r="AK30" s="2">
        <f t="shared" si="9"/>
        <v>1649.5787724852562</v>
      </c>
      <c r="AL30" s="2">
        <v>4.8709840029914631E-5</v>
      </c>
      <c r="AM30" s="2">
        <f t="shared" si="10"/>
        <v>-1.7826027923562366E-9</v>
      </c>
      <c r="AN30" s="2">
        <f t="shared" si="11"/>
        <v>6.5278997684593072E-9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0.97228211909532547</v>
      </c>
      <c r="W31" s="2">
        <f t="shared" si="0"/>
        <v>2.1592480026200178E-9</v>
      </c>
      <c r="X31" s="2">
        <f t="shared" si="8"/>
        <v>0.97228212654590607</v>
      </c>
      <c r="Y31" s="2">
        <f t="shared" si="1"/>
        <v>-5.4509801117319512E-9</v>
      </c>
      <c r="Z31" s="2">
        <f t="shared" si="3"/>
        <v>0.97228212282061577</v>
      </c>
      <c r="AA31" s="2">
        <f t="shared" si="2"/>
        <v>-1.6458659990448155E-9</v>
      </c>
      <c r="AB31" s="2">
        <f t="shared" si="4"/>
        <v>-3.5538328710177179E-18</v>
      </c>
      <c r="AC31" s="2">
        <f t="shared" si="5"/>
        <v>8.9715828273691276E-18</v>
      </c>
      <c r="AD31" s="2">
        <f t="shared" si="6"/>
        <v>7.4505805969238281E-9</v>
      </c>
      <c r="AF31" s="2">
        <v>27</v>
      </c>
      <c r="AG31" s="2">
        <f t="shared" si="13"/>
        <v>1649.5786309242249</v>
      </c>
      <c r="AH31" s="2">
        <v>-3.6596358995666378E-5</v>
      </c>
      <c r="AI31" s="2">
        <f t="shared" si="14"/>
        <v>1649.5787724852562</v>
      </c>
      <c r="AJ31" s="2">
        <v>4.8709840029914631E-5</v>
      </c>
      <c r="AK31" s="2">
        <f t="shared" si="9"/>
        <v>1649.5787017047405</v>
      </c>
      <c r="AL31" s="2">
        <v>5.9595035963866394E-6</v>
      </c>
      <c r="AM31" s="2">
        <f t="shared" si="10"/>
        <v>-2.1809613304933032E-10</v>
      </c>
      <c r="AN31" s="2">
        <f t="shared" si="11"/>
        <v>2.9028646683769413E-10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0.97228211909532547</v>
      </c>
      <c r="W32" s="2">
        <f t="shared" si="0"/>
        <v>2.1592480026200178E-9</v>
      </c>
      <c r="X32" s="2">
        <f t="shared" si="8"/>
        <v>0.97228212282061577</v>
      </c>
      <c r="Y32" s="2">
        <f t="shared" si="1"/>
        <v>-1.6458659990448155E-9</v>
      </c>
      <c r="Z32" s="2">
        <f t="shared" si="3"/>
        <v>0.97228212095797062</v>
      </c>
      <c r="AA32" s="2">
        <f t="shared" si="2"/>
        <v>2.5669100178760118E-10</v>
      </c>
      <c r="AB32" s="2">
        <f t="shared" si="4"/>
        <v>5.5425953290040927E-19</v>
      </c>
      <c r="AC32" s="2">
        <f t="shared" si="5"/>
        <v>-4.2247899210296473E-19</v>
      </c>
      <c r="AD32" s="2">
        <f t="shared" si="6"/>
        <v>3.7252902984619141E-9</v>
      </c>
      <c r="AF32" s="2">
        <v>28</v>
      </c>
      <c r="AG32" s="2">
        <f t="shared" si="13"/>
        <v>1649.5786309242249</v>
      </c>
      <c r="AH32" s="2">
        <v>-3.6596358995666378E-5</v>
      </c>
      <c r="AI32" s="2">
        <f t="shared" si="14"/>
        <v>1649.5787017047405</v>
      </c>
      <c r="AJ32" s="2">
        <v>5.9595035963866394E-6</v>
      </c>
      <c r="AK32" s="2">
        <f t="shared" si="9"/>
        <v>1649.5786663144827</v>
      </c>
      <c r="AL32" s="2">
        <v>-1.5415664393003681E-5</v>
      </c>
      <c r="AM32" s="2">
        <f t="shared" si="10"/>
        <v>5.6415718828307408E-10</v>
      </c>
      <c r="AN32" s="2">
        <f t="shared" si="11"/>
        <v>-9.1869707390794896E-11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91.247208573624206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0.97228212095797062</v>
      </c>
      <c r="W33" s="2">
        <f t="shared" si="0"/>
        <v>2.5669100178760118E-10</v>
      </c>
      <c r="X33" s="2">
        <f t="shared" si="8"/>
        <v>0.97228212282061577</v>
      </c>
      <c r="Y33" s="2">
        <f t="shared" si="1"/>
        <v>-1.6458659990448155E-9</v>
      </c>
      <c r="Z33" s="2">
        <f t="shared" si="3"/>
        <v>0.97228212188929319</v>
      </c>
      <c r="AA33" s="2">
        <f t="shared" si="2"/>
        <v>-6.9458749862860714E-10</v>
      </c>
      <c r="AB33" s="2">
        <f t="shared" si="4"/>
        <v>-1.7829436085212123E-19</v>
      </c>
      <c r="AC33" s="2">
        <f t="shared" si="5"/>
        <v>1.1431979473544119E-18</v>
      </c>
      <c r="AD33" s="2">
        <f t="shared" si="6"/>
        <v>1.862645149230957E-9</v>
      </c>
      <c r="AF33" s="2">
        <v>29</v>
      </c>
      <c r="AG33" s="2">
        <f t="shared" si="13"/>
        <v>1649.5786663144827</v>
      </c>
      <c r="AH33" s="2">
        <v>-1.5415664393003681E-5</v>
      </c>
      <c r="AI33" s="2">
        <f t="shared" si="14"/>
        <v>1649.5787017047405</v>
      </c>
      <c r="AJ33" s="2">
        <v>5.9595035963866394E-6</v>
      </c>
      <c r="AK33" s="2">
        <f t="shared" si="9"/>
        <v>1649.5786840096116</v>
      </c>
      <c r="AL33" s="2">
        <v>-4.7280805119953584E-6</v>
      </c>
      <c r="AM33" s="2">
        <f t="shared" si="10"/>
        <v>7.2886502396021459E-11</v>
      </c>
      <c r="AN33" s="2">
        <f t="shared" si="11"/>
        <v>-2.8177012815241922E-11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36.369999999999997</v>
      </c>
      <c r="L34" s="6" t="s">
        <v>59</v>
      </c>
      <c r="U34" s="2">
        <v>30</v>
      </c>
      <c r="V34" s="2">
        <f t="shared" si="7"/>
        <v>0.97228212095797062</v>
      </c>
      <c r="W34" s="2">
        <f t="shared" si="0"/>
        <v>2.5669100178760118E-10</v>
      </c>
      <c r="X34" s="2">
        <f t="shared" si="8"/>
        <v>0.97228212188929319</v>
      </c>
      <c r="Y34" s="2">
        <f t="shared" si="1"/>
        <v>-6.9458749862860714E-10</v>
      </c>
      <c r="Z34" s="2">
        <f t="shared" si="3"/>
        <v>0.97228212142363191</v>
      </c>
      <c r="AA34" s="2">
        <f t="shared" si="2"/>
        <v>-2.1894830393165421E-10</v>
      </c>
      <c r="AB34" s="2">
        <f t="shared" si="4"/>
        <v>-5.6202059475912497E-20</v>
      </c>
      <c r="AC34" s="2">
        <f t="shared" si="5"/>
        <v>1.5207875475686373E-19</v>
      </c>
      <c r="AD34" s="2">
        <f t="shared" si="6"/>
        <v>9.3132257461547852E-10</v>
      </c>
      <c r="AF34" s="2">
        <v>30</v>
      </c>
      <c r="AG34" s="2">
        <f t="shared" si="13"/>
        <v>1649.5786840096116</v>
      </c>
      <c r="AH34" s="2">
        <v>-4.7280805119953584E-6</v>
      </c>
      <c r="AI34" s="2">
        <f t="shared" si="14"/>
        <v>1649.5787017047405</v>
      </c>
      <c r="AJ34" s="2">
        <v>5.9595035963866394E-6</v>
      </c>
      <c r="AK34" s="2">
        <f t="shared" si="9"/>
        <v>1649.5786928571761</v>
      </c>
      <c r="AL34" s="2">
        <v>6.157115421956405E-7</v>
      </c>
      <c r="AM34" s="2">
        <f t="shared" si="10"/>
        <v>-2.9111337436658157E-12</v>
      </c>
      <c r="AN34" s="2">
        <f t="shared" si="11"/>
        <v>3.6693351500516837E-12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10.68</v>
      </c>
      <c r="L35" s="6" t="s">
        <v>59</v>
      </c>
      <c r="AF35" s="2">
        <v>31</v>
      </c>
      <c r="AG35" s="2">
        <f t="shared" si="13"/>
        <v>1649.5786840096116</v>
      </c>
      <c r="AH35" s="2">
        <v>-4.7280805119953584E-6</v>
      </c>
      <c r="AI35" s="2">
        <f t="shared" si="14"/>
        <v>1649.5786928571761</v>
      </c>
      <c r="AJ35" s="2">
        <v>6.157115421956405E-7</v>
      </c>
      <c r="AK35" s="2">
        <f t="shared" si="9"/>
        <v>1649.5786884333938</v>
      </c>
      <c r="AL35" s="2">
        <v>-2.0561842575261835E-6</v>
      </c>
      <c r="AM35" s="2">
        <f t="shared" si="10"/>
        <v>9.7218047170811935E-12</v>
      </c>
      <c r="AN35" s="2">
        <f t="shared" si="11"/>
        <v>-1.2660163802398445E-12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14.38</v>
      </c>
      <c r="L36" s="6" t="s">
        <v>59</v>
      </c>
      <c r="AF36" s="2">
        <v>32</v>
      </c>
      <c r="AG36" s="2">
        <f t="shared" si="13"/>
        <v>1649.5786884333938</v>
      </c>
      <c r="AH36" s="2">
        <v>-2.0561842575261835E-6</v>
      </c>
      <c r="AI36" s="2">
        <f t="shared" si="14"/>
        <v>1649.5786928571761</v>
      </c>
      <c r="AJ36" s="2">
        <v>6.157115421956405E-7</v>
      </c>
      <c r="AK36" s="2">
        <f t="shared" si="9"/>
        <v>1649.578690645285</v>
      </c>
      <c r="AL36" s="2">
        <v>-7.2023658503894694E-7</v>
      </c>
      <c r="AM36" s="2">
        <f t="shared" si="10"/>
        <v>1.480939127851501E-12</v>
      </c>
      <c r="AN36" s="2">
        <f t="shared" si="11"/>
        <v>-4.434579785200516E-13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33.83</v>
      </c>
      <c r="L37" s="6" t="s">
        <v>59</v>
      </c>
      <c r="AF37" s="2">
        <v>33</v>
      </c>
      <c r="AG37" s="2">
        <f t="shared" si="13"/>
        <v>1649.578690645285</v>
      </c>
      <c r="AH37" s="2">
        <v>-7.2023658503894694E-7</v>
      </c>
      <c r="AI37" s="2">
        <f t="shared" si="14"/>
        <v>1649.5786928571761</v>
      </c>
      <c r="AJ37" s="2">
        <v>6.157115421956405E-7</v>
      </c>
      <c r="AK37" s="2">
        <f t="shared" si="9"/>
        <v>1649.5786917512305</v>
      </c>
      <c r="AL37" s="2">
        <v>-5.2262294047977775E-8</v>
      </c>
      <c r="AM37" s="2">
        <f t="shared" si="10"/>
        <v>3.7641216191416796E-14</v>
      </c>
      <c r="AN37" s="2">
        <f t="shared" si="11"/>
        <v>-3.217849766696244E-14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4.74</v>
      </c>
      <c r="L38" s="6" t="s">
        <v>59</v>
      </c>
      <c r="AF38" s="2">
        <v>34</v>
      </c>
      <c r="AG38" s="2">
        <f t="shared" si="13"/>
        <v>1649.5786917512305</v>
      </c>
      <c r="AH38" s="2">
        <v>-5.2262294047977775E-8</v>
      </c>
      <c r="AI38" s="2">
        <f t="shared" si="14"/>
        <v>1649.5786928571761</v>
      </c>
      <c r="AJ38" s="2">
        <v>6.157115421956405E-7</v>
      </c>
      <c r="AK38" s="2">
        <f t="shared" si="9"/>
        <v>1649.5786923042033</v>
      </c>
      <c r="AL38" s="2">
        <v>2.8172485144750681E-7</v>
      </c>
      <c r="AM38" s="2">
        <f t="shared" si="10"/>
        <v>-1.4723587026972458E-14</v>
      </c>
      <c r="AN38" s="2">
        <f t="shared" si="11"/>
        <v>1.7346124275958214E-13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99.999999999999986</v>
      </c>
      <c r="L39" s="9" t="s">
        <v>59</v>
      </c>
      <c r="AF39" s="2">
        <v>35</v>
      </c>
      <c r="AG39" s="2">
        <f t="shared" si="13"/>
        <v>1649.5786917512305</v>
      </c>
      <c r="AH39" s="2">
        <v>-5.2262294047977775E-8</v>
      </c>
      <c r="AI39" s="2">
        <f t="shared" si="14"/>
        <v>1649.5786923042033</v>
      </c>
      <c r="AJ39" s="2">
        <v>2.8172485144750681E-7</v>
      </c>
      <c r="AK39" s="2">
        <f t="shared" si="9"/>
        <v>1649.5786920277169</v>
      </c>
      <c r="AL39" s="2">
        <v>1.1473116501292679E-7</v>
      </c>
      <c r="AM39" s="2">
        <f t="shared" si="10"/>
        <v>-5.99611388237264E-15</v>
      </c>
      <c r="AN39" s="2">
        <f t="shared" si="11"/>
        <v>3.2322620419666192E-14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1649.5786917512305</v>
      </c>
      <c r="AH40" s="2">
        <v>-5.2262294047977775E-8</v>
      </c>
      <c r="AI40" s="2">
        <f t="shared" si="14"/>
        <v>1649.5786920277169</v>
      </c>
      <c r="AJ40" s="2">
        <v>1.1473116501292679E-7</v>
      </c>
      <c r="AK40" s="2">
        <f t="shared" si="9"/>
        <v>1649.5786918894737</v>
      </c>
      <c r="AL40" s="2">
        <v>3.1234549169312231E-8</v>
      </c>
      <c r="AM40" s="2">
        <f t="shared" si="10"/>
        <v>-1.6323891931426158E-15</v>
      </c>
      <c r="AN40" s="2">
        <f t="shared" si="11"/>
        <v>3.5835762148487371E-15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1649.5786917512305</v>
      </c>
      <c r="AH41" s="2">
        <v>-5.2262294047977775E-8</v>
      </c>
      <c r="AI41" s="2">
        <f t="shared" si="14"/>
        <v>1649.5786918894737</v>
      </c>
      <c r="AJ41" s="2">
        <v>3.1234549169312231E-8</v>
      </c>
      <c r="AK41" s="2">
        <f t="shared" si="9"/>
        <v>1649.5786918203521</v>
      </c>
      <c r="AL41" s="2">
        <v>-1.0513986126170494E-8</v>
      </c>
      <c r="AM41" s="2">
        <f t="shared" si="10"/>
        <v>5.494850345422811E-16</v>
      </c>
      <c r="AN41" s="2">
        <f t="shared" si="11"/>
        <v>-3.2839961662333892E-16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1649.5786918203521</v>
      </c>
      <c r="AH42" s="2">
        <v>-1.0513986126170494E-8</v>
      </c>
      <c r="AI42" s="2">
        <f t="shared" si="14"/>
        <v>1649.5786918894737</v>
      </c>
      <c r="AJ42" s="2">
        <v>3.1234549169312231E-8</v>
      </c>
      <c r="AK42" s="2">
        <f t="shared" si="9"/>
        <v>1649.5786918549129</v>
      </c>
      <c r="AL42" s="2">
        <v>1.0360281521570869E-8</v>
      </c>
      <c r="AM42" s="2">
        <f t="shared" si="10"/>
        <v>-1.0892785618101665E-16</v>
      </c>
      <c r="AN42" s="2">
        <f t="shared" si="11"/>
        <v>3.2359872259342224E-16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176.12</v>
      </c>
      <c r="L43" s="6" t="s">
        <v>7</v>
      </c>
      <c r="AF43" s="2">
        <v>39</v>
      </c>
      <c r="AG43" s="2">
        <f t="shared" si="13"/>
        <v>1649.5786918203521</v>
      </c>
      <c r="AH43" s="2">
        <v>-1.0513986126170494E-8</v>
      </c>
      <c r="AI43" s="2">
        <f t="shared" si="14"/>
        <v>1649.5786918549129</v>
      </c>
      <c r="AJ43" s="2">
        <v>1.0360281521570869E-8</v>
      </c>
      <c r="AK43" s="2">
        <f t="shared" si="9"/>
        <v>1649.5786918376325</v>
      </c>
      <c r="AL43" s="2">
        <v>-7.7079675975255668E-11</v>
      </c>
      <c r="AM43" s="2">
        <f t="shared" si="10"/>
        <v>8.1041464381355521E-19</v>
      </c>
      <c r="AN43" s="2">
        <f t="shared" si="11"/>
        <v>-7.9856714269511133E-19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237.2</v>
      </c>
      <c r="L44" s="6" t="s">
        <v>7</v>
      </c>
      <c r="AF44" s="2">
        <v>40</v>
      </c>
      <c r="AG44" s="2">
        <f t="shared" si="13"/>
        <v>1649.5786918376325</v>
      </c>
      <c r="AH44" s="2">
        <v>-7.7079675975255668E-11</v>
      </c>
      <c r="AI44" s="2">
        <f t="shared" si="14"/>
        <v>1649.5786918549129</v>
      </c>
      <c r="AJ44" s="2">
        <v>1.0360281521570869E-8</v>
      </c>
      <c r="AK44" s="5">
        <f t="shared" si="9"/>
        <v>1649.5786918462727</v>
      </c>
      <c r="AL44" s="2">
        <v>5.1413735491223633E-9</v>
      </c>
      <c r="AM44" s="2">
        <f t="shared" si="10"/>
        <v>-3.96295407234102E-19</v>
      </c>
      <c r="AN44" s="2">
        <f t="shared" si="11"/>
        <v>5.3266077376465656E-17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558.05999999999995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78.19</v>
      </c>
      <c r="L46" s="6" t="s">
        <v>7</v>
      </c>
    </row>
    <row r="47" spans="2:41" x14ac:dyDescent="0.2">
      <c r="J47" s="9" t="s">
        <v>60</v>
      </c>
      <c r="K47" s="9">
        <f>SUM(K42:K46)</f>
        <v>1649.57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1:D1"/>
    <mergeCell ref="B3:D3"/>
    <mergeCell ref="F3:H3"/>
    <mergeCell ref="J3:L3"/>
    <mergeCell ref="N3:P3"/>
    <mergeCell ref="N18:P18"/>
    <mergeCell ref="B20:D20"/>
    <mergeCell ref="F22:H22"/>
    <mergeCell ref="B27:D27"/>
    <mergeCell ref="F31:H31"/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</mergeCells>
  <conditionalFormatting sqref="K31">
    <cfRule type="containsText" dxfId="29" priority="1" operator="containsText" text="FALSE">
      <formula>NOT(ISERROR(SEARCH("FALSE",K31)))</formula>
    </cfRule>
    <cfRule type="containsText" dxfId="28" priority="2" operator="containsText" text="TRUE">
      <formula>NOT(ISERROR(SEARCH("TRUE",K31)))</formula>
    </cfRule>
    <cfRule type="cellIs" dxfId="27" priority="3" operator="equal">
      <formula>1</formula>
    </cfRule>
    <cfRule type="cellIs" dxfId="26" priority="4" operator="equal">
      <formula>TRUE</formula>
    </cfRule>
    <cfRule type="containsText" dxfId="25" priority="5" operator="containsText" text="YES">
      <formula>NOT(ISERROR(SEARCH("YES",K31)))</formula>
    </cfRule>
    <cfRule type="cellIs" dxfId="24" priority="6" operator="equal">
      <formula>"""YES"""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D8DE5-F646-D64D-A5A6-5B909971DE1C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540.43456628570061</v>
      </c>
      <c r="L4" s="6" t="s">
        <v>97</v>
      </c>
      <c r="N4" s="6" t="s">
        <v>131</v>
      </c>
      <c r="O4" s="6">
        <f xml:space="preserve"> $C$5 * $C$74</f>
        <v>23038.652124712215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1.2310010185873388</v>
      </c>
      <c r="X4" s="3">
        <v>1</v>
      </c>
      <c r="Y4" s="2">
        <f t="shared" ref="Y4:Y34" si="1" xml:space="preserve"> $O$22 * TAN($O$19/180*PI()) + $O$23 / (2 * SQRT($O$22^2 + X4^2)) - X4</f>
        <v>-2.5934199177901629E-2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0.49681994225030668</v>
      </c>
      <c r="AB4" s="2">
        <f>W4*AA4</f>
        <v>0.61158585496463036</v>
      </c>
      <c r="AC4" s="2">
        <f>Y4*AA4</f>
        <v>-1.2884627337873038E-2</v>
      </c>
      <c r="AD4" s="2">
        <f>X4-V4</f>
        <v>1</v>
      </c>
      <c r="AF4" s="2">
        <v>0</v>
      </c>
      <c r="AH4" s="2">
        <f>K30</f>
        <v>-6.1457910464923771E-4</v>
      </c>
      <c r="AJ4" s="2">
        <f>K30</f>
        <v>-6.1457910464923771E-4</v>
      </c>
      <c r="AL4" s="2">
        <f>K30</f>
        <v>-6.1457910464923771E-4</v>
      </c>
    </row>
    <row r="5" spans="2:41" x14ac:dyDescent="0.2">
      <c r="B5" s="9" t="s">
        <v>38</v>
      </c>
      <c r="C5" s="9">
        <v>2350.7500609477001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67.554320785712576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0.49681994225030668</v>
      </c>
      <c r="X5" s="2">
        <f>IF(AC4&gt;0, Z4, X4)</f>
        <v>1</v>
      </c>
      <c r="Y5" s="2">
        <f t="shared" si="1"/>
        <v>-2.5934199177901629E-2</v>
      </c>
      <c r="Z5" s="2">
        <f t="shared" ref="Z5:Z34" si="3" xml:space="preserve"> (V5 + X5)/2</f>
        <v>0.75</v>
      </c>
      <c r="AA5" s="2">
        <f t="shared" si="2"/>
        <v>0.2317252733747821</v>
      </c>
      <c r="AB5" s="2">
        <f t="shared" ref="AB5:AB34" si="4">W5*AA5</f>
        <v>0.11512573693599577</v>
      </c>
      <c r="AC5" s="2">
        <f t="shared" ref="AC5:AC34" si="5">Y5*AA5</f>
        <v>-6.0096093942553046E-3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-909.68735874043944</v>
      </c>
      <c r="AI5" s="3">
        <v>10000</v>
      </c>
      <c r="AJ5" s="2">
        <f t="dataTable" ref="AJ5:AJ44" dt2D="0" dtr="0" r1="C5"/>
        <v>2864.9969702429589</v>
      </c>
      <c r="AK5" s="2">
        <f>(AG5+AI5)/2</f>
        <v>5250</v>
      </c>
      <c r="AL5" s="2">
        <f t="dataTable" ref="AL5:AL44" dt2D="0" dtr="0" r1="C5" ca="1"/>
        <v>1573.4067734966775</v>
      </c>
      <c r="AM5" s="2">
        <f>AH5*AL5</f>
        <v>-1431308.2520065093</v>
      </c>
      <c r="AN5" s="2">
        <f>AJ5*AL5</f>
        <v>4507805.6390277306</v>
      </c>
      <c r="AO5" s="2">
        <f>AI5-AG5</f>
        <v>9500</v>
      </c>
    </row>
    <row r="6" spans="2:41" x14ac:dyDescent="0.2">
      <c r="B6" s="6" t="s">
        <v>168</v>
      </c>
      <c r="C6" s="16">
        <v>466.593711082038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158.87955238925187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0.23148928088453186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0.2317252733747821</v>
      </c>
      <c r="X6" s="2">
        <f t="shared" ref="X6:X34" si="8">IF(AC5&gt;0, Z5, X5)</f>
        <v>1</v>
      </c>
      <c r="Y6" s="2">
        <f t="shared" si="1"/>
        <v>-2.5934199177901629E-2</v>
      </c>
      <c r="Z6" s="2">
        <f t="shared" si="3"/>
        <v>0.875</v>
      </c>
      <c r="AA6" s="2">
        <f t="shared" si="2"/>
        <v>0.10235588366175852</v>
      </c>
      <c r="AB6" s="2">
        <f t="shared" si="4"/>
        <v>2.3718445123038386E-2</v>
      </c>
      <c r="AC6" s="2">
        <f t="shared" si="5"/>
        <v>-2.6545178739141727E-3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-909.68735874043944</v>
      </c>
      <c r="AI6" s="2">
        <f>IF(AN5&gt;0,AK5,AI5)</f>
        <v>5250</v>
      </c>
      <c r="AJ6" s="2">
        <v>1573.4067734966775</v>
      </c>
      <c r="AK6" s="2">
        <f t="shared" ref="AK6:AK44" si="9">(AG6+AI6)/2</f>
        <v>2875</v>
      </c>
      <c r="AL6" s="2">
        <v>210.31612195211164</v>
      </c>
      <c r="AM6" s="2">
        <f t="shared" ref="AM6:AM44" si="10">AH6*AL6</f>
        <v>-191321.9174791486</v>
      </c>
      <c r="AN6" s="2">
        <f t="shared" ref="AN6:AN44" si="11">AJ6*AL6</f>
        <v>330912.81085500575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2880.1070022393569</v>
      </c>
      <c r="H7" s="6" t="s">
        <v>21</v>
      </c>
      <c r="J7" s="6" t="s">
        <v>133</v>
      </c>
      <c r="K7" s="6">
        <f>K6/$C$28</f>
        <v>158.87955238925187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0.10235588366175852</v>
      </c>
      <c r="X7" s="2">
        <f t="shared" si="8"/>
        <v>1</v>
      </c>
      <c r="Y7" s="2">
        <f t="shared" si="1"/>
        <v>-2.5934199177901629E-2</v>
      </c>
      <c r="Z7" s="2">
        <f t="shared" si="3"/>
        <v>0.9375</v>
      </c>
      <c r="AA7" s="2">
        <f t="shared" si="2"/>
        <v>3.8102461718958813E-2</v>
      </c>
      <c r="AB7" s="2">
        <f t="shared" si="4"/>
        <v>3.9000111389323557E-3</v>
      </c>
      <c r="AC7" s="2">
        <f t="shared" si="5"/>
        <v>-9.8815683138784986E-4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-909.68735874043944</v>
      </c>
      <c r="AI7" s="2">
        <f t="shared" ref="AI7:AI44" si="14">IF(AN6&gt;0,AK6,AI6)</f>
        <v>2875</v>
      </c>
      <c r="AJ7" s="2">
        <v>210.31612195211164</v>
      </c>
      <c r="AK7" s="2">
        <f t="shared" si="9"/>
        <v>1687.5</v>
      </c>
      <c r="AL7" s="2">
        <v>-299.4639866713826</v>
      </c>
      <c r="AM7" s="2">
        <f t="shared" si="10"/>
        <v>272418.60307297221</v>
      </c>
      <c r="AN7" s="2">
        <f t="shared" si="11"/>
        <v>-62982.10434104404</v>
      </c>
      <c r="AO7" s="2">
        <f t="shared" si="12"/>
        <v>2375</v>
      </c>
    </row>
    <row r="8" spans="2:41" x14ac:dyDescent="0.2">
      <c r="B8" s="6" t="s">
        <v>91</v>
      </c>
      <c r="C8" s="16">
        <v>2.0227252192487399</v>
      </c>
      <c r="D8" s="6" t="s">
        <v>8</v>
      </c>
      <c r="F8" t="s">
        <v>93</v>
      </c>
      <c r="G8" s="6">
        <f>G10/$C$21</f>
        <v>45.036213857141718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3.8102461718958813E-2</v>
      </c>
      <c r="X8" s="2">
        <f t="shared" si="8"/>
        <v>1</v>
      </c>
      <c r="Y8" s="2">
        <f t="shared" si="1"/>
        <v>-2.5934199177901629E-2</v>
      </c>
      <c r="Z8" s="2">
        <f t="shared" si="3"/>
        <v>0.96875</v>
      </c>
      <c r="AA8" s="2">
        <f t="shared" si="2"/>
        <v>6.0596187375966393E-3</v>
      </c>
      <c r="AB8" s="2">
        <f t="shared" si="4"/>
        <v>2.3088639098076149E-4</v>
      </c>
      <c r="AC8" s="2">
        <f t="shared" si="5"/>
        <v>-1.5715135928297608E-4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-299.4639866713826</v>
      </c>
      <c r="AI8" s="2">
        <f t="shared" si="14"/>
        <v>2875</v>
      </c>
      <c r="AJ8" s="2">
        <v>210.31612195211164</v>
      </c>
      <c r="AK8" s="2">
        <f t="shared" si="9"/>
        <v>2281.25</v>
      </c>
      <c r="AL8" s="2">
        <v>-29.661032825980556</v>
      </c>
      <c r="AM8" s="2">
        <f t="shared" si="10"/>
        <v>8882.4111388588826</v>
      </c>
      <c r="AN8" s="2">
        <f t="shared" si="11"/>
        <v>-6238.1933970545133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6.5246105845077729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2.2462818793234047E-2</v>
      </c>
      <c r="U9" s="2">
        <v>5</v>
      </c>
      <c r="V9" s="2">
        <f t="shared" si="7"/>
        <v>0.96875</v>
      </c>
      <c r="W9" s="2">
        <f t="shared" si="0"/>
        <v>6.0596187375966393E-3</v>
      </c>
      <c r="X9" s="2">
        <f t="shared" si="8"/>
        <v>1</v>
      </c>
      <c r="Y9" s="2">
        <f t="shared" si="1"/>
        <v>-2.5934199177901629E-2</v>
      </c>
      <c r="Z9" s="2">
        <f t="shared" si="3"/>
        <v>0.984375</v>
      </c>
      <c r="AA9" s="2">
        <f t="shared" si="2"/>
        <v>-9.9431307359811871E-3</v>
      </c>
      <c r="AB9" s="2">
        <f t="shared" si="4"/>
        <v>-6.0251581318124662E-5</v>
      </c>
      <c r="AC9" s="2">
        <f t="shared" si="5"/>
        <v>2.5786713295885172E-4</v>
      </c>
      <c r="AD9" s="2">
        <f t="shared" si="6"/>
        <v>3.125E-2</v>
      </c>
      <c r="AF9" s="2">
        <v>5</v>
      </c>
      <c r="AG9" s="2">
        <f t="shared" si="13"/>
        <v>2281.25</v>
      </c>
      <c r="AH9" s="2">
        <v>-29.661032825980556</v>
      </c>
      <c r="AI9" s="2">
        <f t="shared" si="14"/>
        <v>2875</v>
      </c>
      <c r="AJ9" s="2">
        <v>210.31612195211164</v>
      </c>
      <c r="AK9" s="2">
        <f t="shared" si="9"/>
        <v>2578.125</v>
      </c>
      <c r="AL9" s="2">
        <v>94.143990850193404</v>
      </c>
      <c r="AM9" s="2">
        <f t="shared" si="10"/>
        <v>-2792.4080029763995</v>
      </c>
      <c r="AN9" s="2">
        <f t="shared" si="11"/>
        <v>19799.99906070776</v>
      </c>
      <c r="AO9" s="2">
        <f t="shared" si="12"/>
        <v>593.75</v>
      </c>
    </row>
    <row r="10" spans="2:41" x14ac:dyDescent="0.2">
      <c r="B10" s="6" t="s">
        <v>134</v>
      </c>
      <c r="C10" s="16">
        <v>1.4378278577775401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360.28971085713374</v>
      </c>
      <c r="H10" s="22" t="s">
        <v>97</v>
      </c>
      <c r="J10" s="6" t="s">
        <v>92</v>
      </c>
      <c r="K10" s="6">
        <f xml:space="preserve"> $C$18 * (G10*G6 + G20*G13 + G29*G25 + G33*G32)/3600</f>
        <v>107.40054918982459</v>
      </c>
      <c r="L10" s="6" t="s">
        <v>98</v>
      </c>
      <c r="N10" s="6" t="s">
        <v>39</v>
      </c>
      <c r="O10" s="6">
        <f xml:space="preserve"> O5 * $C$12 * O9</f>
        <v>1044.4043514235618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6.0596187375966393E-3</v>
      </c>
      <c r="X10" s="2">
        <f t="shared" si="8"/>
        <v>0.984375</v>
      </c>
      <c r="Y10" s="2">
        <f t="shared" si="1"/>
        <v>-9.9431307359811871E-3</v>
      </c>
      <c r="Z10" s="2">
        <f t="shared" si="3"/>
        <v>0.9765625</v>
      </c>
      <c r="AA10" s="2">
        <f t="shared" si="2"/>
        <v>-1.9432506683776385E-3</v>
      </c>
      <c r="AB10" s="2">
        <f t="shared" si="4"/>
        <v>-1.1775358161948331E-5</v>
      </c>
      <c r="AC10" s="2">
        <f t="shared" si="5"/>
        <v>1.9321995448461684E-5</v>
      </c>
      <c r="AD10" s="2">
        <f t="shared" si="6"/>
        <v>1.5625E-2</v>
      </c>
      <c r="AF10" s="2">
        <v>6</v>
      </c>
      <c r="AG10" s="2">
        <f t="shared" si="13"/>
        <v>2281.25</v>
      </c>
      <c r="AH10" s="2">
        <v>-29.661032825980556</v>
      </c>
      <c r="AI10" s="2">
        <f t="shared" si="14"/>
        <v>2578.125</v>
      </c>
      <c r="AJ10" s="2">
        <v>94.143990850193404</v>
      </c>
      <c r="AK10" s="2">
        <f t="shared" si="9"/>
        <v>2429.6875</v>
      </c>
      <c r="AL10" s="2">
        <v>33.187134862167113</v>
      </c>
      <c r="AM10" s="2">
        <f t="shared" si="10"/>
        <v>-984.36469654698237</v>
      </c>
      <c r="AN10" s="2">
        <f t="shared" si="11"/>
        <v>3124.3693208079953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0.74112957690438452</v>
      </c>
      <c r="U11" s="2">
        <v>7</v>
      </c>
      <c r="V11" s="2">
        <f t="shared" si="7"/>
        <v>0.96875</v>
      </c>
      <c r="W11" s="2">
        <f t="shared" si="0"/>
        <v>6.0596187375966393E-3</v>
      </c>
      <c r="X11" s="2">
        <f t="shared" si="8"/>
        <v>0.9765625</v>
      </c>
      <c r="Y11" s="2">
        <f t="shared" si="1"/>
        <v>-1.9432506683776385E-3</v>
      </c>
      <c r="Z11" s="2">
        <f t="shared" si="3"/>
        <v>0.97265625</v>
      </c>
      <c r="AA11" s="2">
        <f t="shared" si="2"/>
        <v>2.0578059306064489E-3</v>
      </c>
      <c r="AB11" s="2">
        <f t="shared" si="4"/>
        <v>1.2469519375440327E-5</v>
      </c>
      <c r="AC11" s="2">
        <f t="shared" si="5"/>
        <v>-3.9988327500424501E-6</v>
      </c>
      <c r="AD11" s="2">
        <f t="shared" si="6"/>
        <v>7.8125E-3</v>
      </c>
      <c r="AF11" s="2">
        <v>7</v>
      </c>
      <c r="AG11" s="2">
        <f t="shared" si="13"/>
        <v>2281.25</v>
      </c>
      <c r="AH11" s="2">
        <v>-29.661032825980556</v>
      </c>
      <c r="AI11" s="2">
        <f t="shared" si="14"/>
        <v>2429.6875</v>
      </c>
      <c r="AJ11" s="2">
        <v>33.187134862167113</v>
      </c>
      <c r="AK11" s="2">
        <f t="shared" si="9"/>
        <v>2355.46875</v>
      </c>
      <c r="AL11" s="2">
        <v>1.9982478099620948</v>
      </c>
      <c r="AM11" s="2">
        <f t="shared" si="10"/>
        <v>-59.270093885729452</v>
      </c>
      <c r="AN11" s="2">
        <f t="shared" si="11"/>
        <v>66.316119557242118</v>
      </c>
      <c r="AO11" s="2">
        <f t="shared" si="12"/>
        <v>148.4375</v>
      </c>
    </row>
    <row r="12" spans="2:41" x14ac:dyDescent="0.2">
      <c r="B12" s="6" t="s">
        <v>135</v>
      </c>
      <c r="C12" s="16">
        <v>20.5052023514687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0.49551025636036233</v>
      </c>
      <c r="U12" s="2">
        <v>8</v>
      </c>
      <c r="V12" s="2">
        <f t="shared" si="7"/>
        <v>0.97265625</v>
      </c>
      <c r="W12" s="2">
        <f t="shared" si="0"/>
        <v>2.0578059306064489E-3</v>
      </c>
      <c r="X12" s="2">
        <f t="shared" si="8"/>
        <v>0.9765625</v>
      </c>
      <c r="Y12" s="2">
        <f t="shared" si="1"/>
        <v>-1.9432506683776385E-3</v>
      </c>
      <c r="Z12" s="2">
        <f t="shared" si="3"/>
        <v>0.974609375</v>
      </c>
      <c r="AA12" s="2">
        <f t="shared" si="2"/>
        <v>5.718366515794493E-5</v>
      </c>
      <c r="AB12" s="2">
        <f t="shared" si="4"/>
        <v>1.1767288529583243E-7</v>
      </c>
      <c r="AC12" s="2">
        <f t="shared" si="5"/>
        <v>-1.1112219553845956E-7</v>
      </c>
      <c r="AD12" s="2">
        <f t="shared" si="6"/>
        <v>3.90625E-3</v>
      </c>
      <c r="AF12" s="2">
        <v>8</v>
      </c>
      <c r="AG12" s="2">
        <f t="shared" si="13"/>
        <v>2281.25</v>
      </c>
      <c r="AH12" s="2">
        <v>-29.661032825980556</v>
      </c>
      <c r="AI12" s="2">
        <f t="shared" si="14"/>
        <v>2355.46875</v>
      </c>
      <c r="AJ12" s="2">
        <v>1.9982478099620948</v>
      </c>
      <c r="AK12" s="2">
        <f t="shared" si="9"/>
        <v>2318.359375</v>
      </c>
      <c r="AL12" s="2">
        <v>-13.772757989297588</v>
      </c>
      <c r="AM12" s="2">
        <f t="shared" si="10"/>
        <v>408.51422682484173</v>
      </c>
      <c r="AN12" s="2">
        <f t="shared" si="11"/>
        <v>-27.52138348925185</v>
      </c>
      <c r="AO12" s="2">
        <f t="shared" si="12"/>
        <v>74.21875</v>
      </c>
    </row>
    <row r="13" spans="2:41" x14ac:dyDescent="0.2">
      <c r="B13" s="6" t="s">
        <v>136</v>
      </c>
      <c r="C13" s="16">
        <v>10.599688788021799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3.2411560689540417E-2</v>
      </c>
      <c r="U13" s="2">
        <v>9</v>
      </c>
      <c r="V13" s="2">
        <f t="shared" si="7"/>
        <v>0.974609375</v>
      </c>
      <c r="W13" s="2">
        <f t="shared" si="0"/>
        <v>5.718366515794493E-5</v>
      </c>
      <c r="X13" s="2">
        <f t="shared" si="8"/>
        <v>0.9765625</v>
      </c>
      <c r="Y13" s="2">
        <f t="shared" si="1"/>
        <v>-1.9432506683776385E-3</v>
      </c>
      <c r="Z13" s="2">
        <f t="shared" si="3"/>
        <v>0.9755859375</v>
      </c>
      <c r="AA13" s="2">
        <f t="shared" si="2"/>
        <v>-9.4305692357499193E-4</v>
      </c>
      <c r="AB13" s="2">
        <f t="shared" si="4"/>
        <v>-5.3927451342594002E-8</v>
      </c>
      <c r="AC13" s="2">
        <f t="shared" si="5"/>
        <v>1.8325959970552626E-6</v>
      </c>
      <c r="AD13" s="2">
        <f t="shared" si="6"/>
        <v>1.953125E-3</v>
      </c>
      <c r="AF13" s="2">
        <v>9</v>
      </c>
      <c r="AG13" s="2">
        <f t="shared" si="13"/>
        <v>2318.359375</v>
      </c>
      <c r="AH13" s="2">
        <v>-13.772757989297588</v>
      </c>
      <c r="AI13" s="2">
        <f t="shared" si="14"/>
        <v>2355.46875</v>
      </c>
      <c r="AJ13" s="2">
        <v>1.9982478099620948</v>
      </c>
      <c r="AK13" s="2">
        <f t="shared" si="9"/>
        <v>2336.9140625</v>
      </c>
      <c r="AL13" s="2">
        <v>-5.8725751401509569</v>
      </c>
      <c r="AM13" s="2">
        <f t="shared" si="10"/>
        <v>80.881556179264493</v>
      </c>
      <c r="AN13" s="2">
        <f t="shared" si="11"/>
        <v>-11.734860412644492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70.254539698273291</v>
      </c>
      <c r="H14" s="6" t="s">
        <v>10</v>
      </c>
      <c r="J14" s="9" t="s">
        <v>75</v>
      </c>
      <c r="K14" s="17">
        <f>C5</f>
        <v>2350.7500609477001</v>
      </c>
      <c r="L14" s="6" t="s">
        <v>7</v>
      </c>
      <c r="N14" s="6" t="s">
        <v>40</v>
      </c>
      <c r="O14" s="6">
        <f xml:space="preserve"> O5 * O13 * $C$12</f>
        <v>1506.9691534341609</v>
      </c>
      <c r="P14" s="6" t="s">
        <v>21</v>
      </c>
      <c r="U14" s="2">
        <v>10</v>
      </c>
      <c r="V14" s="2">
        <f t="shared" si="7"/>
        <v>0.974609375</v>
      </c>
      <c r="W14" s="2">
        <f t="shared" si="0"/>
        <v>5.718366515794493E-5</v>
      </c>
      <c r="X14" s="2">
        <f t="shared" si="8"/>
        <v>0.9755859375</v>
      </c>
      <c r="Y14" s="2">
        <f t="shared" si="1"/>
        <v>-9.4305692357499193E-4</v>
      </c>
      <c r="Z14" s="2">
        <f t="shared" si="3"/>
        <v>0.97509765625</v>
      </c>
      <c r="AA14" s="2">
        <f t="shared" si="2"/>
        <v>-4.4294249336895852E-4</v>
      </c>
      <c r="AB14" s="2">
        <f t="shared" si="4"/>
        <v>-2.5329075225035765E-8</v>
      </c>
      <c r="AC14" s="2">
        <f t="shared" si="5"/>
        <v>4.1771998511716627E-7</v>
      </c>
      <c r="AD14" s="2">
        <f t="shared" si="6"/>
        <v>9.765625E-4</v>
      </c>
      <c r="AF14" s="2">
        <v>10</v>
      </c>
      <c r="AG14" s="2">
        <f t="shared" si="13"/>
        <v>2336.9140625</v>
      </c>
      <c r="AH14" s="2">
        <v>-5.8725751401509569</v>
      </c>
      <c r="AI14" s="2">
        <f t="shared" si="14"/>
        <v>2355.46875</v>
      </c>
      <c r="AJ14" s="2">
        <v>1.9982478099620948</v>
      </c>
      <c r="AK14" s="2">
        <f t="shared" si="9"/>
        <v>2346.19140625</v>
      </c>
      <c r="AL14" s="2">
        <v>-1.9334908508933495</v>
      </c>
      <c r="AM14" s="2">
        <f t="shared" si="10"/>
        <v>11.354570304665605</v>
      </c>
      <c r="AN14" s="2">
        <f t="shared" si="11"/>
        <v>-3.863593858379383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0.21115102708104069</v>
      </c>
      <c r="H15" s="6" t="s">
        <v>120</v>
      </c>
      <c r="J15" s="10" t="s">
        <v>53</v>
      </c>
      <c r="K15" s="6">
        <f xml:space="preserve"> 1000 * K10 / ($C$60 * $C$61 * $C$62)</f>
        <v>631.76793641073289</v>
      </c>
      <c r="L15" s="6" t="s">
        <v>7</v>
      </c>
      <c r="N15" s="6" t="s">
        <v>140</v>
      </c>
      <c r="O15" s="6">
        <f>O4/O14</f>
        <v>15.288071472604809</v>
      </c>
      <c r="U15" s="2">
        <v>11</v>
      </c>
      <c r="V15" s="2">
        <f t="shared" si="7"/>
        <v>0.974609375</v>
      </c>
      <c r="W15" s="2">
        <f t="shared" si="0"/>
        <v>5.718366515794493E-5</v>
      </c>
      <c r="X15" s="2">
        <f t="shared" si="8"/>
        <v>0.97509765625</v>
      </c>
      <c r="Y15" s="2">
        <f t="shared" si="1"/>
        <v>-4.4294249336895852E-4</v>
      </c>
      <c r="Z15" s="2">
        <f t="shared" si="3"/>
        <v>0.974853515625</v>
      </c>
      <c r="AA15" s="2">
        <f t="shared" si="2"/>
        <v>-1.9288088123103897E-4</v>
      </c>
      <c r="AB15" s="2">
        <f t="shared" si="4"/>
        <v>-1.1029635727685077E-8</v>
      </c>
      <c r="AC15" s="2">
        <f t="shared" si="5"/>
        <v>8.5435138455678349E-8</v>
      </c>
      <c r="AD15" s="2">
        <f t="shared" si="6"/>
        <v>4.8828125E-4</v>
      </c>
      <c r="AF15" s="2">
        <v>11</v>
      </c>
      <c r="AG15" s="2">
        <f t="shared" si="13"/>
        <v>2346.19140625</v>
      </c>
      <c r="AH15" s="2">
        <v>-1.9334908508933495</v>
      </c>
      <c r="AI15" s="2">
        <f t="shared" si="14"/>
        <v>2355.46875</v>
      </c>
      <c r="AJ15" s="2">
        <v>1.9982478099620948</v>
      </c>
      <c r="AK15" s="2">
        <f t="shared" si="9"/>
        <v>2350.830078125</v>
      </c>
      <c r="AL15" s="2">
        <v>3.3296937261184212E-2</v>
      </c>
      <c r="AM15" s="2">
        <f t="shared" si="10"/>
        <v>-6.4379323557269538E-2</v>
      </c>
      <c r="AN15" s="2">
        <f t="shared" si="11"/>
        <v>6.6535531960606617E-2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1506.9691534341609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172.68547130225252</v>
      </c>
      <c r="L16" s="6" t="s">
        <v>7</v>
      </c>
      <c r="N16" s="6" t="s">
        <v>111</v>
      </c>
      <c r="O16" s="6">
        <f>(O13*$C$12)/(0.3048^2)/($C$5*2.20462/1000)^(2/3)</f>
        <v>2.3887678492194078</v>
      </c>
      <c r="U16" s="2">
        <v>12</v>
      </c>
      <c r="V16" s="2">
        <f t="shared" si="7"/>
        <v>0.974609375</v>
      </c>
      <c r="W16" s="2">
        <f t="shared" si="0"/>
        <v>5.718366515794493E-5</v>
      </c>
      <c r="X16" s="2">
        <f t="shared" si="8"/>
        <v>0.974853515625</v>
      </c>
      <c r="Y16" s="2">
        <f t="shared" si="1"/>
        <v>-1.9288088123103897E-4</v>
      </c>
      <c r="Z16" s="2">
        <f t="shared" si="3"/>
        <v>0.9747314453125</v>
      </c>
      <c r="AA16" s="2">
        <f t="shared" si="2"/>
        <v>-6.7848974953710339E-5</v>
      </c>
      <c r="AB16" s="2">
        <f t="shared" si="4"/>
        <v>-3.8798530650627639E-9</v>
      </c>
      <c r="AC16" s="2">
        <f t="shared" si="5"/>
        <v>1.3086770079694342E-8</v>
      </c>
      <c r="AD16" s="2">
        <f t="shared" si="6"/>
        <v>2.44140625E-4</v>
      </c>
      <c r="AF16" s="2">
        <v>12</v>
      </c>
      <c r="AG16" s="2">
        <f t="shared" si="13"/>
        <v>2346.19140625</v>
      </c>
      <c r="AH16" s="2">
        <v>-1.9334908508933495</v>
      </c>
      <c r="AI16" s="2">
        <f t="shared" si="14"/>
        <v>2350.830078125</v>
      </c>
      <c r="AJ16" s="2">
        <v>3.3296937261184212E-2</v>
      </c>
      <c r="AK16" s="2">
        <f t="shared" si="9"/>
        <v>2348.5107421875</v>
      </c>
      <c r="AL16" s="2">
        <v>-0.94986752229692684</v>
      </c>
      <c r="AM16" s="2">
        <f t="shared" si="10"/>
        <v>1.8365601639218427</v>
      </c>
      <c r="AN16" s="2">
        <f t="shared" si="11"/>
        <v>-3.1627679296357271E-2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105.91970159283458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0.974609375</v>
      </c>
      <c r="W17" s="2">
        <f t="shared" si="0"/>
        <v>5.718366515794493E-5</v>
      </c>
      <c r="X17" s="2">
        <f t="shared" si="8"/>
        <v>0.9747314453125</v>
      </c>
      <c r="Y17" s="2">
        <f t="shared" si="1"/>
        <v>-6.7848974953710339E-5</v>
      </c>
      <c r="Z17" s="2">
        <f t="shared" si="3"/>
        <v>0.97467041015625</v>
      </c>
      <c r="AA17" s="2">
        <f t="shared" si="2"/>
        <v>-5.3327466441599469E-6</v>
      </c>
      <c r="AB17" s="2">
        <f t="shared" si="4"/>
        <v>-3.0494599847179688E-10</v>
      </c>
      <c r="AC17" s="2">
        <f t="shared" si="5"/>
        <v>3.6182139349409108E-10</v>
      </c>
      <c r="AD17" s="2">
        <f t="shared" si="6"/>
        <v>1.220703125E-4</v>
      </c>
      <c r="AF17" s="2">
        <v>13</v>
      </c>
      <c r="AG17" s="2">
        <f t="shared" si="13"/>
        <v>2348.5107421875</v>
      </c>
      <c r="AH17" s="2">
        <v>-0.94986752229692684</v>
      </c>
      <c r="AI17" s="2">
        <f t="shared" si="14"/>
        <v>2350.830078125</v>
      </c>
      <c r="AJ17" s="2">
        <v>3.3296937261184212E-2</v>
      </c>
      <c r="AK17" s="2">
        <f t="shared" si="9"/>
        <v>2349.67041015625</v>
      </c>
      <c r="AL17" s="2">
        <v>-0.45822806851811038</v>
      </c>
      <c r="AM17" s="2">
        <f t="shared" si="10"/>
        <v>0.43525596009020395</v>
      </c>
      <c r="AN17" s="2">
        <f t="shared" si="11"/>
        <v>-1.5257591248761141E-2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1.4517004220041265</v>
      </c>
      <c r="H18" s="6" t="s">
        <v>172</v>
      </c>
      <c r="J18" s="12" t="s">
        <v>54</v>
      </c>
      <c r="K18" s="6">
        <f xml:space="preserve"> $C$78 * (0.2138 * K4 + 0.2138 * K6)</f>
        <v>119.61068685816386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0.974609375</v>
      </c>
      <c r="W18" s="2">
        <f t="shared" si="0"/>
        <v>5.718366515794493E-5</v>
      </c>
      <c r="X18" s="2">
        <f t="shared" si="8"/>
        <v>0.97467041015625</v>
      </c>
      <c r="Y18" s="2">
        <f t="shared" si="1"/>
        <v>-5.3327466441599469E-6</v>
      </c>
      <c r="Z18" s="2">
        <f t="shared" si="3"/>
        <v>0.974639892578125</v>
      </c>
      <c r="AA18" s="2">
        <f t="shared" si="2"/>
        <v>2.5925436318186001E-5</v>
      </c>
      <c r="AB18" s="2">
        <f t="shared" si="4"/>
        <v>1.4825114694927729E-9</v>
      </c>
      <c r="AC18" s="2">
        <f t="shared" si="5"/>
        <v>-1.3825378352418881E-10</v>
      </c>
      <c r="AD18" s="2">
        <f t="shared" si="6"/>
        <v>6.103515625E-5</v>
      </c>
      <c r="AF18" s="2">
        <v>14</v>
      </c>
      <c r="AG18" s="2">
        <f t="shared" si="13"/>
        <v>2349.67041015625</v>
      </c>
      <c r="AH18" s="2">
        <v>-0.45822806851811038</v>
      </c>
      <c r="AI18" s="2">
        <f t="shared" si="14"/>
        <v>2350.830078125</v>
      </c>
      <c r="AJ18" s="2">
        <v>3.3296937261184212E-2</v>
      </c>
      <c r="AK18" s="2">
        <f t="shared" si="9"/>
        <v>2350.250244140625</v>
      </c>
      <c r="AL18" s="2">
        <v>-0.21245090985325987</v>
      </c>
      <c r="AM18" s="2">
        <f t="shared" si="10"/>
        <v>9.735097007697445E-2</v>
      </c>
      <c r="AN18" s="2">
        <f t="shared" si="11"/>
        <v>-7.073964616465497E-3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5.4838638754472889E-2</v>
      </c>
      <c r="J19" s="12" t="s">
        <v>73</v>
      </c>
      <c r="K19" s="6">
        <f xml:space="preserve"> $C$78 * (0.1149 * K4 + 0.1149 * K6)</f>
        <v>64.280953788601636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0.974639892578125</v>
      </c>
      <c r="W19" s="2">
        <f t="shared" si="0"/>
        <v>2.5925436318186001E-5</v>
      </c>
      <c r="X19" s="2">
        <f t="shared" si="8"/>
        <v>0.97467041015625</v>
      </c>
      <c r="Y19" s="2">
        <f t="shared" si="1"/>
        <v>-5.3327466441599469E-6</v>
      </c>
      <c r="Z19" s="2">
        <f t="shared" si="3"/>
        <v>0.9746551513671875</v>
      </c>
      <c r="AA19" s="2">
        <f t="shared" si="2"/>
        <v>1.0296339102655594E-5</v>
      </c>
      <c r="AB19" s="2">
        <f t="shared" si="4"/>
        <v>2.6693708371634602E-10</v>
      </c>
      <c r="AC19" s="2">
        <f t="shared" si="5"/>
        <v>-5.4907767796819457E-11</v>
      </c>
      <c r="AD19" s="2">
        <f t="shared" si="6"/>
        <v>3.0517578125E-5</v>
      </c>
      <c r="AF19" s="2">
        <v>15</v>
      </c>
      <c r="AG19" s="2">
        <f t="shared" si="13"/>
        <v>2350.250244140625</v>
      </c>
      <c r="AH19" s="2">
        <v>-0.21245090985325987</v>
      </c>
      <c r="AI19" s="2">
        <f t="shared" si="14"/>
        <v>2350.830078125</v>
      </c>
      <c r="AJ19" s="2">
        <v>3.3296937261184212E-2</v>
      </c>
      <c r="AK19" s="2">
        <f t="shared" si="9"/>
        <v>2350.5401611328125</v>
      </c>
      <c r="AL19" s="2">
        <v>-8.9573461932786813E-2</v>
      </c>
      <c r="AM19" s="2">
        <f t="shared" si="10"/>
        <v>1.9029963486326896E-2</v>
      </c>
      <c r="AN19" s="2">
        <f t="shared" si="11"/>
        <v>-2.9825219422430749E-3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105.91970159283458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216.96978582248954</v>
      </c>
      <c r="L20" s="6" t="s">
        <v>7</v>
      </c>
      <c r="N20" s="6" t="s">
        <v>20</v>
      </c>
      <c r="O20" s="6">
        <f xml:space="preserve"> O14 / $C$28</f>
        <v>1506.9691534341609</v>
      </c>
      <c r="P20" s="6" t="s">
        <v>21</v>
      </c>
      <c r="U20" s="2">
        <v>16</v>
      </c>
      <c r="V20" s="2">
        <f t="shared" si="7"/>
        <v>0.9746551513671875</v>
      </c>
      <c r="W20" s="2">
        <f t="shared" si="0"/>
        <v>1.0296339102655594E-5</v>
      </c>
      <c r="X20" s="2">
        <f t="shared" si="8"/>
        <v>0.97467041015625</v>
      </c>
      <c r="Y20" s="2">
        <f t="shared" si="1"/>
        <v>-5.3327466441599469E-6</v>
      </c>
      <c r="Z20" s="2">
        <f t="shared" si="3"/>
        <v>0.97466278076171875</v>
      </c>
      <c r="AA20" s="2">
        <f t="shared" si="2"/>
        <v>2.481794795672343E-6</v>
      </c>
      <c r="AB20" s="2">
        <f t="shared" si="4"/>
        <v>2.5553400799448293E-11</v>
      </c>
      <c r="AC20" s="2">
        <f t="shared" si="5"/>
        <v>-1.3234782868115308E-11</v>
      </c>
      <c r="AD20" s="2">
        <f t="shared" si="6"/>
        <v>1.52587890625E-5</v>
      </c>
      <c r="AF20" s="2">
        <v>16</v>
      </c>
      <c r="AG20" s="2">
        <f t="shared" si="13"/>
        <v>2350.5401611328125</v>
      </c>
      <c r="AH20" s="2">
        <v>-8.9573461932786813E-2</v>
      </c>
      <c r="AI20" s="2">
        <f t="shared" si="14"/>
        <v>2350.830078125</v>
      </c>
      <c r="AJ20" s="2">
        <v>3.3296937261184212E-2</v>
      </c>
      <c r="AK20" s="2">
        <f t="shared" si="9"/>
        <v>2350.6851196289062</v>
      </c>
      <c r="AL20" s="2">
        <v>-2.8137660608081205E-2</v>
      </c>
      <c r="AM20" s="2">
        <f t="shared" si="10"/>
        <v>2.5203876713556367E-3</v>
      </c>
      <c r="AN20" s="2">
        <f t="shared" si="11"/>
        <v>-9.3689791994377427E-4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61.119501584640211</v>
      </c>
      <c r="L21" s="6" t="s">
        <v>7</v>
      </c>
      <c r="N21" s="6" t="s">
        <v>27</v>
      </c>
      <c r="O21" s="6">
        <f>$C$6*2*PI()/60</f>
        <v>48.861579164884304</v>
      </c>
      <c r="P21" s="6" t="s">
        <v>28</v>
      </c>
      <c r="U21" s="2">
        <v>17</v>
      </c>
      <c r="V21" s="2">
        <f t="shared" si="7"/>
        <v>0.97466278076171875</v>
      </c>
      <c r="W21" s="2">
        <f t="shared" si="0"/>
        <v>2.481794795672343E-6</v>
      </c>
      <c r="X21" s="2">
        <f t="shared" si="8"/>
        <v>0.97467041015625</v>
      </c>
      <c r="Y21" s="2">
        <f t="shared" si="1"/>
        <v>-5.3327466441599469E-6</v>
      </c>
      <c r="Z21" s="2">
        <f t="shared" si="3"/>
        <v>0.97466659545898438</v>
      </c>
      <c r="AA21" s="2">
        <f t="shared" si="2"/>
        <v>-1.4254762826793055E-6</v>
      </c>
      <c r="AB21" s="2">
        <f t="shared" si="4"/>
        <v>-3.537739619707858E-12</v>
      </c>
      <c r="AC21" s="2">
        <f t="shared" si="5"/>
        <v>7.6017038627876626E-12</v>
      </c>
      <c r="AD21" s="2">
        <f t="shared" si="6"/>
        <v>7.62939453125E-6</v>
      </c>
      <c r="AF21" s="2">
        <v>17</v>
      </c>
      <c r="AG21" s="2">
        <f t="shared" si="13"/>
        <v>2350.6851196289062</v>
      </c>
      <c r="AH21" s="2">
        <v>-2.8137660608081205E-2</v>
      </c>
      <c r="AI21" s="2">
        <f t="shared" si="14"/>
        <v>2350.830078125</v>
      </c>
      <c r="AJ21" s="2">
        <v>3.3296937261184212E-2</v>
      </c>
      <c r="AK21" s="2">
        <f t="shared" si="9"/>
        <v>2350.7575988769531</v>
      </c>
      <c r="AL21" s="2">
        <v>2.5801379761105636E-3</v>
      </c>
      <c r="AM21" s="2">
        <f t="shared" si="10"/>
        <v>-7.2599046693820577E-5</v>
      </c>
      <c r="AN21" s="2">
        <f t="shared" si="11"/>
        <v>8.5910692315752248E-5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310.8964682405184</v>
      </c>
      <c r="L22" s="6" t="s">
        <v>7</v>
      </c>
      <c r="N22" s="6" t="s">
        <v>29</v>
      </c>
      <c r="O22" s="6">
        <f xml:space="preserve"> $C$7 * COS(O19/180*PI()) / (O21 * $C$10)</f>
        <v>8.3187727238509257E-2</v>
      </c>
      <c r="U22" s="2">
        <v>18</v>
      </c>
      <c r="V22" s="2">
        <f t="shared" si="7"/>
        <v>0.97466278076171875</v>
      </c>
      <c r="W22" s="2">
        <f t="shared" si="0"/>
        <v>2.481794795672343E-6</v>
      </c>
      <c r="X22" s="2">
        <f t="shared" si="8"/>
        <v>0.97466659545898438</v>
      </c>
      <c r="Y22" s="2">
        <f t="shared" si="1"/>
        <v>-1.4254762826793055E-6</v>
      </c>
      <c r="Z22" s="2">
        <f t="shared" si="3"/>
        <v>0.97466468811035156</v>
      </c>
      <c r="AA22" s="2">
        <f t="shared" si="2"/>
        <v>5.281591669570318E-7</v>
      </c>
      <c r="AB22" s="2">
        <f t="shared" si="4"/>
        <v>1.3107826718406015E-12</v>
      </c>
      <c r="AC22" s="2">
        <f t="shared" si="5"/>
        <v>-7.5287836597690839E-13</v>
      </c>
      <c r="AD22" s="2">
        <f t="shared" si="6"/>
        <v>3.814697265625E-6</v>
      </c>
      <c r="AF22" s="2">
        <v>18</v>
      </c>
      <c r="AG22" s="2">
        <f t="shared" si="13"/>
        <v>2350.6851196289062</v>
      </c>
      <c r="AH22" s="2">
        <v>-2.8137660608081205E-2</v>
      </c>
      <c r="AI22" s="2">
        <f t="shared" si="14"/>
        <v>2350.7575988769531</v>
      </c>
      <c r="AJ22" s="2">
        <v>2.5801379761105636E-3</v>
      </c>
      <c r="AK22" s="2">
        <f t="shared" si="9"/>
        <v>2350.7213592529297</v>
      </c>
      <c r="AL22" s="2">
        <v>-1.2778706249719107E-2</v>
      </c>
      <c r="AM22" s="2">
        <f t="shared" si="10"/>
        <v>3.5956289946496243E-4</v>
      </c>
      <c r="AN22" s="2">
        <f t="shared" si="11"/>
        <v>-3.297082528046167E-5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26.325309523312701</v>
      </c>
      <c r="L23" s="6" t="s">
        <v>7</v>
      </c>
      <c r="N23" s="6" t="s">
        <v>30</v>
      </c>
      <c r="O23" s="6">
        <f xml:space="preserve"> O20 / ( $C$71 * PI() * $C$10^2 * O21^2 * $C$10^2)</f>
        <v>4.6611904601553567E-2</v>
      </c>
      <c r="U23" s="2">
        <v>19</v>
      </c>
      <c r="V23" s="2">
        <f t="shared" si="7"/>
        <v>0.97466468811035156</v>
      </c>
      <c r="W23" s="2">
        <f t="shared" si="0"/>
        <v>5.281591669570318E-7</v>
      </c>
      <c r="X23" s="2">
        <f t="shared" si="8"/>
        <v>0.97466659545898438</v>
      </c>
      <c r="Y23" s="2">
        <f t="shared" si="1"/>
        <v>-1.4254762826793055E-6</v>
      </c>
      <c r="Z23" s="2">
        <f t="shared" si="3"/>
        <v>0.97466564178466797</v>
      </c>
      <c r="AA23" s="2">
        <f t="shared" si="2"/>
        <v>-4.4865858028764194E-7</v>
      </c>
      <c r="AB23" s="2">
        <f t="shared" si="4"/>
        <v>-2.3696314201284552E-13</v>
      </c>
      <c r="AC23" s="2">
        <f t="shared" si="5"/>
        <v>6.3955216522060256E-13</v>
      </c>
      <c r="AD23" s="2">
        <f t="shared" si="6"/>
        <v>1.9073486328125E-6</v>
      </c>
      <c r="AF23" s="2">
        <v>19</v>
      </c>
      <c r="AG23" s="2">
        <f t="shared" si="13"/>
        <v>2350.7213592529297</v>
      </c>
      <c r="AH23" s="2">
        <v>-1.2778706249719107E-2</v>
      </c>
      <c r="AI23" s="2">
        <f t="shared" si="14"/>
        <v>2350.7575988769531</v>
      </c>
      <c r="AJ23" s="2">
        <v>2.5801379761105636E-3</v>
      </c>
      <c r="AK23" s="2">
        <f t="shared" si="9"/>
        <v>2350.7394790649414</v>
      </c>
      <c r="AL23" s="2">
        <v>-5.0992703700103448E-3</v>
      </c>
      <c r="AM23" s="2">
        <f t="shared" si="10"/>
        <v>6.5162078146258653E-5</v>
      </c>
      <c r="AN23" s="2">
        <f t="shared" si="11"/>
        <v>-1.3156821132119056E-5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8.9955849028945387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0.97466468811035156</v>
      </c>
      <c r="W24" s="2">
        <f t="shared" si="0"/>
        <v>5.281591669570318E-7</v>
      </c>
      <c r="X24" s="2">
        <f t="shared" si="8"/>
        <v>0.97466564178466797</v>
      </c>
      <c r="Y24" s="2">
        <f t="shared" si="1"/>
        <v>-4.4865858028764194E-7</v>
      </c>
      <c r="Z24" s="2">
        <f t="shared" si="3"/>
        <v>0.97466516494750977</v>
      </c>
      <c r="AA24" s="2">
        <f t="shared" si="2"/>
        <v>3.9750287728068656E-8</v>
      </c>
      <c r="AB24" s="2">
        <f t="shared" si="4"/>
        <v>2.0994478852759067E-14</v>
      </c>
      <c r="AC24" s="2">
        <f t="shared" si="5"/>
        <v>-1.7834307658100561E-14</v>
      </c>
      <c r="AD24" s="2">
        <f t="shared" si="6"/>
        <v>9.5367431640625E-7</v>
      </c>
      <c r="AF24" s="2">
        <v>20</v>
      </c>
      <c r="AG24" s="2">
        <f t="shared" si="13"/>
        <v>2350.7394790649414</v>
      </c>
      <c r="AH24" s="2">
        <v>-5.0992703700103448E-3</v>
      </c>
      <c r="AI24" s="2">
        <f t="shared" si="14"/>
        <v>2350.7575988769531</v>
      </c>
      <c r="AJ24" s="2">
        <v>2.5801379761105636E-3</v>
      </c>
      <c r="AK24" s="2">
        <f t="shared" si="9"/>
        <v>2350.7485389709473</v>
      </c>
      <c r="AL24" s="2">
        <v>-1.2595627556493127E-3</v>
      </c>
      <c r="AM24" s="2">
        <f t="shared" si="10"/>
        <v>6.4228510390511209E-6</v>
      </c>
      <c r="AN24" s="2">
        <f t="shared" si="11"/>
        <v>-3.249845699145262E-6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24.545457179879591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2216.9050602230373</v>
      </c>
      <c r="P25" s="6" t="s">
        <v>19</v>
      </c>
      <c r="U25" s="2">
        <v>21</v>
      </c>
      <c r="V25" s="2">
        <f t="shared" si="7"/>
        <v>0.97466516494750977</v>
      </c>
      <c r="W25" s="2">
        <f t="shared" si="0"/>
        <v>3.9750287728068656E-8</v>
      </c>
      <c r="X25" s="2">
        <f t="shared" si="8"/>
        <v>0.97466564178466797</v>
      </c>
      <c r="Y25" s="2">
        <f t="shared" si="1"/>
        <v>-4.4865858028764194E-7</v>
      </c>
      <c r="Z25" s="2">
        <f t="shared" si="3"/>
        <v>0.97466540336608887</v>
      </c>
      <c r="AA25" s="2">
        <f t="shared" si="2"/>
        <v>-2.0445414772307657E-7</v>
      </c>
      <c r="AB25" s="2">
        <f t="shared" si="4"/>
        <v>-8.1271111991893462E-15</v>
      </c>
      <c r="AC25" s="2">
        <f t="shared" si="5"/>
        <v>9.173010765135536E-14</v>
      </c>
      <c r="AD25" s="2">
        <f t="shared" si="6"/>
        <v>4.76837158203125E-7</v>
      </c>
      <c r="AF25" s="2">
        <v>21</v>
      </c>
      <c r="AG25" s="2">
        <f t="shared" si="13"/>
        <v>2350.7485389709473</v>
      </c>
      <c r="AH25" s="2">
        <v>-1.2595627556493127E-3</v>
      </c>
      <c r="AI25" s="2">
        <f t="shared" si="14"/>
        <v>2350.7575988769531</v>
      </c>
      <c r="AJ25" s="2">
        <v>2.5801379761105636E-3</v>
      </c>
      <c r="AK25" s="2">
        <f t="shared" si="9"/>
        <v>2350.7530689239502</v>
      </c>
      <c r="AL25" s="2">
        <v>6.6000909487229364E-4</v>
      </c>
      <c r="AM25" s="2">
        <f t="shared" si="10"/>
        <v>-8.3132287429095492E-7</v>
      </c>
      <c r="AN25" s="2">
        <f t="shared" si="11"/>
        <v>1.7029145302583648E-6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2880.1070022393569</v>
      </c>
      <c r="H26" s="6" t="s">
        <v>21</v>
      </c>
      <c r="J26" s="14" t="s">
        <v>65</v>
      </c>
      <c r="K26" s="6">
        <f xml:space="preserve"> $C$80 * (0.0268 * $C$5)</f>
        <v>50.400081306718697</v>
      </c>
      <c r="L26" s="6" t="s">
        <v>7</v>
      </c>
      <c r="N26" s="6" t="s">
        <v>32</v>
      </c>
      <c r="O26" s="17">
        <f>Z34</f>
        <v>0.97466520359739661</v>
      </c>
      <c r="U26" s="2">
        <v>22</v>
      </c>
      <c r="V26" s="2">
        <f t="shared" si="7"/>
        <v>0.97466516494750977</v>
      </c>
      <c r="W26" s="2">
        <f t="shared" si="0"/>
        <v>3.9750287728068656E-8</v>
      </c>
      <c r="X26" s="2">
        <f t="shared" si="8"/>
        <v>0.97466540336608887</v>
      </c>
      <c r="Y26" s="2">
        <f t="shared" si="1"/>
        <v>-2.0445414772307657E-7</v>
      </c>
      <c r="Z26" s="2">
        <f t="shared" si="3"/>
        <v>0.97466528415679932</v>
      </c>
      <c r="AA26" s="2">
        <f t="shared" si="2"/>
        <v>-8.2351930275059715E-8</v>
      </c>
      <c r="AB26" s="2">
        <f t="shared" si="4"/>
        <v>-3.273512923395472E-15</v>
      </c>
      <c r="AC26" s="2">
        <f t="shared" si="5"/>
        <v>1.6837193717737561E-14</v>
      </c>
      <c r="AD26" s="2">
        <f t="shared" si="6"/>
        <v>2.384185791015625E-7</v>
      </c>
      <c r="AF26" s="2">
        <v>22</v>
      </c>
      <c r="AG26" s="2">
        <f t="shared" si="13"/>
        <v>2350.7485389709473</v>
      </c>
      <c r="AH26" s="2">
        <v>-1.2595627556493127E-3</v>
      </c>
      <c r="AI26" s="2">
        <f t="shared" si="14"/>
        <v>2350.7530689239502</v>
      </c>
      <c r="AJ26" s="2">
        <v>6.6000909487229364E-4</v>
      </c>
      <c r="AK26" s="2">
        <f t="shared" si="9"/>
        <v>2350.7508039474487</v>
      </c>
      <c r="AL26" s="2">
        <v>-2.9977661506563891E-4</v>
      </c>
      <c r="AM26" s="2">
        <f t="shared" si="10"/>
        <v>3.7758745935129943E-7</v>
      </c>
      <c r="AN26" s="2">
        <f t="shared" si="11"/>
        <v>-1.9785529237335232E-7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39.861999734643234</v>
      </c>
      <c r="H27" t="s">
        <v>97</v>
      </c>
      <c r="J27" s="14" t="s">
        <v>66</v>
      </c>
      <c r="K27" s="6">
        <f xml:space="preserve"> $C$80 * (11.5 * ($C$5*2.20462/1000)^0.4 * 0.453592)</f>
        <v>8.0587798756405711</v>
      </c>
      <c r="L27" s="6" t="s">
        <v>7</v>
      </c>
      <c r="N27" s="6" t="s">
        <v>33</v>
      </c>
      <c r="O27" s="6">
        <f xml:space="preserve"> O21 * $C$10 * O26 - $C$7 * SIN(O19/180*PI())</f>
        <v>1.6738235634188356</v>
      </c>
      <c r="P27" s="6" t="s">
        <v>10</v>
      </c>
      <c r="U27" s="2">
        <v>23</v>
      </c>
      <c r="V27" s="2">
        <f t="shared" si="7"/>
        <v>0.97466516494750977</v>
      </c>
      <c r="W27" s="2">
        <f t="shared" si="0"/>
        <v>3.9750287728068656E-8</v>
      </c>
      <c r="X27" s="2">
        <f t="shared" si="8"/>
        <v>0.97466528415679932</v>
      </c>
      <c r="Y27" s="2">
        <f t="shared" si="1"/>
        <v>-8.2351930275059715E-8</v>
      </c>
      <c r="Z27" s="2">
        <f t="shared" si="3"/>
        <v>0.97466522455215454</v>
      </c>
      <c r="AA27" s="2">
        <f t="shared" si="2"/>
        <v>-2.1300821440028983E-8</v>
      </c>
      <c r="AB27" s="2">
        <f t="shared" si="4"/>
        <v>-8.4671378108536583E-16</v>
      </c>
      <c r="AC27" s="2">
        <f t="shared" si="5"/>
        <v>1.7541637620307638E-15</v>
      </c>
      <c r="AD27" s="2">
        <f t="shared" si="6"/>
        <v>1.1920928955078125E-7</v>
      </c>
      <c r="AF27" s="2">
        <v>23</v>
      </c>
      <c r="AG27" s="2">
        <f t="shared" si="13"/>
        <v>2350.7508039474487</v>
      </c>
      <c r="AH27" s="2">
        <v>-2.9977661506563891E-4</v>
      </c>
      <c r="AI27" s="2">
        <f t="shared" si="14"/>
        <v>2350.7530689239502</v>
      </c>
      <c r="AJ27" s="2">
        <v>6.6000909487229364E-4</v>
      </c>
      <c r="AK27" s="2">
        <f t="shared" si="9"/>
        <v>2350.7519364356995</v>
      </c>
      <c r="AL27" s="2">
        <v>1.8039566930383444E-4</v>
      </c>
      <c r="AM27" s="2">
        <f t="shared" si="10"/>
        <v>-5.4078403116403869E-8</v>
      </c>
      <c r="AN27" s="2">
        <f t="shared" si="11"/>
        <v>1.1906278241610537E-7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7.37152575321225</v>
      </c>
      <c r="H28" s="6" t="s">
        <v>172</v>
      </c>
      <c r="J28" s="14" t="s">
        <v>67</v>
      </c>
      <c r="K28" s="6">
        <f xml:space="preserve"> $C$80 * (8 * ($C$5/1000))</f>
        <v>15.044800390065284</v>
      </c>
      <c r="L28" s="6" t="s">
        <v>7</v>
      </c>
      <c r="N28" s="6" t="s">
        <v>34</v>
      </c>
      <c r="O28" s="6">
        <f xml:space="preserve"> 1/$C$31 - O25 * SQRT( (2*$C$71*PI()*$C$10^2) / O20^3 )</f>
        <v>1.1961709847819573</v>
      </c>
      <c r="U28" s="2">
        <v>24</v>
      </c>
      <c r="V28" s="2">
        <f t="shared" si="7"/>
        <v>0.97466516494750977</v>
      </c>
      <c r="W28" s="2">
        <f t="shared" si="0"/>
        <v>3.9750287728068656E-8</v>
      </c>
      <c r="X28" s="2">
        <f t="shared" si="8"/>
        <v>0.97466522455215454</v>
      </c>
      <c r="Y28" s="2">
        <f t="shared" si="1"/>
        <v>-2.1300821440028983E-8</v>
      </c>
      <c r="Z28" s="2">
        <f t="shared" si="3"/>
        <v>0.97466519474983215</v>
      </c>
      <c r="AA28" s="2">
        <f t="shared" si="2"/>
        <v>9.2247331995309878E-9</v>
      </c>
      <c r="AB28" s="2">
        <f t="shared" si="4"/>
        <v>3.6668579889602413E-16</v>
      </c>
      <c r="AC28" s="2">
        <f t="shared" si="5"/>
        <v>-1.9649439471511682E-16</v>
      </c>
      <c r="AD28" s="2">
        <f t="shared" si="6"/>
        <v>5.9604644775390625E-8</v>
      </c>
      <c r="AF28" s="2">
        <v>24</v>
      </c>
      <c r="AG28" s="2">
        <f t="shared" si="13"/>
        <v>2350.7508039474487</v>
      </c>
      <c r="AH28" s="2">
        <v>-2.9977661506563891E-4</v>
      </c>
      <c r="AI28" s="2">
        <f t="shared" si="14"/>
        <v>2350.7519364356995</v>
      </c>
      <c r="AJ28" s="2">
        <v>1.8039566930383444E-4</v>
      </c>
      <c r="AK28" s="2">
        <f t="shared" si="9"/>
        <v>2350.7513701915741</v>
      </c>
      <c r="AL28" s="2">
        <v>-5.9969835547235562E-5</v>
      </c>
      <c r="AM28" s="2">
        <f t="shared" si="10"/>
        <v>1.7977554306393305E-8</v>
      </c>
      <c r="AN28" s="2">
        <f t="shared" si="11"/>
        <v>-1.0818298621584442E-8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318.89599787714587</v>
      </c>
      <c r="H29" s="22" t="s">
        <v>97</v>
      </c>
      <c r="J29" s="14" t="s">
        <v>68</v>
      </c>
      <c r="K29" s="6">
        <f xml:space="preserve"> $C$80 * (13 * ($C$5*2.20462/1000)^1.3 * 0.453592)</f>
        <v>40.049858340894566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0.97466519474983215</v>
      </c>
      <c r="W29" s="2">
        <f t="shared" si="0"/>
        <v>9.2247331995309878E-9</v>
      </c>
      <c r="X29" s="2">
        <f t="shared" si="8"/>
        <v>0.97466522455215454</v>
      </c>
      <c r="Y29" s="2">
        <f t="shared" si="1"/>
        <v>-2.1300821440028983E-8</v>
      </c>
      <c r="Z29" s="2">
        <f t="shared" si="3"/>
        <v>0.97466520965099335</v>
      </c>
      <c r="AA29" s="2">
        <f t="shared" si="2"/>
        <v>-6.0380441757601488E-9</v>
      </c>
      <c r="AB29" s="2">
        <f t="shared" si="4"/>
        <v>-5.5699346568369364E-17</v>
      </c>
      <c r="AC29" s="2">
        <f t="shared" si="5"/>
        <v>1.286153008348739E-16</v>
      </c>
      <c r="AD29" s="2">
        <f t="shared" si="6"/>
        <v>2.9802322387695312E-8</v>
      </c>
      <c r="AF29" s="2">
        <v>25</v>
      </c>
      <c r="AG29" s="2">
        <f t="shared" si="13"/>
        <v>2350.7513701915741</v>
      </c>
      <c r="AH29" s="2">
        <v>-2.9977661506563891E-4</v>
      </c>
      <c r="AI29" s="2">
        <f t="shared" si="14"/>
        <v>2350.7519364356995</v>
      </c>
      <c r="AJ29" s="2">
        <v>1.8039566930383444E-4</v>
      </c>
      <c r="AK29" s="2">
        <f t="shared" si="9"/>
        <v>2350.7516533136368</v>
      </c>
      <c r="AL29" s="2">
        <v>-1.7987322212320578E-4</v>
      </c>
      <c r="AM29" s="2">
        <f t="shared" si="10"/>
        <v>5.3921785669044424E-8</v>
      </c>
      <c r="AN29" s="2">
        <f t="shared" si="11"/>
        <v>-3.2448350294752986E-8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-6.1457910464923771E-4</v>
      </c>
      <c r="L30" s="9" t="s">
        <v>7</v>
      </c>
      <c r="N30" s="6" t="s">
        <v>36</v>
      </c>
      <c r="O30" s="6">
        <f xml:space="preserve"> 1/$C$77 * LN( EXP($C$77 * O28) + EXP($C$77 * O29) )</f>
        <v>1.2036168722291487</v>
      </c>
      <c r="U30" s="2">
        <v>26</v>
      </c>
      <c r="V30" s="2">
        <f>IF(AB29&gt;0, Z29, V29)</f>
        <v>0.97466519474983215</v>
      </c>
      <c r="W30" s="2">
        <f t="shared" si="0"/>
        <v>9.2247331995309878E-9</v>
      </c>
      <c r="X30" s="2">
        <f t="shared" si="8"/>
        <v>0.97466520965099335</v>
      </c>
      <c r="Y30" s="2">
        <f t="shared" si="1"/>
        <v>-6.0380441757601488E-9</v>
      </c>
      <c r="Z30" s="2">
        <f t="shared" si="3"/>
        <v>0.97466520220041275</v>
      </c>
      <c r="AA30" s="2">
        <f t="shared" si="2"/>
        <v>1.5933444563742682E-9</v>
      </c>
      <c r="AB30" s="2">
        <f t="shared" si="4"/>
        <v>1.4698177505004366E-17</v>
      </c>
      <c r="AC30" s="2">
        <f t="shared" si="5"/>
        <v>-9.620684214790371E-18</v>
      </c>
      <c r="AD30" s="2">
        <f t="shared" si="6"/>
        <v>1.4901161193847656E-8</v>
      </c>
      <c r="AF30" s="2">
        <v>26</v>
      </c>
      <c r="AG30" s="2">
        <f t="shared" si="13"/>
        <v>2350.7516533136368</v>
      </c>
      <c r="AH30" s="2">
        <v>-2.9977661506563891E-4</v>
      </c>
      <c r="AI30" s="2">
        <f t="shared" si="14"/>
        <v>2350.7519364356995</v>
      </c>
      <c r="AJ30" s="2">
        <v>1.8039566930383444E-4</v>
      </c>
      <c r="AK30" s="2">
        <f t="shared" si="9"/>
        <v>2350.7517948746681</v>
      </c>
      <c r="AL30" s="2">
        <v>-2.3982491825336183E-4</v>
      </c>
      <c r="AM30" s="2">
        <f t="shared" si="10"/>
        <v>7.189390220238637E-8</v>
      </c>
      <c r="AN30" s="2">
        <f t="shared" si="11"/>
        <v>-4.3263376644052588E-8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0.97466520220041275</v>
      </c>
      <c r="W31" s="2">
        <f t="shared" si="0"/>
        <v>1.5933444563742682E-9</v>
      </c>
      <c r="X31" s="2">
        <f t="shared" si="8"/>
        <v>0.97466520965099335</v>
      </c>
      <c r="Y31" s="2">
        <f t="shared" si="1"/>
        <v>-6.0380441757601488E-9</v>
      </c>
      <c r="Z31" s="2">
        <f t="shared" si="3"/>
        <v>0.97466520592570305</v>
      </c>
      <c r="AA31" s="2">
        <f t="shared" si="2"/>
        <v>-2.2223498596929403E-9</v>
      </c>
      <c r="AB31" s="2">
        <f t="shared" si="4"/>
        <v>-3.5409688290658793E-18</v>
      </c>
      <c r="AC31" s="2">
        <f t="shared" si="5"/>
        <v>1.3418646626820342E-17</v>
      </c>
      <c r="AD31" s="2">
        <f t="shared" si="6"/>
        <v>7.4505805969238281E-9</v>
      </c>
      <c r="AF31" s="2">
        <v>27</v>
      </c>
      <c r="AG31" s="2">
        <f t="shared" si="13"/>
        <v>2350.7517948746681</v>
      </c>
      <c r="AH31" s="2">
        <v>-2.9977661506563891E-4</v>
      </c>
      <c r="AI31" s="2">
        <f t="shared" si="14"/>
        <v>2350.7519364356995</v>
      </c>
      <c r="AJ31" s="2">
        <v>1.8039566930383444E-4</v>
      </c>
      <c r="AK31" s="2">
        <f t="shared" si="9"/>
        <v>2350.7518656551838</v>
      </c>
      <c r="AL31" s="2">
        <v>-2.6952139046443335E-4</v>
      </c>
      <c r="AM31" s="2">
        <f t="shared" si="10"/>
        <v>8.07962101212122E-8</v>
      </c>
      <c r="AN31" s="2">
        <f t="shared" si="11"/>
        <v>-4.8620491624531556E-8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0.97466520220041275</v>
      </c>
      <c r="W32" s="2">
        <f t="shared" si="0"/>
        <v>1.5933444563742682E-9</v>
      </c>
      <c r="X32" s="2">
        <f t="shared" si="8"/>
        <v>0.97466520592570305</v>
      </c>
      <c r="Y32" s="2">
        <f t="shared" si="1"/>
        <v>-2.2223498596929403E-9</v>
      </c>
      <c r="Z32" s="2">
        <f t="shared" si="3"/>
        <v>0.9746652040630579</v>
      </c>
      <c r="AA32" s="2">
        <f t="shared" si="2"/>
        <v>-3.1450264614818479E-10</v>
      </c>
      <c r="AB32" s="2">
        <f t="shared" si="4"/>
        <v>-5.0111104775524835E-19</v>
      </c>
      <c r="AC32" s="2">
        <f t="shared" si="5"/>
        <v>6.9893491154047693E-19</v>
      </c>
      <c r="AD32" s="2">
        <f t="shared" si="6"/>
        <v>3.7252902984619141E-9</v>
      </c>
      <c r="AF32" s="2">
        <v>28</v>
      </c>
      <c r="AG32" s="2">
        <f t="shared" si="13"/>
        <v>2350.7518656551838</v>
      </c>
      <c r="AH32" s="2">
        <v>-2.9977661506563891E-4</v>
      </c>
      <c r="AI32" s="2">
        <f t="shared" si="14"/>
        <v>2350.7519364356995</v>
      </c>
      <c r="AJ32" s="2">
        <v>1.8039566930383444E-4</v>
      </c>
      <c r="AK32" s="2">
        <f t="shared" si="9"/>
        <v>2350.7519010454416</v>
      </c>
      <c r="AL32" s="2">
        <v>-2.8464900287872297E-4</v>
      </c>
      <c r="AM32" s="2">
        <f t="shared" si="10"/>
        <v>8.5331114564792875E-8</v>
      </c>
      <c r="AN32" s="2">
        <f t="shared" si="11"/>
        <v>-5.1349447390976326E-8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105.91970159283458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0.97466520220041275</v>
      </c>
      <c r="W33" s="2">
        <f t="shared" si="0"/>
        <v>1.5933444563742682E-9</v>
      </c>
      <c r="X33" s="2">
        <f t="shared" si="8"/>
        <v>0.9746652040630579</v>
      </c>
      <c r="Y33" s="2">
        <f t="shared" si="1"/>
        <v>-3.1450264614818479E-10</v>
      </c>
      <c r="Z33" s="2">
        <f t="shared" si="3"/>
        <v>0.97466520313173532</v>
      </c>
      <c r="AA33" s="2">
        <f t="shared" si="2"/>
        <v>6.3942096062419296E-10</v>
      </c>
      <c r="AB33" s="2">
        <f t="shared" si="4"/>
        <v>1.0188178429000671E-18</v>
      </c>
      <c r="AC33" s="2">
        <f t="shared" si="5"/>
        <v>-2.0109958411892296E-19</v>
      </c>
      <c r="AD33" s="2">
        <f t="shared" si="6"/>
        <v>1.862645149230957E-9</v>
      </c>
      <c r="AF33" s="2">
        <v>29</v>
      </c>
      <c r="AG33" s="2">
        <f t="shared" si="13"/>
        <v>2350.7519010454416</v>
      </c>
      <c r="AH33" s="2">
        <v>-2.9977661506563891E-4</v>
      </c>
      <c r="AI33" s="2">
        <f t="shared" si="14"/>
        <v>2350.7519364356995</v>
      </c>
      <c r="AJ33" s="2">
        <v>1.8039566930383444E-4</v>
      </c>
      <c r="AK33" s="2">
        <f t="shared" si="9"/>
        <v>2350.7519187405705</v>
      </c>
      <c r="AL33" s="2">
        <v>-2.9221280897218094E-4</v>
      </c>
      <c r="AM33" s="2">
        <f t="shared" si="10"/>
        <v>8.7598566752502565E-8</v>
      </c>
      <c r="AN33" s="2">
        <f t="shared" si="11"/>
        <v>-5.2713925253690097E-8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25.52</v>
      </c>
      <c r="L34" s="6" t="s">
        <v>59</v>
      </c>
      <c r="U34" s="2">
        <v>30</v>
      </c>
      <c r="V34" s="2">
        <f t="shared" si="7"/>
        <v>0.97466520313173532</v>
      </c>
      <c r="W34" s="2">
        <f t="shared" si="0"/>
        <v>6.3942096062419296E-10</v>
      </c>
      <c r="X34" s="2">
        <f t="shared" si="8"/>
        <v>0.9746652040630579</v>
      </c>
      <c r="Y34" s="2">
        <f t="shared" si="1"/>
        <v>-3.1450264614818479E-10</v>
      </c>
      <c r="Z34" s="2">
        <f t="shared" si="3"/>
        <v>0.97466520359739661</v>
      </c>
      <c r="AA34" s="2">
        <f t="shared" si="2"/>
        <v>1.6245915723800408E-10</v>
      </c>
      <c r="AB34" s="2">
        <f t="shared" si="4"/>
        <v>1.0387979038332138E-19</v>
      </c>
      <c r="AC34" s="2">
        <f t="shared" si="5"/>
        <v>-5.1093834842356312E-20</v>
      </c>
      <c r="AD34" s="2">
        <f t="shared" si="6"/>
        <v>9.3132257461547852E-10</v>
      </c>
      <c r="AF34" s="2">
        <v>30</v>
      </c>
      <c r="AG34" s="2">
        <f t="shared" si="13"/>
        <v>2350.7519187405705</v>
      </c>
      <c r="AH34" s="2">
        <v>-2.9977661506563891E-4</v>
      </c>
      <c r="AI34" s="2">
        <f t="shared" si="14"/>
        <v>2350.7519364356995</v>
      </c>
      <c r="AJ34" s="2">
        <v>1.8039566930383444E-4</v>
      </c>
      <c r="AK34" s="2">
        <f t="shared" si="9"/>
        <v>2350.751927588135</v>
      </c>
      <c r="AL34" s="2">
        <v>-2.9599471235997044E-4</v>
      </c>
      <c r="AM34" s="2">
        <f t="shared" si="10"/>
        <v>8.8732292948599375E-8</v>
      </c>
      <c r="AN34" s="2">
        <f t="shared" si="11"/>
        <v>-5.3396164246572823E-8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26.88</v>
      </c>
      <c r="L35" s="6" t="s">
        <v>59</v>
      </c>
      <c r="AF35" s="2">
        <v>31</v>
      </c>
      <c r="AG35" s="2">
        <f t="shared" si="13"/>
        <v>2350.751927588135</v>
      </c>
      <c r="AH35" s="2">
        <v>-2.9977661506563891E-4</v>
      </c>
      <c r="AI35" s="2">
        <f t="shared" si="14"/>
        <v>2350.7519364356995</v>
      </c>
      <c r="AJ35" s="2">
        <v>1.8039566930383444E-4</v>
      </c>
      <c r="AK35" s="2">
        <f t="shared" si="9"/>
        <v>2350.7519320119172</v>
      </c>
      <c r="AL35" s="2">
        <v>-2.9788566371280467E-4</v>
      </c>
      <c r="AM35" s="2">
        <f t="shared" si="10"/>
        <v>8.9299155944405808E-8</v>
      </c>
      <c r="AN35" s="2">
        <f t="shared" si="11"/>
        <v>-5.3737283681488346E-8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15.17</v>
      </c>
      <c r="L36" s="6" t="s">
        <v>59</v>
      </c>
      <c r="AF36" s="2">
        <v>32</v>
      </c>
      <c r="AG36" s="2">
        <f t="shared" si="13"/>
        <v>2350.7519320119172</v>
      </c>
      <c r="AH36" s="2">
        <v>-2.9977661506563891E-4</v>
      </c>
      <c r="AI36" s="2">
        <f t="shared" si="14"/>
        <v>2350.7519364356995</v>
      </c>
      <c r="AJ36" s="2">
        <v>1.8039566930383444E-4</v>
      </c>
      <c r="AK36" s="2">
        <f t="shared" si="9"/>
        <v>2350.7519342238083</v>
      </c>
      <c r="AL36" s="2">
        <v>-2.9883113961659546E-4</v>
      </c>
      <c r="AM36" s="2">
        <f t="shared" si="10"/>
        <v>8.9582587510470334E-8</v>
      </c>
      <c r="AN36" s="2">
        <f t="shared" si="11"/>
        <v>-5.3907843439963334E-8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27.6</v>
      </c>
      <c r="L37" s="6" t="s">
        <v>59</v>
      </c>
      <c r="AF37" s="2">
        <v>33</v>
      </c>
      <c r="AG37" s="2">
        <f t="shared" si="13"/>
        <v>2350.7519342238083</v>
      </c>
      <c r="AH37" s="2">
        <v>-2.9977661506563891E-4</v>
      </c>
      <c r="AI37" s="2">
        <f t="shared" si="14"/>
        <v>2350.7519364356995</v>
      </c>
      <c r="AJ37" s="2">
        <v>1.8039566930383444E-4</v>
      </c>
      <c r="AK37" s="2">
        <f t="shared" si="9"/>
        <v>2350.7519353297539</v>
      </c>
      <c r="AL37" s="2">
        <v>-2.9930387722743035E-4</v>
      </c>
      <c r="AM37" s="2">
        <f t="shared" si="10"/>
        <v>8.9724303191260639E-8</v>
      </c>
      <c r="AN37" s="2">
        <f t="shared" si="11"/>
        <v>-5.3993123257674988E-8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4.83</v>
      </c>
      <c r="L38" s="6" t="s">
        <v>59</v>
      </c>
      <c r="AF38" s="2">
        <v>34</v>
      </c>
      <c r="AG38" s="2">
        <f t="shared" si="13"/>
        <v>2350.7519353297539</v>
      </c>
      <c r="AH38" s="2">
        <v>-2.9977661506563891E-4</v>
      </c>
      <c r="AI38" s="2">
        <f t="shared" si="14"/>
        <v>2350.7519364356995</v>
      </c>
      <c r="AJ38" s="2">
        <v>1.8039566930383444E-4</v>
      </c>
      <c r="AK38" s="2">
        <f t="shared" si="9"/>
        <v>2350.7519358827267</v>
      </c>
      <c r="AL38" s="2">
        <v>-2.9954024648759514E-4</v>
      </c>
      <c r="AM38" s="2">
        <f t="shared" si="10"/>
        <v>8.9795161167978405E-8</v>
      </c>
      <c r="AN38" s="2">
        <f t="shared" si="11"/>
        <v>-5.4035763248565268E-8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99.999999999999986</v>
      </c>
      <c r="L39" s="9" t="s">
        <v>59</v>
      </c>
      <c r="AF39" s="2">
        <v>35</v>
      </c>
      <c r="AG39" s="2">
        <f t="shared" si="13"/>
        <v>2350.7519358827267</v>
      </c>
      <c r="AH39" s="2">
        <v>-2.9977661506563891E-4</v>
      </c>
      <c r="AI39" s="2">
        <f t="shared" si="14"/>
        <v>2350.7519364356995</v>
      </c>
      <c r="AJ39" s="2">
        <v>1.8039566930383444E-4</v>
      </c>
      <c r="AK39" s="2">
        <f t="shared" si="9"/>
        <v>2350.7519361592131</v>
      </c>
      <c r="AL39" s="2">
        <v>-2.996584310039907E-4</v>
      </c>
      <c r="AM39" s="2">
        <f t="shared" si="10"/>
        <v>8.9830590122256633E-8</v>
      </c>
      <c r="AN39" s="2">
        <f t="shared" si="11"/>
        <v>-5.4057083223501795E-8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2350.7519361592131</v>
      </c>
      <c r="AH40" s="2">
        <v>-2.9977661506563891E-4</v>
      </c>
      <c r="AI40" s="2">
        <f t="shared" si="14"/>
        <v>2350.7519364356995</v>
      </c>
      <c r="AJ40" s="2">
        <v>1.8039566930383444E-4</v>
      </c>
      <c r="AK40" s="2">
        <f t="shared" si="9"/>
        <v>2350.7519362974563</v>
      </c>
      <c r="AL40" s="2">
        <v>-2.9971752269375429E-4</v>
      </c>
      <c r="AM40" s="2">
        <f t="shared" si="10"/>
        <v>8.9848304428992478E-8</v>
      </c>
      <c r="AN40" s="2">
        <f t="shared" si="11"/>
        <v>-5.4067743108426992E-8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2350.7519362974563</v>
      </c>
      <c r="AH41" s="2">
        <v>-2.9977661506563891E-4</v>
      </c>
      <c r="AI41" s="2">
        <f t="shared" si="14"/>
        <v>2350.7519364356995</v>
      </c>
      <c r="AJ41" s="2">
        <v>1.8039566930383444E-4</v>
      </c>
      <c r="AK41" s="2">
        <f t="shared" si="9"/>
        <v>2350.7519363665779</v>
      </c>
      <c r="AL41" s="2">
        <v>-2.9974706876600976E-4</v>
      </c>
      <c r="AM41" s="2">
        <f t="shared" si="10"/>
        <v>8.9857161650521697E-8</v>
      </c>
      <c r="AN41" s="2">
        <f t="shared" si="11"/>
        <v>-5.4073073091906818E-8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2350.7519363665779</v>
      </c>
      <c r="AH42" s="2">
        <v>-2.9977661506563891E-4</v>
      </c>
      <c r="AI42" s="2">
        <f t="shared" si="14"/>
        <v>2350.7519364356995</v>
      </c>
      <c r="AJ42" s="2">
        <v>1.8039566930383444E-4</v>
      </c>
      <c r="AK42" s="2">
        <f t="shared" si="9"/>
        <v>2350.7519364011387</v>
      </c>
      <c r="AL42" s="2">
        <v>-2.9976184191582433E-4</v>
      </c>
      <c r="AM42" s="2">
        <f t="shared" si="10"/>
        <v>8.9861590295366976E-8</v>
      </c>
      <c r="AN42" s="2">
        <f t="shared" si="11"/>
        <v>-5.4075738104155343E-8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631.77</v>
      </c>
      <c r="L43" s="6" t="s">
        <v>7</v>
      </c>
      <c r="AF43" s="2">
        <v>39</v>
      </c>
      <c r="AG43" s="2">
        <f t="shared" si="13"/>
        <v>2350.7519364011387</v>
      </c>
      <c r="AH43" s="2">
        <v>-2.9977661506563891E-4</v>
      </c>
      <c r="AI43" s="2">
        <f t="shared" si="14"/>
        <v>2350.7519364356995</v>
      </c>
      <c r="AJ43" s="2">
        <v>1.8039566930383444E-4</v>
      </c>
      <c r="AK43" s="2">
        <f t="shared" si="9"/>
        <v>2350.7519364184191</v>
      </c>
      <c r="AL43" s="2">
        <v>-2.9976922860441846E-4</v>
      </c>
      <c r="AM43" s="2">
        <f t="shared" si="10"/>
        <v>8.9863804651870263E-8</v>
      </c>
      <c r="AN43" s="2">
        <f t="shared" si="11"/>
        <v>-5.4077070630788219E-8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356.58</v>
      </c>
      <c r="L44" s="6" t="s">
        <v>7</v>
      </c>
      <c r="AF44" s="2">
        <v>40</v>
      </c>
      <c r="AG44" s="2">
        <f t="shared" si="13"/>
        <v>2350.7519364184191</v>
      </c>
      <c r="AH44" s="2">
        <v>-2.9977661506563891E-4</v>
      </c>
      <c r="AI44" s="2">
        <f t="shared" si="14"/>
        <v>2350.7519364356995</v>
      </c>
      <c r="AJ44" s="2">
        <v>1.8039566930383444E-4</v>
      </c>
      <c r="AK44" s="5">
        <f t="shared" si="9"/>
        <v>2350.7519364270593</v>
      </c>
      <c r="AL44" s="2">
        <v>-2.9977292206240236E-4</v>
      </c>
      <c r="AM44" s="2">
        <f t="shared" si="10"/>
        <v>8.9864911864202569E-8</v>
      </c>
      <c r="AN44" s="2">
        <f t="shared" si="11"/>
        <v>-5.4077736914613271E-8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648.85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113.55</v>
      </c>
      <c r="L46" s="6" t="s">
        <v>7</v>
      </c>
    </row>
    <row r="47" spans="2:41" x14ac:dyDescent="0.2">
      <c r="J47" s="9" t="s">
        <v>60</v>
      </c>
      <c r="K47" s="9">
        <f>SUM(K42:K46)</f>
        <v>2350.75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250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23" priority="1" operator="containsText" text="FALSE">
      <formula>NOT(ISERROR(SEARCH("FALSE",K31)))</formula>
    </cfRule>
    <cfRule type="containsText" dxfId="22" priority="2" operator="containsText" text="TRUE">
      <formula>NOT(ISERROR(SEARCH("TRUE",K31)))</formula>
    </cfRule>
    <cfRule type="cellIs" dxfId="21" priority="3" operator="equal">
      <formula>1</formula>
    </cfRule>
    <cfRule type="cellIs" dxfId="20" priority="4" operator="equal">
      <formula>TRUE</formula>
    </cfRule>
    <cfRule type="containsText" dxfId="19" priority="5" operator="containsText" text="YES">
      <formula>NOT(ISERROR(SEARCH("YES",K31)))</formula>
    </cfRule>
    <cfRule type="cellIs" dxfId="18" priority="6" operator="equal">
      <formula>"""YES"""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0EE12-39D0-AD44-9469-F28D414ECCB8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397.36506540093728</v>
      </c>
      <c r="L4" s="6" t="s">
        <v>97</v>
      </c>
      <c r="N4" s="6" t="s">
        <v>131</v>
      </c>
      <c r="O4" s="6">
        <f xml:space="preserve"> $C$5 * $C$74</f>
        <v>18597.347000230431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1.2010410549664787</v>
      </c>
      <c r="X4" s="3">
        <v>1</v>
      </c>
      <c r="Y4" s="2">
        <f t="shared" ref="Y4:Y34" si="1" xml:space="preserve"> $O$22 * TAN($O$19/180*PI()) + $O$23 / (2 * SQRT($O$22^2 + X4^2)) - X4</f>
        <v>-2.8417921351796882E-2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0.49190292856722229</v>
      </c>
      <c r="AB4" s="2">
        <f>W4*AA4</f>
        <v>0.59079561226747712</v>
      </c>
      <c r="AC4" s="2">
        <f>Y4*AA4</f>
        <v>-1.3978858736741883E-2</v>
      </c>
      <c r="AD4" s="2">
        <f>X4-V4</f>
        <v>1</v>
      </c>
      <c r="AF4" s="2">
        <v>0</v>
      </c>
      <c r="AH4" s="2">
        <f>K30</f>
        <v>-1.3441146600143838E-3</v>
      </c>
      <c r="AJ4" s="2">
        <f>K30</f>
        <v>-1.3441146600143838E-3</v>
      </c>
      <c r="AL4" s="2">
        <f>K30</f>
        <v>-1.3441146600143838E-3</v>
      </c>
    </row>
    <row r="5" spans="2:41" x14ac:dyDescent="0.2">
      <c r="B5" s="9" t="s">
        <v>38</v>
      </c>
      <c r="C5" s="9">
        <v>1897.58126289705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49.67063317511716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0.49190292856722229</v>
      </c>
      <c r="X5" s="2">
        <f>IF(AC4&gt;0, Z4, X4)</f>
        <v>1</v>
      </c>
      <c r="Y5" s="2">
        <f t="shared" si="1"/>
        <v>-2.8417921351796882E-2</v>
      </c>
      <c r="Z5" s="2">
        <f t="shared" ref="Z5:Z34" si="3" xml:space="preserve"> (V5 + X5)/2</f>
        <v>0.75</v>
      </c>
      <c r="AA5" s="2">
        <f t="shared" si="2"/>
        <v>0.22842245945066131</v>
      </c>
      <c r="AB5" s="2">
        <f t="shared" ref="AB5:AB34" si="4">W5*AA5</f>
        <v>0.11236167675430787</v>
      </c>
      <c r="AC5" s="2">
        <f t="shared" ref="AC5:AC34" si="5">Y5*AA5</f>
        <v>-6.4912914876529056E-3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/>
        <v>-781.78150328049867</v>
      </c>
      <c r="AI5" s="3">
        <v>10000</v>
      </c>
      <c r="AJ5" s="2">
        <f t="dataTable" ref="AJ5:AJ44" dt2D="0" dtr="0" r1="C5" ca="1"/>
        <v>3808.1156055908295</v>
      </c>
      <c r="AK5" s="2">
        <f>(AG5+AI5)/2</f>
        <v>5250</v>
      </c>
      <c r="AL5" s="2">
        <f t="dataTable" ref="AL5:AL44" dt2D="0" dtr="0" r1="C5" ca="1"/>
        <v>1932.5829056244061</v>
      </c>
      <c r="AM5" s="2">
        <f>AH5*AL5</f>
        <v>-1510857.5691732422</v>
      </c>
      <c r="AN5" s="2">
        <f>AJ5*AL5</f>
        <v>7359499.1220063698</v>
      </c>
      <c r="AO5" s="2">
        <f>AI5-AG5</f>
        <v>9500</v>
      </c>
    </row>
    <row r="6" spans="2:41" x14ac:dyDescent="0.2">
      <c r="B6" s="6" t="s">
        <v>168</v>
      </c>
      <c r="C6" s="16">
        <v>466.593711082038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141.7631722129683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0.20069051035645721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0.22842245945066131</v>
      </c>
      <c r="X6" s="2">
        <f t="shared" ref="X6:X34" si="8">IF(AC5&gt;0, Z5, X5)</f>
        <v>1</v>
      </c>
      <c r="Y6" s="2">
        <f t="shared" si="1"/>
        <v>-2.8417921351796882E-2</v>
      </c>
      <c r="Z6" s="2">
        <f t="shared" si="3"/>
        <v>0.875</v>
      </c>
      <c r="AA6" s="2">
        <f t="shared" si="2"/>
        <v>9.9520325288570466E-2</v>
      </c>
      <c r="AB6" s="2">
        <f t="shared" si="4"/>
        <v>2.273267746774511E-2</v>
      </c>
      <c r="AC6" s="2">
        <f t="shared" si="5"/>
        <v>-2.8281607769558379E-3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-781.78150328049867</v>
      </c>
      <c r="AI6" s="2">
        <f>IF(AN5&gt;0,AK5,AI5)</f>
        <v>5250</v>
      </c>
      <c r="AJ6" s="2">
        <v>1932.5829056244061</v>
      </c>
      <c r="AK6" s="2">
        <f t="shared" ref="AK6:AK44" si="9">(AG6+AI6)/2</f>
        <v>2875</v>
      </c>
      <c r="AL6" s="2">
        <v>496.41743754804088</v>
      </c>
      <c r="AM6" s="2">
        <f t="shared" ref="AM6:AM44" si="10">AH6*AL6</f>
        <v>-388089.97058096045</v>
      </c>
      <c r="AN6" s="2">
        <f t="shared" ref="AN6:AN44" si="11">AJ6*AL6</f>
        <v>959367.85385921493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2324.8907543938112</v>
      </c>
      <c r="H7" s="6" t="s">
        <v>21</v>
      </c>
      <c r="J7" s="6" t="s">
        <v>133</v>
      </c>
      <c r="K7" s="6">
        <f>K6/$C$28</f>
        <v>141.7631722129683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9.9520325288570466E-2</v>
      </c>
      <c r="X7" s="2">
        <f t="shared" si="8"/>
        <v>1</v>
      </c>
      <c r="Y7" s="2">
        <f t="shared" si="1"/>
        <v>-2.8417921351796882E-2</v>
      </c>
      <c r="Z7" s="2">
        <f t="shared" si="3"/>
        <v>0.9375</v>
      </c>
      <c r="AA7" s="2">
        <f t="shared" si="2"/>
        <v>3.5454411485284609E-2</v>
      </c>
      <c r="AB7" s="2">
        <f t="shared" si="4"/>
        <v>3.5284345639303529E-3</v>
      </c>
      <c r="AC7" s="2">
        <f t="shared" si="5"/>
        <v>-1.0075406771630621E-3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-781.78150328049867</v>
      </c>
      <c r="AI7" s="2">
        <f t="shared" ref="AI7:AI44" si="14">IF(AN6&gt;0,AK6,AI6)</f>
        <v>2875</v>
      </c>
      <c r="AJ7" s="2">
        <v>496.41743754804088</v>
      </c>
      <c r="AK7" s="2">
        <f t="shared" si="9"/>
        <v>1687.5</v>
      </c>
      <c r="AL7" s="2">
        <v>-113.52879971473385</v>
      </c>
      <c r="AM7" s="2">
        <f t="shared" si="10"/>
        <v>88754.715706615272</v>
      </c>
      <c r="AN7" s="2">
        <f t="shared" si="11"/>
        <v>-56357.675842292934</v>
      </c>
      <c r="AO7" s="2">
        <f t="shared" si="12"/>
        <v>2375</v>
      </c>
    </row>
    <row r="8" spans="2:41" x14ac:dyDescent="0.2">
      <c r="B8" s="6" t="s">
        <v>91</v>
      </c>
      <c r="C8" s="16">
        <v>2.0227252192487399</v>
      </c>
      <c r="D8" s="6" t="s">
        <v>8</v>
      </c>
      <c r="F8" t="s">
        <v>93</v>
      </c>
      <c r="G8" s="6">
        <f>G10/$C$21</f>
        <v>33.113755450078109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3.5454411485284609E-2</v>
      </c>
      <c r="X8" s="2">
        <f t="shared" si="8"/>
        <v>1</v>
      </c>
      <c r="Y8" s="2">
        <f t="shared" si="1"/>
        <v>-2.8417921351796882E-2</v>
      </c>
      <c r="Z8" s="2">
        <f t="shared" si="3"/>
        <v>0.96875</v>
      </c>
      <c r="AA8" s="2">
        <f t="shared" si="2"/>
        <v>3.4963538648975501E-3</v>
      </c>
      <c r="AB8" s="2">
        <f t="shared" si="4"/>
        <v>1.2396116862424292E-4</v>
      </c>
      <c r="AC8" s="2">
        <f t="shared" si="5"/>
        <v>-9.9359109150709638E-5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-113.52879971473385</v>
      </c>
      <c r="AI8" s="2">
        <f t="shared" si="14"/>
        <v>2875</v>
      </c>
      <c r="AJ8" s="2">
        <v>496.41743754804088</v>
      </c>
      <c r="AK8" s="2">
        <f t="shared" si="9"/>
        <v>2281.25</v>
      </c>
      <c r="AL8" s="2">
        <v>201.31641506584629</v>
      </c>
      <c r="AM8" s="2">
        <f t="shared" si="10"/>
        <v>-22855.210965298691</v>
      </c>
      <c r="AN8" s="2">
        <f t="shared" si="11"/>
        <v>99936.978903345225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7.1631155886177735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2.2462818793234047E-2</v>
      </c>
      <c r="U9" s="2">
        <v>5</v>
      </c>
      <c r="V9" s="2">
        <f t="shared" si="7"/>
        <v>0.96875</v>
      </c>
      <c r="W9" s="2">
        <f t="shared" si="0"/>
        <v>3.4963538648975501E-3</v>
      </c>
      <c r="X9" s="2">
        <f t="shared" si="8"/>
        <v>1</v>
      </c>
      <c r="Y9" s="2">
        <f t="shared" si="1"/>
        <v>-2.8417921351796882E-2</v>
      </c>
      <c r="Z9" s="2">
        <f t="shared" si="3"/>
        <v>0.984375</v>
      </c>
      <c r="AA9" s="2">
        <f t="shared" si="2"/>
        <v>-1.2465999683852425E-2</v>
      </c>
      <c r="AB9" s="2">
        <f t="shared" si="4"/>
        <v>-4.3585546174449062E-5</v>
      </c>
      <c r="AC9" s="2">
        <f t="shared" si="5"/>
        <v>3.5425779858724301E-4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-113.52879971473385</v>
      </c>
      <c r="AI9" s="2">
        <f t="shared" si="14"/>
        <v>2281.25</v>
      </c>
      <c r="AJ9" s="2">
        <v>201.31641506584629</v>
      </c>
      <c r="AK9" s="2">
        <f t="shared" si="9"/>
        <v>1984.375</v>
      </c>
      <c r="AL9" s="2">
        <v>46.238242731087439</v>
      </c>
      <c r="AM9" s="2">
        <f t="shared" si="10"/>
        <v>-5249.372198178874</v>
      </c>
      <c r="AN9" s="2">
        <f t="shared" si="11"/>
        <v>9308.5172655669485</v>
      </c>
      <c r="AO9" s="2">
        <f t="shared" si="12"/>
        <v>593.75</v>
      </c>
    </row>
    <row r="10" spans="2:41" x14ac:dyDescent="0.2">
      <c r="B10" s="6" t="s">
        <v>134</v>
      </c>
      <c r="C10" s="16">
        <v>1.4378278577775401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264.91004360062487</v>
      </c>
      <c r="H10" s="22" t="s">
        <v>97</v>
      </c>
      <c r="J10" s="6" t="s">
        <v>92</v>
      </c>
      <c r="K10" s="6">
        <f xml:space="preserve"> $C$18 * (G10*G6 + G20*G13 + G29*G25 + G33*G32)/3600</f>
        <v>90.985719083110908</v>
      </c>
      <c r="L10" s="6" t="s">
        <v>98</v>
      </c>
      <c r="N10" s="6" t="s">
        <v>39</v>
      </c>
      <c r="O10" s="6">
        <f xml:space="preserve"> O5 * $C$12 * O9</f>
        <v>1044.4043514235618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3.4963538648975501E-3</v>
      </c>
      <c r="X10" s="2">
        <f t="shared" si="8"/>
        <v>0.984375</v>
      </c>
      <c r="Y10" s="2">
        <f t="shared" si="1"/>
        <v>-1.2465999683852425E-2</v>
      </c>
      <c r="Z10" s="2">
        <f t="shared" si="3"/>
        <v>0.9765625</v>
      </c>
      <c r="AA10" s="2">
        <f t="shared" si="2"/>
        <v>-4.4861577411294817E-3</v>
      </c>
      <c r="AB10" s="2">
        <f t="shared" si="4"/>
        <v>-1.5685194956738127E-5</v>
      </c>
      <c r="AC10" s="2">
        <f t="shared" si="5"/>
        <v>5.5924440982632228E-5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-113.52879971473385</v>
      </c>
      <c r="AI10" s="2">
        <f t="shared" si="14"/>
        <v>1984.375</v>
      </c>
      <c r="AJ10" s="2">
        <v>46.238242731087439</v>
      </c>
      <c r="AK10" s="2">
        <f t="shared" si="9"/>
        <v>1835.9375</v>
      </c>
      <c r="AL10" s="2">
        <v>-33.081443033225696</v>
      </c>
      <c r="AM10" s="2">
        <f t="shared" si="10"/>
        <v>3755.6965203934574</v>
      </c>
      <c r="AN10" s="2">
        <f t="shared" si="11"/>
        <v>-1529.6277928649313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0.74112957690438452</v>
      </c>
      <c r="U11" s="2">
        <v>7</v>
      </c>
      <c r="V11" s="2">
        <f t="shared" si="7"/>
        <v>0.96875</v>
      </c>
      <c r="W11" s="2">
        <f t="shared" si="0"/>
        <v>3.4963538648975501E-3</v>
      </c>
      <c r="X11" s="2">
        <f t="shared" si="8"/>
        <v>0.9765625</v>
      </c>
      <c r="Y11" s="2">
        <f t="shared" si="1"/>
        <v>-4.4861577411294817E-3</v>
      </c>
      <c r="Z11" s="2">
        <f t="shared" si="3"/>
        <v>0.97265625</v>
      </c>
      <c r="AA11" s="2">
        <f t="shared" si="2"/>
        <v>-4.9523960828146141E-4</v>
      </c>
      <c r="AB11" s="2">
        <f t="shared" si="4"/>
        <v>-1.7315329184652363E-6</v>
      </c>
      <c r="AC11" s="2">
        <f t="shared" si="5"/>
        <v>2.2217230024058102E-6</v>
      </c>
      <c r="AD11" s="2">
        <f t="shared" si="6"/>
        <v>7.8125E-3</v>
      </c>
      <c r="AF11" s="2">
        <v>7</v>
      </c>
      <c r="AG11" s="2">
        <f t="shared" si="13"/>
        <v>1835.9375</v>
      </c>
      <c r="AH11" s="2">
        <v>-33.081443033225696</v>
      </c>
      <c r="AI11" s="2">
        <f t="shared" si="14"/>
        <v>1984.375</v>
      </c>
      <c r="AJ11" s="2">
        <v>46.238242731087439</v>
      </c>
      <c r="AK11" s="2">
        <f t="shared" si="9"/>
        <v>1910.15625</v>
      </c>
      <c r="AL11" s="2">
        <v>6.7225785554569484</v>
      </c>
      <c r="AM11" s="2">
        <f t="shared" si="10"/>
        <v>-222.39259951873373</v>
      </c>
      <c r="AN11" s="2">
        <f t="shared" si="11"/>
        <v>310.84021902602154</v>
      </c>
      <c r="AO11" s="2">
        <f t="shared" si="12"/>
        <v>148.4375</v>
      </c>
    </row>
    <row r="12" spans="2:41" x14ac:dyDescent="0.2">
      <c r="B12" s="6" t="s">
        <v>135</v>
      </c>
      <c r="C12" s="16">
        <v>20.5052023514687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0.39998764380066382</v>
      </c>
      <c r="U12" s="2">
        <v>8</v>
      </c>
      <c r="V12" s="2">
        <f t="shared" si="7"/>
        <v>0.96875</v>
      </c>
      <c r="W12" s="2">
        <f t="shared" si="0"/>
        <v>3.4963538648975501E-3</v>
      </c>
      <c r="X12" s="2">
        <f t="shared" si="8"/>
        <v>0.97265625</v>
      </c>
      <c r="Y12" s="2">
        <f t="shared" si="1"/>
        <v>-4.9523960828146141E-4</v>
      </c>
      <c r="Z12" s="2">
        <f t="shared" si="3"/>
        <v>0.970703125</v>
      </c>
      <c r="AA12" s="2">
        <f t="shared" si="2"/>
        <v>1.5004722086366939E-3</v>
      </c>
      <c r="AB12" s="2">
        <f t="shared" si="4"/>
        <v>5.2461818058382677E-6</v>
      </c>
      <c r="AC12" s="2">
        <f t="shared" si="5"/>
        <v>-7.4309326884245554E-7</v>
      </c>
      <c r="AD12" s="2">
        <f t="shared" si="6"/>
        <v>3.90625E-3</v>
      </c>
      <c r="AF12" s="2">
        <v>8</v>
      </c>
      <c r="AG12" s="2">
        <f t="shared" si="13"/>
        <v>1835.9375</v>
      </c>
      <c r="AH12" s="2">
        <v>-33.081443033225696</v>
      </c>
      <c r="AI12" s="2">
        <f t="shared" si="14"/>
        <v>1910.15625</v>
      </c>
      <c r="AJ12" s="2">
        <v>6.7225785554569484</v>
      </c>
      <c r="AK12" s="2">
        <f t="shared" si="9"/>
        <v>1873.046875</v>
      </c>
      <c r="AL12" s="2">
        <v>-13.143757689187623</v>
      </c>
      <c r="AM12" s="2">
        <f t="shared" si="10"/>
        <v>434.81447123738258</v>
      </c>
      <c r="AN12" s="2">
        <f t="shared" si="11"/>
        <v>-88.359943579455091</v>
      </c>
      <c r="AO12" s="2">
        <f t="shared" si="12"/>
        <v>74.21875</v>
      </c>
    </row>
    <row r="13" spans="2:41" x14ac:dyDescent="0.2">
      <c r="B13" s="6" t="s">
        <v>136</v>
      </c>
      <c r="C13" s="16">
        <v>10.599688788021799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2.894552020305307E-2</v>
      </c>
      <c r="U13" s="2">
        <v>9</v>
      </c>
      <c r="V13" s="2">
        <f t="shared" si="7"/>
        <v>0.970703125</v>
      </c>
      <c r="W13" s="2">
        <f t="shared" si="0"/>
        <v>1.5004722086366939E-3</v>
      </c>
      <c r="X13" s="2">
        <f t="shared" si="8"/>
        <v>0.97265625</v>
      </c>
      <c r="Y13" s="2">
        <f t="shared" si="1"/>
        <v>-4.9523960828146141E-4</v>
      </c>
      <c r="Z13" s="2">
        <f t="shared" si="3"/>
        <v>0.9716796875</v>
      </c>
      <c r="AA13" s="2">
        <f t="shared" si="2"/>
        <v>5.0259513333572592E-4</v>
      </c>
      <c r="AB13" s="2">
        <f t="shared" si="4"/>
        <v>7.5413002976631038E-7</v>
      </c>
      <c r="AC13" s="2">
        <f t="shared" si="5"/>
        <v>-2.4890501695735374E-7</v>
      </c>
      <c r="AD13" s="2">
        <f t="shared" si="6"/>
        <v>1.953125E-3</v>
      </c>
      <c r="AF13" s="2">
        <v>9</v>
      </c>
      <c r="AG13" s="2">
        <f t="shared" si="13"/>
        <v>1873.046875</v>
      </c>
      <c r="AH13" s="2">
        <v>-13.143757689187623</v>
      </c>
      <c r="AI13" s="2">
        <f t="shared" si="14"/>
        <v>1910.15625</v>
      </c>
      <c r="AJ13" s="2">
        <v>6.7225785554569484</v>
      </c>
      <c r="AK13" s="2">
        <f t="shared" si="9"/>
        <v>1891.6015625</v>
      </c>
      <c r="AL13" s="2">
        <v>-3.2016228883935582</v>
      </c>
      <c r="AM13" s="2">
        <f t="shared" si="10"/>
        <v>42.081355457201916</v>
      </c>
      <c r="AN13" s="2">
        <f t="shared" si="11"/>
        <v>-21.52316137217467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70.254539698273291</v>
      </c>
      <c r="H14" s="6" t="s">
        <v>10</v>
      </c>
      <c r="J14" s="9" t="s">
        <v>75</v>
      </c>
      <c r="K14" s="17">
        <f>C5</f>
        <v>1897.58126289705</v>
      </c>
      <c r="L14" s="6" t="s">
        <v>7</v>
      </c>
      <c r="N14" s="6" t="s">
        <v>40</v>
      </c>
      <c r="O14" s="6">
        <f xml:space="preserve"> O5 * O13 * $C$12</f>
        <v>1345.8162812314979</v>
      </c>
      <c r="P14" s="6" t="s">
        <v>21</v>
      </c>
      <c r="U14" s="2">
        <v>10</v>
      </c>
      <c r="V14" s="2">
        <f t="shared" si="7"/>
        <v>0.9716796875</v>
      </c>
      <c r="W14" s="2">
        <f t="shared" si="0"/>
        <v>5.0259513333572592E-4</v>
      </c>
      <c r="X14" s="2">
        <f t="shared" si="8"/>
        <v>0.97265625</v>
      </c>
      <c r="Y14" s="2">
        <f t="shared" si="1"/>
        <v>-4.9523960828146141E-4</v>
      </c>
      <c r="Z14" s="2">
        <f t="shared" si="3"/>
        <v>0.97216796875</v>
      </c>
      <c r="AA14" s="2">
        <f t="shared" si="2"/>
        <v>3.6724786739439352E-6</v>
      </c>
      <c r="AB14" s="2">
        <f t="shared" si="4"/>
        <v>1.8457699088034621E-9</v>
      </c>
      <c r="AC14" s="2">
        <f t="shared" si="5"/>
        <v>-1.8187568999060154E-9</v>
      </c>
      <c r="AD14" s="2">
        <f t="shared" si="6"/>
        <v>9.765625E-4</v>
      </c>
      <c r="AF14" s="2">
        <v>10</v>
      </c>
      <c r="AG14" s="2">
        <f t="shared" si="13"/>
        <v>1891.6015625</v>
      </c>
      <c r="AH14" s="2">
        <v>-3.2016228883935582</v>
      </c>
      <c r="AI14" s="2">
        <f t="shared" si="14"/>
        <v>1910.15625</v>
      </c>
      <c r="AJ14" s="2">
        <v>6.7225785554569484</v>
      </c>
      <c r="AK14" s="2">
        <f t="shared" si="9"/>
        <v>1900.87890625</v>
      </c>
      <c r="AL14" s="2">
        <v>1.7627252815998418</v>
      </c>
      <c r="AM14" s="2">
        <f t="shared" si="10"/>
        <v>-5.6435816075200336</v>
      </c>
      <c r="AN14" s="2">
        <f t="shared" si="11"/>
        <v>11.850059177244907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0.21115102708104069</v>
      </c>
      <c r="H15" s="6" t="s">
        <v>120</v>
      </c>
      <c r="J15" s="10" t="s">
        <v>53</v>
      </c>
      <c r="K15" s="6">
        <f xml:space="preserve"> 1000 * K10 / ($C$60 * $C$61 * $C$62)</f>
        <v>334.50632015849595</v>
      </c>
      <c r="L15" s="6" t="s">
        <v>7</v>
      </c>
      <c r="N15" s="6" t="s">
        <v>140</v>
      </c>
      <c r="O15" s="6">
        <f>O4/O14</f>
        <v>13.818637253528252</v>
      </c>
      <c r="U15" s="2">
        <v>11</v>
      </c>
      <c r="V15" s="2">
        <f t="shared" si="7"/>
        <v>0.97216796875</v>
      </c>
      <c r="W15" s="2">
        <f t="shared" si="0"/>
        <v>3.6724786739439352E-6</v>
      </c>
      <c r="X15" s="2">
        <f t="shared" si="8"/>
        <v>0.97265625</v>
      </c>
      <c r="Y15" s="2">
        <f t="shared" si="1"/>
        <v>-4.9523960828146141E-4</v>
      </c>
      <c r="Z15" s="2">
        <f t="shared" si="3"/>
        <v>0.972412109375</v>
      </c>
      <c r="AA15" s="2">
        <f t="shared" si="2"/>
        <v>-2.4578488478654847E-4</v>
      </c>
      <c r="AB15" s="2">
        <f t="shared" si="4"/>
        <v>-9.0263974775636639E-10</v>
      </c>
      <c r="AC15" s="2">
        <f t="shared" si="5"/>
        <v>1.2172241006319439E-7</v>
      </c>
      <c r="AD15" s="2">
        <f t="shared" si="6"/>
        <v>4.8828125E-4</v>
      </c>
      <c r="AF15" s="2">
        <v>11</v>
      </c>
      <c r="AG15" s="2">
        <f t="shared" si="13"/>
        <v>1891.6015625</v>
      </c>
      <c r="AH15" s="2">
        <v>-3.2016228883935582</v>
      </c>
      <c r="AI15" s="2">
        <f t="shared" si="14"/>
        <v>1900.87890625</v>
      </c>
      <c r="AJ15" s="2">
        <v>1.7627252815998418</v>
      </c>
      <c r="AK15" s="2">
        <f t="shared" si="9"/>
        <v>1896.240234375</v>
      </c>
      <c r="AL15" s="2">
        <v>-0.7188874649925765</v>
      </c>
      <c r="AM15" s="2">
        <f t="shared" si="10"/>
        <v>2.3016065620994559</v>
      </c>
      <c r="AN15" s="2">
        <f t="shared" si="11"/>
        <v>-1.2672011091676358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1345.8162812314979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137.70356160450314</v>
      </c>
      <c r="L16" s="6" t="s">
        <v>7</v>
      </c>
      <c r="N16" s="6" t="s">
        <v>111</v>
      </c>
      <c r="O16" s="6">
        <f>(O13*$C$12)/(0.3048^2)/($C$5*2.20462/1000)^(2/3)</f>
        <v>2.4607041905394169</v>
      </c>
      <c r="U16" s="2">
        <v>12</v>
      </c>
      <c r="V16" s="2">
        <f t="shared" si="7"/>
        <v>0.97216796875</v>
      </c>
      <c r="W16" s="2">
        <f t="shared" si="0"/>
        <v>3.6724786739439352E-6</v>
      </c>
      <c r="X16" s="2">
        <f t="shared" si="8"/>
        <v>0.972412109375</v>
      </c>
      <c r="Y16" s="2">
        <f t="shared" si="1"/>
        <v>-2.4578488478654847E-4</v>
      </c>
      <c r="Z16" s="2">
        <f t="shared" si="3"/>
        <v>0.9722900390625</v>
      </c>
      <c r="AA16" s="2">
        <f t="shared" si="2"/>
        <v>-1.2105653317451281E-4</v>
      </c>
      <c r="AB16" s="2">
        <f t="shared" si="4"/>
        <v>-4.4457753642498483E-10</v>
      </c>
      <c r="AC16" s="2">
        <f t="shared" si="5"/>
        <v>2.9753866058956616E-8</v>
      </c>
      <c r="AD16" s="2">
        <f t="shared" si="6"/>
        <v>2.44140625E-4</v>
      </c>
      <c r="AF16" s="2">
        <v>12</v>
      </c>
      <c r="AG16" s="2">
        <f t="shared" si="13"/>
        <v>1896.240234375</v>
      </c>
      <c r="AH16" s="2">
        <v>-0.7188874649925765</v>
      </c>
      <c r="AI16" s="2">
        <f t="shared" si="14"/>
        <v>1900.87890625</v>
      </c>
      <c r="AJ16" s="2">
        <v>1.7627252815998418</v>
      </c>
      <c r="AK16" s="2">
        <f t="shared" si="9"/>
        <v>1898.5595703125</v>
      </c>
      <c r="AL16" s="2">
        <v>0.52205917278320157</v>
      </c>
      <c r="AM16" s="2">
        <f t="shared" si="10"/>
        <v>-0.37530179529823726</v>
      </c>
      <c r="AN16" s="2">
        <f t="shared" si="11"/>
        <v>0.92024690235604945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94.508781475312205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0.97216796875</v>
      </c>
      <c r="W17" s="2">
        <f t="shared" si="0"/>
        <v>3.6724786739439352E-6</v>
      </c>
      <c r="X17" s="2">
        <f t="shared" si="8"/>
        <v>0.9722900390625</v>
      </c>
      <c r="Y17" s="2">
        <f t="shared" si="1"/>
        <v>-1.2105653317451281E-4</v>
      </c>
      <c r="Z17" s="2">
        <f t="shared" si="3"/>
        <v>0.97222900390625</v>
      </c>
      <c r="AA17" s="2">
        <f t="shared" si="2"/>
        <v>-5.8692109795144276E-5</v>
      </c>
      <c r="AB17" s="2">
        <f t="shared" si="4"/>
        <v>-2.155455215514433E-10</v>
      </c>
      <c r="AC17" s="2">
        <f t="shared" si="5"/>
        <v>7.1050633364980319E-9</v>
      </c>
      <c r="AD17" s="2">
        <f t="shared" si="6"/>
        <v>1.220703125E-4</v>
      </c>
      <c r="AF17" s="2">
        <v>13</v>
      </c>
      <c r="AG17" s="2">
        <f t="shared" si="13"/>
        <v>1896.240234375</v>
      </c>
      <c r="AH17" s="2">
        <v>-0.7188874649925765</v>
      </c>
      <c r="AI17" s="2">
        <f t="shared" si="14"/>
        <v>1898.5595703125</v>
      </c>
      <c r="AJ17" s="2">
        <v>0.52205917278320157</v>
      </c>
      <c r="AK17" s="2">
        <f t="shared" si="9"/>
        <v>1897.39990234375</v>
      </c>
      <c r="AL17" s="2">
        <v>-9.8379010691814983E-2</v>
      </c>
      <c r="AM17" s="2">
        <f t="shared" si="10"/>
        <v>7.0723437604716458E-2</v>
      </c>
      <c r="AN17" s="2">
        <f t="shared" si="11"/>
        <v>-5.1359664940998674E-2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1.4529912639685125</v>
      </c>
      <c r="H18" s="6" t="s">
        <v>172</v>
      </c>
      <c r="J18" s="12" t="s">
        <v>54</v>
      </c>
      <c r="K18" s="6">
        <f xml:space="preserve"> $C$78 * (0.2138 * K4 + 0.2138 * K6)</f>
        <v>92.21249376148242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0.97216796875</v>
      </c>
      <c r="W18" s="2">
        <f t="shared" si="0"/>
        <v>3.6724786739439352E-6</v>
      </c>
      <c r="X18" s="2">
        <f t="shared" si="8"/>
        <v>0.97222900390625</v>
      </c>
      <c r="Y18" s="2">
        <f t="shared" si="1"/>
        <v>-5.8692109795144276E-5</v>
      </c>
      <c r="Z18" s="2">
        <f t="shared" si="3"/>
        <v>0.972198486328125</v>
      </c>
      <c r="AA18" s="2">
        <f t="shared" si="2"/>
        <v>-2.7509836198702509E-5</v>
      </c>
      <c r="AB18" s="2">
        <f t="shared" si="4"/>
        <v>-1.0102928676342586E-10</v>
      </c>
      <c r="AC18" s="2">
        <f t="shared" si="5"/>
        <v>1.6146103266206821E-9</v>
      </c>
      <c r="AD18" s="2">
        <f t="shared" si="6"/>
        <v>6.103515625E-5</v>
      </c>
      <c r="AF18" s="2">
        <v>14</v>
      </c>
      <c r="AG18" s="2">
        <f t="shared" si="13"/>
        <v>1897.39990234375</v>
      </c>
      <c r="AH18" s="2">
        <v>-9.8379010691814983E-2</v>
      </c>
      <c r="AI18" s="2">
        <f t="shared" si="14"/>
        <v>1898.5595703125</v>
      </c>
      <c r="AJ18" s="2">
        <v>0.52205917278320157</v>
      </c>
      <c r="AK18" s="2">
        <f t="shared" si="9"/>
        <v>1897.979736328125</v>
      </c>
      <c r="AL18" s="2">
        <v>0.2118490276011471</v>
      </c>
      <c r="AM18" s="2">
        <f t="shared" si="10"/>
        <v>-2.0841497751423858E-2</v>
      </c>
      <c r="AN18" s="2">
        <f t="shared" si="11"/>
        <v>0.1105977281043805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4.8974282392016212E-2</v>
      </c>
      <c r="J19" s="12" t="s">
        <v>73</v>
      </c>
      <c r="K19" s="6">
        <f xml:space="preserve"> $C$78 * (0.1149 * K4 + 0.1149 * K6)</f>
        <v>49.556667601470203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0.97216796875</v>
      </c>
      <c r="W19" s="2">
        <f t="shared" si="0"/>
        <v>3.6724786739439352E-6</v>
      </c>
      <c r="X19" s="2">
        <f t="shared" si="8"/>
        <v>0.972198486328125</v>
      </c>
      <c r="Y19" s="2">
        <f t="shared" si="1"/>
        <v>-2.7509836198702509E-5</v>
      </c>
      <c r="Z19" s="2">
        <f t="shared" si="3"/>
        <v>0.9721832275390625</v>
      </c>
      <c r="AA19" s="2">
        <f t="shared" si="2"/>
        <v>-1.1918683922140794E-5</v>
      </c>
      <c r="AB19" s="2">
        <f t="shared" si="4"/>
        <v>-4.377111252554052E-11</v>
      </c>
      <c r="AC19" s="2">
        <f t="shared" si="5"/>
        <v>3.2788104240220238E-10</v>
      </c>
      <c r="AD19" s="2">
        <f t="shared" si="6"/>
        <v>3.0517578125E-5</v>
      </c>
      <c r="AF19" s="2">
        <v>15</v>
      </c>
      <c r="AG19" s="2">
        <f t="shared" si="13"/>
        <v>1897.39990234375</v>
      </c>
      <c r="AH19" s="2">
        <v>-9.8379010691814983E-2</v>
      </c>
      <c r="AI19" s="2">
        <f t="shared" si="14"/>
        <v>1897.979736328125</v>
      </c>
      <c r="AJ19" s="2">
        <v>0.2118490276011471</v>
      </c>
      <c r="AK19" s="2">
        <f t="shared" si="9"/>
        <v>1897.6898193359375</v>
      </c>
      <c r="AL19" s="2">
        <v>5.6737164274409224E-2</v>
      </c>
      <c r="AM19" s="2">
        <f t="shared" si="10"/>
        <v>-5.5817460907753684E-3</v>
      </c>
      <c r="AN19" s="2">
        <f t="shared" si="11"/>
        <v>1.2019713080380136E-2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94.508781475312205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210.38093737277336</v>
      </c>
      <c r="L20" s="6" t="s">
        <v>7</v>
      </c>
      <c r="N20" s="6" t="s">
        <v>20</v>
      </c>
      <c r="O20" s="6">
        <f xml:space="preserve"> O14 / $C$28</f>
        <v>1345.8162812314979</v>
      </c>
      <c r="P20" s="6" t="s">
        <v>21</v>
      </c>
      <c r="U20" s="2">
        <v>16</v>
      </c>
      <c r="V20" s="2">
        <f t="shared" si="7"/>
        <v>0.97216796875</v>
      </c>
      <c r="W20" s="2">
        <f t="shared" si="0"/>
        <v>3.6724786739439352E-6</v>
      </c>
      <c r="X20" s="2">
        <f t="shared" si="8"/>
        <v>0.9721832275390625</v>
      </c>
      <c r="Y20" s="2">
        <f t="shared" si="1"/>
        <v>-1.1918683922140794E-5</v>
      </c>
      <c r="Z20" s="2">
        <f t="shared" si="3"/>
        <v>0.97217559814453125</v>
      </c>
      <c r="AA20" s="2">
        <f t="shared" si="2"/>
        <v>-4.1231039140665615E-6</v>
      </c>
      <c r="AB20" s="2">
        <f t="shared" si="4"/>
        <v>-1.5142011194864216E-11</v>
      </c>
      <c r="AC20" s="2">
        <f t="shared" si="5"/>
        <v>4.9141972329900901E-11</v>
      </c>
      <c r="AD20" s="2">
        <f t="shared" si="6"/>
        <v>1.52587890625E-5</v>
      </c>
      <c r="AF20" s="2">
        <v>16</v>
      </c>
      <c r="AG20" s="2">
        <f t="shared" si="13"/>
        <v>1897.39990234375</v>
      </c>
      <c r="AH20" s="2">
        <v>-9.8379010691814983E-2</v>
      </c>
      <c r="AI20" s="2">
        <f t="shared" si="14"/>
        <v>1897.6898193359375</v>
      </c>
      <c r="AJ20" s="2">
        <v>5.6737164274409224E-2</v>
      </c>
      <c r="AK20" s="2">
        <f t="shared" si="9"/>
        <v>1897.5448608398438</v>
      </c>
      <c r="AL20" s="2">
        <v>-2.0820384274657044E-2</v>
      </c>
      <c r="AM20" s="2">
        <f t="shared" si="10"/>
        <v>2.048288807164182E-3</v>
      </c>
      <c r="AN20" s="2">
        <f t="shared" si="11"/>
        <v>-1.1812895628475432E-3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49.337112835323303</v>
      </c>
      <c r="L21" s="6" t="s">
        <v>7</v>
      </c>
      <c r="N21" s="6" t="s">
        <v>27</v>
      </c>
      <c r="O21" s="6">
        <f>$C$6*2*PI()/60</f>
        <v>48.861579164884304</v>
      </c>
      <c r="P21" s="6" t="s">
        <v>28</v>
      </c>
      <c r="U21" s="2">
        <v>17</v>
      </c>
      <c r="V21" s="2">
        <f t="shared" si="7"/>
        <v>0.97216796875</v>
      </c>
      <c r="W21" s="2">
        <f t="shared" si="0"/>
        <v>3.6724786739439352E-6</v>
      </c>
      <c r="X21" s="2">
        <f t="shared" si="8"/>
        <v>0.97217559814453125</v>
      </c>
      <c r="Y21" s="2">
        <f t="shared" si="1"/>
        <v>-4.1231039140665615E-6</v>
      </c>
      <c r="Z21" s="2">
        <f t="shared" si="3"/>
        <v>0.97217178344726562</v>
      </c>
      <c r="AA21" s="2">
        <f t="shared" si="2"/>
        <v>-2.2531294263661295E-7</v>
      </c>
      <c r="AB21" s="2">
        <f t="shared" si="4"/>
        <v>-8.2745697679651427E-13</v>
      </c>
      <c r="AC21" s="2">
        <f t="shared" si="5"/>
        <v>9.2898867567487346E-13</v>
      </c>
      <c r="AD21" s="2">
        <f t="shared" si="6"/>
        <v>7.62939453125E-6</v>
      </c>
      <c r="AF21" s="2">
        <v>17</v>
      </c>
      <c r="AG21" s="2">
        <f t="shared" si="13"/>
        <v>1897.5448608398438</v>
      </c>
      <c r="AH21" s="2">
        <v>-2.0820384274657044E-2</v>
      </c>
      <c r="AI21" s="2">
        <f t="shared" si="14"/>
        <v>1897.6898193359375</v>
      </c>
      <c r="AJ21" s="2">
        <v>5.6737164274409224E-2</v>
      </c>
      <c r="AK21" s="2">
        <f t="shared" si="9"/>
        <v>1897.6173400878906</v>
      </c>
      <c r="AL21" s="2">
        <v>1.7958363476736849E-2</v>
      </c>
      <c r="AM21" s="2">
        <f t="shared" si="10"/>
        <v>-3.7390002852962732E-4</v>
      </c>
      <c r="AN21" s="2">
        <f t="shared" si="11"/>
        <v>1.0189066186791695E-3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285.5567152760969</v>
      </c>
      <c r="L22" s="6" t="s">
        <v>7</v>
      </c>
      <c r="N22" s="6" t="s">
        <v>29</v>
      </c>
      <c r="O22" s="6">
        <f xml:space="preserve"> $C$7 * COS(O19/180*PI()) / (O21 * $C$10)</f>
        <v>8.3187727238509257E-2</v>
      </c>
      <c r="U22" s="2">
        <v>18</v>
      </c>
      <c r="V22" s="2">
        <f t="shared" si="7"/>
        <v>0.97216796875</v>
      </c>
      <c r="W22" s="2">
        <f t="shared" si="0"/>
        <v>3.6724786739439352E-6</v>
      </c>
      <c r="X22" s="2">
        <f t="shared" si="8"/>
        <v>0.97217178344726562</v>
      </c>
      <c r="Y22" s="2">
        <f t="shared" si="1"/>
        <v>-2.2531294263661295E-7</v>
      </c>
      <c r="Z22" s="2">
        <f t="shared" si="3"/>
        <v>0.97216987609863281</v>
      </c>
      <c r="AA22" s="2">
        <f t="shared" si="2"/>
        <v>1.7235827850514696E-6</v>
      </c>
      <c r="AB22" s="2">
        <f t="shared" si="4"/>
        <v>6.3298210208784159E-12</v>
      </c>
      <c r="AC22" s="2">
        <f t="shared" si="5"/>
        <v>-3.8834550917775533E-13</v>
      </c>
      <c r="AD22" s="2">
        <f t="shared" si="6"/>
        <v>3.814697265625E-6</v>
      </c>
      <c r="AF22" s="2">
        <v>18</v>
      </c>
      <c r="AG22" s="2">
        <f t="shared" si="13"/>
        <v>1897.5448608398438</v>
      </c>
      <c r="AH22" s="2">
        <v>-2.0820384274657044E-2</v>
      </c>
      <c r="AI22" s="2">
        <f t="shared" si="14"/>
        <v>1897.6173400878906</v>
      </c>
      <c r="AJ22" s="2">
        <v>1.7958363476736849E-2</v>
      </c>
      <c r="AK22" s="2">
        <f t="shared" si="9"/>
        <v>1897.5811004638672</v>
      </c>
      <c r="AL22" s="2">
        <v>-1.4309767143458885E-3</v>
      </c>
      <c r="AM22" s="2">
        <f t="shared" si="10"/>
        <v>2.979348508076754E-5</v>
      </c>
      <c r="AN22" s="2">
        <f t="shared" si="11"/>
        <v>-2.5697999962970102E-5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21.770935930643127</v>
      </c>
      <c r="L23" s="6" t="s">
        <v>7</v>
      </c>
      <c r="N23" s="6" t="s">
        <v>30</v>
      </c>
      <c r="O23" s="6">
        <f xml:space="preserve"> O20 / ( $C$71 * PI() * $C$10^2 * O21^2 * $C$10^2)</f>
        <v>4.1627302038018038E-2</v>
      </c>
      <c r="U23" s="2">
        <v>19</v>
      </c>
      <c r="V23" s="2">
        <f t="shared" si="7"/>
        <v>0.97216987609863281</v>
      </c>
      <c r="W23" s="2">
        <f t="shared" si="0"/>
        <v>1.7235827850514696E-6</v>
      </c>
      <c r="X23" s="2">
        <f t="shared" si="8"/>
        <v>0.97217178344726562</v>
      </c>
      <c r="Y23" s="2">
        <f t="shared" si="1"/>
        <v>-2.2531294263661295E-7</v>
      </c>
      <c r="Z23" s="2">
        <f t="shared" si="3"/>
        <v>0.97217082977294922</v>
      </c>
      <c r="AA23" s="2">
        <f t="shared" si="2"/>
        <v>7.4913490111239156E-7</v>
      </c>
      <c r="AB23" s="2">
        <f t="shared" si="4"/>
        <v>1.2911960192385531E-12</v>
      </c>
      <c r="AC23" s="2">
        <f t="shared" si="5"/>
        <v>-1.68789789001421E-13</v>
      </c>
      <c r="AD23" s="2">
        <f t="shared" si="6"/>
        <v>1.9073486328125E-6</v>
      </c>
      <c r="AF23" s="2">
        <v>19</v>
      </c>
      <c r="AG23" s="2">
        <f t="shared" si="13"/>
        <v>1897.5811004638672</v>
      </c>
      <c r="AH23" s="2">
        <v>-1.4309767143458885E-3</v>
      </c>
      <c r="AI23" s="2">
        <f t="shared" si="14"/>
        <v>1897.6173400878906</v>
      </c>
      <c r="AJ23" s="2">
        <v>1.7958363476736849E-2</v>
      </c>
      <c r="AK23" s="2">
        <f t="shared" si="9"/>
        <v>1897.5992202758789</v>
      </c>
      <c r="AL23" s="2">
        <v>8.2637018024342979E-3</v>
      </c>
      <c r="AM23" s="2">
        <f t="shared" si="10"/>
        <v>-1.1825164853581628E-5</v>
      </c>
      <c r="AN23" s="2">
        <f t="shared" si="11"/>
        <v>1.4840256063148056E-4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7.9670026884421645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0.97217082977294922</v>
      </c>
      <c r="W24" s="2">
        <f t="shared" si="0"/>
        <v>7.4913490111239156E-7</v>
      </c>
      <c r="X24" s="2">
        <f t="shared" si="8"/>
        <v>0.97217178344726562</v>
      </c>
      <c r="Y24" s="2">
        <f t="shared" si="1"/>
        <v>-2.2531294263661295E-7</v>
      </c>
      <c r="Z24" s="2">
        <f t="shared" si="3"/>
        <v>0.97217130661010742</v>
      </c>
      <c r="AA24" s="2">
        <f t="shared" si="2"/>
        <v>2.619109742418857E-7</v>
      </c>
      <c r="AB24" s="2">
        <f t="shared" si="4"/>
        <v>1.9620665178894518E-13</v>
      </c>
      <c r="AC24" s="2">
        <f t="shared" si="5"/>
        <v>-5.9011932315261406E-14</v>
      </c>
      <c r="AD24" s="2">
        <f t="shared" si="6"/>
        <v>9.5367431640625E-7</v>
      </c>
      <c r="AF24" s="2">
        <v>20</v>
      </c>
      <c r="AG24" s="2">
        <f t="shared" si="13"/>
        <v>1897.5811004638672</v>
      </c>
      <c r="AH24" s="2">
        <v>-1.4309767143458885E-3</v>
      </c>
      <c r="AI24" s="2">
        <f t="shared" si="14"/>
        <v>1897.5992202758789</v>
      </c>
      <c r="AJ24" s="2">
        <v>1.7958363476736849E-2</v>
      </c>
      <c r="AK24" s="2">
        <f t="shared" si="9"/>
        <v>1897.590160369873</v>
      </c>
      <c r="AL24" s="2">
        <v>1.3111034744952121E-2</v>
      </c>
      <c r="AM24" s="2">
        <f t="shared" si="10"/>
        <v>-1.8761585421006372E-5</v>
      </c>
      <c r="AN24" s="2">
        <f t="shared" si="11"/>
        <v>2.3545272750597602E-4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18.04752657590479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2216.9050602230373</v>
      </c>
      <c r="P25" s="6" t="s">
        <v>19</v>
      </c>
      <c r="U25" s="2">
        <v>21</v>
      </c>
      <c r="V25" s="2">
        <f t="shared" si="7"/>
        <v>0.97217130661010742</v>
      </c>
      <c r="W25" s="2">
        <f t="shared" si="0"/>
        <v>2.619109742418857E-7</v>
      </c>
      <c r="X25" s="2">
        <f t="shared" si="8"/>
        <v>0.97217178344726562</v>
      </c>
      <c r="Y25" s="2">
        <f t="shared" si="1"/>
        <v>-2.2531294263661295E-7</v>
      </c>
      <c r="Z25" s="2">
        <f t="shared" si="3"/>
        <v>0.97217154502868652</v>
      </c>
      <c r="AA25" s="2">
        <f t="shared" si="2"/>
        <v>1.8299014525879898E-8</v>
      </c>
      <c r="AB25" s="2">
        <f t="shared" si="4"/>
        <v>4.7927127221396219E-15</v>
      </c>
      <c r="AC25" s="2">
        <f t="shared" si="5"/>
        <v>-4.1230048101761243E-15</v>
      </c>
      <c r="AD25" s="2">
        <f t="shared" si="6"/>
        <v>4.76837158203125E-7</v>
      </c>
      <c r="AF25" s="2">
        <v>21</v>
      </c>
      <c r="AG25" s="2">
        <f t="shared" si="13"/>
        <v>1897.5811004638672</v>
      </c>
      <c r="AH25" s="2">
        <v>-1.4309767143458885E-3</v>
      </c>
      <c r="AI25" s="2">
        <f t="shared" si="14"/>
        <v>1897.590160369873</v>
      </c>
      <c r="AJ25" s="2">
        <v>1.7958363476736849E-2</v>
      </c>
      <c r="AK25" s="2">
        <f t="shared" si="9"/>
        <v>1897.5856304168701</v>
      </c>
      <c r="AL25" s="2">
        <v>1.5534699637328231E-2</v>
      </c>
      <c r="AM25" s="2">
        <f t="shared" si="10"/>
        <v>-2.2229793445374216E-5</v>
      </c>
      <c r="AN25" s="2">
        <f t="shared" si="11"/>
        <v>2.7897778258907251E-4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2324.8907543938112</v>
      </c>
      <c r="H26" s="6" t="s">
        <v>21</v>
      </c>
      <c r="J26" s="14" t="s">
        <v>65</v>
      </c>
      <c r="K26" s="6">
        <f xml:space="preserve"> $C$80 * (0.0268 * $C$5)</f>
        <v>40.684142276512759</v>
      </c>
      <c r="L26" s="6" t="s">
        <v>7</v>
      </c>
      <c r="N26" s="6" t="s">
        <v>32</v>
      </c>
      <c r="O26" s="17">
        <f>Z34</f>
        <v>0.97217156318947673</v>
      </c>
      <c r="U26" s="2">
        <v>22</v>
      </c>
      <c r="V26" s="2">
        <f t="shared" si="7"/>
        <v>0.97217154502868652</v>
      </c>
      <c r="W26" s="2">
        <f t="shared" si="0"/>
        <v>1.8299014525879898E-8</v>
      </c>
      <c r="X26" s="2">
        <f t="shared" si="8"/>
        <v>0.97217178344726562</v>
      </c>
      <c r="Y26" s="2">
        <f t="shared" si="1"/>
        <v>-2.2531294263661295E-7</v>
      </c>
      <c r="Z26" s="2">
        <f t="shared" si="3"/>
        <v>0.97217166423797607</v>
      </c>
      <c r="AA26" s="2">
        <f t="shared" si="2"/>
        <v>-1.0350696433292228E-7</v>
      </c>
      <c r="AB26" s="2">
        <f t="shared" si="4"/>
        <v>-1.8940754438578772E-15</v>
      </c>
      <c r="AC26" s="2">
        <f t="shared" si="5"/>
        <v>2.3321458717233658E-14</v>
      </c>
      <c r="AD26" s="2">
        <f t="shared" si="6"/>
        <v>2.384185791015625E-7</v>
      </c>
      <c r="AF26" s="2">
        <v>22</v>
      </c>
      <c r="AG26" s="2">
        <f t="shared" si="13"/>
        <v>1897.5811004638672</v>
      </c>
      <c r="AH26" s="2">
        <v>-1.4309767143458885E-3</v>
      </c>
      <c r="AI26" s="2">
        <f t="shared" si="14"/>
        <v>1897.5856304168701</v>
      </c>
      <c r="AJ26" s="2">
        <v>1.7958363476736849E-2</v>
      </c>
      <c r="AK26" s="2">
        <f t="shared" si="9"/>
        <v>1897.5833654403687</v>
      </c>
      <c r="AL26" s="2">
        <v>1.6746531688795585E-2</v>
      </c>
      <c r="AM26" s="2">
        <f t="shared" si="10"/>
        <v>-2.3963896892722008E-5</v>
      </c>
      <c r="AN26" s="2">
        <f t="shared" si="11"/>
        <v>3.0074030304208288E-4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28.910125232687527</v>
      </c>
      <c r="H27" t="s">
        <v>97</v>
      </c>
      <c r="J27" s="14" t="s">
        <v>66</v>
      </c>
      <c r="K27" s="6">
        <f xml:space="preserve"> $C$80 * (11.5 * ($C$5*2.20462/1000)^0.4 * 0.453592)</f>
        <v>7.3971915380761644</v>
      </c>
      <c r="L27" s="6" t="s">
        <v>7</v>
      </c>
      <c r="N27" s="6" t="s">
        <v>33</v>
      </c>
      <c r="O27" s="6">
        <f xml:space="preserve"> O21 * $C$10 * O26 - $C$7 * SIN(O19/180*PI())</f>
        <v>1.498634004387398</v>
      </c>
      <c r="P27" s="6" t="s">
        <v>10</v>
      </c>
      <c r="U27" s="2">
        <v>23</v>
      </c>
      <c r="V27" s="2">
        <f t="shared" si="7"/>
        <v>0.97217154502868652</v>
      </c>
      <c r="W27" s="2">
        <f t="shared" si="0"/>
        <v>1.8299014525879898E-8</v>
      </c>
      <c r="X27" s="2">
        <f t="shared" si="8"/>
        <v>0.97217166423797607</v>
      </c>
      <c r="Y27" s="2">
        <f t="shared" si="1"/>
        <v>-1.0350696433292228E-7</v>
      </c>
      <c r="Z27" s="2">
        <f t="shared" si="3"/>
        <v>0.9721716046333313</v>
      </c>
      <c r="AA27" s="2">
        <f t="shared" si="2"/>
        <v>-4.2603975014543494E-8</v>
      </c>
      <c r="AB27" s="2">
        <f t="shared" si="4"/>
        <v>-7.7961075765135561E-16</v>
      </c>
      <c r="AC27" s="2">
        <f t="shared" si="5"/>
        <v>4.4098081222710652E-15</v>
      </c>
      <c r="AD27" s="2">
        <f t="shared" si="6"/>
        <v>1.1920928955078125E-7</v>
      </c>
      <c r="AF27" s="2">
        <v>23</v>
      </c>
      <c r="AG27" s="2">
        <f t="shared" si="13"/>
        <v>1897.5811004638672</v>
      </c>
      <c r="AH27" s="2">
        <v>-1.4309767143458885E-3</v>
      </c>
      <c r="AI27" s="2">
        <f t="shared" si="14"/>
        <v>1897.5833654403687</v>
      </c>
      <c r="AJ27" s="2">
        <v>1.7958363476736849E-2</v>
      </c>
      <c r="AK27" s="2">
        <f t="shared" si="9"/>
        <v>1897.5822329521179</v>
      </c>
      <c r="AL27" s="2">
        <v>1.7352447615621713E-2</v>
      </c>
      <c r="AM27" s="2">
        <f t="shared" si="10"/>
        <v>-2.4830948474861505E-5</v>
      </c>
      <c r="AN27" s="2">
        <f t="shared" si="11"/>
        <v>3.1162156149237038E-4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8.2046568789657588</v>
      </c>
      <c r="H28" s="6" t="s">
        <v>172</v>
      </c>
      <c r="J28" s="14" t="s">
        <v>67</v>
      </c>
      <c r="K28" s="6">
        <f xml:space="preserve"> $C$80 * (8 * ($C$5/1000))</f>
        <v>12.144520082541121</v>
      </c>
      <c r="L28" s="6" t="s">
        <v>7</v>
      </c>
      <c r="N28" s="6" t="s">
        <v>34</v>
      </c>
      <c r="O28" s="6">
        <f xml:space="preserve"> 1/$C$31 - O25 * SQRT( (2*$C$71*PI()*$C$10^2) / O20^3 )</f>
        <v>1.1708110969373544</v>
      </c>
      <c r="U28" s="2">
        <v>24</v>
      </c>
      <c r="V28" s="2">
        <f t="shared" si="7"/>
        <v>0.97217154502868652</v>
      </c>
      <c r="W28" s="2">
        <f t="shared" si="0"/>
        <v>1.8299014525879898E-8</v>
      </c>
      <c r="X28" s="2">
        <f t="shared" si="8"/>
        <v>0.9721716046333313</v>
      </c>
      <c r="Y28" s="2">
        <f t="shared" si="1"/>
        <v>-4.2603975014543494E-8</v>
      </c>
      <c r="Z28" s="2">
        <f t="shared" si="3"/>
        <v>0.97217157483100891</v>
      </c>
      <c r="AA28" s="2">
        <f t="shared" si="2"/>
        <v>-1.2152480244331798E-8</v>
      </c>
      <c r="AB28" s="2">
        <f t="shared" si="4"/>
        <v>-2.2237841251649603E-16</v>
      </c>
      <c r="AC28" s="2">
        <f t="shared" si="5"/>
        <v>5.1774396469424529E-16</v>
      </c>
      <c r="AD28" s="2">
        <f t="shared" si="6"/>
        <v>5.9604644775390625E-8</v>
      </c>
      <c r="AF28" s="2">
        <v>24</v>
      </c>
      <c r="AG28" s="2">
        <f t="shared" si="13"/>
        <v>1897.5811004638672</v>
      </c>
      <c r="AH28" s="2">
        <v>-1.4309767143458885E-3</v>
      </c>
      <c r="AI28" s="2">
        <f t="shared" si="14"/>
        <v>1897.5822329521179</v>
      </c>
      <c r="AJ28" s="2">
        <v>1.7958363476736849E-2</v>
      </c>
      <c r="AK28" s="2">
        <f t="shared" si="9"/>
        <v>1897.5816667079926</v>
      </c>
      <c r="AL28" s="2">
        <v>1.7655405555160542E-2</v>
      </c>
      <c r="AM28" s="2">
        <f t="shared" si="10"/>
        <v>-2.5264474231767778E-5</v>
      </c>
      <c r="AN28" s="2">
        <f t="shared" si="11"/>
        <v>3.1706219028877194E-4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231.28100186150021</v>
      </c>
      <c r="H29" s="22" t="s">
        <v>97</v>
      </c>
      <c r="J29" s="14" t="s">
        <v>68</v>
      </c>
      <c r="K29" s="6">
        <f xml:space="preserve"> $C$80 * (13 * ($C$5*2.20462/1000)^1.3 * 0.453592)</f>
        <v>30.317479309444646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0.97217154502868652</v>
      </c>
      <c r="W29" s="2">
        <f t="shared" si="0"/>
        <v>1.8299014525879898E-8</v>
      </c>
      <c r="X29" s="2">
        <f t="shared" si="8"/>
        <v>0.97217157483100891</v>
      </c>
      <c r="Y29" s="2">
        <f t="shared" si="1"/>
        <v>-1.2152480244331798E-8</v>
      </c>
      <c r="Z29" s="2">
        <f t="shared" si="3"/>
        <v>0.97217155992984772</v>
      </c>
      <c r="AA29" s="2">
        <f t="shared" si="2"/>
        <v>3.073267196285201E-9</v>
      </c>
      <c r="AB29" s="2">
        <f t="shared" si="4"/>
        <v>5.6237761066733078E-17</v>
      </c>
      <c r="AC29" s="2">
        <f t="shared" si="5"/>
        <v>-3.7347818888408879E-17</v>
      </c>
      <c r="AD29" s="2">
        <f t="shared" si="6"/>
        <v>2.9802322387695312E-8</v>
      </c>
      <c r="AF29" s="2">
        <v>25</v>
      </c>
      <c r="AG29" s="2">
        <f t="shared" si="13"/>
        <v>1897.5811004638672</v>
      </c>
      <c r="AH29" s="2">
        <v>-1.4309767143458885E-3</v>
      </c>
      <c r="AI29" s="2">
        <f t="shared" si="14"/>
        <v>1897.5816667079926</v>
      </c>
      <c r="AJ29" s="2">
        <v>1.7958363476736849E-2</v>
      </c>
      <c r="AK29" s="2">
        <f t="shared" si="9"/>
        <v>1897.5813835859299</v>
      </c>
      <c r="AL29" s="2">
        <v>1.7807045776862651E-2</v>
      </c>
      <c r="AM29" s="2">
        <f t="shared" si="10"/>
        <v>-2.5481467857981746E-5</v>
      </c>
      <c r="AN29" s="2">
        <f t="shared" si="11"/>
        <v>3.1978540050779138E-4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-1.3441146600143838E-3</v>
      </c>
      <c r="L30" s="9" t="s">
        <v>7</v>
      </c>
      <c r="N30" s="6" t="s">
        <v>36</v>
      </c>
      <c r="O30" s="6">
        <f xml:space="preserve"> 1/$C$77 * LN( EXP($C$77 * O28) + EXP($C$77 * O29) )</f>
        <v>1.1851088738422779</v>
      </c>
      <c r="U30" s="2">
        <v>26</v>
      </c>
      <c r="V30" s="2">
        <f>IF(AB29&gt;0, Z29, V29)</f>
        <v>0.97217155992984772</v>
      </c>
      <c r="W30" s="2">
        <f t="shared" si="0"/>
        <v>3.073267196285201E-9</v>
      </c>
      <c r="X30" s="2">
        <f t="shared" si="8"/>
        <v>0.97217157483100891</v>
      </c>
      <c r="Y30" s="2">
        <f t="shared" si="1"/>
        <v>-1.2152480244331798E-8</v>
      </c>
      <c r="Z30" s="2">
        <f t="shared" si="3"/>
        <v>0.97217156738042831</v>
      </c>
      <c r="AA30" s="2">
        <f t="shared" si="2"/>
        <v>-4.5396065795344498E-9</v>
      </c>
      <c r="AB30" s="2">
        <f t="shared" si="4"/>
        <v>-1.395142398492369E-17</v>
      </c>
      <c r="AC30" s="2">
        <f t="shared" si="5"/>
        <v>5.5167479274831049E-17</v>
      </c>
      <c r="AD30" s="2">
        <f t="shared" si="6"/>
        <v>1.4901161193847656E-8</v>
      </c>
      <c r="AF30" s="2">
        <v>26</v>
      </c>
      <c r="AG30" s="2">
        <f t="shared" si="13"/>
        <v>1897.5811004638672</v>
      </c>
      <c r="AH30" s="2">
        <v>-1.4309767143458885E-3</v>
      </c>
      <c r="AI30" s="2">
        <f t="shared" si="14"/>
        <v>1897.5813835859299</v>
      </c>
      <c r="AJ30" s="2">
        <v>1.7958363476736849E-2</v>
      </c>
      <c r="AK30" s="2">
        <f t="shared" si="9"/>
        <v>1897.5812420248985</v>
      </c>
      <c r="AL30" s="2">
        <v>1.7882704627709245E-2</v>
      </c>
      <c r="AM30" s="2">
        <f t="shared" si="10"/>
        <v>-2.5589733911777391E-5</v>
      </c>
      <c r="AN30" s="2">
        <f t="shared" si="11"/>
        <v>3.2114410965152672E-4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0.97217155992984772</v>
      </c>
      <c r="W31" s="2">
        <f t="shared" si="0"/>
        <v>3.073267196285201E-9</v>
      </c>
      <c r="X31" s="2">
        <f t="shared" si="8"/>
        <v>0.97217156738042831</v>
      </c>
      <c r="Y31" s="2">
        <f t="shared" si="1"/>
        <v>-4.5396065795344498E-9</v>
      </c>
      <c r="Z31" s="2">
        <f t="shared" si="3"/>
        <v>0.97217156365513802</v>
      </c>
      <c r="AA31" s="2">
        <f t="shared" si="2"/>
        <v>-7.3316974713577565E-10</v>
      </c>
      <c r="AB31" s="2">
        <f t="shared" si="4"/>
        <v>-2.253226533181095E-18</v>
      </c>
      <c r="AC31" s="2">
        <f t="shared" si="5"/>
        <v>3.328302208013176E-18</v>
      </c>
      <c r="AD31" s="2">
        <f t="shared" si="6"/>
        <v>7.4505805969238281E-9</v>
      </c>
      <c r="AF31" s="2">
        <v>27</v>
      </c>
      <c r="AG31" s="2">
        <f t="shared" si="13"/>
        <v>1897.5811004638672</v>
      </c>
      <c r="AH31" s="2">
        <v>-1.4309767143458885E-3</v>
      </c>
      <c r="AI31" s="2">
        <f t="shared" si="14"/>
        <v>1897.5812420248985</v>
      </c>
      <c r="AJ31" s="2">
        <v>1.7958363476736849E-2</v>
      </c>
      <c r="AK31" s="2">
        <f t="shared" si="9"/>
        <v>1897.5811712443829</v>
      </c>
      <c r="AL31" s="2">
        <v>1.7920695311659074E-2</v>
      </c>
      <c r="AM31" s="2">
        <f t="shared" si="10"/>
        <v>-2.564409769587167E-5</v>
      </c>
      <c r="AN31" s="2">
        <f t="shared" si="11"/>
        <v>3.2182636016262758E-4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0.97217155992984772</v>
      </c>
      <c r="W32" s="2">
        <f t="shared" si="0"/>
        <v>3.073267196285201E-9</v>
      </c>
      <c r="X32" s="2">
        <f t="shared" si="8"/>
        <v>0.97217156365513802</v>
      </c>
      <c r="Y32" s="2">
        <f t="shared" si="1"/>
        <v>-7.3316974713577565E-10</v>
      </c>
      <c r="Z32" s="2">
        <f t="shared" si="3"/>
        <v>0.97217156179249287</v>
      </c>
      <c r="AA32" s="2">
        <f t="shared" si="2"/>
        <v>1.1700487245747127E-9</v>
      </c>
      <c r="AB32" s="2">
        <f t="shared" si="4"/>
        <v>3.5958723632908025E-18</v>
      </c>
      <c r="AC32" s="2">
        <f t="shared" si="5"/>
        <v>-8.5784432753297888E-19</v>
      </c>
      <c r="AD32" s="2">
        <f t="shared" si="6"/>
        <v>3.7252902984619141E-9</v>
      </c>
      <c r="AF32" s="2">
        <v>28</v>
      </c>
      <c r="AG32" s="2">
        <f t="shared" si="13"/>
        <v>1897.5811004638672</v>
      </c>
      <c r="AH32" s="2">
        <v>-1.4309767143458885E-3</v>
      </c>
      <c r="AI32" s="2">
        <f t="shared" si="14"/>
        <v>1897.5811712443829</v>
      </c>
      <c r="AJ32" s="2">
        <v>1.7958363476736849E-2</v>
      </c>
      <c r="AK32" s="2">
        <f t="shared" si="9"/>
        <v>1897.581135854125</v>
      </c>
      <c r="AL32" s="2">
        <v>1.7939690653065554E-2</v>
      </c>
      <c r="AM32" s="2">
        <f t="shared" si="10"/>
        <v>-2.5671279587105392E-5</v>
      </c>
      <c r="AN32" s="2">
        <f t="shared" si="11"/>
        <v>3.2216748540796989E-4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94.508781475312205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0.97217156179249287</v>
      </c>
      <c r="W33" s="2">
        <f t="shared" si="0"/>
        <v>1.1700487245747127E-9</v>
      </c>
      <c r="X33" s="2">
        <f t="shared" si="8"/>
        <v>0.97217156365513802</v>
      </c>
      <c r="Y33" s="2">
        <f t="shared" si="1"/>
        <v>-7.3316974713577565E-10</v>
      </c>
      <c r="Z33" s="2">
        <f t="shared" si="3"/>
        <v>0.97217156272381544</v>
      </c>
      <c r="AA33" s="2">
        <f t="shared" si="2"/>
        <v>2.184394887194685E-10</v>
      </c>
      <c r="AB33" s="2">
        <f t="shared" si="4"/>
        <v>2.5558484517296645E-19</v>
      </c>
      <c r="AC33" s="2">
        <f t="shared" si="5"/>
        <v>-1.6015322470892084E-19</v>
      </c>
      <c r="AD33" s="2">
        <f t="shared" si="6"/>
        <v>1.862645149230957E-9</v>
      </c>
      <c r="AF33" s="2">
        <v>29</v>
      </c>
      <c r="AG33" s="2">
        <f t="shared" si="13"/>
        <v>1897.5811004638672</v>
      </c>
      <c r="AH33" s="2">
        <v>-1.4309767143458885E-3</v>
      </c>
      <c r="AI33" s="2">
        <f t="shared" si="14"/>
        <v>1897.581135854125</v>
      </c>
      <c r="AJ33" s="2">
        <v>1.7958363476736849E-2</v>
      </c>
      <c r="AK33" s="2">
        <f t="shared" si="9"/>
        <v>1897.5811181589961</v>
      </c>
      <c r="AL33" s="2">
        <v>1.7948865806147296E-2</v>
      </c>
      <c r="AM33" s="2">
        <f t="shared" si="10"/>
        <v>-2.5684409017515925E-5</v>
      </c>
      <c r="AN33" s="2">
        <f t="shared" si="11"/>
        <v>3.2233225614196651E-4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31.62</v>
      </c>
      <c r="L34" s="6" t="s">
        <v>59</v>
      </c>
      <c r="U34" s="2">
        <v>30</v>
      </c>
      <c r="V34" s="2">
        <f t="shared" si="7"/>
        <v>0.97217156272381544</v>
      </c>
      <c r="W34" s="2">
        <f t="shared" si="0"/>
        <v>2.184394887194685E-10</v>
      </c>
      <c r="X34" s="2">
        <f t="shared" si="8"/>
        <v>0.97217156365513802</v>
      </c>
      <c r="Y34" s="2">
        <f t="shared" si="1"/>
        <v>-7.3316974713577565E-10</v>
      </c>
      <c r="Z34" s="2">
        <f t="shared" si="3"/>
        <v>0.97217156318947673</v>
      </c>
      <c r="AA34" s="2">
        <f t="shared" si="2"/>
        <v>-2.5736512920815358E-10</v>
      </c>
      <c r="AB34" s="2">
        <f t="shared" si="4"/>
        <v>-5.6218707238449016E-20</v>
      </c>
      <c r="AC34" s="2">
        <f t="shared" si="5"/>
        <v>1.8869232670310819E-19</v>
      </c>
      <c r="AD34" s="2">
        <f t="shared" si="6"/>
        <v>9.3132257461547852E-10</v>
      </c>
      <c r="AF34" s="2">
        <v>30</v>
      </c>
      <c r="AG34" s="2">
        <f t="shared" si="13"/>
        <v>1897.5811004638672</v>
      </c>
      <c r="AH34" s="2">
        <v>-1.4309767143458885E-3</v>
      </c>
      <c r="AI34" s="2">
        <f t="shared" si="14"/>
        <v>1897.5811181589961</v>
      </c>
      <c r="AJ34" s="2">
        <v>1.7958363476736849E-2</v>
      </c>
      <c r="AK34" s="2">
        <f t="shared" si="9"/>
        <v>1897.5811093114316</v>
      </c>
      <c r="AL34" s="2">
        <v>1.795361464155576E-2</v>
      </c>
      <c r="AM34" s="2">
        <f t="shared" si="10"/>
        <v>-2.5691204490405696E-5</v>
      </c>
      <c r="AN34" s="2">
        <f t="shared" si="11"/>
        <v>3.2241753745432288E-4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17.63</v>
      </c>
      <c r="L35" s="6" t="s">
        <v>59</v>
      </c>
      <c r="AF35" s="2">
        <v>31</v>
      </c>
      <c r="AG35" s="2">
        <f t="shared" si="13"/>
        <v>1897.5811004638672</v>
      </c>
      <c r="AH35" s="2">
        <v>-1.4309767143458885E-3</v>
      </c>
      <c r="AI35" s="2">
        <f t="shared" si="14"/>
        <v>1897.5811093114316</v>
      </c>
      <c r="AJ35" s="2">
        <v>1.7958363476736849E-2</v>
      </c>
      <c r="AK35" s="2">
        <f t="shared" si="9"/>
        <v>1897.5811048876494</v>
      </c>
      <c r="AL35" s="2">
        <v>1.7955989059601052E-2</v>
      </c>
      <c r="AM35" s="2">
        <f t="shared" si="10"/>
        <v>-2.5694602227338634E-5</v>
      </c>
      <c r="AN35" s="2">
        <f t="shared" si="11"/>
        <v>3.2246017811662599E-4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14.73</v>
      </c>
      <c r="L36" s="6" t="s">
        <v>59</v>
      </c>
      <c r="AF36" s="2">
        <v>32</v>
      </c>
      <c r="AG36" s="2">
        <f t="shared" si="13"/>
        <v>1897.5811004638672</v>
      </c>
      <c r="AH36" s="2">
        <v>-1.4309767143458885E-3</v>
      </c>
      <c r="AI36" s="2">
        <f t="shared" si="14"/>
        <v>1897.5811048876494</v>
      </c>
      <c r="AJ36" s="2">
        <v>1.7958363476736849E-2</v>
      </c>
      <c r="AK36" s="2">
        <f t="shared" si="9"/>
        <v>1897.5811026757583</v>
      </c>
      <c r="AL36" s="2">
        <v>1.7957176268282637E-2</v>
      </c>
      <c r="AM36" s="2">
        <f t="shared" si="10"/>
        <v>-2.5696301095317051E-5</v>
      </c>
      <c r="AN36" s="2">
        <f t="shared" si="11"/>
        <v>3.2248149844165265E-4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31.25</v>
      </c>
      <c r="L37" s="6" t="s">
        <v>59</v>
      </c>
      <c r="AF37" s="2">
        <v>33</v>
      </c>
      <c r="AG37" s="2">
        <f t="shared" si="13"/>
        <v>1897.5811004638672</v>
      </c>
      <c r="AH37" s="2">
        <v>-1.4309767143458885E-3</v>
      </c>
      <c r="AI37" s="2">
        <f t="shared" si="14"/>
        <v>1897.5811026757583</v>
      </c>
      <c r="AJ37" s="2">
        <v>1.7958363476736849E-2</v>
      </c>
      <c r="AK37" s="2">
        <f t="shared" si="9"/>
        <v>1897.5811015698127</v>
      </c>
      <c r="AL37" s="2">
        <v>1.7957769872509743E-2</v>
      </c>
      <c r="AM37" s="2">
        <f t="shared" si="10"/>
        <v>-2.5697150529143578E-5</v>
      </c>
      <c r="AN37" s="2">
        <f t="shared" si="11"/>
        <v>3.2249215860212434E-4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4.7699999999999996</v>
      </c>
      <c r="L38" s="6" t="s">
        <v>59</v>
      </c>
      <c r="AF38" s="2">
        <v>34</v>
      </c>
      <c r="AG38" s="2">
        <f t="shared" si="13"/>
        <v>1897.5811004638672</v>
      </c>
      <c r="AH38" s="2">
        <v>-1.4309767143458885E-3</v>
      </c>
      <c r="AI38" s="2">
        <f t="shared" si="14"/>
        <v>1897.5811015698127</v>
      </c>
      <c r="AJ38" s="2">
        <v>1.7958363476736849E-2</v>
      </c>
      <c r="AK38" s="2">
        <f t="shared" si="9"/>
        <v>1897.58110101684</v>
      </c>
      <c r="AL38" s="2">
        <v>1.7958066674964357E-2</v>
      </c>
      <c r="AM38" s="2">
        <f t="shared" si="10"/>
        <v>-2.5697575246544888E-5</v>
      </c>
      <c r="AN38" s="2">
        <f t="shared" si="11"/>
        <v>3.2249748868848506E-4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1897.5811004638672</v>
      </c>
      <c r="AH39" s="2">
        <v>-1.4309767143458885E-3</v>
      </c>
      <c r="AI39" s="2">
        <f t="shared" si="14"/>
        <v>1897.58110101684</v>
      </c>
      <c r="AJ39" s="2">
        <v>1.7958363476736849E-2</v>
      </c>
      <c r="AK39" s="2">
        <f t="shared" si="9"/>
        <v>1897.5811007403536</v>
      </c>
      <c r="AL39" s="2">
        <v>1.7958215076305351E-2</v>
      </c>
      <c r="AM39" s="2">
        <f t="shared" si="10"/>
        <v>-2.5697787605408228E-5</v>
      </c>
      <c r="AN39" s="2">
        <f t="shared" si="11"/>
        <v>3.2250015373370706E-4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1897.5811004638672</v>
      </c>
      <c r="AH40" s="2">
        <v>-1.4309767143458885E-3</v>
      </c>
      <c r="AI40" s="2">
        <f t="shared" si="14"/>
        <v>1897.5811007403536</v>
      </c>
      <c r="AJ40" s="2">
        <v>1.7958363476736849E-2</v>
      </c>
      <c r="AK40" s="2">
        <f t="shared" si="9"/>
        <v>1897.5811006021104</v>
      </c>
      <c r="AL40" s="2">
        <v>1.7958289276748474E-2</v>
      </c>
      <c r="AM40" s="2">
        <f t="shared" si="10"/>
        <v>-2.5697893784514534E-5</v>
      </c>
      <c r="AN40" s="2">
        <f t="shared" si="11"/>
        <v>3.2250148625223481E-4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1897.5811004638672</v>
      </c>
      <c r="AH41" s="2">
        <v>-1.4309767143458885E-3</v>
      </c>
      <c r="AI41" s="2">
        <f t="shared" si="14"/>
        <v>1897.5811006021104</v>
      </c>
      <c r="AJ41" s="2">
        <v>1.7958363476736849E-2</v>
      </c>
      <c r="AK41" s="2">
        <f t="shared" si="9"/>
        <v>1897.5811005329888</v>
      </c>
      <c r="AL41" s="2">
        <v>1.7958326377083722E-2</v>
      </c>
      <c r="AM41" s="2">
        <f t="shared" si="10"/>
        <v>-2.5697946874230368E-5</v>
      </c>
      <c r="AN41" s="2">
        <f t="shared" si="11"/>
        <v>3.2250215251354027E-4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1897.5811004638672</v>
      </c>
      <c r="AH42" s="2">
        <v>-1.4309767143458885E-3</v>
      </c>
      <c r="AI42" s="2">
        <f t="shared" si="14"/>
        <v>1897.5811005329888</v>
      </c>
      <c r="AJ42" s="2">
        <v>1.7958363476736849E-2</v>
      </c>
      <c r="AK42" s="2">
        <f t="shared" si="9"/>
        <v>1897.581100498428</v>
      </c>
      <c r="AL42" s="2">
        <v>1.7958344926910286E-2</v>
      </c>
      <c r="AM42" s="2">
        <f t="shared" si="10"/>
        <v>-2.5697973418600237E-5</v>
      </c>
      <c r="AN42" s="2">
        <f t="shared" si="11"/>
        <v>3.2250248563806818E-4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334.51</v>
      </c>
      <c r="L43" s="6" t="s">
        <v>7</v>
      </c>
      <c r="AF43" s="2">
        <v>39</v>
      </c>
      <c r="AG43" s="2">
        <f t="shared" si="13"/>
        <v>1897.5811004638672</v>
      </c>
      <c r="AH43" s="2">
        <v>-1.4309767143458885E-3</v>
      </c>
      <c r="AI43" s="2">
        <f t="shared" si="14"/>
        <v>1897.581100498428</v>
      </c>
      <c r="AJ43" s="2">
        <v>1.7958363476736849E-2</v>
      </c>
      <c r="AK43" s="2">
        <f t="shared" si="9"/>
        <v>1897.5811004811476</v>
      </c>
      <c r="AL43" s="2">
        <v>1.7958354201937254E-2</v>
      </c>
      <c r="AM43" s="2">
        <f t="shared" si="10"/>
        <v>-2.5697986690947854E-5</v>
      </c>
      <c r="AN43" s="2">
        <f t="shared" si="11"/>
        <v>3.2250265220237371E-4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279.47000000000003</v>
      </c>
      <c r="L44" s="6" t="s">
        <v>7</v>
      </c>
      <c r="AF44" s="2">
        <v>40</v>
      </c>
      <c r="AG44" s="2">
        <f t="shared" si="13"/>
        <v>1897.5811004638672</v>
      </c>
      <c r="AH44" s="2">
        <v>-1.4309767143458885E-3</v>
      </c>
      <c r="AI44" s="2">
        <f t="shared" si="14"/>
        <v>1897.5811004811476</v>
      </c>
      <c r="AJ44" s="2">
        <v>1.7958363476736849E-2</v>
      </c>
      <c r="AK44" s="5">
        <f t="shared" si="9"/>
        <v>1897.5811004725074</v>
      </c>
      <c r="AL44" s="2">
        <v>1.7958358839905486E-2</v>
      </c>
      <c r="AM44" s="2">
        <f t="shared" si="10"/>
        <v>-2.5697993327772394E-5</v>
      </c>
      <c r="AN44" s="2">
        <f t="shared" si="11"/>
        <v>3.2250273549269302E-4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593.05999999999995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90.54</v>
      </c>
      <c r="L46" s="6" t="s">
        <v>7</v>
      </c>
    </row>
    <row r="47" spans="2:41" x14ac:dyDescent="0.2">
      <c r="J47" s="9" t="s">
        <v>60</v>
      </c>
      <c r="K47" s="9">
        <f>SUM(K42:K46)</f>
        <v>1897.58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400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17" priority="1" operator="containsText" text="FALSE">
      <formula>NOT(ISERROR(SEARCH("FALSE",K31)))</formula>
    </cfRule>
    <cfRule type="containsText" dxfId="16" priority="2" operator="containsText" text="TRUE">
      <formula>NOT(ISERROR(SEARCH("TRUE",K31)))</formula>
    </cfRule>
    <cfRule type="cellIs" dxfId="15" priority="3" operator="equal">
      <formula>1</formula>
    </cfRule>
    <cfRule type="cellIs" dxfId="14" priority="4" operator="equal">
      <formula>TRUE</formula>
    </cfRule>
    <cfRule type="containsText" dxfId="13" priority="5" operator="containsText" text="YES">
      <formula>NOT(ISERROR(SEARCH("YES",K31)))</formula>
    </cfRule>
    <cfRule type="cellIs" dxfId="12" priority="6" operator="equal">
      <formula>"""YES"""</formula>
    </cfRule>
  </conditionalFormatting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970C4-DD4F-3640-84AC-BC633C6711FA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350.4035173972643</v>
      </c>
      <c r="L4" s="6" t="s">
        <v>97</v>
      </c>
      <c r="N4" s="6" t="s">
        <v>131</v>
      </c>
      <c r="O4" s="6">
        <f xml:space="preserve"> $C$5 * $C$74</f>
        <v>17032.665666092111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1.1920086467224549</v>
      </c>
      <c r="X4" s="3">
        <v>1</v>
      </c>
      <c r="Y4" s="2">
        <f t="shared" ref="Y4:Y34" si="1" xml:space="preserve"> $O$22 * TAN($O$19/180*PI()) + $O$23 / (2 * SQRT($O$22^2 + X4^2)) - X4</f>
        <v>-2.9166720413212777E-2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0.49042053441317379</v>
      </c>
      <c r="AB4" s="2">
        <f>W4*AA4</f>
        <v>0.58458551755075039</v>
      </c>
      <c r="AC4" s="2">
        <f>Y4*AA4</f>
        <v>-1.4303958612127436E-2</v>
      </c>
      <c r="AD4" s="2">
        <f>X4-V4</f>
        <v>1</v>
      </c>
      <c r="AF4" s="2">
        <v>0</v>
      </c>
      <c r="AH4" s="2">
        <f>K30</f>
        <v>-1.4578273860479385E-3</v>
      </c>
      <c r="AJ4" s="2">
        <f>K30</f>
        <v>-1.4578273860479385E-3</v>
      </c>
      <c r="AL4" s="2">
        <f>K30</f>
        <v>-1.4578273860479385E-3</v>
      </c>
    </row>
    <row r="5" spans="2:41" x14ac:dyDescent="0.2">
      <c r="B5" s="9" t="s">
        <v>38</v>
      </c>
      <c r="C5" s="9">
        <v>1737.92892205355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43.800439674658037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0.49042053441317379</v>
      </c>
      <c r="X5" s="2">
        <f>IF(AC4&gt;0, Z4, X4)</f>
        <v>1</v>
      </c>
      <c r="Y5" s="2">
        <f t="shared" si="1"/>
        <v>-2.9166720413212777E-2</v>
      </c>
      <c r="Z5" s="2">
        <f t="shared" ref="Z5:Z34" si="3" xml:space="preserve"> (V5 + X5)/2</f>
        <v>0.75</v>
      </c>
      <c r="AA5" s="2">
        <f t="shared" si="2"/>
        <v>0.22742671846464968</v>
      </c>
      <c r="AB5" s="2">
        <f t="shared" ref="AB5:AB34" si="4">W5*AA5</f>
        <v>0.11153473280926791</v>
      </c>
      <c r="AC5" s="2">
        <f t="shared" ref="AC5:AC34" si="5">Y5*AA5</f>
        <v>-6.6332915119528928E-3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-723.64247807143454</v>
      </c>
      <c r="AI5" s="3">
        <v>10000</v>
      </c>
      <c r="AJ5" s="2">
        <f t="dataTable" ref="AJ5:AJ44" dt2D="0" dtr="0" r1="C5"/>
        <v>4236.8058943853157</v>
      </c>
      <c r="AK5" s="2">
        <f>(AG5+AI5)/2</f>
        <v>5250</v>
      </c>
      <c r="AL5" s="2">
        <f t="dataTable" ref="AL5:AL44" dt2D="0" dtr="0" r1="C5" ca="1"/>
        <v>2095.8447838642828</v>
      </c>
      <c r="AM5" s="2">
        <f>AH5*AL5</f>
        <v>-1516642.3130486398</v>
      </c>
      <c r="AN5" s="2">
        <f>AJ5*AL5</f>
        <v>8879687.5339929108</v>
      </c>
      <c r="AO5" s="2">
        <f>AI5-AG5</f>
        <v>9500</v>
      </c>
    </row>
    <row r="6" spans="2:41" x14ac:dyDescent="0.2">
      <c r="B6" s="6" t="s">
        <v>168</v>
      </c>
      <c r="C6" s="16">
        <v>466.593711082038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136.62724322781798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0.18926977051611499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0.22742671846464968</v>
      </c>
      <c r="X6" s="2">
        <f t="shared" ref="X6:X34" si="8">IF(AC5&gt;0, Z5, X5)</f>
        <v>1</v>
      </c>
      <c r="Y6" s="2">
        <f t="shared" si="1"/>
        <v>-2.9166720413212777E-2</v>
      </c>
      <c r="Z6" s="2">
        <f t="shared" si="3"/>
        <v>0.875</v>
      </c>
      <c r="AA6" s="2">
        <f t="shared" si="2"/>
        <v>9.8665453728961405E-2</v>
      </c>
      <c r="AB6" s="2">
        <f t="shared" si="4"/>
        <v>2.2439160367403427E-2</v>
      </c>
      <c r="AC6" s="2">
        <f t="shared" si="5"/>
        <v>-2.8777477033553995E-3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-723.64247807143454</v>
      </c>
      <c r="AI6" s="2">
        <f>IF(AN5&gt;0,AK5,AI5)</f>
        <v>5250</v>
      </c>
      <c r="AJ6" s="2">
        <v>2095.8447838642828</v>
      </c>
      <c r="AK6" s="2">
        <f t="shared" ref="AK6:AK44" si="9">(AG6+AI6)/2</f>
        <v>2875</v>
      </c>
      <c r="AL6" s="2">
        <v>626.4634900916451</v>
      </c>
      <c r="AM6" s="2">
        <f t="shared" ref="AM6:AM44" si="10">AH6*AL6</f>
        <v>-453335.59239119763</v>
      </c>
      <c r="AN6" s="2">
        <f t="shared" ref="AN6:AN44" si="11">AJ6*AL6</f>
        <v>1312970.2379899882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2129.2868778158413</v>
      </c>
      <c r="H7" s="6" t="s">
        <v>21</v>
      </c>
      <c r="J7" s="6" t="s">
        <v>133</v>
      </c>
      <c r="K7" s="6">
        <f>K6/$C$28</f>
        <v>136.62724322781798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9.8665453728961405E-2</v>
      </c>
      <c r="X7" s="2">
        <f t="shared" si="8"/>
        <v>1</v>
      </c>
      <c r="Y7" s="2">
        <f t="shared" si="1"/>
        <v>-2.9166720413212777E-2</v>
      </c>
      <c r="Z7" s="2">
        <f t="shared" si="3"/>
        <v>0.9375</v>
      </c>
      <c r="AA7" s="2">
        <f t="shared" si="2"/>
        <v>3.4656070370324921E-2</v>
      </c>
      <c r="AB7" s="2">
        <f t="shared" si="4"/>
        <v>3.4193569075509239E-3</v>
      </c>
      <c r="AC7" s="2">
        <f t="shared" si="5"/>
        <v>-1.0108039151118943E-3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-723.64247807143454</v>
      </c>
      <c r="AI7" s="2">
        <f t="shared" ref="AI7:AI44" si="14">IF(AN6&gt;0,AK6,AI6)</f>
        <v>2875</v>
      </c>
      <c r="AJ7" s="2">
        <v>626.4634900916451</v>
      </c>
      <c r="AK7" s="2">
        <f t="shared" si="9"/>
        <v>1687.5</v>
      </c>
      <c r="AL7" s="2">
        <v>-29.012805643529646</v>
      </c>
      <c r="AM7" s="2">
        <f t="shared" si="10"/>
        <v>20994.898571688693</v>
      </c>
      <c r="AN7" s="2">
        <f t="shared" si="11"/>
        <v>-18175.463480796159</v>
      </c>
      <c r="AO7" s="2">
        <f t="shared" si="12"/>
        <v>2375</v>
      </c>
    </row>
    <row r="8" spans="2:41" x14ac:dyDescent="0.2">
      <c r="B8" s="6" t="s">
        <v>91</v>
      </c>
      <c r="C8" s="16">
        <v>2.0227252192487399</v>
      </c>
      <c r="D8" s="6" t="s">
        <v>8</v>
      </c>
      <c r="F8" t="s">
        <v>93</v>
      </c>
      <c r="G8" s="6">
        <f>G10/$C$21</f>
        <v>29.20029311643869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3.4656070370324921E-2</v>
      </c>
      <c r="X8" s="2">
        <f t="shared" si="8"/>
        <v>1</v>
      </c>
      <c r="Y8" s="2">
        <f t="shared" si="1"/>
        <v>-2.9166720413212777E-2</v>
      </c>
      <c r="Z8" s="2">
        <f t="shared" si="3"/>
        <v>0.96875</v>
      </c>
      <c r="AA8" s="2">
        <f t="shared" si="2"/>
        <v>2.7235740624660387E-3</v>
      </c>
      <c r="AB8" s="2">
        <f t="shared" si="4"/>
        <v>9.4388374367614753E-5</v>
      </c>
      <c r="AC8" s="2">
        <f t="shared" si="5"/>
        <v>-7.9437723204625057E-5</v>
      </c>
      <c r="AD8" s="2">
        <f t="shared" si="6"/>
        <v>6.25E-2</v>
      </c>
      <c r="AF8" s="2">
        <v>4</v>
      </c>
      <c r="AG8" s="2">
        <f t="shared" si="13"/>
        <v>1687.5</v>
      </c>
      <c r="AH8" s="2">
        <v>-29.012805643529646</v>
      </c>
      <c r="AI8" s="2">
        <f t="shared" si="14"/>
        <v>2875</v>
      </c>
      <c r="AJ8" s="2">
        <v>626.4634900916451</v>
      </c>
      <c r="AK8" s="2">
        <f t="shared" si="9"/>
        <v>2281.25</v>
      </c>
      <c r="AL8" s="2">
        <v>306.30616410758557</v>
      </c>
      <c r="AM8" s="2">
        <f t="shared" si="10"/>
        <v>-8886.8012066684769</v>
      </c>
      <c r="AN8" s="2">
        <f t="shared" si="11"/>
        <v>191889.62860342226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7.43968953977366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2.2462818793234047E-2</v>
      </c>
      <c r="U9" s="2">
        <v>5</v>
      </c>
      <c r="V9" s="2">
        <f t="shared" si="7"/>
        <v>0.96875</v>
      </c>
      <c r="W9" s="2">
        <f t="shared" si="0"/>
        <v>2.7235740624660387E-3</v>
      </c>
      <c r="X9" s="2">
        <f t="shared" si="8"/>
        <v>1</v>
      </c>
      <c r="Y9" s="2">
        <f t="shared" si="1"/>
        <v>-2.9166720413212777E-2</v>
      </c>
      <c r="Z9" s="2">
        <f t="shared" si="3"/>
        <v>0.984375</v>
      </c>
      <c r="AA9" s="2">
        <f t="shared" si="2"/>
        <v>-1.3226600817141998E-2</v>
      </c>
      <c r="AB9" s="2">
        <f t="shared" si="4"/>
        <v>-3.6023626920160056E-5</v>
      </c>
      <c r="AC9" s="2">
        <f t="shared" si="5"/>
        <v>3.8577656805075232E-4</v>
      </c>
      <c r="AD9" s="2">
        <f t="shared" si="6"/>
        <v>3.125E-2</v>
      </c>
      <c r="AF9" s="2">
        <v>5</v>
      </c>
      <c r="AG9" s="2">
        <f t="shared" si="13"/>
        <v>1687.5</v>
      </c>
      <c r="AH9" s="2">
        <v>-29.012805643529646</v>
      </c>
      <c r="AI9" s="2">
        <f t="shared" si="14"/>
        <v>2281.25</v>
      </c>
      <c r="AJ9" s="2">
        <v>306.30616410758557</v>
      </c>
      <c r="AK9" s="2">
        <f t="shared" si="9"/>
        <v>1984.375</v>
      </c>
      <c r="AL9" s="2">
        <v>140.41136075463237</v>
      </c>
      <c r="AM9" s="2">
        <f t="shared" si="10"/>
        <v>-4073.727519717675</v>
      </c>
      <c r="AN9" s="2">
        <f t="shared" si="11"/>
        <v>43008.865309877823</v>
      </c>
      <c r="AO9" s="2">
        <f t="shared" si="12"/>
        <v>593.75</v>
      </c>
    </row>
    <row r="10" spans="2:41" x14ac:dyDescent="0.2">
      <c r="B10" s="6" t="s">
        <v>134</v>
      </c>
      <c r="C10" s="16">
        <v>1.4378278577775401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233.60234493150952</v>
      </c>
      <c r="H10" s="22" t="s">
        <v>97</v>
      </c>
      <c r="J10" s="6" t="s">
        <v>92</v>
      </c>
      <c r="K10" s="6">
        <f xml:space="preserve"> $C$18 * (G10*G6 + G20*G13 + G29*G25 + G33*G32)/3600</f>
        <v>85.844269698837465</v>
      </c>
      <c r="L10" s="6" t="s">
        <v>98</v>
      </c>
      <c r="N10" s="6" t="s">
        <v>39</v>
      </c>
      <c r="O10" s="6">
        <f xml:space="preserve"> O5 * $C$12 * O9</f>
        <v>1044.4043514235618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2.7235740624660387E-3</v>
      </c>
      <c r="X10" s="2">
        <f t="shared" si="8"/>
        <v>0.984375</v>
      </c>
      <c r="Y10" s="2">
        <f t="shared" si="1"/>
        <v>-1.3226600817141998E-2</v>
      </c>
      <c r="Z10" s="2">
        <f t="shared" si="3"/>
        <v>0.9765625</v>
      </c>
      <c r="AA10" s="2">
        <f t="shared" si="2"/>
        <v>-5.2528000207522352E-3</v>
      </c>
      <c r="AB10" s="2">
        <f t="shared" si="4"/>
        <v>-1.4306389891841858E-5</v>
      </c>
      <c r="AC10" s="2">
        <f t="shared" si="5"/>
        <v>6.9476689046765023E-5</v>
      </c>
      <c r="AD10" s="2">
        <f t="shared" si="6"/>
        <v>1.5625E-2</v>
      </c>
      <c r="AF10" s="2">
        <v>6</v>
      </c>
      <c r="AG10" s="2">
        <f t="shared" si="13"/>
        <v>1687.5</v>
      </c>
      <c r="AH10" s="2">
        <v>-29.012805643529646</v>
      </c>
      <c r="AI10" s="2">
        <f t="shared" si="14"/>
        <v>1984.375</v>
      </c>
      <c r="AJ10" s="2">
        <v>140.41136075463237</v>
      </c>
      <c r="AK10" s="2">
        <f t="shared" si="9"/>
        <v>1835.9375</v>
      </c>
      <c r="AL10" s="2">
        <v>56.116967633494596</v>
      </c>
      <c r="AM10" s="2">
        <f t="shared" si="10"/>
        <v>-1628.1106752548226</v>
      </c>
      <c r="AN10" s="2">
        <f t="shared" si="11"/>
        <v>7879.4597868426381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0.74112957690438452</v>
      </c>
      <c r="U11" s="2">
        <v>7</v>
      </c>
      <c r="V11" s="2">
        <f t="shared" si="7"/>
        <v>0.96875</v>
      </c>
      <c r="W11" s="2">
        <f t="shared" si="0"/>
        <v>2.7235740624660387E-3</v>
      </c>
      <c r="X11" s="2">
        <f t="shared" si="8"/>
        <v>0.9765625</v>
      </c>
      <c r="Y11" s="2">
        <f t="shared" si="1"/>
        <v>-5.2528000207522352E-3</v>
      </c>
      <c r="Z11" s="2">
        <f t="shared" si="3"/>
        <v>0.97265625</v>
      </c>
      <c r="AA11" s="2">
        <f t="shared" si="2"/>
        <v>-1.264938459209386E-3</v>
      </c>
      <c r="AB11" s="2">
        <f t="shared" si="4"/>
        <v>-3.4451535781184389E-6</v>
      </c>
      <c r="AC11" s="2">
        <f t="shared" si="5"/>
        <v>6.6444687647853633E-6</v>
      </c>
      <c r="AD11" s="2">
        <f t="shared" si="6"/>
        <v>7.8125E-3</v>
      </c>
      <c r="AF11" s="2">
        <v>7</v>
      </c>
      <c r="AG11" s="2">
        <f t="shared" si="13"/>
        <v>1687.5</v>
      </c>
      <c r="AH11" s="2">
        <v>-29.012805643529646</v>
      </c>
      <c r="AI11" s="2">
        <f t="shared" si="14"/>
        <v>1835.9375</v>
      </c>
      <c r="AJ11" s="2">
        <v>56.116967633494596</v>
      </c>
      <c r="AK11" s="2">
        <f t="shared" si="9"/>
        <v>1761.71875</v>
      </c>
      <c r="AL11" s="2">
        <v>13.652890056196384</v>
      </c>
      <c r="AM11" s="2">
        <f t="shared" si="10"/>
        <v>-396.10864567290423</v>
      </c>
      <c r="AN11" s="2">
        <f t="shared" si="11"/>
        <v>766.15878938723267</v>
      </c>
      <c r="AO11" s="2">
        <f t="shared" si="12"/>
        <v>148.4375</v>
      </c>
    </row>
    <row r="12" spans="2:41" x14ac:dyDescent="0.2">
      <c r="B12" s="6" t="s">
        <v>135</v>
      </c>
      <c r="C12" s="16">
        <v>20.5052023514687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0.36633482223782954</v>
      </c>
      <c r="U12" s="2">
        <v>8</v>
      </c>
      <c r="V12" s="2">
        <f t="shared" si="7"/>
        <v>0.96875</v>
      </c>
      <c r="W12" s="2">
        <f t="shared" si="0"/>
        <v>2.7235740624660387E-3</v>
      </c>
      <c r="X12" s="2">
        <f t="shared" si="8"/>
        <v>0.97265625</v>
      </c>
      <c r="Y12" s="2">
        <f t="shared" si="1"/>
        <v>-1.264938459209386E-3</v>
      </c>
      <c r="Z12" s="2">
        <f t="shared" si="3"/>
        <v>0.970703125</v>
      </c>
      <c r="AA12" s="2">
        <f t="shared" si="2"/>
        <v>7.2923594760898602E-4</v>
      </c>
      <c r="AB12" s="2">
        <f t="shared" si="4"/>
        <v>1.9861281123256776E-6</v>
      </c>
      <c r="AC12" s="2">
        <f t="shared" si="5"/>
        <v>-9.2243859596860725E-7</v>
      </c>
      <c r="AD12" s="2">
        <f t="shared" si="6"/>
        <v>3.90625E-3</v>
      </c>
      <c r="AF12" s="2">
        <v>8</v>
      </c>
      <c r="AG12" s="2">
        <f t="shared" si="13"/>
        <v>1687.5</v>
      </c>
      <c r="AH12" s="2">
        <v>-29.012805643529646</v>
      </c>
      <c r="AI12" s="2">
        <f t="shared" si="14"/>
        <v>1761.71875</v>
      </c>
      <c r="AJ12" s="2">
        <v>13.652890056196384</v>
      </c>
      <c r="AK12" s="2">
        <f t="shared" si="9"/>
        <v>1724.609375</v>
      </c>
      <c r="AL12" s="2">
        <v>-7.6552605446674988</v>
      </c>
      <c r="AM12" s="2">
        <f t="shared" si="10"/>
        <v>222.10058633301904</v>
      </c>
      <c r="AN12" s="2">
        <f t="shared" si="11"/>
        <v>-104.5164305678834</v>
      </c>
      <c r="AO12" s="2">
        <f t="shared" si="12"/>
        <v>74.21875</v>
      </c>
    </row>
    <row r="13" spans="2:41" x14ac:dyDescent="0.2">
      <c r="B13" s="6" t="s">
        <v>136</v>
      </c>
      <c r="C13" s="16">
        <v>10.599688788021799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2.7900569245820558E-2</v>
      </c>
      <c r="U13" s="2">
        <v>9</v>
      </c>
      <c r="V13" s="2">
        <f t="shared" si="7"/>
        <v>0.970703125</v>
      </c>
      <c r="W13" s="2">
        <f t="shared" si="0"/>
        <v>7.2923594760898602E-4</v>
      </c>
      <c r="X13" s="2">
        <f t="shared" si="8"/>
        <v>0.97265625</v>
      </c>
      <c r="Y13" s="2">
        <f t="shared" si="1"/>
        <v>-1.264938459209386E-3</v>
      </c>
      <c r="Z13" s="2">
        <f t="shared" si="3"/>
        <v>0.9716796875</v>
      </c>
      <c r="AA13" s="2">
        <f t="shared" si="2"/>
        <v>-2.6787165850616912E-4</v>
      </c>
      <c r="AB13" s="2">
        <f t="shared" si="4"/>
        <v>-1.9534164272833695E-7</v>
      </c>
      <c r="AC13" s="2">
        <f t="shared" si="5"/>
        <v>3.3884116297665637E-7</v>
      </c>
      <c r="AD13" s="2">
        <f t="shared" si="6"/>
        <v>1.953125E-3</v>
      </c>
      <c r="AF13" s="2">
        <v>9</v>
      </c>
      <c r="AG13" s="2">
        <f t="shared" si="13"/>
        <v>1724.609375</v>
      </c>
      <c r="AH13" s="2">
        <v>-7.6552605446674988</v>
      </c>
      <c r="AI13" s="2">
        <f t="shared" si="14"/>
        <v>1761.71875</v>
      </c>
      <c r="AJ13" s="2">
        <v>13.652890056196384</v>
      </c>
      <c r="AK13" s="2">
        <f t="shared" si="9"/>
        <v>1743.1640625</v>
      </c>
      <c r="AL13" s="2">
        <v>3.0050548168396745</v>
      </c>
      <c r="AM13" s="2">
        <f t="shared" si="10"/>
        <v>-23.004477573915779</v>
      </c>
      <c r="AN13" s="2">
        <f t="shared" si="11"/>
        <v>41.027683027155433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70.254539698273291</v>
      </c>
      <c r="H14" s="6" t="s">
        <v>10</v>
      </c>
      <c r="J14" s="9" t="s">
        <v>75</v>
      </c>
      <c r="K14" s="17">
        <f>C5</f>
        <v>1737.92892205355</v>
      </c>
      <c r="L14" s="6" t="s">
        <v>7</v>
      </c>
      <c r="N14" s="6" t="s">
        <v>40</v>
      </c>
      <c r="O14" s="6">
        <f xml:space="preserve"> O5 * O13 * $C$12</f>
        <v>1297.2314915484428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7.2923594760898602E-4</v>
      </c>
      <c r="X14" s="2">
        <f t="shared" si="8"/>
        <v>0.9716796875</v>
      </c>
      <c r="Y14" s="2">
        <f t="shared" si="1"/>
        <v>-2.6787165850616912E-4</v>
      </c>
      <c r="Z14" s="2">
        <f t="shared" si="3"/>
        <v>0.97119140625</v>
      </c>
      <c r="AA14" s="2">
        <f t="shared" si="2"/>
        <v>2.3067703629375824E-4</v>
      </c>
      <c r="AB14" s="2">
        <f t="shared" si="4"/>
        <v>1.6821798715331125E-7</v>
      </c>
      <c r="AC14" s="2">
        <f t="shared" si="5"/>
        <v>-6.1791840291296791E-8</v>
      </c>
      <c r="AD14" s="2">
        <f t="shared" si="6"/>
        <v>9.765625E-4</v>
      </c>
      <c r="AF14" s="2">
        <v>10</v>
      </c>
      <c r="AG14" s="2">
        <f t="shared" si="13"/>
        <v>1724.609375</v>
      </c>
      <c r="AH14" s="2">
        <v>-7.6552605446674988</v>
      </c>
      <c r="AI14" s="2">
        <f t="shared" si="14"/>
        <v>1743.1640625</v>
      </c>
      <c r="AJ14" s="2">
        <v>3.0050548168396745</v>
      </c>
      <c r="AK14" s="2">
        <f t="shared" si="9"/>
        <v>1733.88671875</v>
      </c>
      <c r="AL14" s="2">
        <v>-2.3235508460766141</v>
      </c>
      <c r="AM14" s="2">
        <f t="shared" si="10"/>
        <v>17.78738711549909</v>
      </c>
      <c r="AN14" s="2">
        <f t="shared" si="11"/>
        <v>-6.9823976621744306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0.21115102708104069</v>
      </c>
      <c r="H15" s="6" t="s">
        <v>120</v>
      </c>
      <c r="J15" s="10" t="s">
        <v>53</v>
      </c>
      <c r="K15" s="6">
        <f xml:space="preserve"> 1000 * K10 / ($C$60 * $C$61 * $C$62)</f>
        <v>229.53013288459215</v>
      </c>
      <c r="L15" s="6" t="s">
        <v>7</v>
      </c>
      <c r="N15" s="6" t="s">
        <v>140</v>
      </c>
      <c r="O15" s="6">
        <f>O4/O14</f>
        <v>13.130012474304827</v>
      </c>
      <c r="U15" s="2">
        <v>11</v>
      </c>
      <c r="V15" s="2">
        <f t="shared" si="7"/>
        <v>0.97119140625</v>
      </c>
      <c r="W15" s="2">
        <f t="shared" si="0"/>
        <v>2.3067703629375824E-4</v>
      </c>
      <c r="X15" s="2">
        <f t="shared" si="8"/>
        <v>0.9716796875</v>
      </c>
      <c r="Y15" s="2">
        <f t="shared" si="1"/>
        <v>-2.6787165850616912E-4</v>
      </c>
      <c r="Z15" s="2">
        <f t="shared" si="3"/>
        <v>0.971435546875</v>
      </c>
      <c r="AA15" s="2">
        <f t="shared" si="2"/>
        <v>-1.8598587221863028E-5</v>
      </c>
      <c r="AB15" s="2">
        <f t="shared" si="4"/>
        <v>-4.2902669795903257E-9</v>
      </c>
      <c r="AC15" s="2">
        <f t="shared" si="5"/>
        <v>4.9820344049920935E-9</v>
      </c>
      <c r="AD15" s="2">
        <f t="shared" si="6"/>
        <v>4.8828125E-4</v>
      </c>
      <c r="AF15" s="2">
        <v>11</v>
      </c>
      <c r="AG15" s="2">
        <f t="shared" si="13"/>
        <v>1733.88671875</v>
      </c>
      <c r="AH15" s="2">
        <v>-2.3235508460766141</v>
      </c>
      <c r="AI15" s="2">
        <f t="shared" si="14"/>
        <v>1743.1640625</v>
      </c>
      <c r="AJ15" s="2">
        <v>3.0050548168396745</v>
      </c>
      <c r="AK15" s="2">
        <f t="shared" si="9"/>
        <v>1738.525390625</v>
      </c>
      <c r="AL15" s="2">
        <v>0.34114097802557808</v>
      </c>
      <c r="AM15" s="2">
        <f t="shared" si="10"/>
        <v>-0.79265840812273558</v>
      </c>
      <c r="AN15" s="2">
        <f t="shared" si="11"/>
        <v>1.0251473392371608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1297.2314915484428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125.44160150697132</v>
      </c>
      <c r="L16" s="6" t="s">
        <v>7</v>
      </c>
      <c r="N16" s="6" t="s">
        <v>111</v>
      </c>
      <c r="O16" s="6">
        <f>(O13*$C$12)/(0.3048^2)/($C$5*2.20462/1000)^(2/3)</f>
        <v>2.5149925086429019</v>
      </c>
      <c r="U16" s="2">
        <v>12</v>
      </c>
      <c r="V16" s="2">
        <f t="shared" si="7"/>
        <v>0.97119140625</v>
      </c>
      <c r="W16" s="2">
        <f t="shared" si="0"/>
        <v>2.3067703629375824E-4</v>
      </c>
      <c r="X16" s="2">
        <f t="shared" si="8"/>
        <v>0.971435546875</v>
      </c>
      <c r="Y16" s="2">
        <f t="shared" si="1"/>
        <v>-1.8598587221863028E-5</v>
      </c>
      <c r="Z16" s="2">
        <f t="shared" si="3"/>
        <v>0.9713134765625</v>
      </c>
      <c r="AA16" s="2">
        <f t="shared" si="2"/>
        <v>1.060389053885169E-4</v>
      </c>
      <c r="AB16" s="2">
        <f t="shared" si="4"/>
        <v>2.446074042685731E-8</v>
      </c>
      <c r="AC16" s="2">
        <f t="shared" si="5"/>
        <v>-1.972173830779213E-9</v>
      </c>
      <c r="AD16" s="2">
        <f t="shared" si="6"/>
        <v>2.44140625E-4</v>
      </c>
      <c r="AF16" s="2">
        <v>12</v>
      </c>
      <c r="AG16" s="2">
        <f t="shared" si="13"/>
        <v>1733.88671875</v>
      </c>
      <c r="AH16" s="2">
        <v>-2.3235508460766141</v>
      </c>
      <c r="AI16" s="2">
        <f t="shared" si="14"/>
        <v>1738.525390625</v>
      </c>
      <c r="AJ16" s="2">
        <v>0.34114097802557808</v>
      </c>
      <c r="AK16" s="2">
        <f t="shared" si="9"/>
        <v>1736.2060546875</v>
      </c>
      <c r="AL16" s="2">
        <v>-0.99110790076542798</v>
      </c>
      <c r="AM16" s="2">
        <f t="shared" si="10"/>
        <v>2.302889601376727</v>
      </c>
      <c r="AN16" s="2">
        <f t="shared" si="11"/>
        <v>-0.33810751859599569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91.084828818545333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0.9713134765625</v>
      </c>
      <c r="W17" s="2">
        <f t="shared" si="0"/>
        <v>1.060389053885169E-4</v>
      </c>
      <c r="X17" s="2">
        <f t="shared" si="8"/>
        <v>0.971435546875</v>
      </c>
      <c r="Y17" s="2">
        <f t="shared" si="1"/>
        <v>-1.8598587221863028E-5</v>
      </c>
      <c r="Z17" s="2">
        <f t="shared" si="3"/>
        <v>0.97137451171875</v>
      </c>
      <c r="AA17" s="2">
        <f t="shared" si="2"/>
        <v>4.3720079311304616E-5</v>
      </c>
      <c r="AB17" s="2">
        <f t="shared" si="4"/>
        <v>4.6360293536698856E-9</v>
      </c>
      <c r="AC17" s="2">
        <f t="shared" si="5"/>
        <v>-8.1313170841806819E-10</v>
      </c>
      <c r="AD17" s="2">
        <f t="shared" si="6"/>
        <v>1.220703125E-4</v>
      </c>
      <c r="AF17" s="2">
        <v>13</v>
      </c>
      <c r="AG17" s="2">
        <f t="shared" si="13"/>
        <v>1736.2060546875</v>
      </c>
      <c r="AH17" s="2">
        <v>-0.99110790076542798</v>
      </c>
      <c r="AI17" s="2">
        <f t="shared" si="14"/>
        <v>1738.525390625</v>
      </c>
      <c r="AJ17" s="2">
        <v>0.34114097802557808</v>
      </c>
      <c r="AK17" s="2">
        <f t="shared" si="9"/>
        <v>1737.36572265625</v>
      </c>
      <c r="AL17" s="2">
        <v>-0.32495924615113836</v>
      </c>
      <c r="AM17" s="2">
        <f t="shared" si="10"/>
        <v>0.3220696762871707</v>
      </c>
      <c r="AN17" s="2">
        <f t="shared" si="11"/>
        <v>-0.11085691505045391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1.4531847294552087</v>
      </c>
      <c r="H18" s="6" t="s">
        <v>172</v>
      </c>
      <c r="J18" s="12" t="s">
        <v>54</v>
      </c>
      <c r="K18" s="6">
        <f xml:space="preserve"> $C$78 * (0.2138 * K4 + 0.2138 * K6)</f>
        <v>83.301741297314067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0.97137451171875</v>
      </c>
      <c r="W18" s="2">
        <f t="shared" si="0"/>
        <v>4.3720079311304616E-5</v>
      </c>
      <c r="X18" s="2">
        <f t="shared" si="8"/>
        <v>0.971435546875</v>
      </c>
      <c r="Y18" s="2">
        <f t="shared" si="1"/>
        <v>-1.8598587221863028E-5</v>
      </c>
      <c r="Z18" s="2">
        <f t="shared" si="3"/>
        <v>0.971405029296875</v>
      </c>
      <c r="AA18" s="2">
        <f t="shared" si="2"/>
        <v>1.256072610356096E-5</v>
      </c>
      <c r="AB18" s="2">
        <f t="shared" si="4"/>
        <v>5.4915594145525937E-10</v>
      </c>
      <c r="AC18" s="2">
        <f t="shared" si="5"/>
        <v>-2.3361176000701022E-10</v>
      </c>
      <c r="AD18" s="2">
        <f t="shared" si="6"/>
        <v>6.103515625E-5</v>
      </c>
      <c r="AF18" s="2">
        <v>14</v>
      </c>
      <c r="AG18" s="2">
        <f t="shared" si="13"/>
        <v>1737.36572265625</v>
      </c>
      <c r="AH18" s="2">
        <v>-0.32495924615113836</v>
      </c>
      <c r="AI18" s="2">
        <f t="shared" si="14"/>
        <v>1738.525390625</v>
      </c>
      <c r="AJ18" s="2">
        <v>0.34114097802557808</v>
      </c>
      <c r="AK18" s="2">
        <f t="shared" si="9"/>
        <v>1737.945556640625</v>
      </c>
      <c r="AL18" s="2">
        <v>8.0970690680715052E-3</v>
      </c>
      <c r="AM18" s="2">
        <f t="shared" si="10"/>
        <v>-2.6312174603942166E-3</v>
      </c>
      <c r="AN18" s="2">
        <f t="shared" si="11"/>
        <v>2.7622420610225692E-3</v>
      </c>
      <c r="AO18" s="2">
        <f t="shared" si="12"/>
        <v>1.15966796875</v>
      </c>
    </row>
    <row r="19" spans="2:41" x14ac:dyDescent="0.2">
      <c r="F19" s="8" t="s">
        <v>173</v>
      </c>
      <c r="G19" s="6">
        <f>O23 / ($C$29*$C$11/PI())</f>
        <v>4.7206280887592912E-2</v>
      </c>
      <c r="J19" s="12" t="s">
        <v>73</v>
      </c>
      <c r="K19" s="6">
        <f xml:space="preserve"> $C$78 * (0.1149 * K4 + 0.1149 * K6)</f>
        <v>44.767867516657567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0.971405029296875</v>
      </c>
      <c r="W19" s="2">
        <f t="shared" si="0"/>
        <v>1.256072610356096E-5</v>
      </c>
      <c r="X19" s="2">
        <f t="shared" si="8"/>
        <v>0.971435546875</v>
      </c>
      <c r="Y19" s="2">
        <f t="shared" si="1"/>
        <v>-1.8598587221863028E-5</v>
      </c>
      <c r="Z19" s="2">
        <f t="shared" si="3"/>
        <v>0.9714202880859375</v>
      </c>
      <c r="AA19" s="2">
        <f t="shared" si="2"/>
        <v>-3.0189355442189481E-6</v>
      </c>
      <c r="AB19" s="2">
        <f t="shared" si="4"/>
        <v>-3.7920022495238955E-11</v>
      </c>
      <c r="AC19" s="2">
        <f t="shared" si="5"/>
        <v>5.6147936036338631E-11</v>
      </c>
      <c r="AD19" s="2">
        <f t="shared" si="6"/>
        <v>3.0517578125E-5</v>
      </c>
      <c r="AF19" s="2">
        <v>15</v>
      </c>
      <c r="AG19" s="2">
        <f t="shared" si="13"/>
        <v>1737.36572265625</v>
      </c>
      <c r="AH19" s="2">
        <v>-0.32495924615113836</v>
      </c>
      <c r="AI19" s="2">
        <f t="shared" si="14"/>
        <v>1737.945556640625</v>
      </c>
      <c r="AJ19" s="2">
        <v>8.0970690680715052E-3</v>
      </c>
      <c r="AK19" s="2">
        <f t="shared" si="9"/>
        <v>1737.6556396484375</v>
      </c>
      <c r="AL19" s="2">
        <v>-0.158429479074357</v>
      </c>
      <c r="AM19" s="2">
        <f t="shared" si="10"/>
        <v>5.1483124088120599E-2</v>
      </c>
      <c r="AN19" s="2">
        <f t="shared" si="11"/>
        <v>-1.282814434483658E-3</v>
      </c>
      <c r="AO19" s="2">
        <f t="shared" si="12"/>
        <v>0.579833984375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91.084828818545333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207.73522281727074</v>
      </c>
      <c r="L20" s="6" t="s">
        <v>7</v>
      </c>
      <c r="N20" s="6" t="s">
        <v>20</v>
      </c>
      <c r="O20" s="6">
        <f xml:space="preserve"> O14 / $C$28</f>
        <v>1297.2314915484428</v>
      </c>
      <c r="P20" s="6" t="s">
        <v>21</v>
      </c>
      <c r="U20" s="2">
        <v>16</v>
      </c>
      <c r="V20" s="2">
        <f t="shared" si="7"/>
        <v>0.971405029296875</v>
      </c>
      <c r="W20" s="2">
        <f t="shared" si="0"/>
        <v>1.256072610356096E-5</v>
      </c>
      <c r="X20" s="2">
        <f t="shared" si="8"/>
        <v>0.9714202880859375</v>
      </c>
      <c r="Y20" s="2">
        <f t="shared" si="1"/>
        <v>-3.0189355442189481E-6</v>
      </c>
      <c r="Z20" s="2">
        <f t="shared" si="3"/>
        <v>0.97141265869140625</v>
      </c>
      <c r="AA20" s="2">
        <f t="shared" si="2"/>
        <v>4.7708940333901495E-6</v>
      </c>
      <c r="AB20" s="2">
        <f t="shared" si="4"/>
        <v>5.9925893222526882E-11</v>
      </c>
      <c r="AC20" s="2">
        <f t="shared" si="5"/>
        <v>-1.4403021575103622E-11</v>
      </c>
      <c r="AD20" s="2">
        <f t="shared" si="6"/>
        <v>1.52587890625E-5</v>
      </c>
      <c r="AF20" s="2">
        <v>16</v>
      </c>
      <c r="AG20" s="2">
        <f t="shared" si="13"/>
        <v>1737.6556396484375</v>
      </c>
      <c r="AH20" s="2">
        <v>-0.158429479074357</v>
      </c>
      <c r="AI20" s="2">
        <f t="shared" si="14"/>
        <v>1737.945556640625</v>
      </c>
      <c r="AJ20" s="2">
        <v>8.0970690680715052E-3</v>
      </c>
      <c r="AK20" s="2">
        <f t="shared" si="9"/>
        <v>1737.8005981445312</v>
      </c>
      <c r="AL20" s="2">
        <v>-7.5165949954225653E-2</v>
      </c>
      <c r="AM20" s="2">
        <f t="shared" si="10"/>
        <v>1.1908502295377158E-2</v>
      </c>
      <c r="AN20" s="2">
        <f t="shared" si="11"/>
        <v>-6.086238883465713E-4</v>
      </c>
      <c r="AO20" s="2">
        <f t="shared" si="12"/>
        <v>0.2899169921875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45.186151973392306</v>
      </c>
      <c r="L21" s="6" t="s">
        <v>7</v>
      </c>
      <c r="N21" s="6" t="s">
        <v>27</v>
      </c>
      <c r="O21" s="6">
        <f>$C$6*2*PI()/60</f>
        <v>48.861579164884304</v>
      </c>
      <c r="P21" s="6" t="s">
        <v>28</v>
      </c>
      <c r="U21" s="2">
        <v>17</v>
      </c>
      <c r="V21" s="2">
        <f t="shared" si="7"/>
        <v>0.97141265869140625</v>
      </c>
      <c r="W21" s="2">
        <f t="shared" si="0"/>
        <v>4.7708940333901495E-6</v>
      </c>
      <c r="X21" s="2">
        <f t="shared" si="8"/>
        <v>0.9714202880859375</v>
      </c>
      <c r="Y21" s="2">
        <f t="shared" si="1"/>
        <v>-3.0189355442189481E-6</v>
      </c>
      <c r="Z21" s="2">
        <f t="shared" si="3"/>
        <v>0.97141647338867188</v>
      </c>
      <c r="AA21" s="2">
        <f t="shared" si="2"/>
        <v>8.7597893305702001E-7</v>
      </c>
      <c r="AB21" s="2">
        <f t="shared" si="4"/>
        <v>4.1792026650972059E-12</v>
      </c>
      <c r="AC21" s="2">
        <f t="shared" si="5"/>
        <v>-2.644523936992828E-12</v>
      </c>
      <c r="AD21" s="2">
        <f t="shared" si="6"/>
        <v>7.62939453125E-6</v>
      </c>
      <c r="AF21" s="2">
        <v>17</v>
      </c>
      <c r="AG21" s="2">
        <f t="shared" si="13"/>
        <v>1737.8005981445312</v>
      </c>
      <c r="AH21" s="2">
        <v>-7.5165949954225653E-2</v>
      </c>
      <c r="AI21" s="2">
        <f t="shared" si="14"/>
        <v>1737.945556640625</v>
      </c>
      <c r="AJ21" s="2">
        <v>8.0970690680715052E-3</v>
      </c>
      <c r="AK21" s="2">
        <f t="shared" si="9"/>
        <v>1737.8730773925781</v>
      </c>
      <c r="AL21" s="2">
        <v>-3.3534465090724552E-2</v>
      </c>
      <c r="AM21" s="2">
        <f t="shared" si="10"/>
        <v>2.5206499247511288E-3</v>
      </c>
      <c r="AN21" s="2">
        <f t="shared" si="11"/>
        <v>-2.7153088000042948E-4</v>
      </c>
      <c r="AO21" s="2">
        <f t="shared" si="12"/>
        <v>0.14495849609375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275.76524692656261</v>
      </c>
      <c r="L22" s="6" t="s">
        <v>7</v>
      </c>
      <c r="N22" s="6" t="s">
        <v>29</v>
      </c>
      <c r="O22" s="6">
        <f xml:space="preserve"> $C$7 * COS(O19/180*PI()) / (O21 * $C$10)</f>
        <v>8.3187727238509257E-2</v>
      </c>
      <c r="U22" s="2">
        <v>18</v>
      </c>
      <c r="V22" s="2">
        <f t="shared" si="7"/>
        <v>0.97141647338867188</v>
      </c>
      <c r="W22" s="2">
        <f t="shared" si="0"/>
        <v>8.7597893305702001E-7</v>
      </c>
      <c r="X22" s="2">
        <f t="shared" si="8"/>
        <v>0.9714202880859375</v>
      </c>
      <c r="Y22" s="2">
        <f t="shared" si="1"/>
        <v>-3.0189355442189481E-6</v>
      </c>
      <c r="Z22" s="2">
        <f t="shared" si="3"/>
        <v>0.97141838073730469</v>
      </c>
      <c r="AA22" s="2">
        <f t="shared" si="2"/>
        <v>-1.0714783834631092E-6</v>
      </c>
      <c r="AB22" s="2">
        <f t="shared" si="4"/>
        <v>-9.3859249113967503E-13</v>
      </c>
      <c r="AC22" s="2">
        <f t="shared" si="5"/>
        <v>3.2347241766990404E-12</v>
      </c>
      <c r="AD22" s="2">
        <f t="shared" si="6"/>
        <v>3.814697265625E-6</v>
      </c>
      <c r="AF22" s="2">
        <v>18</v>
      </c>
      <c r="AG22" s="2">
        <f t="shared" si="13"/>
        <v>1737.8730773925781</v>
      </c>
      <c r="AH22" s="2">
        <v>-3.3534465090724552E-2</v>
      </c>
      <c r="AI22" s="2">
        <f t="shared" si="14"/>
        <v>1737.945556640625</v>
      </c>
      <c r="AJ22" s="2">
        <v>8.0970690680715052E-3</v>
      </c>
      <c r="AK22" s="2">
        <f t="shared" si="9"/>
        <v>1737.9093170166016</v>
      </c>
      <c r="AL22" s="2">
        <v>-1.271879258683839E-2</v>
      </c>
      <c r="AM22" s="2">
        <f t="shared" si="10"/>
        <v>4.265179059994982E-4</v>
      </c>
      <c r="AN22" s="2">
        <f t="shared" si="11"/>
        <v>-1.029849420381063E-4</v>
      </c>
      <c r="AO22" s="2">
        <f t="shared" si="12"/>
        <v>7.2479248046875E-2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20.138251166194074</v>
      </c>
      <c r="L23" s="6" t="s">
        <v>7</v>
      </c>
      <c r="N23" s="6" t="s">
        <v>30</v>
      </c>
      <c r="O23" s="6">
        <f xml:space="preserve"> O20 / ( $C$71 * PI() * $C$10^2 * O21^2 * $C$10^2)</f>
        <v>4.012453101139659E-2</v>
      </c>
      <c r="U23" s="2">
        <v>19</v>
      </c>
      <c r="V23" s="2">
        <f t="shared" si="7"/>
        <v>0.97141647338867188</v>
      </c>
      <c r="W23" s="2">
        <f t="shared" si="0"/>
        <v>8.7597893305702001E-7</v>
      </c>
      <c r="X23" s="2">
        <f t="shared" si="8"/>
        <v>0.97141838073730469</v>
      </c>
      <c r="Y23" s="2">
        <f t="shared" si="1"/>
        <v>-1.0714783834631092E-6</v>
      </c>
      <c r="Z23" s="2">
        <f t="shared" si="3"/>
        <v>0.97141742706298828</v>
      </c>
      <c r="AA23" s="2">
        <f t="shared" si="2"/>
        <v>-9.7749744631947522E-8</v>
      </c>
      <c r="AB23" s="2">
        <f t="shared" si="4"/>
        <v>-8.5626717009289564E-14</v>
      </c>
      <c r="AC23" s="2">
        <f t="shared" si="5"/>
        <v>1.0473673836217086E-13</v>
      </c>
      <c r="AD23" s="2">
        <f t="shared" si="6"/>
        <v>1.9073486328125E-6</v>
      </c>
      <c r="AF23" s="2">
        <v>19</v>
      </c>
      <c r="AG23" s="2">
        <f t="shared" si="13"/>
        <v>1737.9093170166016</v>
      </c>
      <c r="AH23" s="2">
        <v>-1.271879258683839E-2</v>
      </c>
      <c r="AI23" s="2">
        <f t="shared" si="14"/>
        <v>1737.945556640625</v>
      </c>
      <c r="AJ23" s="2">
        <v>8.0970690680715052E-3</v>
      </c>
      <c r="AK23" s="2">
        <f t="shared" si="9"/>
        <v>1737.9274368286133</v>
      </c>
      <c r="AL23" s="2">
        <v>-2.3107380475266837E-3</v>
      </c>
      <c r="AM23" s="2">
        <f t="shared" si="10"/>
        <v>2.9389797949007799E-5</v>
      </c>
      <c r="AN23" s="2">
        <f t="shared" si="11"/>
        <v>-1.8710205569044255E-5</v>
      </c>
      <c r="AO23" s="2">
        <f t="shared" si="12"/>
        <v>3.62396240234375E-2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7.5797258220636756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0.97141647338867188</v>
      </c>
      <c r="W24" s="2">
        <f t="shared" si="0"/>
        <v>8.7597893305702001E-7</v>
      </c>
      <c r="X24" s="2">
        <f t="shared" si="8"/>
        <v>0.97141742706298828</v>
      </c>
      <c r="Y24" s="2">
        <f t="shared" si="1"/>
        <v>-9.7749744631947522E-8</v>
      </c>
      <c r="Z24" s="2">
        <f t="shared" si="3"/>
        <v>0.97141695022583008</v>
      </c>
      <c r="AA24" s="2">
        <f t="shared" si="2"/>
        <v>3.8911458932755494E-7</v>
      </c>
      <c r="AB24" s="2">
        <f t="shared" si="4"/>
        <v>3.408561827960721E-13</v>
      </c>
      <c r="AC24" s="2">
        <f t="shared" si="5"/>
        <v>-3.8035851739333627E-14</v>
      </c>
      <c r="AD24" s="2">
        <f t="shared" si="6"/>
        <v>9.5367431640625E-7</v>
      </c>
      <c r="AF24" s="2">
        <v>20</v>
      </c>
      <c r="AG24" s="2">
        <f t="shared" si="13"/>
        <v>1737.9274368286133</v>
      </c>
      <c r="AH24" s="2">
        <v>-2.3107380475266837E-3</v>
      </c>
      <c r="AI24" s="2">
        <f t="shared" si="14"/>
        <v>1737.945556640625</v>
      </c>
      <c r="AJ24" s="2">
        <v>8.0970690680715052E-3</v>
      </c>
      <c r="AK24" s="2">
        <f t="shared" si="9"/>
        <v>1737.9364967346191</v>
      </c>
      <c r="AL24" s="2">
        <v>2.8931669673966098E-3</v>
      </c>
      <c r="AM24" s="2">
        <f t="shared" si="10"/>
        <v>-6.6853509894107385E-6</v>
      </c>
      <c r="AN24" s="2">
        <f t="shared" si="11"/>
        <v>2.3426172760473332E-5</v>
      </c>
      <c r="AO24" s="2">
        <f t="shared" si="12"/>
        <v>1.811981201171875E-2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15.914626984475534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2216.9050602230373</v>
      </c>
      <c r="P25" s="6" t="s">
        <v>19</v>
      </c>
      <c r="U25" s="2">
        <v>21</v>
      </c>
      <c r="V25" s="2">
        <f t="shared" si="7"/>
        <v>0.97141695022583008</v>
      </c>
      <c r="W25" s="2">
        <f t="shared" si="0"/>
        <v>3.8911458932755494E-7</v>
      </c>
      <c r="X25" s="2">
        <f t="shared" si="8"/>
        <v>0.97141742706298828</v>
      </c>
      <c r="Y25" s="2">
        <f t="shared" si="1"/>
        <v>-9.7749744631947522E-8</v>
      </c>
      <c r="Z25" s="2">
        <f t="shared" si="3"/>
        <v>0.97141718864440918</v>
      </c>
      <c r="AA25" s="2">
        <f t="shared" si="2"/>
        <v>1.4568242112655838E-7</v>
      </c>
      <c r="AB25" s="2">
        <f t="shared" si="4"/>
        <v>5.6687155468904675E-14</v>
      </c>
      <c r="AC25" s="2">
        <f t="shared" si="5"/>
        <v>-1.4240419462484919E-14</v>
      </c>
      <c r="AD25" s="2">
        <f t="shared" si="6"/>
        <v>4.76837158203125E-7</v>
      </c>
      <c r="AF25" s="2">
        <v>21</v>
      </c>
      <c r="AG25" s="2">
        <f t="shared" si="13"/>
        <v>1737.9274368286133</v>
      </c>
      <c r="AH25" s="2">
        <v>-2.3107380475266837E-3</v>
      </c>
      <c r="AI25" s="2">
        <f t="shared" si="14"/>
        <v>1737.9364967346191</v>
      </c>
      <c r="AJ25" s="2">
        <v>2.8931669673966098E-3</v>
      </c>
      <c r="AK25" s="2">
        <f t="shared" si="9"/>
        <v>1737.9319667816162</v>
      </c>
      <c r="AL25" s="2">
        <v>2.9121482430127799E-4</v>
      </c>
      <c r="AM25" s="2">
        <f t="shared" si="10"/>
        <v>-6.7292117451676134E-7</v>
      </c>
      <c r="AN25" s="2">
        <f t="shared" si="11"/>
        <v>8.4253311008466499E-7</v>
      </c>
      <c r="AO25" s="2">
        <f t="shared" si="12"/>
        <v>9.059906005859375E-3</v>
      </c>
    </row>
    <row r="26" spans="2:41" x14ac:dyDescent="0.2">
      <c r="F26" s="6" t="s">
        <v>20</v>
      </c>
      <c r="G26" s="6">
        <f xml:space="preserve"> $C$5 * $C$68 / $C$21</f>
        <v>2129.2868778158413</v>
      </c>
      <c r="H26" s="6" t="s">
        <v>21</v>
      </c>
      <c r="J26" s="14" t="s">
        <v>65</v>
      </c>
      <c r="K26" s="6">
        <f xml:space="preserve"> $C$80 * (0.0268 * $C$5)</f>
        <v>37.261196088828115</v>
      </c>
      <c r="L26" s="6" t="s">
        <v>7</v>
      </c>
      <c r="N26" s="6" t="s">
        <v>32</v>
      </c>
      <c r="O26" s="17">
        <f>Z34</f>
        <v>0.97141733160242438</v>
      </c>
      <c r="U26" s="2">
        <v>22</v>
      </c>
      <c r="V26" s="2">
        <f t="shared" si="7"/>
        <v>0.97141718864440918</v>
      </c>
      <c r="W26" s="2">
        <f t="shared" si="0"/>
        <v>1.4568242112655838E-7</v>
      </c>
      <c r="X26" s="2">
        <f t="shared" si="8"/>
        <v>0.97141742706298828</v>
      </c>
      <c r="Y26" s="2">
        <f t="shared" si="1"/>
        <v>-9.7749744631947522E-8</v>
      </c>
      <c r="Z26" s="2">
        <f t="shared" si="3"/>
        <v>0.97141730785369873</v>
      </c>
      <c r="AA26" s="2">
        <f t="shared" si="2"/>
        <v>2.3966337914238522E-8</v>
      </c>
      <c r="AB26" s="2">
        <f t="shared" si="4"/>
        <v>3.4914741328834992E-15</v>
      </c>
      <c r="AC26" s="2">
        <f t="shared" si="5"/>
        <v>-2.3427034108797773E-15</v>
      </c>
      <c r="AD26" s="2">
        <f t="shared" si="6"/>
        <v>2.384185791015625E-7</v>
      </c>
      <c r="AF26" s="2">
        <v>22</v>
      </c>
      <c r="AG26" s="2">
        <f t="shared" si="13"/>
        <v>1737.9274368286133</v>
      </c>
      <c r="AH26" s="2">
        <v>-2.3107380475266837E-3</v>
      </c>
      <c r="AI26" s="2">
        <f t="shared" si="14"/>
        <v>1737.9319667816162</v>
      </c>
      <c r="AJ26" s="2">
        <v>2.9121482430127799E-4</v>
      </c>
      <c r="AK26" s="2">
        <f t="shared" si="9"/>
        <v>1737.9297018051147</v>
      </c>
      <c r="AL26" s="2">
        <v>-1.0097615206632327E-3</v>
      </c>
      <c r="AM26" s="2">
        <f t="shared" si="10"/>
        <v>2.3332943647249332E-6</v>
      </c>
      <c r="AN26" s="2">
        <f t="shared" si="11"/>
        <v>-2.9405752382613457E-7</v>
      </c>
      <c r="AO26" s="2">
        <f t="shared" si="12"/>
        <v>4.5299530029296875E-3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25.339463401921289</v>
      </c>
      <c r="H27" t="s">
        <v>97</v>
      </c>
      <c r="J27" s="14" t="s">
        <v>66</v>
      </c>
      <c r="K27" s="6">
        <f xml:space="preserve"> $C$80 * (11.5 * ($C$5*2.20462/1000)^0.4 * 0.453592)</f>
        <v>7.1416656672006358</v>
      </c>
      <c r="L27" s="6" t="s">
        <v>7</v>
      </c>
      <c r="N27" s="6" t="s">
        <v>33</v>
      </c>
      <c r="O27" s="6">
        <f xml:space="preserve"> O21 * $C$10 * O26 - $C$7 * SIN(O19/180*PI())</f>
        <v>1.4456458114131436</v>
      </c>
      <c r="P27" s="6" t="s">
        <v>10</v>
      </c>
      <c r="U27" s="2">
        <v>23</v>
      </c>
      <c r="V27" s="2">
        <f t="shared" si="7"/>
        <v>0.97141730785369873</v>
      </c>
      <c r="W27" s="2">
        <f t="shared" si="0"/>
        <v>2.3966337914238522E-8</v>
      </c>
      <c r="X27" s="2">
        <f t="shared" si="8"/>
        <v>0.97141742706298828</v>
      </c>
      <c r="Y27" s="2">
        <f t="shared" si="1"/>
        <v>-9.7749744631947522E-8</v>
      </c>
      <c r="Z27" s="2">
        <f t="shared" si="3"/>
        <v>0.97141736745834351</v>
      </c>
      <c r="AA27" s="2">
        <f t="shared" si="2"/>
        <v>-3.6891703469876802E-8</v>
      </c>
      <c r="AB27" s="2">
        <f t="shared" si="4"/>
        <v>-8.8415903159095331E-16</v>
      </c>
      <c r="AC27" s="2">
        <f t="shared" si="5"/>
        <v>3.6061545932179896E-15</v>
      </c>
      <c r="AD27" s="2">
        <f t="shared" si="6"/>
        <v>1.1920928955078125E-7</v>
      </c>
      <c r="AF27" s="2">
        <v>23</v>
      </c>
      <c r="AG27" s="2">
        <f t="shared" si="13"/>
        <v>1737.9297018051147</v>
      </c>
      <c r="AH27" s="2">
        <v>-2.3107380475266837E-3</v>
      </c>
      <c r="AI27" s="2">
        <f t="shared" si="14"/>
        <v>1737.9319667816162</v>
      </c>
      <c r="AJ27" s="2">
        <v>2.9121482430127799E-4</v>
      </c>
      <c r="AK27" s="2">
        <f t="shared" si="9"/>
        <v>1737.9308342933655</v>
      </c>
      <c r="AL27" s="2">
        <v>-1.6603676458544214E-3</v>
      </c>
      <c r="AM27" s="2">
        <f t="shared" si="10"/>
        <v>3.8366746921581217E-6</v>
      </c>
      <c r="AN27" s="2">
        <f t="shared" si="11"/>
        <v>-4.8352367226302185E-7</v>
      </c>
      <c r="AO27" s="2">
        <f t="shared" si="12"/>
        <v>2.2649765014648438E-3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8.573232661281299</v>
      </c>
      <c r="H28" s="6" t="s">
        <v>172</v>
      </c>
      <c r="J28" s="14" t="s">
        <v>67</v>
      </c>
      <c r="K28" s="6">
        <f xml:space="preserve"> $C$80 * (8 * ($C$5/1000))</f>
        <v>11.122745101142719</v>
      </c>
      <c r="L28" s="6" t="s">
        <v>7</v>
      </c>
      <c r="N28" s="6" t="s">
        <v>34</v>
      </c>
      <c r="O28" s="6">
        <f xml:space="preserve"> 1/$C$31 - O25 * SQRT( (2*$C$71*PI()*$C$10^2) / O20^3 )</f>
        <v>1.1615957955147689</v>
      </c>
      <c r="U28" s="2">
        <v>24</v>
      </c>
      <c r="V28" s="2">
        <f t="shared" si="7"/>
        <v>0.97141730785369873</v>
      </c>
      <c r="W28" s="2">
        <f t="shared" si="0"/>
        <v>2.3966337914238522E-8</v>
      </c>
      <c r="X28" s="2">
        <f t="shared" si="8"/>
        <v>0.97141736745834351</v>
      </c>
      <c r="Y28" s="2">
        <f t="shared" si="1"/>
        <v>-3.6891703469876802E-8</v>
      </c>
      <c r="Z28" s="2">
        <f t="shared" si="3"/>
        <v>0.97141733765602112</v>
      </c>
      <c r="AA28" s="2">
        <f t="shared" si="2"/>
        <v>-6.462682833330291E-9</v>
      </c>
      <c r="AB28" s="2">
        <f t="shared" si="4"/>
        <v>-1.5488684061614219E-16</v>
      </c>
      <c r="AC28" s="2">
        <f t="shared" si="5"/>
        <v>2.3841937870708434E-16</v>
      </c>
      <c r="AD28" s="2">
        <f t="shared" si="6"/>
        <v>5.9604644775390625E-8</v>
      </c>
      <c r="AF28" s="2">
        <v>24</v>
      </c>
      <c r="AG28" s="2">
        <f t="shared" si="13"/>
        <v>1737.9308342933655</v>
      </c>
      <c r="AH28" s="2">
        <v>-2.3107380475266837E-3</v>
      </c>
      <c r="AI28" s="2">
        <f t="shared" si="14"/>
        <v>1737.9319667816162</v>
      </c>
      <c r="AJ28" s="2">
        <v>2.9121482430127799E-4</v>
      </c>
      <c r="AK28" s="2">
        <f t="shared" si="9"/>
        <v>1737.9314005374908</v>
      </c>
      <c r="AL28" s="2">
        <v>-1.9855528412335843E-3</v>
      </c>
      <c r="AM28" s="2">
        <f t="shared" si="10"/>
        <v>4.5880924956131516E-6</v>
      </c>
      <c r="AN28" s="2">
        <f t="shared" si="11"/>
        <v>-5.7822242180074158E-7</v>
      </c>
      <c r="AO28" s="2">
        <f t="shared" si="12"/>
        <v>1.1324882507324219E-3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202.71570721537032</v>
      </c>
      <c r="H29" s="22" t="s">
        <v>97</v>
      </c>
      <c r="J29" s="14" t="s">
        <v>68</v>
      </c>
      <c r="K29" s="6">
        <f xml:space="preserve"> $C$80 * (13 * ($C$5*2.20462/1000)^1.3 * 0.453592)</f>
        <v>27.044204128270508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0.97141730785369873</v>
      </c>
      <c r="W29" s="2">
        <f t="shared" si="0"/>
        <v>2.3966337914238522E-8</v>
      </c>
      <c r="X29" s="2">
        <f t="shared" si="8"/>
        <v>0.97141733765602112</v>
      </c>
      <c r="Y29" s="2">
        <f t="shared" si="1"/>
        <v>-6.462682833330291E-9</v>
      </c>
      <c r="Z29" s="2">
        <f t="shared" si="3"/>
        <v>0.97141732275485992</v>
      </c>
      <c r="AA29" s="2">
        <f t="shared" si="2"/>
        <v>8.7518275959652669E-9</v>
      </c>
      <c r="AB29" s="2">
        <f t="shared" si="4"/>
        <v>2.0974925753206137E-16</v>
      </c>
      <c r="AC29" s="2">
        <f t="shared" si="5"/>
        <v>-5.6560285964711041E-17</v>
      </c>
      <c r="AD29" s="2">
        <f t="shared" si="6"/>
        <v>2.9802322387695312E-8</v>
      </c>
      <c r="AF29" s="2">
        <v>25</v>
      </c>
      <c r="AG29" s="2">
        <f t="shared" si="13"/>
        <v>1737.9314005374908</v>
      </c>
      <c r="AH29" s="2">
        <v>-2.3107380475266837E-3</v>
      </c>
      <c r="AI29" s="2">
        <f t="shared" si="14"/>
        <v>1737.9319667816162</v>
      </c>
      <c r="AJ29" s="2">
        <v>2.9121482430127799E-4</v>
      </c>
      <c r="AK29" s="2">
        <f t="shared" si="9"/>
        <v>1737.9316836595535</v>
      </c>
      <c r="AL29" s="2">
        <v>-2.1482633278537833E-3</v>
      </c>
      <c r="AM29" s="2">
        <f t="shared" si="10"/>
        <v>4.9640738077780269E-6</v>
      </c>
      <c r="AN29" s="2">
        <f t="shared" si="11"/>
        <v>-6.2560612757381822E-7</v>
      </c>
      <c r="AO29" s="2">
        <f t="shared" si="12"/>
        <v>5.6624412536621094E-4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-1.4578273860479385E-3</v>
      </c>
      <c r="L30" s="9" t="s">
        <v>7</v>
      </c>
      <c r="N30" s="6" t="s">
        <v>36</v>
      </c>
      <c r="O30" s="6">
        <f xml:space="preserve"> 1/$C$77 * LN( EXP($C$77 * O28) + EXP($C$77 * O29) )</f>
        <v>1.1794045158559394</v>
      </c>
      <c r="U30" s="2">
        <v>26</v>
      </c>
      <c r="V30" s="2">
        <f>IF(AB29&gt;0, Z29, V29)</f>
        <v>0.97141732275485992</v>
      </c>
      <c r="W30" s="2">
        <f t="shared" si="0"/>
        <v>8.7518275959652669E-9</v>
      </c>
      <c r="X30" s="2">
        <f t="shared" si="8"/>
        <v>0.97141733765602112</v>
      </c>
      <c r="Y30" s="2">
        <f t="shared" si="1"/>
        <v>-6.462682833330291E-9</v>
      </c>
      <c r="Z30" s="2">
        <f t="shared" si="3"/>
        <v>0.97141733020544052</v>
      </c>
      <c r="AA30" s="2">
        <f t="shared" si="2"/>
        <v>1.1445724368286392E-9</v>
      </c>
      <c r="AB30" s="2">
        <f t="shared" si="4"/>
        <v>1.0017100638218097E-17</v>
      </c>
      <c r="AC30" s="2">
        <f t="shared" si="5"/>
        <v>-7.3970086389954654E-18</v>
      </c>
      <c r="AD30" s="2">
        <f t="shared" si="6"/>
        <v>1.4901161193847656E-8</v>
      </c>
      <c r="AF30" s="2">
        <v>26</v>
      </c>
      <c r="AG30" s="2">
        <f t="shared" si="13"/>
        <v>1737.9316836595535</v>
      </c>
      <c r="AH30" s="2">
        <v>-2.3107380475266837E-3</v>
      </c>
      <c r="AI30" s="2">
        <f t="shared" si="14"/>
        <v>1737.9319667816162</v>
      </c>
      <c r="AJ30" s="2">
        <v>2.9121482430127799E-4</v>
      </c>
      <c r="AK30" s="2">
        <f t="shared" si="9"/>
        <v>1737.9318252205849</v>
      </c>
      <c r="AL30" s="2">
        <v>-2.2295006872354861E-3</v>
      </c>
      <c r="AM30" s="2">
        <f t="shared" si="10"/>
        <v>5.1517920649819267E-6</v>
      </c>
      <c r="AN30" s="2">
        <f t="shared" si="11"/>
        <v>-6.4926365091286057E-7</v>
      </c>
      <c r="AO30" s="2">
        <f t="shared" si="12"/>
        <v>2.8312206268310547E-4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0.97141733020544052</v>
      </c>
      <c r="W31" s="2">
        <f t="shared" si="0"/>
        <v>1.1445724368286392E-9</v>
      </c>
      <c r="X31" s="2">
        <f t="shared" si="8"/>
        <v>0.97141733765602112</v>
      </c>
      <c r="Y31" s="2">
        <f t="shared" si="1"/>
        <v>-6.462682833330291E-9</v>
      </c>
      <c r="Z31" s="2">
        <f t="shared" si="3"/>
        <v>0.97141733393073082</v>
      </c>
      <c r="AA31" s="2">
        <f t="shared" si="2"/>
        <v>-2.6590551982508259E-9</v>
      </c>
      <c r="AB31" s="2">
        <f t="shared" si="4"/>
        <v>-3.0434812879238081E-18</v>
      </c>
      <c r="AC31" s="2">
        <f t="shared" si="5"/>
        <v>1.7184630382613286E-17</v>
      </c>
      <c r="AD31" s="2">
        <f t="shared" si="6"/>
        <v>7.4505805969238281E-9</v>
      </c>
      <c r="AF31" s="2">
        <v>27</v>
      </c>
      <c r="AG31" s="2">
        <f t="shared" si="13"/>
        <v>1737.9318252205849</v>
      </c>
      <c r="AH31" s="2">
        <v>-2.3107380475266837E-3</v>
      </c>
      <c r="AI31" s="2">
        <f t="shared" si="14"/>
        <v>1737.9319667816162</v>
      </c>
      <c r="AJ31" s="2">
        <v>2.9121482430127799E-4</v>
      </c>
      <c r="AK31" s="2">
        <f t="shared" si="9"/>
        <v>1737.9318960011005</v>
      </c>
      <c r="AL31" s="2">
        <v>-2.2702372518779157E-3</v>
      </c>
      <c r="AM31" s="2">
        <f t="shared" si="10"/>
        <v>5.2459235948267193E-6</v>
      </c>
      <c r="AN31" s="2">
        <f t="shared" si="11"/>
        <v>-6.6112674242784336E-7</v>
      </c>
      <c r="AO31" s="2">
        <f t="shared" si="12"/>
        <v>1.4156103134155273E-4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0.97141733020544052</v>
      </c>
      <c r="W32" s="2">
        <f t="shared" si="0"/>
        <v>1.1445724368286392E-9</v>
      </c>
      <c r="X32" s="2">
        <f t="shared" si="8"/>
        <v>0.97141733393073082</v>
      </c>
      <c r="Y32" s="2">
        <f t="shared" si="1"/>
        <v>-2.6590551982508259E-9</v>
      </c>
      <c r="Z32" s="2">
        <f t="shared" si="3"/>
        <v>0.97141733206808567</v>
      </c>
      <c r="AA32" s="2">
        <f t="shared" si="2"/>
        <v>-7.5724138071109337E-10</v>
      </c>
      <c r="AB32" s="2">
        <f t="shared" si="4"/>
        <v>-8.6671761238797943E-19</v>
      </c>
      <c r="AC32" s="2">
        <f t="shared" si="5"/>
        <v>2.0135466297104655E-18</v>
      </c>
      <c r="AD32" s="2">
        <f t="shared" si="6"/>
        <v>3.7252902984619141E-9</v>
      </c>
      <c r="AF32" s="2">
        <v>28</v>
      </c>
      <c r="AG32" s="2">
        <f t="shared" si="13"/>
        <v>1737.9318960011005</v>
      </c>
      <c r="AH32" s="2">
        <v>-2.3107380475266837E-3</v>
      </c>
      <c r="AI32" s="2">
        <f t="shared" si="14"/>
        <v>1737.9319667816162</v>
      </c>
      <c r="AJ32" s="2">
        <v>2.9121482430127799E-4</v>
      </c>
      <c r="AK32" s="2">
        <f t="shared" si="9"/>
        <v>1737.9319313913584</v>
      </c>
      <c r="AL32" s="2">
        <v>-2.2906055341991305E-3</v>
      </c>
      <c r="AM32" s="2">
        <f t="shared" si="10"/>
        <v>5.2929893597491151E-6</v>
      </c>
      <c r="AN32" s="2">
        <f t="shared" si="11"/>
        <v>-6.6705828818533476E-7</v>
      </c>
      <c r="AO32" s="2">
        <f t="shared" si="12"/>
        <v>7.0780515670776367E-5</v>
      </c>
    </row>
    <row r="33" spans="2:41" x14ac:dyDescent="0.2">
      <c r="F33" s="23" t="s">
        <v>128</v>
      </c>
      <c r="G33" s="22">
        <f xml:space="preserve"> G20</f>
        <v>91.084828818545333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0.97141733020544052</v>
      </c>
      <c r="W33" s="2">
        <f t="shared" si="0"/>
        <v>1.1445724368286392E-9</v>
      </c>
      <c r="X33" s="2">
        <f t="shared" si="8"/>
        <v>0.97141733206808567</v>
      </c>
      <c r="Y33" s="2">
        <f t="shared" si="1"/>
        <v>-7.5724138071109337E-10</v>
      </c>
      <c r="Z33" s="2">
        <f t="shared" si="3"/>
        <v>0.9714173311367631</v>
      </c>
      <c r="AA33" s="2">
        <f t="shared" si="2"/>
        <v>1.9366552805877291E-10</v>
      </c>
      <c r="AB33" s="2">
        <f t="shared" si="4"/>
        <v>2.216642253799349E-19</v>
      </c>
      <c r="AC33" s="2">
        <f t="shared" si="5"/>
        <v>-1.4665155186336819E-19</v>
      </c>
      <c r="AD33" s="2">
        <f t="shared" si="6"/>
        <v>1.862645149230957E-9</v>
      </c>
      <c r="AF33" s="2">
        <v>29</v>
      </c>
      <c r="AG33" s="2">
        <f t="shared" si="13"/>
        <v>1737.9319313913584</v>
      </c>
      <c r="AH33" s="2">
        <v>-2.3107380475266837E-3</v>
      </c>
      <c r="AI33" s="2">
        <f t="shared" si="14"/>
        <v>1737.9319667816162</v>
      </c>
      <c r="AJ33" s="2">
        <v>2.9121482430127799E-4</v>
      </c>
      <c r="AK33" s="2">
        <f t="shared" si="9"/>
        <v>1737.9319490864873</v>
      </c>
      <c r="AL33" s="2">
        <v>-2.3007896754734247E-3</v>
      </c>
      <c r="AM33" s="2">
        <f t="shared" si="10"/>
        <v>5.3165222424730135E-6</v>
      </c>
      <c r="AN33" s="2">
        <f t="shared" si="11"/>
        <v>-6.7002406109718779E-7</v>
      </c>
      <c r="AO33" s="2">
        <f t="shared" si="12"/>
        <v>3.5390257835388184E-5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34.520000000000003</v>
      </c>
      <c r="L34" s="6" t="s">
        <v>59</v>
      </c>
      <c r="U34" s="2">
        <v>30</v>
      </c>
      <c r="V34" s="2">
        <f t="shared" si="7"/>
        <v>0.9714173311367631</v>
      </c>
      <c r="W34" s="2">
        <f t="shared" si="0"/>
        <v>1.9366552805877291E-10</v>
      </c>
      <c r="X34" s="2">
        <f t="shared" si="8"/>
        <v>0.97141733206808567</v>
      </c>
      <c r="Y34" s="2">
        <f t="shared" si="1"/>
        <v>-7.5724138071109337E-10</v>
      </c>
      <c r="Z34" s="2">
        <f t="shared" si="3"/>
        <v>0.97141733160242438</v>
      </c>
      <c r="AA34" s="2">
        <f t="shared" si="2"/>
        <v>-2.8178792632616023E-10</v>
      </c>
      <c r="AB34" s="2">
        <f t="shared" si="4"/>
        <v>-5.4572607552542417E-20</v>
      </c>
      <c r="AC34" s="2">
        <f t="shared" si="5"/>
        <v>2.1338147839893743E-19</v>
      </c>
      <c r="AD34" s="2">
        <f t="shared" si="6"/>
        <v>9.3132257461547852E-10</v>
      </c>
      <c r="AF34" s="2">
        <v>30</v>
      </c>
      <c r="AG34" s="2">
        <f t="shared" si="13"/>
        <v>1737.9319490864873</v>
      </c>
      <c r="AH34" s="2">
        <v>-2.3107380475266837E-3</v>
      </c>
      <c r="AI34" s="2">
        <f t="shared" si="14"/>
        <v>1737.9319667816162</v>
      </c>
      <c r="AJ34" s="2">
        <v>2.9121482430127799E-4</v>
      </c>
      <c r="AK34" s="2">
        <f t="shared" si="9"/>
        <v>1737.9319579340518</v>
      </c>
      <c r="AL34" s="2">
        <v>-2.305881745996885E-3</v>
      </c>
      <c r="AM34" s="2">
        <f t="shared" si="10"/>
        <v>5.3282886835722622E-6</v>
      </c>
      <c r="AN34" s="2">
        <f t="shared" si="11"/>
        <v>-6.7150694752000702E-7</v>
      </c>
      <c r="AO34" s="2">
        <f t="shared" si="12"/>
        <v>1.7695128917694092E-5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13.21</v>
      </c>
      <c r="L35" s="6" t="s">
        <v>59</v>
      </c>
      <c r="AF35" s="2">
        <v>31</v>
      </c>
      <c r="AG35" s="2">
        <f t="shared" si="13"/>
        <v>1737.9319579340518</v>
      </c>
      <c r="AH35" s="2">
        <v>-2.3107380475266837E-3</v>
      </c>
      <c r="AI35" s="2">
        <f t="shared" si="14"/>
        <v>1737.9319667816162</v>
      </c>
      <c r="AJ35" s="2">
        <v>2.9121482430127799E-4</v>
      </c>
      <c r="AK35" s="2">
        <f t="shared" si="9"/>
        <v>1737.931962357834</v>
      </c>
      <c r="AL35" s="2">
        <v>-2.3084277818270493E-3</v>
      </c>
      <c r="AM35" s="2">
        <f t="shared" si="10"/>
        <v>5.3341719054353891E-6</v>
      </c>
      <c r="AN35" s="2">
        <f t="shared" si="11"/>
        <v>-6.7224839089695303E-7</v>
      </c>
      <c r="AO35" s="2">
        <f t="shared" si="12"/>
        <v>8.8475644588470459E-6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14.59</v>
      </c>
      <c r="L36" s="6" t="s">
        <v>59</v>
      </c>
      <c r="AF36" s="2">
        <v>32</v>
      </c>
      <c r="AG36" s="2">
        <f t="shared" si="13"/>
        <v>1737.931962357834</v>
      </c>
      <c r="AH36" s="2">
        <v>-2.3107380475266837E-3</v>
      </c>
      <c r="AI36" s="2">
        <f t="shared" si="14"/>
        <v>1737.9319667816162</v>
      </c>
      <c r="AJ36" s="2">
        <v>2.9121482430127799E-4</v>
      </c>
      <c r="AK36" s="2">
        <f t="shared" si="9"/>
        <v>1737.9319645697251</v>
      </c>
      <c r="AL36" s="2">
        <v>-2.3097007992873841E-3</v>
      </c>
      <c r="AM36" s="2">
        <f t="shared" si="10"/>
        <v>5.3371135153161509E-6</v>
      </c>
      <c r="AN36" s="2">
        <f t="shared" si="11"/>
        <v>-6.7261911245299693E-7</v>
      </c>
      <c r="AO36" s="2">
        <f t="shared" si="12"/>
        <v>4.4237822294235229E-6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32.93</v>
      </c>
      <c r="L37" s="6" t="s">
        <v>59</v>
      </c>
      <c r="AF37" s="2">
        <v>33</v>
      </c>
      <c r="AG37" s="2">
        <f t="shared" si="13"/>
        <v>1737.9319645697251</v>
      </c>
      <c r="AH37" s="2">
        <v>-2.3107380475266837E-3</v>
      </c>
      <c r="AI37" s="2">
        <f t="shared" si="14"/>
        <v>1737.9319667816162</v>
      </c>
      <c r="AJ37" s="2">
        <v>2.9121482430127799E-4</v>
      </c>
      <c r="AK37" s="2">
        <f t="shared" si="9"/>
        <v>1737.9319656756707</v>
      </c>
      <c r="AL37" s="2">
        <v>-2.3103373080175515E-3</v>
      </c>
      <c r="AM37" s="2">
        <f t="shared" si="10"/>
        <v>5.3385843202565314E-6</v>
      </c>
      <c r="AN37" s="2">
        <f t="shared" si="11"/>
        <v>-6.7280447323101888E-7</v>
      </c>
      <c r="AO37" s="2">
        <f t="shared" si="12"/>
        <v>2.2118911147117615E-6</v>
      </c>
    </row>
    <row r="38" spans="2:41" x14ac:dyDescent="0.2">
      <c r="J38" s="14" t="s">
        <v>71</v>
      </c>
      <c r="K38" s="6">
        <f>ROUND(SUM(K26:K29)/$C$5*100, 2)</f>
        <v>4.75</v>
      </c>
      <c r="L38" s="6" t="s">
        <v>59</v>
      </c>
      <c r="AF38" s="2">
        <v>34</v>
      </c>
      <c r="AG38" s="2">
        <f t="shared" si="13"/>
        <v>1737.9319656756707</v>
      </c>
      <c r="AH38" s="2">
        <v>-2.3107380475266837E-3</v>
      </c>
      <c r="AI38" s="2">
        <f t="shared" si="14"/>
        <v>1737.9319667816162</v>
      </c>
      <c r="AJ38" s="2">
        <v>2.9121482430127799E-4</v>
      </c>
      <c r="AK38" s="2">
        <f t="shared" si="9"/>
        <v>1737.9319662286434</v>
      </c>
      <c r="AL38" s="2">
        <v>-2.3104197930479131E-3</v>
      </c>
      <c r="AM38" s="2">
        <f t="shared" si="10"/>
        <v>5.3387749215545393E-6</v>
      </c>
      <c r="AN38" s="2">
        <f t="shared" si="11"/>
        <v>-6.7282849409464308E-7</v>
      </c>
      <c r="AO38" s="2">
        <f t="shared" si="12"/>
        <v>1.1059455573558807E-6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100</v>
      </c>
      <c r="L39" s="9" t="s">
        <v>59</v>
      </c>
      <c r="AF39" s="2">
        <v>35</v>
      </c>
      <c r="AG39" s="2">
        <f t="shared" si="13"/>
        <v>1737.9319662286434</v>
      </c>
      <c r="AH39" s="2">
        <v>-2.3107380475266837E-3</v>
      </c>
      <c r="AI39" s="2">
        <f t="shared" si="14"/>
        <v>1737.9319667816162</v>
      </c>
      <c r="AJ39" s="2">
        <v>2.9121482430127799E-4</v>
      </c>
      <c r="AK39" s="2">
        <f t="shared" si="9"/>
        <v>1737.9319665051298</v>
      </c>
      <c r="AL39" s="2">
        <v>-2.3105789205146721E-3</v>
      </c>
      <c r="AM39" s="2">
        <f t="shared" si="10"/>
        <v>5.3391426234463859E-6</v>
      </c>
      <c r="AN39" s="2">
        <f t="shared" si="11"/>
        <v>-6.7287483437191674E-7</v>
      </c>
      <c r="AO39" s="2">
        <f t="shared" si="12"/>
        <v>5.5297277867794037E-7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1737.9319665051298</v>
      </c>
      <c r="AH40" s="2">
        <v>-2.3107380475266837E-3</v>
      </c>
      <c r="AI40" s="2">
        <f t="shared" si="14"/>
        <v>1737.9319667816162</v>
      </c>
      <c r="AJ40" s="2">
        <v>2.9121482430127799E-4</v>
      </c>
      <c r="AK40" s="2">
        <f t="shared" si="9"/>
        <v>1737.931966643373</v>
      </c>
      <c r="AL40" s="2">
        <v>-2.3106584844754252E-3</v>
      </c>
      <c r="AM40" s="2">
        <f t="shared" si="10"/>
        <v>5.3393264749177102E-6</v>
      </c>
      <c r="AN40" s="2">
        <f t="shared" si="11"/>
        <v>-6.7289800457676825E-7</v>
      </c>
      <c r="AO40" s="2">
        <f t="shared" si="12"/>
        <v>2.7648638933897018E-7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1737.931966643373</v>
      </c>
      <c r="AH41" s="2">
        <v>-2.3107380475266837E-3</v>
      </c>
      <c r="AI41" s="2">
        <f t="shared" si="14"/>
        <v>1737.9319667816162</v>
      </c>
      <c r="AJ41" s="2">
        <v>2.9121482430127799E-4</v>
      </c>
      <c r="AK41" s="2">
        <f t="shared" si="9"/>
        <v>1737.9319667124946</v>
      </c>
      <c r="AL41" s="2">
        <v>-2.3106982660010544E-3</v>
      </c>
      <c r="AM41" s="2">
        <f t="shared" si="10"/>
        <v>5.3394183996025704E-6</v>
      </c>
      <c r="AN41" s="2">
        <f t="shared" si="11"/>
        <v>-6.7290958954676474E-7</v>
      </c>
      <c r="AO41" s="2">
        <f t="shared" si="12"/>
        <v>1.3824319466948509E-7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1737.9319667124946</v>
      </c>
      <c r="AH42" s="2">
        <v>-2.3107380475266837E-3</v>
      </c>
      <c r="AI42" s="2">
        <f t="shared" si="14"/>
        <v>1737.9319667816162</v>
      </c>
      <c r="AJ42" s="2">
        <v>2.9121482430127799E-4</v>
      </c>
      <c r="AK42" s="2">
        <f t="shared" si="9"/>
        <v>1737.9319667470554</v>
      </c>
      <c r="AL42" s="2">
        <v>-2.3107181564228085E-3</v>
      </c>
      <c r="AM42" s="2">
        <f t="shared" si="10"/>
        <v>5.3394643611568985E-6</v>
      </c>
      <c r="AN42" s="2">
        <f t="shared" si="11"/>
        <v>-6.7291538193244113E-7</v>
      </c>
      <c r="AO42" s="2">
        <f t="shared" si="12"/>
        <v>6.9121597334742546E-8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229.53</v>
      </c>
      <c r="L43" s="6" t="s">
        <v>7</v>
      </c>
      <c r="AF43" s="2">
        <v>39</v>
      </c>
      <c r="AG43" s="2">
        <f t="shared" si="13"/>
        <v>1737.9319667470554</v>
      </c>
      <c r="AH43" s="2">
        <v>-2.3107380475266837E-3</v>
      </c>
      <c r="AI43" s="2">
        <f t="shared" si="14"/>
        <v>1737.9319667816162</v>
      </c>
      <c r="AJ43" s="2">
        <v>2.9121482430127799E-4</v>
      </c>
      <c r="AK43" s="2">
        <f t="shared" si="9"/>
        <v>1737.9319667643358</v>
      </c>
      <c r="AL43" s="2">
        <v>-2.3107281017473724E-3</v>
      </c>
      <c r="AM43" s="2">
        <f t="shared" si="10"/>
        <v>5.3394873421967635E-6</v>
      </c>
      <c r="AN43" s="2">
        <f t="shared" si="11"/>
        <v>-6.7291827815838666E-7</v>
      </c>
      <c r="AO43" s="2">
        <f t="shared" si="12"/>
        <v>3.4560798667371273E-8</v>
      </c>
    </row>
    <row r="44" spans="2:41" x14ac:dyDescent="0.2">
      <c r="J44" s="18" t="s">
        <v>74</v>
      </c>
      <c r="K44" s="6">
        <f>ROUND(SUM(K16:K19), 2)</f>
        <v>253.51</v>
      </c>
      <c r="L44" s="6" t="s">
        <v>7</v>
      </c>
      <c r="AF44" s="2">
        <v>40</v>
      </c>
      <c r="AG44" s="2">
        <f t="shared" si="13"/>
        <v>1737.9319667643358</v>
      </c>
      <c r="AH44" s="2">
        <v>-2.3107380475266837E-3</v>
      </c>
      <c r="AI44" s="2">
        <f t="shared" si="14"/>
        <v>1737.9319667816162</v>
      </c>
      <c r="AJ44" s="2">
        <v>2.9121482430127799E-4</v>
      </c>
      <c r="AK44" s="5">
        <f t="shared" si="9"/>
        <v>1737.931966772976</v>
      </c>
      <c r="AL44" s="2">
        <v>-2.3107330753191491E-3</v>
      </c>
      <c r="AM44" s="2">
        <f t="shared" si="10"/>
        <v>5.3394988348183E-6</v>
      </c>
      <c r="AN44" s="2">
        <f t="shared" si="11"/>
        <v>-6.7291972653621773E-7</v>
      </c>
      <c r="AO44" s="2">
        <f t="shared" si="12"/>
        <v>1.7280399333685637E-8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572.32000000000005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82.57</v>
      </c>
      <c r="L46" s="6" t="s">
        <v>7</v>
      </c>
    </row>
    <row r="47" spans="2:41" x14ac:dyDescent="0.2">
      <c r="J47" s="9" t="s">
        <v>60</v>
      </c>
      <c r="K47" s="9">
        <f>SUM(K42:K46)</f>
        <v>1737.93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550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11" priority="1" operator="containsText" text="FALSE">
      <formula>NOT(ISERROR(SEARCH("FALSE",K31)))</formula>
    </cfRule>
    <cfRule type="containsText" dxfId="10" priority="2" operator="containsText" text="TRUE">
      <formula>NOT(ISERROR(SEARCH("TRUE",K31)))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NOT(ISERROR(SEARCH("YES",K31)))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0C0DB-BD57-AB47-BA24-1419F20343D5}">
  <dimension ref="B1:AO81"/>
  <sheetViews>
    <sheetView zoomScale="88" workbookViewId="0">
      <selection activeCell="C6" sqref="C6"/>
    </sheetView>
  </sheetViews>
  <sheetFormatPr baseColWidth="10" defaultRowHeight="16" x14ac:dyDescent="0.2"/>
  <cols>
    <col min="1" max="1" width="4.1640625" style="6" customWidth="1"/>
    <col min="2" max="2" width="20.5" style="6" customWidth="1"/>
    <col min="3" max="3" width="12.1640625" style="6" bestFit="1" customWidth="1"/>
    <col min="4" max="4" width="7.1640625" style="6" customWidth="1"/>
    <col min="5" max="5" width="5.6640625" style="6" customWidth="1"/>
    <col min="6" max="6" width="20.33203125" style="6" customWidth="1"/>
    <col min="7" max="7" width="13.1640625" style="6" customWidth="1"/>
    <col min="8" max="8" width="4.1640625" style="6" customWidth="1"/>
    <col min="9" max="9" width="6" style="6" customWidth="1"/>
    <col min="10" max="10" width="18.1640625" style="6" customWidth="1"/>
    <col min="11" max="11" width="14.33203125" style="6" customWidth="1"/>
    <col min="12" max="12" width="5" style="6" customWidth="1"/>
    <col min="13" max="13" width="6" style="6" customWidth="1"/>
    <col min="14" max="14" width="21.33203125" style="6" customWidth="1"/>
    <col min="15" max="15" width="11.6640625" style="6" customWidth="1"/>
    <col min="16" max="16" width="6.33203125" style="6" customWidth="1"/>
    <col min="17" max="17" width="7.1640625" style="6" customWidth="1"/>
    <col min="18" max="18" width="4" style="6" customWidth="1"/>
    <col min="19" max="20" width="3.83203125" style="6" customWidth="1"/>
    <col min="21" max="21" width="5.5" style="6" customWidth="1"/>
    <col min="22" max="23" width="6.1640625" style="6" customWidth="1"/>
    <col min="24" max="24" width="6.6640625" style="6" customWidth="1"/>
    <col min="25" max="25" width="8.5" style="6" customWidth="1"/>
    <col min="26" max="26" width="14.6640625" style="6" customWidth="1"/>
    <col min="27" max="27" width="7.83203125" style="6" customWidth="1"/>
    <col min="28" max="28" width="10" style="6" customWidth="1"/>
    <col min="29" max="29" width="9.5" style="6" customWidth="1"/>
    <col min="30" max="30" width="13.6640625" style="6" customWidth="1"/>
    <col min="31" max="31" width="10.83203125" style="6"/>
    <col min="32" max="36" width="10.83203125" style="2"/>
    <col min="37" max="38" width="11" style="2" bestFit="1" customWidth="1"/>
    <col min="39" max="41" width="11.1640625" style="2" bestFit="1" customWidth="1"/>
    <col min="42" max="16384" width="10.83203125" style="6"/>
  </cols>
  <sheetData>
    <row r="1" spans="2:41" x14ac:dyDescent="0.2">
      <c r="B1" s="29" t="s">
        <v>0</v>
      </c>
      <c r="C1" s="29"/>
      <c r="D1" s="29"/>
    </row>
    <row r="2" spans="2:41" x14ac:dyDescent="0.2">
      <c r="U2" s="15" t="s">
        <v>89</v>
      </c>
      <c r="AF2" s="26" t="s">
        <v>129</v>
      </c>
    </row>
    <row r="3" spans="2:41" x14ac:dyDescent="0.2">
      <c r="B3" s="30" t="s">
        <v>118</v>
      </c>
      <c r="C3" s="31"/>
      <c r="D3" s="31"/>
      <c r="F3" s="32" t="s">
        <v>76</v>
      </c>
      <c r="G3" s="33"/>
      <c r="H3" s="33"/>
      <c r="J3" s="30" t="s">
        <v>94</v>
      </c>
      <c r="K3" s="30"/>
      <c r="L3" s="30"/>
      <c r="N3" s="30" t="s">
        <v>88</v>
      </c>
      <c r="O3" s="30"/>
      <c r="P3" s="30"/>
      <c r="U3" s="7" t="s">
        <v>42</v>
      </c>
      <c r="V3" s="7" t="s">
        <v>43</v>
      </c>
      <c r="W3" s="7" t="s">
        <v>44</v>
      </c>
      <c r="X3" s="7" t="s">
        <v>45</v>
      </c>
      <c r="Y3" s="7" t="s">
        <v>46</v>
      </c>
      <c r="Z3" s="7" t="s">
        <v>47</v>
      </c>
      <c r="AA3" s="7" t="s">
        <v>48</v>
      </c>
      <c r="AB3" s="7" t="s">
        <v>49</v>
      </c>
      <c r="AC3" s="7" t="s">
        <v>50</v>
      </c>
      <c r="AD3" s="7" t="s">
        <v>51</v>
      </c>
      <c r="AF3" s="7" t="s">
        <v>42</v>
      </c>
      <c r="AG3" s="7" t="s">
        <v>43</v>
      </c>
      <c r="AH3" s="7" t="s">
        <v>44</v>
      </c>
      <c r="AI3" s="7" t="s">
        <v>45</v>
      </c>
      <c r="AJ3" s="7" t="s">
        <v>46</v>
      </c>
      <c r="AK3" s="7" t="s">
        <v>47</v>
      </c>
      <c r="AL3" s="7" t="s">
        <v>48</v>
      </c>
      <c r="AM3" s="7" t="s">
        <v>49</v>
      </c>
      <c r="AN3" s="7" t="s">
        <v>50</v>
      </c>
      <c r="AO3" s="7" t="s">
        <v>51</v>
      </c>
    </row>
    <row r="4" spans="2:41" x14ac:dyDescent="0.2">
      <c r="B4" s="6" t="s">
        <v>37</v>
      </c>
      <c r="C4" s="3" t="s">
        <v>130</v>
      </c>
      <c r="F4" s="6" t="s">
        <v>80</v>
      </c>
      <c r="G4" s="16">
        <f>500*0.3048/60</f>
        <v>2.54</v>
      </c>
      <c r="H4" s="6" t="s">
        <v>10</v>
      </c>
      <c r="J4" s="6" t="s">
        <v>95</v>
      </c>
      <c r="K4" s="6">
        <f>(1+$C$25/100)*MAX(G10,G29)</f>
        <v>326.77319502889929</v>
      </c>
      <c r="L4" s="6" t="s">
        <v>97</v>
      </c>
      <c r="N4" s="6" t="s">
        <v>131</v>
      </c>
      <c r="O4" s="6">
        <f xml:space="preserve"> $C$5 * $C$74</f>
        <v>16220.316093714548</v>
      </c>
      <c r="P4" s="6" t="s">
        <v>21</v>
      </c>
      <c r="U4" s="2">
        <v>0</v>
      </c>
      <c r="V4" s="3">
        <v>0</v>
      </c>
      <c r="W4" s="2">
        <f t="shared" ref="W4:W34" si="0" xml:space="preserve"> $O$22 * TAN($O$19/180*PI()) + $O$23 / (2 * SQRT($O$22^2 + V4^2)) - V4</f>
        <v>1.1876320631050412</v>
      </c>
      <c r="X4" s="3">
        <v>1</v>
      </c>
      <c r="Y4" s="2">
        <f t="shared" ref="Y4:Y34" si="1" xml:space="preserve"> $O$22 * TAN($O$19/180*PI()) + $O$23 / (2 * SQRT($O$22^2 + X4^2)) - X4</f>
        <v>-2.9529545212135688E-2</v>
      </c>
      <c r="Z4" s="2">
        <f xml:space="preserve"> (V4 + X4)/2</f>
        <v>0.5</v>
      </c>
      <c r="AA4" s="2">
        <f t="shared" ref="AA4:AA34" si="2" xml:space="preserve"> $O$22 * TAN($O$19/180*PI()) + $O$23 / (2 * SQRT($O$22^2 + Z4^2)) - Z4</f>
        <v>0.48970225178091442</v>
      </c>
      <c r="AB4" s="2">
        <f>W4*AA4</f>
        <v>0.58158609558975172</v>
      </c>
      <c r="AC4" s="2">
        <f>Y4*AA4</f>
        <v>-1.4460684784449167E-2</v>
      </c>
      <c r="AD4" s="2">
        <f>X4-V4</f>
        <v>1</v>
      </c>
      <c r="AF4" s="2">
        <v>0</v>
      </c>
      <c r="AH4" s="2">
        <f>K30</f>
        <v>-1.4998741228282597E-3</v>
      </c>
      <c r="AJ4" s="2">
        <f>K30</f>
        <v>-1.4998741228282597E-3</v>
      </c>
      <c r="AL4" s="2">
        <f>K30</f>
        <v>-1.4998741228282597E-3</v>
      </c>
    </row>
    <row r="5" spans="2:41" x14ac:dyDescent="0.2">
      <c r="B5" s="9" t="s">
        <v>38</v>
      </c>
      <c r="C5" s="9">
        <v>1655.0407914268001</v>
      </c>
      <c r="D5" s="9" t="s">
        <v>7</v>
      </c>
      <c r="F5" s="6" t="s">
        <v>83</v>
      </c>
      <c r="G5" s="16">
        <f>1000*0.3048</f>
        <v>304.8</v>
      </c>
      <c r="H5" s="6" t="s">
        <v>8</v>
      </c>
      <c r="J5" s="6" t="s">
        <v>96</v>
      </c>
      <c r="K5" s="6">
        <f>K4/$C$21</f>
        <v>40.846649378612412</v>
      </c>
      <c r="L5" s="6" t="s">
        <v>97</v>
      </c>
      <c r="N5" s="6" t="s">
        <v>24</v>
      </c>
      <c r="O5" s="6">
        <f xml:space="preserve"> 0.5 * $C$71 * $C$7^2</f>
        <v>2267.4637855940923</v>
      </c>
      <c r="P5" s="6" t="s">
        <v>25</v>
      </c>
      <c r="U5" s="2">
        <v>1</v>
      </c>
      <c r="V5" s="2">
        <f>IF(AB4&gt;0, Z4, V4)</f>
        <v>0.5</v>
      </c>
      <c r="W5" s="2">
        <f t="shared" si="0"/>
        <v>0.48970225178091442</v>
      </c>
      <c r="X5" s="2">
        <f>IF(AC4&gt;0, Z4, X4)</f>
        <v>1</v>
      </c>
      <c r="Y5" s="2">
        <f t="shared" si="1"/>
        <v>-2.9529545212135688E-2</v>
      </c>
      <c r="Z5" s="2">
        <f t="shared" ref="Z5:Z34" si="3" xml:space="preserve"> (V5 + X5)/2</f>
        <v>0.75</v>
      </c>
      <c r="AA5" s="2">
        <f t="shared" si="2"/>
        <v>0.22694423986438839</v>
      </c>
      <c r="AB5" s="2">
        <f t="shared" ref="AB5:AB34" si="4">W5*AA5</f>
        <v>0.11113510529029896</v>
      </c>
      <c r="AC5" s="2">
        <f t="shared" ref="AC5:AC34" si="5">Y5*AA5</f>
        <v>-6.7015601917092237E-3</v>
      </c>
      <c r="AD5" s="2">
        <f t="shared" ref="AD5:AD34" si="6">X5-V5</f>
        <v>0.5</v>
      </c>
      <c r="AF5" s="2">
        <v>1</v>
      </c>
      <c r="AG5" s="3">
        <v>500</v>
      </c>
      <c r="AH5" s="2">
        <f t="dataTable" ref="AH5:AH44" dt2D="0" dtr="0" r1="C5" ca="1"/>
        <v>-690.42017795196955</v>
      </c>
      <c r="AI5" s="3">
        <v>10000</v>
      </c>
      <c r="AJ5" s="2">
        <f t="dataTable" ref="AJ5:AJ44" dt2D="0" dtr="0" r1="C5"/>
        <v>4481.7717736964514</v>
      </c>
      <c r="AK5" s="2">
        <f>(AG5+AI5)/2</f>
        <v>5250</v>
      </c>
      <c r="AL5" s="2">
        <f t="dataTable" ref="AL5:AL44" dt2D="0" dtr="0" r1="C5" ca="1"/>
        <v>2189.1372857156412</v>
      </c>
      <c r="AM5" s="2">
        <f>AH5*AL5</f>
        <v>-1511424.5543650845</v>
      </c>
      <c r="AN5" s="2">
        <f>AJ5*AL5</f>
        <v>9811213.6958668251</v>
      </c>
      <c r="AO5" s="2">
        <f>AI5-AG5</f>
        <v>9500</v>
      </c>
    </row>
    <row r="6" spans="2:41" x14ac:dyDescent="0.2">
      <c r="B6" s="6" t="s">
        <v>168</v>
      </c>
      <c r="C6" s="16">
        <v>466.593711082038</v>
      </c>
      <c r="D6" s="6" t="s">
        <v>122</v>
      </c>
      <c r="F6" s="6" t="s">
        <v>84</v>
      </c>
      <c r="G6" s="6">
        <f xml:space="preserve"> $G$5/$G$4</f>
        <v>120</v>
      </c>
      <c r="H6" s="6" t="s">
        <v>14</v>
      </c>
      <c r="J6" s="6" t="s">
        <v>132</v>
      </c>
      <c r="K6" s="6">
        <f>(1+$C$32/100)*MAX(G20)</f>
        <v>134.14286388994134</v>
      </c>
      <c r="L6" s="6" t="s">
        <v>97</v>
      </c>
      <c r="N6" s="6" t="s">
        <v>112</v>
      </c>
      <c r="O6" s="6">
        <f xml:space="preserve"> ($C$21+$C$28) * 0.4 * ($C$5/($C$21+$C$28) *2.20462/1000)^(2/3) * 0.3048^2</f>
        <v>0.18320291654530421</v>
      </c>
      <c r="P6" s="6" t="s">
        <v>113</v>
      </c>
      <c r="U6" s="2">
        <v>2</v>
      </c>
      <c r="V6" s="2">
        <f t="shared" ref="V6:V34" si="7">IF(AB5&gt;0, Z5, V5)</f>
        <v>0.75</v>
      </c>
      <c r="W6" s="2">
        <f t="shared" si="0"/>
        <v>0.22694423986438839</v>
      </c>
      <c r="X6" s="2">
        <f t="shared" ref="X6:X34" si="8">IF(AC5&gt;0, Z5, X5)</f>
        <v>1</v>
      </c>
      <c r="Y6" s="2">
        <f t="shared" si="1"/>
        <v>-2.9529545212135688E-2</v>
      </c>
      <c r="Z6" s="2">
        <f t="shared" si="3"/>
        <v>0.875</v>
      </c>
      <c r="AA6" s="2">
        <f t="shared" si="2"/>
        <v>9.8251232320705872E-2</v>
      </c>
      <c r="AB6" s="2">
        <f t="shared" si="4"/>
        <v>2.2297551234762021E-2</v>
      </c>
      <c r="AC6" s="2">
        <f t="shared" si="5"/>
        <v>-2.9013142069623313E-3</v>
      </c>
      <c r="AD6" s="2">
        <f t="shared" si="6"/>
        <v>0.25</v>
      </c>
      <c r="AF6" s="2">
        <v>2</v>
      </c>
      <c r="AG6" s="2">
        <f>IF(AM5&gt;0,AK5,AG5)</f>
        <v>500</v>
      </c>
      <c r="AH6" s="2">
        <v>-690.42017795196955</v>
      </c>
      <c r="AI6" s="2">
        <f>IF(AN5&gt;0,AK5,AI5)</f>
        <v>5250</v>
      </c>
      <c r="AJ6" s="2">
        <v>2189.1372857156412</v>
      </c>
      <c r="AK6" s="2">
        <f t="shared" ref="AK6:AK44" si="9">(AG6+AI6)/2</f>
        <v>2875</v>
      </c>
      <c r="AL6" s="2">
        <v>700.77552011656167</v>
      </c>
      <c r="AM6" s="2">
        <f t="shared" ref="AM6:AM44" si="10">AH6*AL6</f>
        <v>-483829.55930326052</v>
      </c>
      <c r="AN6" s="2">
        <f t="shared" ref="AN6:AN44" si="11">AJ6*AL6</f>
        <v>1534093.8200039365</v>
      </c>
      <c r="AO6" s="2">
        <f t="shared" ref="AO6:AO44" si="12">AI6-AG6</f>
        <v>4750</v>
      </c>
    </row>
    <row r="7" spans="2:41" x14ac:dyDescent="0.2">
      <c r="B7" s="6" t="s">
        <v>9</v>
      </c>
      <c r="C7" s="16">
        <f>150 * 1609.344 / 3600</f>
        <v>67.055999999999997</v>
      </c>
      <c r="D7" s="6" t="s">
        <v>10</v>
      </c>
      <c r="F7" s="6" t="s">
        <v>20</v>
      </c>
      <c r="G7" s="6">
        <f xml:space="preserve"> $C$5 * $C$68 / $C$21</f>
        <v>2027.7334675292577</v>
      </c>
      <c r="H7" s="6" t="s">
        <v>21</v>
      </c>
      <c r="J7" s="6" t="s">
        <v>133</v>
      </c>
      <c r="K7" s="6">
        <f>K6/$C$28</f>
        <v>134.14286388994134</v>
      </c>
      <c r="L7" s="6" t="s">
        <v>97</v>
      </c>
      <c r="N7" s="6" t="s">
        <v>177</v>
      </c>
      <c r="O7" s="16">
        <v>9.1534090314177498E-3</v>
      </c>
      <c r="U7" s="2">
        <v>3</v>
      </c>
      <c r="V7" s="2">
        <f t="shared" si="7"/>
        <v>0.875</v>
      </c>
      <c r="W7" s="2">
        <f t="shared" si="0"/>
        <v>9.8251232320705872E-2</v>
      </c>
      <c r="X7" s="2">
        <f t="shared" si="8"/>
        <v>1</v>
      </c>
      <c r="Y7" s="2">
        <f t="shared" si="1"/>
        <v>-2.9529545212135688E-2</v>
      </c>
      <c r="Z7" s="2">
        <f t="shared" si="3"/>
        <v>0.9375</v>
      </c>
      <c r="AA7" s="2">
        <f t="shared" si="2"/>
        <v>3.4269240352189811E-2</v>
      </c>
      <c r="AB7" s="2">
        <f t="shared" si="4"/>
        <v>3.3669950952971094E-3</v>
      </c>
      <c r="AC7" s="2">
        <f t="shared" si="5"/>
        <v>-1.0119550823655338E-3</v>
      </c>
      <c r="AD7" s="2">
        <f t="shared" si="6"/>
        <v>0.125</v>
      </c>
      <c r="AF7" s="2">
        <v>3</v>
      </c>
      <c r="AG7" s="2">
        <f t="shared" ref="AG7:AG44" si="13">IF(AM6&gt;0,AK6,AG6)</f>
        <v>500</v>
      </c>
      <c r="AH7" s="2">
        <v>-690.42017795196955</v>
      </c>
      <c r="AI7" s="2">
        <f t="shared" ref="AI7:AI44" si="14">IF(AN6&gt;0,AK6,AI6)</f>
        <v>2875</v>
      </c>
      <c r="AJ7" s="2">
        <v>700.77552011656167</v>
      </c>
      <c r="AK7" s="2">
        <f t="shared" si="9"/>
        <v>1687.5</v>
      </c>
      <c r="AL7" s="2">
        <v>19.282048111444055</v>
      </c>
      <c r="AM7" s="2">
        <f t="shared" si="10"/>
        <v>-13312.715088381643</v>
      </c>
      <c r="AN7" s="2">
        <f t="shared" si="11"/>
        <v>13512.387294209773</v>
      </c>
      <c r="AO7" s="2">
        <f t="shared" si="12"/>
        <v>2375</v>
      </c>
    </row>
    <row r="8" spans="2:41" x14ac:dyDescent="0.2">
      <c r="B8" s="6" t="s">
        <v>91</v>
      </c>
      <c r="C8" s="16">
        <v>2.0227252192487399</v>
      </c>
      <c r="D8" s="6" t="s">
        <v>8</v>
      </c>
      <c r="F8" t="s">
        <v>93</v>
      </c>
      <c r="G8" s="6">
        <f>G10/$C$21</f>
        <v>27.23109958574161</v>
      </c>
      <c r="H8" s="6" t="s">
        <v>19</v>
      </c>
      <c r="N8" s="6" t="s">
        <v>178</v>
      </c>
      <c r="O8" s="16">
        <v>0.272912140344656</v>
      </c>
      <c r="U8" s="2">
        <v>4</v>
      </c>
      <c r="V8" s="2">
        <f t="shared" si="7"/>
        <v>0.9375</v>
      </c>
      <c r="W8" s="2">
        <f t="shared" si="0"/>
        <v>3.4269240352189811E-2</v>
      </c>
      <c r="X8" s="2">
        <f t="shared" si="8"/>
        <v>1</v>
      </c>
      <c r="Y8" s="2">
        <f t="shared" si="1"/>
        <v>-2.9529545212135688E-2</v>
      </c>
      <c r="Z8" s="2">
        <f t="shared" si="3"/>
        <v>0.96875</v>
      </c>
      <c r="AA8" s="2">
        <f t="shared" si="2"/>
        <v>2.3491295807932522E-3</v>
      </c>
      <c r="AB8" s="2">
        <f t="shared" si="4"/>
        <v>8.0502886222642847E-5</v>
      </c>
      <c r="AC8" s="2">
        <f t="shared" si="5"/>
        <v>-6.9368728165199691E-5</v>
      </c>
      <c r="AD8" s="2">
        <f t="shared" si="6"/>
        <v>6.25E-2</v>
      </c>
      <c r="AF8" s="2">
        <v>4</v>
      </c>
      <c r="AG8" s="2">
        <f t="shared" si="13"/>
        <v>500</v>
      </c>
      <c r="AH8" s="2">
        <v>-690.42017795196955</v>
      </c>
      <c r="AI8" s="2">
        <f t="shared" si="14"/>
        <v>1687.5</v>
      </c>
      <c r="AJ8" s="2">
        <v>19.282048111444055</v>
      </c>
      <c r="AK8" s="2">
        <f t="shared" si="9"/>
        <v>1093.75</v>
      </c>
      <c r="AL8" s="2">
        <v>-336.92794347617348</v>
      </c>
      <c r="AM8" s="2">
        <f t="shared" si="10"/>
        <v>232621.85069181083</v>
      </c>
      <c r="AN8" s="2">
        <f t="shared" si="11"/>
        <v>-6496.66081619748</v>
      </c>
      <c r="AO8" s="2">
        <f t="shared" si="12"/>
        <v>1187.5</v>
      </c>
    </row>
    <row r="9" spans="2:41" x14ac:dyDescent="0.2">
      <c r="B9" s="6" t="s">
        <v>127</v>
      </c>
      <c r="C9" s="16">
        <f>(0.548288+0.530863+0.513438+0.496013+0.478588+0.461163+0.443738+0.426313)/8</f>
        <v>0.48730050000000003</v>
      </c>
      <c r="D9" s="6" t="s">
        <v>8</v>
      </c>
      <c r="F9" t="s">
        <v>171</v>
      </c>
      <c r="G9" s="6">
        <f xml:space="preserve"> (G7/$C$68*1000) / (G8*1000)</f>
        <v>7.5971996017624583</v>
      </c>
      <c r="H9" s="6" t="s">
        <v>172</v>
      </c>
      <c r="J9" s="30" t="s">
        <v>22</v>
      </c>
      <c r="K9" s="30"/>
      <c r="L9" s="30"/>
      <c r="N9" s="6" t="s">
        <v>114</v>
      </c>
      <c r="O9" s="6">
        <f xml:space="preserve"> $O$8/$C$12 + $O$7</f>
        <v>2.2462818793234047E-2</v>
      </c>
      <c r="U9" s="2">
        <v>5</v>
      </c>
      <c r="V9" s="2">
        <f t="shared" si="7"/>
        <v>0.96875</v>
      </c>
      <c r="W9" s="2">
        <f t="shared" si="0"/>
        <v>2.3491295807932522E-3</v>
      </c>
      <c r="X9" s="2">
        <f t="shared" si="8"/>
        <v>1</v>
      </c>
      <c r="Y9" s="2">
        <f t="shared" si="1"/>
        <v>-2.9529545212135688E-2</v>
      </c>
      <c r="Z9" s="2">
        <f t="shared" si="3"/>
        <v>0.984375</v>
      </c>
      <c r="AA9" s="2">
        <f t="shared" si="2"/>
        <v>-1.3595144218791821E-2</v>
      </c>
      <c r="AB9" s="2">
        <f t="shared" si="4"/>
        <v>-3.1936755439514235E-5</v>
      </c>
      <c r="AC9" s="2">
        <f t="shared" si="5"/>
        <v>4.0145842587431822E-4</v>
      </c>
      <c r="AD9" s="2">
        <f t="shared" si="6"/>
        <v>3.125E-2</v>
      </c>
      <c r="AF9" s="2">
        <v>5</v>
      </c>
      <c r="AG9" s="2">
        <f t="shared" si="13"/>
        <v>1093.75</v>
      </c>
      <c r="AH9" s="2">
        <v>-336.92794347617348</v>
      </c>
      <c r="AI9" s="2">
        <f t="shared" si="14"/>
        <v>1687.5</v>
      </c>
      <c r="AJ9" s="2">
        <v>19.282048111444055</v>
      </c>
      <c r="AK9" s="2">
        <f t="shared" si="9"/>
        <v>1390.625</v>
      </c>
      <c r="AL9" s="2">
        <v>-158.04908628818362</v>
      </c>
      <c r="AM9" s="2">
        <f t="shared" si="10"/>
        <v>53251.153611365997</v>
      </c>
      <c r="AN9" s="2">
        <f t="shared" si="11"/>
        <v>-3047.5100857785296</v>
      </c>
      <c r="AO9" s="2">
        <f t="shared" si="12"/>
        <v>593.75</v>
      </c>
    </row>
    <row r="10" spans="2:41" x14ac:dyDescent="0.2">
      <c r="B10" s="6" t="s">
        <v>134</v>
      </c>
      <c r="C10" s="16">
        <v>1.4378278577775401</v>
      </c>
      <c r="D10" s="6" t="s">
        <v>8</v>
      </c>
      <c r="F10" s="22" t="s">
        <v>78</v>
      </c>
      <c r="G10" s="22">
        <f xml:space="preserve"> 1/1000 * (($C$5*$C$68)/$C$24 * ( ($G$4/2) + SQRT( ($G$4/2)^2 + ($C$5*$C$68) / (2*$C$65*PI()*$C$8^2 * $C$21) ) ) )</f>
        <v>217.84879668593288</v>
      </c>
      <c r="H10" s="22" t="s">
        <v>97</v>
      </c>
      <c r="J10" s="6" t="s">
        <v>92</v>
      </c>
      <c r="K10" s="6">
        <f xml:space="preserve"> $C$18 * (G10*G6 + G20*G13 + G29*G25 + G33*G32)/3600</f>
        <v>83.308563020521959</v>
      </c>
      <c r="L10" s="6" t="s">
        <v>98</v>
      </c>
      <c r="N10" s="6" t="s">
        <v>39</v>
      </c>
      <c r="O10" s="6">
        <f xml:space="preserve"> O5 * $C$12 * O9</f>
        <v>1044.4043514235618</v>
      </c>
      <c r="P10" s="6" t="s">
        <v>21</v>
      </c>
      <c r="U10" s="2">
        <v>6</v>
      </c>
      <c r="V10" s="2">
        <f t="shared" si="7"/>
        <v>0.96875</v>
      </c>
      <c r="W10" s="2">
        <f t="shared" si="0"/>
        <v>2.3491295807932522E-3</v>
      </c>
      <c r="X10" s="2">
        <f t="shared" si="8"/>
        <v>0.984375</v>
      </c>
      <c r="Y10" s="2">
        <f t="shared" si="1"/>
        <v>-1.3595144218791821E-2</v>
      </c>
      <c r="Z10" s="2">
        <f t="shared" si="3"/>
        <v>0.9765625</v>
      </c>
      <c r="AA10" s="2">
        <f t="shared" si="2"/>
        <v>-5.6242706131751641E-3</v>
      </c>
      <c r="AB10" s="2">
        <f t="shared" si="4"/>
        <v>-1.3212140467795981E-5</v>
      </c>
      <c r="AC10" s="2">
        <f t="shared" si="5"/>
        <v>7.6462770111629063E-5</v>
      </c>
      <c r="AD10" s="2">
        <f t="shared" si="6"/>
        <v>1.5625E-2</v>
      </c>
      <c r="AF10" s="2">
        <v>6</v>
      </c>
      <c r="AG10" s="2">
        <f t="shared" si="13"/>
        <v>1390.625</v>
      </c>
      <c r="AH10" s="2">
        <v>-158.04908628818362</v>
      </c>
      <c r="AI10" s="2">
        <f t="shared" si="14"/>
        <v>1687.5</v>
      </c>
      <c r="AJ10" s="2">
        <v>19.282048111444055</v>
      </c>
      <c r="AK10" s="2">
        <f t="shared" si="9"/>
        <v>1539.0625</v>
      </c>
      <c r="AL10" s="2">
        <v>-69.125783830377486</v>
      </c>
      <c r="AM10" s="2">
        <f t="shared" si="10"/>
        <v>10925.266973345659</v>
      </c>
      <c r="AN10" s="2">
        <f t="shared" si="11"/>
        <v>-1332.8866895586202</v>
      </c>
      <c r="AO10" s="2">
        <f t="shared" si="12"/>
        <v>296.875</v>
      </c>
    </row>
    <row r="11" spans="2:41" x14ac:dyDescent="0.2">
      <c r="B11" s="6" t="s">
        <v>162</v>
      </c>
      <c r="C11" s="16">
        <f>(0.500656+0.484769+0.468881+0.452994+0.437106+0.421219+0.405331+0.389444)/8</f>
        <v>0.44505</v>
      </c>
      <c r="D11" s="6" t="s">
        <v>8</v>
      </c>
      <c r="J11" s="6" t="s">
        <v>23</v>
      </c>
      <c r="K11" s="6">
        <f xml:space="preserve"> (G6 + G13 + G25 + G32)/60</f>
        <v>49.333333333333336</v>
      </c>
      <c r="L11" s="6" t="s">
        <v>99</v>
      </c>
      <c r="N11" s="6" t="s">
        <v>137</v>
      </c>
      <c r="O11" s="6">
        <f xml:space="preserve"> 1.78 * (1 - 0.045 * $C$13^0.68) - 0.64</f>
        <v>0.74112957690438452</v>
      </c>
      <c r="U11" s="2">
        <v>7</v>
      </c>
      <c r="V11" s="2">
        <f t="shared" si="7"/>
        <v>0.96875</v>
      </c>
      <c r="W11" s="2">
        <f t="shared" si="0"/>
        <v>2.3491295807932522E-3</v>
      </c>
      <c r="X11" s="2">
        <f t="shared" si="8"/>
        <v>0.9765625</v>
      </c>
      <c r="Y11" s="2">
        <f t="shared" si="1"/>
        <v>-5.6242706131751641E-3</v>
      </c>
      <c r="Z11" s="2">
        <f t="shared" si="3"/>
        <v>0.97265625</v>
      </c>
      <c r="AA11" s="2">
        <f t="shared" si="2"/>
        <v>-1.6378900896387716E-3</v>
      </c>
      <c r="AB11" s="2">
        <f t="shared" si="4"/>
        <v>-3.8476160596585496E-6</v>
      </c>
      <c r="AC11" s="2">
        <f t="shared" si="5"/>
        <v>9.2119370987661781E-6</v>
      </c>
      <c r="AD11" s="2">
        <f t="shared" si="6"/>
        <v>7.8125E-3</v>
      </c>
      <c r="AF11" s="2">
        <v>7</v>
      </c>
      <c r="AG11" s="2">
        <f t="shared" si="13"/>
        <v>1539.0625</v>
      </c>
      <c r="AH11" s="2">
        <v>-69.125783830377486</v>
      </c>
      <c r="AI11" s="2">
        <f t="shared" si="14"/>
        <v>1687.5</v>
      </c>
      <c r="AJ11" s="2">
        <v>19.282048111444055</v>
      </c>
      <c r="AK11" s="2">
        <f t="shared" si="9"/>
        <v>1613.28125</v>
      </c>
      <c r="AL11" s="2">
        <v>-24.851421390957285</v>
      </c>
      <c r="AM11" s="2">
        <f t="shared" si="10"/>
        <v>1717.8739829489323</v>
      </c>
      <c r="AN11" s="2">
        <f t="shared" si="11"/>
        <v>-479.18630289820828</v>
      </c>
      <c r="AO11" s="2">
        <f t="shared" si="12"/>
        <v>148.4375</v>
      </c>
    </row>
    <row r="12" spans="2:41" x14ac:dyDescent="0.2">
      <c r="B12" s="6" t="s">
        <v>135</v>
      </c>
      <c r="C12" s="16">
        <v>20.5052023514687</v>
      </c>
      <c r="D12" s="6" t="s">
        <v>11</v>
      </c>
      <c r="F12" s="32" t="s">
        <v>82</v>
      </c>
      <c r="G12" s="33"/>
      <c r="H12" s="33"/>
      <c r="N12" s="6" t="s">
        <v>138</v>
      </c>
      <c r="O12" s="6">
        <f xml:space="preserve"> O4 / (O5 * $C$12)</f>
        <v>0.34886298652955611</v>
      </c>
      <c r="U12" s="2">
        <v>8</v>
      </c>
      <c r="V12" s="2">
        <f t="shared" si="7"/>
        <v>0.96875</v>
      </c>
      <c r="W12" s="2">
        <f t="shared" si="0"/>
        <v>2.3491295807932522E-3</v>
      </c>
      <c r="X12" s="2">
        <f t="shared" si="8"/>
        <v>0.97265625</v>
      </c>
      <c r="Y12" s="2">
        <f t="shared" si="1"/>
        <v>-1.6378900896387716E-3</v>
      </c>
      <c r="Z12" s="2">
        <f t="shared" si="3"/>
        <v>0.970703125</v>
      </c>
      <c r="AA12" s="2">
        <f t="shared" si="2"/>
        <v>3.5553937699583926E-4</v>
      </c>
      <c r="AB12" s="2">
        <f t="shared" si="4"/>
        <v>8.3520806763772994E-7</v>
      </c>
      <c r="AC12" s="2">
        <f t="shared" si="5"/>
        <v>-5.8233442205782816E-7</v>
      </c>
      <c r="AD12" s="2">
        <f t="shared" si="6"/>
        <v>3.90625E-3</v>
      </c>
      <c r="AF12" s="2">
        <v>8</v>
      </c>
      <c r="AG12" s="2">
        <f t="shared" si="13"/>
        <v>1613.28125</v>
      </c>
      <c r="AH12" s="2">
        <v>-24.851421390957285</v>
      </c>
      <c r="AI12" s="2">
        <f t="shared" si="14"/>
        <v>1687.5</v>
      </c>
      <c r="AJ12" s="2">
        <v>19.282048111444055</v>
      </c>
      <c r="AK12" s="2">
        <f t="shared" si="9"/>
        <v>1650.390625</v>
      </c>
      <c r="AL12" s="2">
        <v>-2.7664155780842066</v>
      </c>
      <c r="AM12" s="2">
        <f t="shared" si="10"/>
        <v>68.749359273479314</v>
      </c>
      <c r="AN12" s="2">
        <f t="shared" si="11"/>
        <v>-53.342158272867991</v>
      </c>
      <c r="AO12" s="2">
        <f t="shared" si="12"/>
        <v>74.21875</v>
      </c>
    </row>
    <row r="13" spans="2:41" x14ac:dyDescent="0.2">
      <c r="B13" s="6" t="s">
        <v>136</v>
      </c>
      <c r="C13" s="16">
        <v>10.599688788021799</v>
      </c>
      <c r="F13" s="8" t="s">
        <v>85</v>
      </c>
      <c r="G13" s="6">
        <f xml:space="preserve"> $C$17/$C$7</f>
        <v>1440</v>
      </c>
      <c r="H13" s="6" t="s">
        <v>14</v>
      </c>
      <c r="J13" s="24" t="s">
        <v>52</v>
      </c>
      <c r="K13" s="24"/>
      <c r="L13" s="24"/>
      <c r="N13" s="6" t="s">
        <v>139</v>
      </c>
      <c r="O13" s="6">
        <f xml:space="preserve"> O9 + O12^2 / ( PI() * O11 * $C$13 )</f>
        <v>2.7394246334270324E-2</v>
      </c>
      <c r="U13" s="2">
        <v>9</v>
      </c>
      <c r="V13" s="2">
        <f t="shared" si="7"/>
        <v>0.970703125</v>
      </c>
      <c r="W13" s="2">
        <f t="shared" si="0"/>
        <v>3.5553937699583926E-4</v>
      </c>
      <c r="X13" s="2">
        <f t="shared" si="8"/>
        <v>0.97265625</v>
      </c>
      <c r="Y13" s="2">
        <f t="shared" si="1"/>
        <v>-1.6378900896387716E-3</v>
      </c>
      <c r="Z13" s="2">
        <f t="shared" si="3"/>
        <v>0.9716796875</v>
      </c>
      <c r="AA13" s="2">
        <f t="shared" si="2"/>
        <v>-6.4119538877138726E-4</v>
      </c>
      <c r="AB13" s="2">
        <f t="shared" si="4"/>
        <v>-2.2797020905638398E-7</v>
      </c>
      <c r="AC13" s="2">
        <f t="shared" si="5"/>
        <v>1.0502075727907345E-6</v>
      </c>
      <c r="AD13" s="2">
        <f t="shared" si="6"/>
        <v>1.953125E-3</v>
      </c>
      <c r="AF13" s="2">
        <v>9</v>
      </c>
      <c r="AG13" s="2">
        <f t="shared" si="13"/>
        <v>1650.390625</v>
      </c>
      <c r="AH13" s="2">
        <v>-2.7664155780842066</v>
      </c>
      <c r="AI13" s="2">
        <f t="shared" si="14"/>
        <v>1687.5</v>
      </c>
      <c r="AJ13" s="2">
        <v>19.282048111444055</v>
      </c>
      <c r="AK13" s="2">
        <f t="shared" si="9"/>
        <v>1668.9453125</v>
      </c>
      <c r="AL13" s="2">
        <v>8.2624614631313307</v>
      </c>
      <c r="AM13" s="2">
        <f t="shared" si="10"/>
        <v>-22.85740210492694</v>
      </c>
      <c r="AN13" s="2">
        <f t="shared" si="11"/>
        <v>159.31717945105075</v>
      </c>
      <c r="AO13" s="2">
        <f t="shared" si="12"/>
        <v>37.109375</v>
      </c>
    </row>
    <row r="14" spans="2:41" x14ac:dyDescent="0.2">
      <c r="F14" s="6" t="s">
        <v>142</v>
      </c>
      <c r="G14" s="6">
        <f>O21*$C$10</f>
        <v>70.254539698273291</v>
      </c>
      <c r="H14" s="6" t="s">
        <v>10</v>
      </c>
      <c r="J14" s="9" t="s">
        <v>75</v>
      </c>
      <c r="K14" s="17">
        <f>C5</f>
        <v>1655.0407914268001</v>
      </c>
      <c r="L14" s="6" t="s">
        <v>7</v>
      </c>
      <c r="N14" s="6" t="s">
        <v>40</v>
      </c>
      <c r="O14" s="6">
        <f xml:space="preserve"> O5 * O13 * $C$12</f>
        <v>1273.6901071426801</v>
      </c>
      <c r="P14" s="6" t="s">
        <v>21</v>
      </c>
      <c r="U14" s="2">
        <v>10</v>
      </c>
      <c r="V14" s="2">
        <f t="shared" si="7"/>
        <v>0.970703125</v>
      </c>
      <c r="W14" s="2">
        <f t="shared" si="0"/>
        <v>3.5553937699583926E-4</v>
      </c>
      <c r="X14" s="2">
        <f t="shared" si="8"/>
        <v>0.9716796875</v>
      </c>
      <c r="Y14" s="2">
        <f t="shared" si="1"/>
        <v>-6.4119538877138726E-4</v>
      </c>
      <c r="Z14" s="2">
        <f t="shared" si="3"/>
        <v>0.97119140625</v>
      </c>
      <c r="AA14" s="2">
        <f t="shared" si="2"/>
        <v>-1.4283302144368903E-4</v>
      </c>
      <c r="AB14" s="2">
        <f t="shared" si="4"/>
        <v>-5.0782763458522551E-8</v>
      </c>
      <c r="AC14" s="2">
        <f t="shared" si="5"/>
        <v>9.1583874713978088E-8</v>
      </c>
      <c r="AD14" s="2">
        <f t="shared" si="6"/>
        <v>9.765625E-4</v>
      </c>
      <c r="AF14" s="2">
        <v>10</v>
      </c>
      <c r="AG14" s="2">
        <f t="shared" si="13"/>
        <v>1650.390625</v>
      </c>
      <c r="AH14" s="2">
        <v>-2.7664155780842066</v>
      </c>
      <c r="AI14" s="2">
        <f t="shared" si="14"/>
        <v>1668.9453125</v>
      </c>
      <c r="AJ14" s="2">
        <v>8.2624614631313307</v>
      </c>
      <c r="AK14" s="2">
        <f t="shared" si="9"/>
        <v>1659.66796875</v>
      </c>
      <c r="AL14" s="2">
        <v>2.7491747669080269</v>
      </c>
      <c r="AM14" s="2">
        <f t="shared" si="10"/>
        <v>-7.6053599020503828</v>
      </c>
      <c r="AN14" s="2">
        <f t="shared" si="11"/>
        <v>22.71495056699063</v>
      </c>
      <c r="AO14" s="2">
        <f t="shared" si="12"/>
        <v>18.5546875</v>
      </c>
    </row>
    <row r="15" spans="2:41" x14ac:dyDescent="0.2">
      <c r="B15" s="30" t="s">
        <v>12</v>
      </c>
      <c r="C15" s="30"/>
      <c r="D15" s="30"/>
      <c r="F15" s="6" t="s">
        <v>143</v>
      </c>
      <c r="G15" s="6">
        <f>G14/$C$73</f>
        <v>0.21115102708104069</v>
      </c>
      <c r="H15" s="6" t="s">
        <v>120</v>
      </c>
      <c r="J15" s="10" t="s">
        <v>53</v>
      </c>
      <c r="K15" s="6">
        <f xml:space="preserve"> 1000 * K10 / ($C$60 * $C$61 * $C$62)</f>
        <v>175.01798953891168</v>
      </c>
      <c r="L15" s="6" t="s">
        <v>7</v>
      </c>
      <c r="N15" s="6" t="s">
        <v>140</v>
      </c>
      <c r="O15" s="6">
        <f>O4/O14</f>
        <v>12.73489995938041</v>
      </c>
      <c r="U15" s="2">
        <v>11</v>
      </c>
      <c r="V15" s="2">
        <f t="shared" si="7"/>
        <v>0.970703125</v>
      </c>
      <c r="W15" s="2">
        <f t="shared" si="0"/>
        <v>3.5553937699583926E-4</v>
      </c>
      <c r="X15" s="2">
        <f t="shared" si="8"/>
        <v>0.97119140625</v>
      </c>
      <c r="Y15" s="2">
        <f t="shared" si="1"/>
        <v>-1.4283302144368903E-4</v>
      </c>
      <c r="Z15" s="2">
        <f t="shared" si="3"/>
        <v>0.970947265625</v>
      </c>
      <c r="AA15" s="2">
        <f t="shared" si="2"/>
        <v>1.0635192295505025E-4</v>
      </c>
      <c r="AB15" s="2">
        <f t="shared" si="4"/>
        <v>3.7812296429748065E-8</v>
      </c>
      <c r="AC15" s="2">
        <f t="shared" si="5"/>
        <v>-1.5190566492016257E-8</v>
      </c>
      <c r="AD15" s="2">
        <f t="shared" si="6"/>
        <v>4.8828125E-4</v>
      </c>
      <c r="AF15" s="2">
        <v>11</v>
      </c>
      <c r="AG15" s="2">
        <f t="shared" si="13"/>
        <v>1650.390625</v>
      </c>
      <c r="AH15" s="2">
        <v>-2.7664155780842066</v>
      </c>
      <c r="AI15" s="2">
        <f t="shared" si="14"/>
        <v>1659.66796875</v>
      </c>
      <c r="AJ15" s="2">
        <v>2.7491747669080269</v>
      </c>
      <c r="AK15" s="2">
        <f t="shared" si="9"/>
        <v>1655.029296875</v>
      </c>
      <c r="AL15" s="2">
        <v>-8.333675561743803E-3</v>
      </c>
      <c r="AM15" s="2">
        <f t="shared" si="10"/>
        <v>2.3054409896707706E-2</v>
      </c>
      <c r="AN15" s="2">
        <f t="shared" si="11"/>
        <v>-2.2910730569944138E-2</v>
      </c>
      <c r="AO15" s="2">
        <f t="shared" si="12"/>
        <v>9.27734375</v>
      </c>
    </row>
    <row r="16" spans="2:41" x14ac:dyDescent="0.2">
      <c r="B16" s="6" t="s">
        <v>69</v>
      </c>
      <c r="C16" s="6">
        <f>C35*100</f>
        <v>600</v>
      </c>
      <c r="D16" s="6" t="s">
        <v>7</v>
      </c>
      <c r="F16" s="8" t="s">
        <v>20</v>
      </c>
      <c r="G16" s="6">
        <f>O20</f>
        <v>1273.6901071426801</v>
      </c>
      <c r="H16" s="6" t="s">
        <v>21</v>
      </c>
      <c r="J16" s="11" t="s">
        <v>123</v>
      </c>
      <c r="K16" s="6">
        <f xml:space="preserve"> $C$78 * ( $C$21 * (0.0095 * MAX(G7,G26) - 1.9275) +  $C$28 * (0.0095 * MAX(O20) - 1.9275) )</f>
        <v>119.08823964006326</v>
      </c>
      <c r="L16" s="6" t="s">
        <v>7</v>
      </c>
      <c r="N16" s="6" t="s">
        <v>111</v>
      </c>
      <c r="O16" s="6">
        <f>(O13*$C$12)/(0.3048^2)/($C$5*2.20462/1000)^(2/3)</f>
        <v>2.5511257164440879</v>
      </c>
      <c r="U16" s="2">
        <v>12</v>
      </c>
      <c r="V16" s="2">
        <f t="shared" si="7"/>
        <v>0.970947265625</v>
      </c>
      <c r="W16" s="2">
        <f t="shared" si="0"/>
        <v>1.0635192295505025E-4</v>
      </c>
      <c r="X16" s="2">
        <f t="shared" si="8"/>
        <v>0.97119140625</v>
      </c>
      <c r="Y16" s="2">
        <f t="shared" si="1"/>
        <v>-1.4283302144368903E-4</v>
      </c>
      <c r="Z16" s="2">
        <f t="shared" si="3"/>
        <v>0.9710693359375</v>
      </c>
      <c r="AA16" s="2">
        <f t="shared" si="2"/>
        <v>-1.8240862833085458E-5</v>
      </c>
      <c r="AB16" s="2">
        <f t="shared" si="4"/>
        <v>-1.9399508386579443E-9</v>
      </c>
      <c r="AC16" s="2">
        <f t="shared" si="5"/>
        <v>2.6053975521894856E-9</v>
      </c>
      <c r="AD16" s="2">
        <f t="shared" si="6"/>
        <v>2.44140625E-4</v>
      </c>
      <c r="AF16" s="2">
        <v>12</v>
      </c>
      <c r="AG16" s="2">
        <f t="shared" si="13"/>
        <v>1655.029296875</v>
      </c>
      <c r="AH16" s="2">
        <v>-8.333675561743803E-3</v>
      </c>
      <c r="AI16" s="2">
        <f t="shared" si="14"/>
        <v>1659.66796875</v>
      </c>
      <c r="AJ16" s="2">
        <v>2.7491747669080269</v>
      </c>
      <c r="AK16" s="2">
        <f t="shared" si="9"/>
        <v>1657.3486328125</v>
      </c>
      <c r="AL16" s="2">
        <v>1.3704924030121219</v>
      </c>
      <c r="AM16" s="2">
        <f t="shared" si="10"/>
        <v>-1.1421239046537661E-2</v>
      </c>
      <c r="AN16" s="2">
        <f t="shared" si="11"/>
        <v>3.767723132600072</v>
      </c>
      <c r="AO16" s="2">
        <f t="shared" si="12"/>
        <v>4.638671875</v>
      </c>
    </row>
    <row r="17" spans="2:41" x14ac:dyDescent="0.2">
      <c r="B17" s="6" t="s">
        <v>13</v>
      </c>
      <c r="C17" s="16">
        <f>60 * 1609.344</f>
        <v>96560.639999999999</v>
      </c>
      <c r="D17" s="6" t="s">
        <v>8</v>
      </c>
      <c r="F17" s="8" t="s">
        <v>93</v>
      </c>
      <c r="G17" s="6">
        <f xml:space="preserve"> 1/1000 * (O25 + O20 * (O30 * O27 + $C$7 * SIN(O19/180*PI())))</f>
        <v>89.428575926627559</v>
      </c>
      <c r="H17" s="6" t="s">
        <v>97</v>
      </c>
      <c r="J17" s="11" t="s">
        <v>124</v>
      </c>
      <c r="K17" s="6">
        <v>0</v>
      </c>
      <c r="L17" s="6" t="s">
        <v>7</v>
      </c>
      <c r="U17" s="2">
        <v>13</v>
      </c>
      <c r="V17" s="2">
        <f t="shared" si="7"/>
        <v>0.970947265625</v>
      </c>
      <c r="W17" s="2">
        <f t="shared" si="0"/>
        <v>1.0635192295505025E-4</v>
      </c>
      <c r="X17" s="2">
        <f t="shared" si="8"/>
        <v>0.9710693359375</v>
      </c>
      <c r="Y17" s="2">
        <f t="shared" si="1"/>
        <v>-1.8240862833085458E-5</v>
      </c>
      <c r="Z17" s="2">
        <f t="shared" si="3"/>
        <v>0.97100830078125</v>
      </c>
      <c r="AA17" s="2">
        <f t="shared" si="2"/>
        <v>4.4055451649205324E-5</v>
      </c>
      <c r="AB17" s="2">
        <f t="shared" si="4"/>
        <v>4.6853819995462257E-9</v>
      </c>
      <c r="AC17" s="2">
        <f t="shared" si="5"/>
        <v>-8.0360945058278287E-10</v>
      </c>
      <c r="AD17" s="2">
        <f t="shared" si="6"/>
        <v>1.220703125E-4</v>
      </c>
      <c r="AF17" s="2">
        <v>13</v>
      </c>
      <c r="AG17" s="2">
        <f t="shared" si="13"/>
        <v>1655.029296875</v>
      </c>
      <c r="AH17" s="2">
        <v>1.3704924030121219</v>
      </c>
      <c r="AI17" s="2">
        <f t="shared" si="14"/>
        <v>1657.3486328125</v>
      </c>
      <c r="AJ17" s="2">
        <v>1.3704924030121219</v>
      </c>
      <c r="AK17" s="2">
        <f t="shared" si="9"/>
        <v>1656.18896484375</v>
      </c>
      <c r="AL17" s="2">
        <v>2.0598515918547946</v>
      </c>
      <c r="AM17" s="2">
        <f t="shared" si="10"/>
        <v>2.823010957969422</v>
      </c>
      <c r="AN17" s="2">
        <f t="shared" si="11"/>
        <v>2.823010957969422</v>
      </c>
      <c r="AO17" s="2">
        <f t="shared" si="12"/>
        <v>2.3193359375</v>
      </c>
    </row>
    <row r="18" spans="2:41" x14ac:dyDescent="0.2">
      <c r="B18" s="6" t="s">
        <v>163</v>
      </c>
      <c r="C18" s="16">
        <v>1</v>
      </c>
      <c r="F18" t="s">
        <v>171</v>
      </c>
      <c r="G18" s="6">
        <f xml:space="preserve"> (G16/$C$74*1000) / (G17*1000)</f>
        <v>1.4532383480593143</v>
      </c>
      <c r="H18" s="6" t="s">
        <v>172</v>
      </c>
      <c r="J18" s="12" t="s">
        <v>54</v>
      </c>
      <c r="K18" s="6">
        <f xml:space="preserve"> $C$78 * (0.2138 * K4 + 0.2138 * K6)</f>
        <v>78.835082717478514</v>
      </c>
      <c r="L18" s="6" t="s">
        <v>7</v>
      </c>
      <c r="N18" s="32" t="s">
        <v>141</v>
      </c>
      <c r="O18" s="34"/>
      <c r="P18" s="34"/>
      <c r="U18" s="2">
        <v>14</v>
      </c>
      <c r="V18" s="2">
        <f t="shared" si="7"/>
        <v>0.97100830078125</v>
      </c>
      <c r="W18" s="2">
        <f t="shared" si="0"/>
        <v>4.4055451649205324E-5</v>
      </c>
      <c r="X18" s="2">
        <f t="shared" si="8"/>
        <v>0.9710693359375</v>
      </c>
      <c r="Y18" s="2">
        <f t="shared" si="1"/>
        <v>-1.8240862833085458E-5</v>
      </c>
      <c r="Z18" s="2">
        <f t="shared" si="3"/>
        <v>0.971038818359375</v>
      </c>
      <c r="AA18" s="2">
        <f t="shared" si="2"/>
        <v>1.2907274806961411E-5</v>
      </c>
      <c r="AB18" s="2">
        <f t="shared" si="4"/>
        <v>5.6863582118109439E-10</v>
      </c>
      <c r="AC18" s="2">
        <f t="shared" si="5"/>
        <v>-2.3543982930272266E-10</v>
      </c>
      <c r="AD18" s="2">
        <f t="shared" si="6"/>
        <v>6.103515625E-5</v>
      </c>
      <c r="AF18" s="2">
        <v>14</v>
      </c>
      <c r="AG18" s="2">
        <f t="shared" si="13"/>
        <v>1656.18896484375</v>
      </c>
      <c r="AH18" s="2">
        <v>1.3704924030121219</v>
      </c>
      <c r="AI18" s="2">
        <f t="shared" si="14"/>
        <v>1656.18896484375</v>
      </c>
      <c r="AJ18" s="2">
        <v>0.68109723804082023</v>
      </c>
      <c r="AK18" s="2">
        <f t="shared" si="9"/>
        <v>1656.18896484375</v>
      </c>
      <c r="AL18" s="2">
        <v>2.0598515918547946</v>
      </c>
      <c r="AM18" s="2">
        <f t="shared" si="10"/>
        <v>2.823010957969422</v>
      </c>
      <c r="AN18" s="2">
        <f t="shared" si="11"/>
        <v>1.4029592299862874</v>
      </c>
      <c r="AO18" s="2">
        <f t="shared" si="12"/>
        <v>0</v>
      </c>
    </row>
    <row r="19" spans="2:41" x14ac:dyDescent="0.2">
      <c r="F19" s="8" t="s">
        <v>173</v>
      </c>
      <c r="G19" s="6">
        <f>O23 / ($C$29*$C$11/PI())</f>
        <v>4.6349609420717919E-2</v>
      </c>
      <c r="J19" s="12" t="s">
        <v>73</v>
      </c>
      <c r="K19" s="6">
        <f xml:space="preserve"> $C$78 * (0.1149 * K4 + 0.1149 * K6)</f>
        <v>42.367404135819832</v>
      </c>
      <c r="L19" s="6" t="s">
        <v>7</v>
      </c>
      <c r="N19" s="6" t="s">
        <v>26</v>
      </c>
      <c r="O19" s="6">
        <f xml:space="preserve"> 90 - $C$81</f>
        <v>85</v>
      </c>
      <c r="P19" s="6" t="s">
        <v>41</v>
      </c>
      <c r="U19" s="2">
        <v>15</v>
      </c>
      <c r="V19" s="2">
        <f t="shared" si="7"/>
        <v>0.971038818359375</v>
      </c>
      <c r="W19" s="2">
        <f t="shared" si="0"/>
        <v>1.2907274806961411E-5</v>
      </c>
      <c r="X19" s="2">
        <f t="shared" si="8"/>
        <v>0.9710693359375</v>
      </c>
      <c r="Y19" s="2">
        <f t="shared" si="1"/>
        <v>-1.8240862833085458E-5</v>
      </c>
      <c r="Z19" s="2">
        <f t="shared" si="3"/>
        <v>0.9710540771484375</v>
      </c>
      <c r="AA19" s="2">
        <f t="shared" si="2"/>
        <v>-2.666798913031343E-6</v>
      </c>
      <c r="AB19" s="2">
        <f t="shared" si="4"/>
        <v>-3.4421106425401529E-11</v>
      </c>
      <c r="AC19" s="2">
        <f t="shared" si="5"/>
        <v>4.8644713176026121E-11</v>
      </c>
      <c r="AD19" s="2">
        <f t="shared" si="6"/>
        <v>3.0517578125E-5</v>
      </c>
      <c r="AF19" s="2">
        <v>15</v>
      </c>
      <c r="AG19" s="2">
        <f t="shared" si="13"/>
        <v>1656.18896484375</v>
      </c>
      <c r="AH19" s="2">
        <v>1.3704924030121219</v>
      </c>
      <c r="AI19" s="2">
        <f t="shared" si="14"/>
        <v>1656.18896484375</v>
      </c>
      <c r="AJ19" s="2">
        <v>0.68109723804082023</v>
      </c>
      <c r="AK19" s="2">
        <f t="shared" si="9"/>
        <v>1656.18896484375</v>
      </c>
      <c r="AL19" s="2">
        <v>2.0598515918547946</v>
      </c>
      <c r="AM19" s="2">
        <f t="shared" si="10"/>
        <v>2.823010957969422</v>
      </c>
      <c r="AN19" s="2">
        <f t="shared" si="11"/>
        <v>1.4029592299862874</v>
      </c>
      <c r="AO19" s="2">
        <f t="shared" si="12"/>
        <v>0</v>
      </c>
    </row>
    <row r="20" spans="2:41" x14ac:dyDescent="0.2">
      <c r="B20" s="30" t="s">
        <v>108</v>
      </c>
      <c r="C20" s="30"/>
      <c r="D20" s="30"/>
      <c r="F20" s="23" t="s">
        <v>128</v>
      </c>
      <c r="G20" s="22">
        <f xml:space="preserve"> $C$28 * G17</f>
        <v>89.428575926627559</v>
      </c>
      <c r="H20" s="22" t="s">
        <v>97</v>
      </c>
      <c r="J20" s="13" t="s">
        <v>61</v>
      </c>
      <c r="K20" s="6">
        <f xml:space="preserve"> $C$79 * (14.86 * ($C$5*2.20462)^0.144 * ($C$36/(PI()*$C$37))^0.778 * ($C$36*3.28084)^0.383 * $C$35^0.455 * 0.453592)</f>
        <v>206.27850904886961</v>
      </c>
      <c r="L20" s="6" t="s">
        <v>7</v>
      </c>
      <c r="N20" s="6" t="s">
        <v>20</v>
      </c>
      <c r="O20" s="6">
        <f xml:space="preserve"> O14 / $C$28</f>
        <v>1273.6901071426801</v>
      </c>
      <c r="P20" s="6" t="s">
        <v>21</v>
      </c>
      <c r="U20" s="2">
        <v>16</v>
      </c>
      <c r="V20" s="2">
        <f t="shared" si="7"/>
        <v>0.971038818359375</v>
      </c>
      <c r="W20" s="2">
        <f t="shared" si="0"/>
        <v>1.2907274806961411E-5</v>
      </c>
      <c r="X20" s="2">
        <f t="shared" si="8"/>
        <v>0.9710540771484375</v>
      </c>
      <c r="Y20" s="2">
        <f t="shared" si="1"/>
        <v>-2.666798913031343E-6</v>
      </c>
      <c r="Z20" s="2">
        <f t="shared" si="3"/>
        <v>0.97104644775390625</v>
      </c>
      <c r="AA20" s="2">
        <f t="shared" si="2"/>
        <v>5.1202367219449485E-6</v>
      </c>
      <c r="AB20" s="2">
        <f t="shared" si="4"/>
        <v>6.6088302446838705E-11</v>
      </c>
      <c r="AC20" s="2">
        <f t="shared" si="5"/>
        <v>-1.3654641724545955E-11</v>
      </c>
      <c r="AD20" s="2">
        <f t="shared" si="6"/>
        <v>1.52587890625E-5</v>
      </c>
      <c r="AF20" s="2">
        <v>16</v>
      </c>
      <c r="AG20" s="2">
        <f t="shared" si="13"/>
        <v>1656.18896484375</v>
      </c>
      <c r="AH20" s="2">
        <v>1.3704924030121219</v>
      </c>
      <c r="AI20" s="2">
        <f t="shared" si="14"/>
        <v>1656.18896484375</v>
      </c>
      <c r="AJ20" s="2">
        <v>0.68109723804082023</v>
      </c>
      <c r="AK20" s="2">
        <f t="shared" si="9"/>
        <v>1656.18896484375</v>
      </c>
      <c r="AL20" s="2">
        <v>2.0598515918547946</v>
      </c>
      <c r="AM20" s="2">
        <f t="shared" si="10"/>
        <v>2.823010957969422</v>
      </c>
      <c r="AN20" s="2">
        <f t="shared" si="11"/>
        <v>1.4029592299862874</v>
      </c>
      <c r="AO20" s="2">
        <f t="shared" si="12"/>
        <v>0</v>
      </c>
    </row>
    <row r="21" spans="2:41" x14ac:dyDescent="0.2">
      <c r="B21" s="6" t="s">
        <v>90</v>
      </c>
      <c r="C21" s="16">
        <v>8</v>
      </c>
      <c r="J21" s="13" t="s">
        <v>62</v>
      </c>
      <c r="K21" s="6">
        <f xml:space="preserve"> $C$79 * C41 * $C$5</f>
        <v>43.031060577096802</v>
      </c>
      <c r="L21" s="6" t="s">
        <v>7</v>
      </c>
      <c r="N21" s="6" t="s">
        <v>27</v>
      </c>
      <c r="O21" s="6">
        <f>$C$6*2*PI()/60</f>
        <v>48.861579164884304</v>
      </c>
      <c r="P21" s="6" t="s">
        <v>28</v>
      </c>
      <c r="U21" s="2">
        <v>17</v>
      </c>
      <c r="V21" s="2">
        <f t="shared" si="7"/>
        <v>0.97104644775390625</v>
      </c>
      <c r="W21" s="2">
        <f t="shared" si="0"/>
        <v>5.1202367219449485E-6</v>
      </c>
      <c r="X21" s="2">
        <f t="shared" si="8"/>
        <v>0.9710540771484375</v>
      </c>
      <c r="Y21" s="2">
        <f t="shared" si="1"/>
        <v>-2.666798913031343E-6</v>
      </c>
      <c r="Z21" s="2">
        <f t="shared" si="3"/>
        <v>0.97105026245117188</v>
      </c>
      <c r="AA21" s="2">
        <f t="shared" si="2"/>
        <v>1.2267185981462703E-6</v>
      </c>
      <c r="AB21" s="2">
        <f t="shared" si="4"/>
        <v>6.2810896137213613E-12</v>
      </c>
      <c r="AC21" s="2">
        <f t="shared" si="5"/>
        <v>-3.2714118241318064E-12</v>
      </c>
      <c r="AD21" s="2">
        <f t="shared" si="6"/>
        <v>7.62939453125E-6</v>
      </c>
      <c r="AF21" s="2">
        <v>17</v>
      </c>
      <c r="AG21" s="2">
        <f t="shared" si="13"/>
        <v>1656.18896484375</v>
      </c>
      <c r="AH21" s="2">
        <v>1.3704924030121219</v>
      </c>
      <c r="AI21" s="2">
        <f t="shared" si="14"/>
        <v>1656.18896484375</v>
      </c>
      <c r="AJ21" s="2">
        <v>0.68109723804082023</v>
      </c>
      <c r="AK21" s="2">
        <f t="shared" si="9"/>
        <v>1656.18896484375</v>
      </c>
      <c r="AL21" s="2">
        <v>2.0598515918547946</v>
      </c>
      <c r="AM21" s="2">
        <f t="shared" si="10"/>
        <v>2.823010957969422</v>
      </c>
      <c r="AN21" s="2">
        <f t="shared" si="11"/>
        <v>1.4029592299862874</v>
      </c>
      <c r="AO21" s="2">
        <f t="shared" si="12"/>
        <v>0</v>
      </c>
    </row>
    <row r="22" spans="2:41" x14ac:dyDescent="0.2">
      <c r="B22" s="6" t="s">
        <v>107</v>
      </c>
      <c r="C22" s="16">
        <v>2</v>
      </c>
      <c r="F22" s="30" t="s">
        <v>77</v>
      </c>
      <c r="G22" s="30"/>
      <c r="H22" s="30"/>
      <c r="J22" s="13" t="s">
        <v>144</v>
      </c>
      <c r="K22" s="6">
        <f xml:space="preserve"> $C$79 * (0.04674 * ($C$5*2.20462)^0.397 * ($C$12*3.28084^2)^0.36 * $C$46^0.397 * $C$13^1.712 * 0.453592)</f>
        <v>270.46674862253684</v>
      </c>
      <c r="L22" s="6" t="s">
        <v>7</v>
      </c>
      <c r="N22" s="6" t="s">
        <v>29</v>
      </c>
      <c r="O22" s="6">
        <f xml:space="preserve"> $C$7 * COS(O19/180*PI()) / (O21 * $C$10)</f>
        <v>8.3187727238509257E-2</v>
      </c>
      <c r="U22" s="2">
        <v>18</v>
      </c>
      <c r="V22" s="2">
        <f t="shared" si="7"/>
        <v>0.97105026245117188</v>
      </c>
      <c r="W22" s="2">
        <f t="shared" si="0"/>
        <v>1.2267185981462703E-6</v>
      </c>
      <c r="X22" s="2">
        <f t="shared" si="8"/>
        <v>0.9710540771484375</v>
      </c>
      <c r="Y22" s="2">
        <f t="shared" si="1"/>
        <v>-2.666798913031343E-6</v>
      </c>
      <c r="Z22" s="2">
        <f t="shared" si="3"/>
        <v>0.97105216979980469</v>
      </c>
      <c r="AA22" s="2">
        <f t="shared" si="2"/>
        <v>-7.200402339924139E-7</v>
      </c>
      <c r="AB22" s="2">
        <f t="shared" si="4"/>
        <v>-8.8328674645208645E-13</v>
      </c>
      <c r="AC22" s="2">
        <f t="shared" si="5"/>
        <v>1.9202025133498033E-12</v>
      </c>
      <c r="AD22" s="2">
        <f t="shared" si="6"/>
        <v>3.814697265625E-6</v>
      </c>
      <c r="AF22" s="2">
        <v>18</v>
      </c>
      <c r="AG22" s="2">
        <f t="shared" si="13"/>
        <v>1656.18896484375</v>
      </c>
      <c r="AH22" s="2">
        <v>1.3704924030121219</v>
      </c>
      <c r="AI22" s="2">
        <f t="shared" si="14"/>
        <v>1656.18896484375</v>
      </c>
      <c r="AJ22" s="2">
        <v>0.68109723804082023</v>
      </c>
      <c r="AK22" s="2">
        <f t="shared" si="9"/>
        <v>1656.18896484375</v>
      </c>
      <c r="AL22" s="2">
        <v>2.0598515918547946</v>
      </c>
      <c r="AM22" s="2">
        <f t="shared" si="10"/>
        <v>2.823010957969422</v>
      </c>
      <c r="AN22" s="2">
        <f t="shared" si="11"/>
        <v>1.4029592299862874</v>
      </c>
      <c r="AO22" s="2">
        <f t="shared" si="12"/>
        <v>0</v>
      </c>
    </row>
    <row r="23" spans="2:41" x14ac:dyDescent="0.2">
      <c r="B23" s="6" t="s">
        <v>119</v>
      </c>
      <c r="C23" s="6">
        <f>$C$22*$C$9/PI()</f>
        <v>0.31022513338460861</v>
      </c>
      <c r="F23" s="6" t="s">
        <v>81</v>
      </c>
      <c r="G23" s="16">
        <f>300*0.3048/60</f>
        <v>1.524</v>
      </c>
      <c r="H23" s="6" t="s">
        <v>10</v>
      </c>
      <c r="J23" s="13" t="s">
        <v>63</v>
      </c>
      <c r="K23" s="6">
        <f xml:space="preserve"> $C$79 * (3.184 * ($C$5*2.20462)^0.887 * ($C$50*3.28084*3.28084)^0.101 * ($C$49)^0.138 ) / ( 174.04 * ($C$51*3.28084)^0.223 ) * 0.453592</f>
        <v>19.283980271680942</v>
      </c>
      <c r="L23" s="6" t="s">
        <v>7</v>
      </c>
      <c r="N23" s="6" t="s">
        <v>30</v>
      </c>
      <c r="O23" s="6">
        <f xml:space="preserve"> O20 / ( $C$71 * PI() * $C$10^2 * O21^2 * $C$10^2)</f>
        <v>3.9396374922992715E-2</v>
      </c>
      <c r="U23" s="2">
        <v>19</v>
      </c>
      <c r="V23" s="2">
        <f t="shared" si="7"/>
        <v>0.97105026245117188</v>
      </c>
      <c r="W23" s="2">
        <f t="shared" si="0"/>
        <v>1.2267185981462703E-6</v>
      </c>
      <c r="X23" s="2">
        <f t="shared" si="8"/>
        <v>0.97105216979980469</v>
      </c>
      <c r="Y23" s="2">
        <f t="shared" si="1"/>
        <v>-7.200402339924139E-7</v>
      </c>
      <c r="Z23" s="2">
        <f t="shared" si="3"/>
        <v>0.97105121612548828</v>
      </c>
      <c r="AA23" s="2">
        <f t="shared" si="2"/>
        <v>2.5333916287006986E-7</v>
      </c>
      <c r="AB23" s="2">
        <f t="shared" si="4"/>
        <v>3.1077586273152171E-13</v>
      </c>
      <c r="AC23" s="2">
        <f t="shared" si="5"/>
        <v>-1.8241439011240736E-13</v>
      </c>
      <c r="AD23" s="2">
        <f t="shared" si="6"/>
        <v>1.9073486328125E-6</v>
      </c>
      <c r="AF23" s="2">
        <v>19</v>
      </c>
      <c r="AG23" s="2">
        <f t="shared" si="13"/>
        <v>1656.18896484375</v>
      </c>
      <c r="AH23" s="2">
        <v>1.3704924030121219</v>
      </c>
      <c r="AI23" s="2">
        <f t="shared" si="14"/>
        <v>1656.18896484375</v>
      </c>
      <c r="AJ23" s="2">
        <v>0.68109723804082023</v>
      </c>
      <c r="AK23" s="2">
        <f t="shared" si="9"/>
        <v>1656.18896484375</v>
      </c>
      <c r="AL23" s="2">
        <v>2.0598515918547946</v>
      </c>
      <c r="AM23" s="2">
        <f t="shared" si="10"/>
        <v>2.823010957969422</v>
      </c>
      <c r="AN23" s="2">
        <f t="shared" si="11"/>
        <v>1.4029592299862874</v>
      </c>
      <c r="AO23" s="2">
        <f t="shared" si="12"/>
        <v>0</v>
      </c>
    </row>
    <row r="24" spans="2:41" x14ac:dyDescent="0.2">
      <c r="B24" s="6" t="s">
        <v>145</v>
      </c>
      <c r="C24" s="16">
        <v>0.75</v>
      </c>
      <c r="F24" s="6" t="s">
        <v>87</v>
      </c>
      <c r="G24" s="16">
        <f>1000*0.3048</f>
        <v>304.8</v>
      </c>
      <c r="H24" s="6" t="s">
        <v>8</v>
      </c>
      <c r="J24" s="13" t="s">
        <v>64</v>
      </c>
      <c r="K24" s="6">
        <f xml:space="preserve"> $C$79 * ( 1.68 * ($C$5*2.20462)^0.567 * ($C$55*3.28084*3.28084)^1.249 * ($C$54)^0.482 ) / (639.95 * ($C$56*3.28084)^0.747 * (COS($C$57/180*PI()))^0.882 ) * 0.453592</f>
        <v>7.3725865645528321</v>
      </c>
      <c r="L24" s="6" t="s">
        <v>7</v>
      </c>
      <c r="N24" s="6" t="s">
        <v>1</v>
      </c>
      <c r="O24" s="16">
        <v>8.8999999999999999E-3</v>
      </c>
      <c r="U24" s="2">
        <v>20</v>
      </c>
      <c r="V24" s="2">
        <f t="shared" si="7"/>
        <v>0.97105121612548828</v>
      </c>
      <c r="W24" s="2">
        <f t="shared" si="0"/>
        <v>2.5333916287006986E-7</v>
      </c>
      <c r="X24" s="2">
        <f t="shared" si="8"/>
        <v>0.97105216979980469</v>
      </c>
      <c r="Y24" s="2">
        <f t="shared" si="1"/>
        <v>-7.200402339924139E-7</v>
      </c>
      <c r="Z24" s="2">
        <f t="shared" si="3"/>
        <v>0.97105169296264648</v>
      </c>
      <c r="AA24" s="2">
        <f t="shared" si="2"/>
        <v>-2.3335054033513103E-7</v>
      </c>
      <c r="AB24" s="2">
        <f t="shared" si="4"/>
        <v>-5.911683054378056E-14</v>
      </c>
      <c r="AC24" s="2">
        <f t="shared" si="5"/>
        <v>1.6802177766516396E-13</v>
      </c>
      <c r="AD24" s="2">
        <f t="shared" si="6"/>
        <v>9.5367431640625E-7</v>
      </c>
      <c r="AF24" s="2">
        <v>20</v>
      </c>
      <c r="AG24" s="2">
        <f t="shared" si="13"/>
        <v>1656.18896484375</v>
      </c>
      <c r="AH24" s="2">
        <v>1.3704924030121219</v>
      </c>
      <c r="AI24" s="2">
        <f t="shared" si="14"/>
        <v>1656.18896484375</v>
      </c>
      <c r="AJ24" s="2">
        <v>0.68109723804082023</v>
      </c>
      <c r="AK24" s="2">
        <f t="shared" si="9"/>
        <v>1656.18896484375</v>
      </c>
      <c r="AL24" s="2">
        <v>2.0598515918547946</v>
      </c>
      <c r="AM24" s="2">
        <f t="shared" si="10"/>
        <v>2.823010957969422</v>
      </c>
      <c r="AN24" s="2">
        <f t="shared" si="11"/>
        <v>1.4029592299862874</v>
      </c>
      <c r="AO24" s="2">
        <f t="shared" si="12"/>
        <v>0</v>
      </c>
    </row>
    <row r="25" spans="2:41" x14ac:dyDescent="0.2">
      <c r="B25" s="6" t="s">
        <v>174</v>
      </c>
      <c r="C25" s="16">
        <v>50</v>
      </c>
      <c r="D25" s="6" t="s">
        <v>59</v>
      </c>
      <c r="F25" s="6" t="s">
        <v>86</v>
      </c>
      <c r="G25" s="6">
        <f xml:space="preserve"> $G$24/$G$23</f>
        <v>200</v>
      </c>
      <c r="H25" s="6" t="s">
        <v>14</v>
      </c>
      <c r="J25" s="13" t="s">
        <v>110</v>
      </c>
      <c r="K25" s="6">
        <f>$C$79*(0.14*$G$10*1000/745.7)*0.453592</f>
        <v>14.841385001036553</v>
      </c>
      <c r="L25" s="6" t="s">
        <v>7</v>
      </c>
      <c r="N25" s="6" t="s">
        <v>31</v>
      </c>
      <c r="O25" s="6">
        <f xml:space="preserve"> ($C$30 * $O$24 / 8) * (1 + 4.65 * O22^2) * ( PI() * $C$71 * O21^3 * $C$10^5)</f>
        <v>2216.9050602230373</v>
      </c>
      <c r="P25" s="6" t="s">
        <v>19</v>
      </c>
      <c r="U25" s="2">
        <v>21</v>
      </c>
      <c r="V25" s="2">
        <f t="shared" si="7"/>
        <v>0.97105121612548828</v>
      </c>
      <c r="W25" s="2">
        <f t="shared" si="0"/>
        <v>2.5333916287006986E-7</v>
      </c>
      <c r="X25" s="2">
        <f t="shared" si="8"/>
        <v>0.97105169296264648</v>
      </c>
      <c r="Y25" s="2">
        <f t="shared" si="1"/>
        <v>-2.3335054033513103E-7</v>
      </c>
      <c r="Z25" s="2">
        <f t="shared" si="3"/>
        <v>0.97105145454406738</v>
      </c>
      <c r="AA25" s="2">
        <f t="shared" si="2"/>
        <v>9.9943100462240864E-9</v>
      </c>
      <c r="AB25" s="2">
        <f t="shared" si="4"/>
        <v>2.5319501405743393E-15</v>
      </c>
      <c r="AC25" s="2">
        <f t="shared" si="5"/>
        <v>-2.3321776495632188E-15</v>
      </c>
      <c r="AD25" s="2">
        <f t="shared" si="6"/>
        <v>4.76837158203125E-7</v>
      </c>
      <c r="AF25" s="2">
        <v>21</v>
      </c>
      <c r="AG25" s="2">
        <f t="shared" si="13"/>
        <v>1656.18896484375</v>
      </c>
      <c r="AH25" s="2">
        <v>1.3704924030121219</v>
      </c>
      <c r="AI25" s="2">
        <f t="shared" si="14"/>
        <v>1656.18896484375</v>
      </c>
      <c r="AJ25" s="2">
        <v>0.68109723804082023</v>
      </c>
      <c r="AK25" s="2">
        <f t="shared" si="9"/>
        <v>1656.18896484375</v>
      </c>
      <c r="AL25" s="2">
        <v>2.0598515918547946</v>
      </c>
      <c r="AM25" s="2">
        <f t="shared" si="10"/>
        <v>2.823010957969422</v>
      </c>
      <c r="AN25" s="2">
        <f t="shared" si="11"/>
        <v>1.4029592299862874</v>
      </c>
      <c r="AO25" s="2">
        <f t="shared" si="12"/>
        <v>0</v>
      </c>
    </row>
    <row r="26" spans="2:41" x14ac:dyDescent="0.2">
      <c r="F26" s="6" t="s">
        <v>20</v>
      </c>
      <c r="G26" s="6">
        <f xml:space="preserve"> $C$5 * $C$68 / $C$21</f>
        <v>2027.7334675292577</v>
      </c>
      <c r="H26" s="6" t="s">
        <v>21</v>
      </c>
      <c r="J26" s="14" t="s">
        <v>65</v>
      </c>
      <c r="K26" s="6">
        <f xml:space="preserve"> $C$80 * (0.0268 * $C$5)</f>
        <v>35.4840745681906</v>
      </c>
      <c r="L26" s="6" t="s">
        <v>7</v>
      </c>
      <c r="N26" s="6" t="s">
        <v>32</v>
      </c>
      <c r="O26" s="17">
        <f>Z34</f>
        <v>0.97105146432295442</v>
      </c>
      <c r="U26" s="2">
        <v>22</v>
      </c>
      <c r="V26" s="2">
        <f t="shared" si="7"/>
        <v>0.97105145454406738</v>
      </c>
      <c r="W26" s="2">
        <f t="shared" si="0"/>
        <v>9.9943100462240864E-9</v>
      </c>
      <c r="X26" s="2">
        <f t="shared" si="8"/>
        <v>0.97105169296264648</v>
      </c>
      <c r="Y26" s="2">
        <f t="shared" si="1"/>
        <v>-2.3335054033513103E-7</v>
      </c>
      <c r="Z26" s="2">
        <f t="shared" si="3"/>
        <v>0.97105157375335693</v>
      </c>
      <c r="AA26" s="2">
        <f t="shared" si="2"/>
        <v>-1.1167811542200923E-7</v>
      </c>
      <c r="AB26" s="2">
        <f t="shared" si="4"/>
        <v>-1.1161457109055598E-15</v>
      </c>
      <c r="AC26" s="2">
        <f t="shared" si="5"/>
        <v>2.6060148577334982E-14</v>
      </c>
      <c r="AD26" s="2">
        <f t="shared" si="6"/>
        <v>2.384185791015625E-7</v>
      </c>
      <c r="AF26" s="2">
        <v>22</v>
      </c>
      <c r="AG26" s="2">
        <f t="shared" si="13"/>
        <v>1656.18896484375</v>
      </c>
      <c r="AH26" s="2">
        <v>1.3704924030121219</v>
      </c>
      <c r="AI26" s="2">
        <f t="shared" si="14"/>
        <v>1656.18896484375</v>
      </c>
      <c r="AJ26" s="2">
        <v>0.68109723804082023</v>
      </c>
      <c r="AK26" s="2">
        <f t="shared" si="9"/>
        <v>1656.18896484375</v>
      </c>
      <c r="AL26" s="2">
        <v>2.0598515918547946</v>
      </c>
      <c r="AM26" s="2">
        <f t="shared" si="10"/>
        <v>2.823010957969422</v>
      </c>
      <c r="AN26" s="2">
        <f t="shared" si="11"/>
        <v>1.4029592299862874</v>
      </c>
      <c r="AO26" s="2">
        <f t="shared" si="12"/>
        <v>0</v>
      </c>
    </row>
    <row r="27" spans="2:41" x14ac:dyDescent="0.2">
      <c r="B27" s="30" t="s">
        <v>146</v>
      </c>
      <c r="C27" s="30"/>
      <c r="D27" s="30"/>
      <c r="F27" t="s">
        <v>93</v>
      </c>
      <c r="G27" s="6">
        <f>G29/$C$21</f>
        <v>23.548456765793986</v>
      </c>
      <c r="H27" t="s">
        <v>97</v>
      </c>
      <c r="J27" s="14" t="s">
        <v>66</v>
      </c>
      <c r="K27" s="6">
        <f xml:space="preserve"> $C$80 * (11.5 * ($C$5*2.20462/1000)^0.4 * 0.453592)</f>
        <v>7.0034203166851503</v>
      </c>
      <c r="L27" s="6" t="s">
        <v>7</v>
      </c>
      <c r="N27" s="6" t="s">
        <v>33</v>
      </c>
      <c r="O27" s="6">
        <f xml:space="preserve"> O21 * $C$10 * O26 - $C$7 * SIN(O19/180*PI())</f>
        <v>1.4199419741033239</v>
      </c>
      <c r="P27" s="6" t="s">
        <v>10</v>
      </c>
      <c r="U27" s="2">
        <v>23</v>
      </c>
      <c r="V27" s="2">
        <f t="shared" si="7"/>
        <v>0.97105145454406738</v>
      </c>
      <c r="W27" s="2">
        <f t="shared" si="0"/>
        <v>9.9943100462240864E-9</v>
      </c>
      <c r="X27" s="2">
        <f t="shared" si="8"/>
        <v>0.97105157375335693</v>
      </c>
      <c r="Y27" s="2">
        <f t="shared" si="1"/>
        <v>-1.1167811542200923E-7</v>
      </c>
      <c r="Z27" s="2">
        <f t="shared" si="3"/>
        <v>0.97105151414871216</v>
      </c>
      <c r="AA27" s="2">
        <f t="shared" si="2"/>
        <v>-5.0841902687892571E-8</v>
      </c>
      <c r="AB27" s="2">
        <f t="shared" si="4"/>
        <v>-5.081297388027521E-16</v>
      </c>
      <c r="AC27" s="2">
        <f t="shared" si="5"/>
        <v>5.677927876653028E-15</v>
      </c>
      <c r="AD27" s="2">
        <f t="shared" si="6"/>
        <v>1.1920928955078125E-7</v>
      </c>
      <c r="AF27" s="2">
        <v>23</v>
      </c>
      <c r="AG27" s="2">
        <f t="shared" si="13"/>
        <v>1656.18896484375</v>
      </c>
      <c r="AH27" s="2">
        <v>1.3704924030121219</v>
      </c>
      <c r="AI27" s="2">
        <f t="shared" si="14"/>
        <v>1656.18896484375</v>
      </c>
      <c r="AJ27" s="2">
        <v>0.68109723804082023</v>
      </c>
      <c r="AK27" s="2">
        <f t="shared" si="9"/>
        <v>1656.18896484375</v>
      </c>
      <c r="AL27" s="2">
        <v>2.0598515918547946</v>
      </c>
      <c r="AM27" s="2">
        <f t="shared" si="10"/>
        <v>2.823010957969422</v>
      </c>
      <c r="AN27" s="2">
        <f t="shared" si="11"/>
        <v>1.4029592299862874</v>
      </c>
      <c r="AO27" s="2">
        <f t="shared" si="12"/>
        <v>0</v>
      </c>
    </row>
    <row r="28" spans="2:41" x14ac:dyDescent="0.2">
      <c r="B28" s="6" t="s">
        <v>147</v>
      </c>
      <c r="C28" s="16">
        <v>1</v>
      </c>
      <c r="F28" t="s">
        <v>171</v>
      </c>
      <c r="G28" s="6">
        <f xml:space="preserve"> (G26/$C$68*1000) / (G27*1000)</f>
        <v>8.7852932778533432</v>
      </c>
      <c r="H28" s="6" t="s">
        <v>172</v>
      </c>
      <c r="J28" s="14" t="s">
        <v>67</v>
      </c>
      <c r="K28" s="6">
        <f xml:space="preserve"> $C$80 * (8 * ($C$5/1000))</f>
        <v>10.592261065131522</v>
      </c>
      <c r="L28" s="6" t="s">
        <v>7</v>
      </c>
      <c r="N28" s="6" t="s">
        <v>34</v>
      </c>
      <c r="O28" s="6">
        <f xml:space="preserve"> 1/$C$31 - O25 * SQRT( (2*$C$71*PI()*$C$10^2) / O20^3 )</f>
        <v>1.1568125714204944</v>
      </c>
      <c r="U28" s="2">
        <v>24</v>
      </c>
      <c r="V28" s="2">
        <f t="shared" si="7"/>
        <v>0.97105145454406738</v>
      </c>
      <c r="W28" s="2">
        <f t="shared" si="0"/>
        <v>9.9943100462240864E-9</v>
      </c>
      <c r="X28" s="2">
        <f t="shared" si="8"/>
        <v>0.97105151414871216</v>
      </c>
      <c r="Y28" s="2">
        <f t="shared" si="1"/>
        <v>-5.0841902687892571E-8</v>
      </c>
      <c r="Z28" s="2">
        <f t="shared" si="3"/>
        <v>0.97105148434638977</v>
      </c>
      <c r="AA28" s="2">
        <f t="shared" si="2"/>
        <v>-2.0423796320834242E-8</v>
      </c>
      <c r="AB28" s="2">
        <f t="shared" si="4"/>
        <v>-2.041217527513482E-16</v>
      </c>
      <c r="AC28" s="2">
        <f t="shared" si="5"/>
        <v>1.0383846650611928E-15</v>
      </c>
      <c r="AD28" s="2">
        <f t="shared" si="6"/>
        <v>5.9604644775390625E-8</v>
      </c>
      <c r="AF28" s="2">
        <v>24</v>
      </c>
      <c r="AG28" s="2">
        <f t="shared" si="13"/>
        <v>1656.18896484375</v>
      </c>
      <c r="AH28" s="2">
        <v>1.3704924030121219</v>
      </c>
      <c r="AI28" s="2">
        <f t="shared" si="14"/>
        <v>1656.18896484375</v>
      </c>
      <c r="AJ28" s="2">
        <v>0.68109723804082023</v>
      </c>
      <c r="AK28" s="2">
        <f t="shared" si="9"/>
        <v>1656.18896484375</v>
      </c>
      <c r="AL28" s="2">
        <v>2.0598515918547946</v>
      </c>
      <c r="AM28" s="2">
        <f t="shared" si="10"/>
        <v>2.823010957969422</v>
      </c>
      <c r="AN28" s="2">
        <f t="shared" si="11"/>
        <v>1.4029592299862874</v>
      </c>
      <c r="AO28" s="2">
        <f t="shared" si="12"/>
        <v>0</v>
      </c>
    </row>
    <row r="29" spans="2:41" x14ac:dyDescent="0.2">
      <c r="B29" s="6" t="s">
        <v>148</v>
      </c>
      <c r="C29" s="16">
        <v>6</v>
      </c>
      <c r="F29" s="22" t="s">
        <v>79</v>
      </c>
      <c r="G29" s="22">
        <f xml:space="preserve"> 1/1000 * IF( $G$23&gt;=2*SQRT(($C$5*$C$68)/(2*$C$65*$C$21*PI()*$C$8*$C$8)), ($C$5*$C$68)/$C$24 * ( ($G$23/2) - SQRT( ($G$23/2)^2 - ($C$5*$C$68)/(2*$C$65*$C$21*PI()*$C$8*$C$8 ) ) ), 1/$C$24 * SQRT(($C$5*$C$68)^3/(2*$C$65*$C$21*PI()*$C$8*$C$8)) )</f>
        <v>188.38765412635189</v>
      </c>
      <c r="H29" s="22" t="s">
        <v>97</v>
      </c>
      <c r="J29" s="14" t="s">
        <v>68</v>
      </c>
      <c r="K29" s="6">
        <f xml:space="preserve"> $C$80 * (13 * ($C$5*2.20462/1000)^1.3 * 0.453592)</f>
        <v>25.379549232868701</v>
      </c>
      <c r="L29" s="6" t="s">
        <v>7</v>
      </c>
      <c r="N29" s="6" t="s">
        <v>35</v>
      </c>
      <c r="O29" s="16">
        <v>1.1499999999999999</v>
      </c>
      <c r="U29" s="2">
        <v>25</v>
      </c>
      <c r="V29" s="2">
        <f t="shared" si="7"/>
        <v>0.97105145454406738</v>
      </c>
      <c r="W29" s="2">
        <f t="shared" si="0"/>
        <v>9.9943100462240864E-9</v>
      </c>
      <c r="X29" s="2">
        <f t="shared" si="8"/>
        <v>0.97105148434638977</v>
      </c>
      <c r="Y29" s="2">
        <f t="shared" si="1"/>
        <v>-2.0423796320834242E-8</v>
      </c>
      <c r="Z29" s="2">
        <f t="shared" si="3"/>
        <v>0.97105146944522858</v>
      </c>
      <c r="AA29" s="2">
        <f t="shared" si="2"/>
        <v>-5.2147430817939266E-9</v>
      </c>
      <c r="AB29" s="2">
        <f t="shared" si="4"/>
        <v>-5.2117759170850594E-17</v>
      </c>
      <c r="AC29" s="2">
        <f t="shared" si="5"/>
        <v>1.0650485056803862E-16</v>
      </c>
      <c r="AD29" s="2">
        <f t="shared" si="6"/>
        <v>2.9802322387695312E-8</v>
      </c>
      <c r="AF29" s="2">
        <v>25</v>
      </c>
      <c r="AG29" s="2">
        <f t="shared" si="13"/>
        <v>1656.18896484375</v>
      </c>
      <c r="AH29" s="2">
        <v>1.3704924030121219</v>
      </c>
      <c r="AI29" s="2">
        <f t="shared" si="14"/>
        <v>1656.18896484375</v>
      </c>
      <c r="AJ29" s="2">
        <v>0.68109723804082023</v>
      </c>
      <c r="AK29" s="2">
        <f t="shared" si="9"/>
        <v>1656.18896484375</v>
      </c>
      <c r="AL29" s="2">
        <v>2.0598515918547946</v>
      </c>
      <c r="AM29" s="2">
        <f t="shared" si="10"/>
        <v>2.823010957969422</v>
      </c>
      <c r="AN29" s="2">
        <f t="shared" si="11"/>
        <v>1.4029592299862874</v>
      </c>
      <c r="AO29" s="2">
        <f t="shared" si="12"/>
        <v>0</v>
      </c>
    </row>
    <row r="30" spans="2:41" x14ac:dyDescent="0.2">
      <c r="B30" s="6" t="s">
        <v>149</v>
      </c>
      <c r="C30" s="6">
        <f>$C$29*$C$11/PI()</f>
        <v>0.84998288907657626</v>
      </c>
      <c r="J30" s="9" t="s">
        <v>55</v>
      </c>
      <c r="K30" s="9">
        <f>$C$5 - $C$16 - SUM(K15:K29)</f>
        <v>-1.4998741228282597E-3</v>
      </c>
      <c r="L30" s="9" t="s">
        <v>7</v>
      </c>
      <c r="N30" s="6" t="s">
        <v>36</v>
      </c>
      <c r="O30" s="6">
        <f xml:space="preserve"> 1/$C$77 * LN( EXP($C$77 * O28) + EXP($C$77 * O29) )</f>
        <v>1.1766849313995795</v>
      </c>
      <c r="U30" s="2">
        <v>26</v>
      </c>
      <c r="V30" s="2">
        <f>IF(AB29&gt;0, Z29, V29)</f>
        <v>0.97105145454406738</v>
      </c>
      <c r="W30" s="2">
        <f t="shared" si="0"/>
        <v>9.9943100462240864E-9</v>
      </c>
      <c r="X30" s="2">
        <f t="shared" si="8"/>
        <v>0.97105146944522858</v>
      </c>
      <c r="Y30" s="2">
        <f t="shared" si="1"/>
        <v>-5.2147430817939266E-9</v>
      </c>
      <c r="Z30" s="2">
        <f t="shared" si="3"/>
        <v>0.97105146199464798</v>
      </c>
      <c r="AA30" s="2">
        <f t="shared" si="2"/>
        <v>2.3897834822150799E-9</v>
      </c>
      <c r="AB30" s="2">
        <f t="shared" si="4"/>
        <v>2.3884237064602553E-17</v>
      </c>
      <c r="AC30" s="2">
        <f t="shared" si="5"/>
        <v>-1.2462106880866487E-17</v>
      </c>
      <c r="AD30" s="2">
        <f t="shared" si="6"/>
        <v>1.4901161193847656E-8</v>
      </c>
      <c r="AF30" s="2">
        <v>26</v>
      </c>
      <c r="AG30" s="2">
        <f t="shared" si="13"/>
        <v>1656.18896484375</v>
      </c>
      <c r="AH30" s="2">
        <v>1.3704924030121219</v>
      </c>
      <c r="AI30" s="2">
        <f t="shared" si="14"/>
        <v>1656.18896484375</v>
      </c>
      <c r="AJ30" s="2">
        <v>0.68109723804082023</v>
      </c>
      <c r="AK30" s="2">
        <f t="shared" si="9"/>
        <v>1656.18896484375</v>
      </c>
      <c r="AL30" s="2">
        <v>2.0598515918547946</v>
      </c>
      <c r="AM30" s="2">
        <f t="shared" si="10"/>
        <v>2.823010957969422</v>
      </c>
      <c r="AN30" s="2">
        <f t="shared" si="11"/>
        <v>1.4029592299862874</v>
      </c>
      <c r="AO30" s="2">
        <f t="shared" si="12"/>
        <v>0</v>
      </c>
    </row>
    <row r="31" spans="2:41" x14ac:dyDescent="0.2">
      <c r="B31" s="6" t="s">
        <v>150</v>
      </c>
      <c r="C31" s="16">
        <v>0.75</v>
      </c>
      <c r="F31" s="32" t="s">
        <v>175</v>
      </c>
      <c r="G31" s="33"/>
      <c r="H31" s="33"/>
      <c r="J31" s="6" t="s">
        <v>56</v>
      </c>
      <c r="K31" s="4" t="str">
        <f>IF(ABS(K30)&lt;1, "TRUE", "FALSE")</f>
        <v>TRUE</v>
      </c>
      <c r="U31" s="2">
        <v>27</v>
      </c>
      <c r="V31" s="2">
        <f t="shared" si="7"/>
        <v>0.97105146199464798</v>
      </c>
      <c r="W31" s="2">
        <f t="shared" si="0"/>
        <v>2.3897834822150799E-9</v>
      </c>
      <c r="X31" s="2">
        <f t="shared" si="8"/>
        <v>0.97105146944522858</v>
      </c>
      <c r="Y31" s="2">
        <f t="shared" si="1"/>
        <v>-5.2147430817939266E-9</v>
      </c>
      <c r="Z31" s="2">
        <f t="shared" si="3"/>
        <v>0.97105146571993828</v>
      </c>
      <c r="AA31" s="2">
        <f t="shared" si="2"/>
        <v>-1.4124797997894234E-9</v>
      </c>
      <c r="AB31" s="2">
        <f t="shared" si="4"/>
        <v>-3.3755208944992271E-18</v>
      </c>
      <c r="AC31" s="2">
        <f t="shared" si="5"/>
        <v>7.3657192641255663E-18</v>
      </c>
      <c r="AD31" s="2">
        <f t="shared" si="6"/>
        <v>7.4505805969238281E-9</v>
      </c>
      <c r="AF31" s="2">
        <v>27</v>
      </c>
      <c r="AG31" s="2">
        <f t="shared" si="13"/>
        <v>1656.18896484375</v>
      </c>
      <c r="AH31" s="2">
        <v>1.3704924030121219</v>
      </c>
      <c r="AI31" s="2">
        <f t="shared" si="14"/>
        <v>1656.18896484375</v>
      </c>
      <c r="AJ31" s="2">
        <v>0.68109723804082023</v>
      </c>
      <c r="AK31" s="2">
        <f t="shared" si="9"/>
        <v>1656.18896484375</v>
      </c>
      <c r="AL31" s="2">
        <v>2.0598515918547946</v>
      </c>
      <c r="AM31" s="2">
        <f t="shared" si="10"/>
        <v>2.823010957969422</v>
      </c>
      <c r="AN31" s="2">
        <f t="shared" si="11"/>
        <v>1.4029592299862874</v>
      </c>
      <c r="AO31" s="2">
        <f t="shared" si="12"/>
        <v>0</v>
      </c>
    </row>
    <row r="32" spans="2:41" x14ac:dyDescent="0.2">
      <c r="B32" s="6" t="s">
        <v>174</v>
      </c>
      <c r="C32" s="16">
        <v>50</v>
      </c>
      <c r="D32" s="6" t="s">
        <v>59</v>
      </c>
      <c r="F32" s="8" t="s">
        <v>176</v>
      </c>
      <c r="G32" s="16">
        <f>20*60</f>
        <v>1200</v>
      </c>
      <c r="H32" s="6" t="s">
        <v>14</v>
      </c>
      <c r="U32" s="2">
        <v>28</v>
      </c>
      <c r="V32" s="2">
        <f t="shared" si="7"/>
        <v>0.97105146199464798</v>
      </c>
      <c r="W32" s="2">
        <f t="shared" si="0"/>
        <v>2.3897834822150799E-9</v>
      </c>
      <c r="X32" s="2">
        <f t="shared" si="8"/>
        <v>0.97105146571993828</v>
      </c>
      <c r="Y32" s="2">
        <f t="shared" si="1"/>
        <v>-1.4124797997894234E-9</v>
      </c>
      <c r="Z32" s="2">
        <f t="shared" si="3"/>
        <v>0.97105146385729313</v>
      </c>
      <c r="AA32" s="2">
        <f t="shared" si="2"/>
        <v>4.88651785701677E-10</v>
      </c>
      <c r="AB32" s="2">
        <f t="shared" si="4"/>
        <v>1.1677719660247706E-18</v>
      </c>
      <c r="AC32" s="2">
        <f t="shared" si="5"/>
        <v>-6.9021077643464895E-19</v>
      </c>
      <c r="AD32" s="2">
        <f t="shared" si="6"/>
        <v>3.7252902984619141E-9</v>
      </c>
      <c r="AF32" s="2">
        <v>28</v>
      </c>
      <c r="AG32" s="2">
        <f t="shared" si="13"/>
        <v>1656.18896484375</v>
      </c>
      <c r="AH32" s="2">
        <v>1.3704924030121219</v>
      </c>
      <c r="AI32" s="2">
        <f t="shared" si="14"/>
        <v>1656.18896484375</v>
      </c>
      <c r="AJ32" s="2">
        <v>0.68109723804082023</v>
      </c>
      <c r="AK32" s="2">
        <f t="shared" si="9"/>
        <v>1656.18896484375</v>
      </c>
      <c r="AL32" s="2">
        <v>2.0598515918547946</v>
      </c>
      <c r="AM32" s="2">
        <f t="shared" si="10"/>
        <v>2.823010957969422</v>
      </c>
      <c r="AN32" s="2">
        <f t="shared" si="11"/>
        <v>1.4029592299862874</v>
      </c>
      <c r="AO32" s="2">
        <f t="shared" si="12"/>
        <v>0</v>
      </c>
    </row>
    <row r="33" spans="2:41" x14ac:dyDescent="0.2">
      <c r="F33" s="23" t="s">
        <v>128</v>
      </c>
      <c r="G33" s="22">
        <f xml:space="preserve"> G20</f>
        <v>89.428575926627559</v>
      </c>
      <c r="H33" s="22" t="s">
        <v>97</v>
      </c>
      <c r="J33" s="25" t="s">
        <v>57</v>
      </c>
      <c r="K33" s="25"/>
      <c r="L33" s="25"/>
      <c r="U33" s="2">
        <v>29</v>
      </c>
      <c r="V33" s="2">
        <f t="shared" si="7"/>
        <v>0.97105146385729313</v>
      </c>
      <c r="W33" s="2">
        <f t="shared" si="0"/>
        <v>4.88651785701677E-10</v>
      </c>
      <c r="X33" s="2">
        <f t="shared" si="8"/>
        <v>0.97105146571993828</v>
      </c>
      <c r="Y33" s="2">
        <f t="shared" si="1"/>
        <v>-1.4124797997894234E-9</v>
      </c>
      <c r="Z33" s="2">
        <f t="shared" si="3"/>
        <v>0.9710514647886157</v>
      </c>
      <c r="AA33" s="2">
        <f t="shared" si="2"/>
        <v>-4.6191395153272197E-10</v>
      </c>
      <c r="AB33" s="2">
        <f t="shared" si="4"/>
        <v>-2.2571507725698247E-19</v>
      </c>
      <c r="AC33" s="2">
        <f t="shared" si="5"/>
        <v>6.5244412578088055E-19</v>
      </c>
      <c r="AD33" s="2">
        <f t="shared" si="6"/>
        <v>1.862645149230957E-9</v>
      </c>
      <c r="AF33" s="2">
        <v>29</v>
      </c>
      <c r="AG33" s="2">
        <f t="shared" si="13"/>
        <v>1656.18896484375</v>
      </c>
      <c r="AH33" s="2">
        <v>1.3704924030121219</v>
      </c>
      <c r="AI33" s="2">
        <f t="shared" si="14"/>
        <v>1656.18896484375</v>
      </c>
      <c r="AJ33" s="2">
        <v>0.68109723804082023</v>
      </c>
      <c r="AK33" s="2">
        <f t="shared" si="9"/>
        <v>1656.18896484375</v>
      </c>
      <c r="AL33" s="2">
        <v>2.0598515918547946</v>
      </c>
      <c r="AM33" s="2">
        <f t="shared" si="10"/>
        <v>2.823010957969422</v>
      </c>
      <c r="AN33" s="2">
        <f t="shared" si="11"/>
        <v>1.4029592299862874</v>
      </c>
      <c r="AO33" s="2">
        <f t="shared" si="12"/>
        <v>0</v>
      </c>
    </row>
    <row r="34" spans="2:41" x14ac:dyDescent="0.2">
      <c r="B34" s="30" t="s">
        <v>100</v>
      </c>
      <c r="C34" s="30"/>
      <c r="D34" s="30"/>
      <c r="J34" s="6" t="s">
        <v>58</v>
      </c>
      <c r="K34" s="6">
        <f>ROUND($C$16/$C$5 * 100, 2)</f>
        <v>36.25</v>
      </c>
      <c r="L34" s="6" t="s">
        <v>59</v>
      </c>
      <c r="U34" s="2">
        <v>30</v>
      </c>
      <c r="V34" s="2">
        <f t="shared" si="7"/>
        <v>0.97105146385729313</v>
      </c>
      <c r="W34" s="2">
        <f t="shared" si="0"/>
        <v>4.88651785701677E-10</v>
      </c>
      <c r="X34" s="2">
        <f t="shared" si="8"/>
        <v>0.9710514647886157</v>
      </c>
      <c r="Y34" s="2">
        <f t="shared" si="1"/>
        <v>-4.6191395153272197E-10</v>
      </c>
      <c r="Z34" s="2">
        <f t="shared" si="3"/>
        <v>0.97105146432295442</v>
      </c>
      <c r="AA34" s="2">
        <f t="shared" si="2"/>
        <v>1.3368861573326285E-11</v>
      </c>
      <c r="AB34" s="2">
        <f t="shared" si="4"/>
        <v>6.5327180806044202E-21</v>
      </c>
      <c r="AC34" s="2">
        <f t="shared" si="5"/>
        <v>-6.1752636768291067E-21</v>
      </c>
      <c r="AD34" s="2">
        <f t="shared" si="6"/>
        <v>9.3132257461547852E-10</v>
      </c>
      <c r="AF34" s="2">
        <v>30</v>
      </c>
      <c r="AG34" s="2">
        <f t="shared" si="13"/>
        <v>1656.18896484375</v>
      </c>
      <c r="AH34" s="2">
        <v>1.3704924030121219</v>
      </c>
      <c r="AI34" s="2">
        <f t="shared" si="14"/>
        <v>1656.18896484375</v>
      </c>
      <c r="AJ34" s="2">
        <v>0.68109723804082023</v>
      </c>
      <c r="AK34" s="2">
        <f t="shared" si="9"/>
        <v>1656.18896484375</v>
      </c>
      <c r="AL34" s="2">
        <v>2.0598515918547946</v>
      </c>
      <c r="AM34" s="2">
        <f t="shared" si="10"/>
        <v>2.823010957969422</v>
      </c>
      <c r="AN34" s="2">
        <f t="shared" si="11"/>
        <v>1.4029592299862874</v>
      </c>
      <c r="AO34" s="2">
        <f t="shared" si="12"/>
        <v>0</v>
      </c>
    </row>
    <row r="35" spans="2:41" x14ac:dyDescent="0.2">
      <c r="B35" s="6" t="s">
        <v>101</v>
      </c>
      <c r="C35" s="16">
        <v>6</v>
      </c>
      <c r="J35" s="10" t="s">
        <v>53</v>
      </c>
      <c r="K35" s="6">
        <f>ROUND(K15/$C$5 * 100, 2)</f>
        <v>10.57</v>
      </c>
      <c r="L35" s="6" t="s">
        <v>59</v>
      </c>
      <c r="AF35" s="2">
        <v>31</v>
      </c>
      <c r="AG35" s="2">
        <f t="shared" si="13"/>
        <v>1656.18896484375</v>
      </c>
      <c r="AH35" s="2">
        <v>1.3704924030121219</v>
      </c>
      <c r="AI35" s="2">
        <f t="shared" si="14"/>
        <v>1656.18896484375</v>
      </c>
      <c r="AJ35" s="2">
        <v>0.68109723804082023</v>
      </c>
      <c r="AK35" s="2">
        <f t="shared" si="9"/>
        <v>1656.18896484375</v>
      </c>
      <c r="AL35" s="2">
        <v>2.0598515918547946</v>
      </c>
      <c r="AM35" s="2">
        <f t="shared" si="10"/>
        <v>2.823010957969422</v>
      </c>
      <c r="AN35" s="2">
        <f t="shared" si="11"/>
        <v>1.4029592299862874</v>
      </c>
      <c r="AO35" s="2">
        <f t="shared" si="12"/>
        <v>0</v>
      </c>
    </row>
    <row r="36" spans="2:41" x14ac:dyDescent="0.2">
      <c r="B36" s="6" t="s">
        <v>102</v>
      </c>
      <c r="C36" s="16">
        <v>9.1440000000000001</v>
      </c>
      <c r="D36" s="6" t="s">
        <v>8</v>
      </c>
      <c r="J36" s="18" t="s">
        <v>74</v>
      </c>
      <c r="K36" s="6">
        <f>ROUND(SUM(K16:K19)/$C$5 * 100, 2)</f>
        <v>14.52</v>
      </c>
      <c r="L36" s="6" t="s">
        <v>59</v>
      </c>
      <c r="AF36" s="2">
        <v>32</v>
      </c>
      <c r="AG36" s="2">
        <f t="shared" si="13"/>
        <v>1656.18896484375</v>
      </c>
      <c r="AH36" s="2">
        <v>1.3704924030121219</v>
      </c>
      <c r="AI36" s="2">
        <f t="shared" si="14"/>
        <v>1656.18896484375</v>
      </c>
      <c r="AJ36" s="2">
        <v>0.68109723804082023</v>
      </c>
      <c r="AK36" s="2">
        <f t="shared" si="9"/>
        <v>1656.18896484375</v>
      </c>
      <c r="AL36" s="2">
        <v>2.0598515918547946</v>
      </c>
      <c r="AM36" s="2">
        <f t="shared" si="10"/>
        <v>2.823010957969422</v>
      </c>
      <c r="AN36" s="2">
        <f t="shared" si="11"/>
        <v>1.4029592299862874</v>
      </c>
      <c r="AO36" s="2">
        <f t="shared" si="12"/>
        <v>0</v>
      </c>
    </row>
    <row r="37" spans="2:41" x14ac:dyDescent="0.2">
      <c r="B37" s="6" t="s">
        <v>103</v>
      </c>
      <c r="C37" s="16">
        <v>1.8675309360000001</v>
      </c>
      <c r="D37" s="6" t="s">
        <v>8</v>
      </c>
      <c r="J37" s="19" t="s">
        <v>70</v>
      </c>
      <c r="K37" s="6">
        <f>ROUND(SUM(K20:K25)/$C$5 * 100, 2)</f>
        <v>33.909999999999997</v>
      </c>
      <c r="L37" s="6" t="s">
        <v>59</v>
      </c>
      <c r="AF37" s="2">
        <v>33</v>
      </c>
      <c r="AG37" s="2">
        <f t="shared" si="13"/>
        <v>1656.18896484375</v>
      </c>
      <c r="AH37" s="2">
        <v>1.3704924030121219</v>
      </c>
      <c r="AI37" s="2">
        <f t="shared" si="14"/>
        <v>1656.18896484375</v>
      </c>
      <c r="AJ37" s="2">
        <v>0.68109723804082023</v>
      </c>
      <c r="AK37" s="2">
        <f t="shared" si="9"/>
        <v>1656.18896484375</v>
      </c>
      <c r="AL37" s="2">
        <v>2.0598515918547946</v>
      </c>
      <c r="AM37" s="2">
        <f t="shared" si="10"/>
        <v>2.823010957969422</v>
      </c>
      <c r="AN37" s="2">
        <f t="shared" si="11"/>
        <v>1.4029592299862874</v>
      </c>
      <c r="AO37" s="2">
        <f t="shared" si="12"/>
        <v>0</v>
      </c>
    </row>
    <row r="38" spans="2:41" x14ac:dyDescent="0.2">
      <c r="J38" s="14" t="s">
        <v>71</v>
      </c>
      <c r="K38" s="6">
        <f>ROUND(SUM(K26:K29)/$C$5*100, 2)</f>
        <v>4.74</v>
      </c>
      <c r="L38" s="6" t="s">
        <v>59</v>
      </c>
      <c r="AF38" s="2">
        <v>34</v>
      </c>
      <c r="AG38" s="2">
        <f t="shared" si="13"/>
        <v>1656.18896484375</v>
      </c>
      <c r="AH38" s="2">
        <v>1.3704924030121219</v>
      </c>
      <c r="AI38" s="2">
        <f t="shared" si="14"/>
        <v>1656.18896484375</v>
      </c>
      <c r="AJ38" s="2">
        <v>0.68109723804082023</v>
      </c>
      <c r="AK38" s="2">
        <f t="shared" si="9"/>
        <v>1656.18896484375</v>
      </c>
      <c r="AL38" s="2">
        <v>2.0598515918547946</v>
      </c>
      <c r="AM38" s="2">
        <f t="shared" si="10"/>
        <v>2.823010957969422</v>
      </c>
      <c r="AN38" s="2">
        <f t="shared" si="11"/>
        <v>1.4029592299862874</v>
      </c>
      <c r="AO38" s="2">
        <f t="shared" si="12"/>
        <v>0</v>
      </c>
    </row>
    <row r="39" spans="2:41" x14ac:dyDescent="0.2">
      <c r="B39" s="30" t="s">
        <v>104</v>
      </c>
      <c r="C39" s="30"/>
      <c r="D39" s="30"/>
      <c r="J39" s="9" t="s">
        <v>60</v>
      </c>
      <c r="K39" s="9">
        <f>SUM(K34:K38)</f>
        <v>99.99</v>
      </c>
      <c r="L39" s="9" t="s">
        <v>59</v>
      </c>
      <c r="AF39" s="2">
        <v>35</v>
      </c>
      <c r="AG39" s="2">
        <f t="shared" si="13"/>
        <v>1656.18896484375</v>
      </c>
      <c r="AH39" s="2">
        <v>1.3704924030121219</v>
      </c>
      <c r="AI39" s="2">
        <f t="shared" si="14"/>
        <v>1656.18896484375</v>
      </c>
      <c r="AJ39" s="2">
        <v>0.68109723804082023</v>
      </c>
      <c r="AK39" s="2">
        <f t="shared" si="9"/>
        <v>1656.18896484375</v>
      </c>
      <c r="AL39" s="2">
        <v>2.0598515918547946</v>
      </c>
      <c r="AM39" s="2">
        <f t="shared" si="10"/>
        <v>2.823010957969422</v>
      </c>
      <c r="AN39" s="2">
        <f t="shared" si="11"/>
        <v>1.4029592299862874</v>
      </c>
      <c r="AO39" s="2">
        <f t="shared" si="12"/>
        <v>0</v>
      </c>
    </row>
    <row r="40" spans="2:41" x14ac:dyDescent="0.2">
      <c r="B40" s="6" t="s">
        <v>115</v>
      </c>
      <c r="C40" s="20" t="s">
        <v>116</v>
      </c>
      <c r="AF40" s="2">
        <v>36</v>
      </c>
      <c r="AG40" s="2">
        <f t="shared" si="13"/>
        <v>1656.18896484375</v>
      </c>
      <c r="AH40" s="2">
        <v>1.3704924030121219</v>
      </c>
      <c r="AI40" s="2">
        <f t="shared" si="14"/>
        <v>1656.18896484375</v>
      </c>
      <c r="AJ40" s="2">
        <v>0.68109723804082023</v>
      </c>
      <c r="AK40" s="2">
        <f t="shared" si="9"/>
        <v>1656.18896484375</v>
      </c>
      <c r="AL40" s="2">
        <v>2.0598515918547946</v>
      </c>
      <c r="AM40" s="2">
        <f t="shared" si="10"/>
        <v>2.823010957969422</v>
      </c>
      <c r="AN40" s="2">
        <f t="shared" si="11"/>
        <v>1.4029592299862874</v>
      </c>
      <c r="AO40" s="2">
        <f t="shared" si="12"/>
        <v>0</v>
      </c>
    </row>
    <row r="41" spans="2:41" x14ac:dyDescent="0.2">
      <c r="B41" s="6" t="s">
        <v>117</v>
      </c>
      <c r="C41" s="6">
        <f>IF(C40="wheeled",0.0325,0.014)</f>
        <v>3.2500000000000001E-2</v>
      </c>
      <c r="J41" s="30" t="s">
        <v>109</v>
      </c>
      <c r="K41" s="30"/>
      <c r="L41" s="30"/>
      <c r="AF41" s="2">
        <v>37</v>
      </c>
      <c r="AG41" s="2">
        <f t="shared" si="13"/>
        <v>1656.18896484375</v>
      </c>
      <c r="AH41" s="2">
        <v>1.3704924030121219</v>
      </c>
      <c r="AI41" s="2">
        <f t="shared" si="14"/>
        <v>1656.18896484375</v>
      </c>
      <c r="AJ41" s="2">
        <v>0.68109723804082023</v>
      </c>
      <c r="AK41" s="2">
        <f t="shared" si="9"/>
        <v>1656.18896484375</v>
      </c>
      <c r="AL41" s="2">
        <v>2.0598515918547946</v>
      </c>
      <c r="AM41" s="2">
        <f t="shared" si="10"/>
        <v>2.823010957969422</v>
      </c>
      <c r="AN41" s="2">
        <f t="shared" si="11"/>
        <v>1.4029592299862874</v>
      </c>
      <c r="AO41" s="2">
        <f t="shared" si="12"/>
        <v>0</v>
      </c>
    </row>
    <row r="42" spans="2:41" x14ac:dyDescent="0.2">
      <c r="B42" s="6" t="s">
        <v>105</v>
      </c>
      <c r="C42" s="16">
        <v>0.30480000000000002</v>
      </c>
      <c r="D42" s="6" t="s">
        <v>8</v>
      </c>
      <c r="J42" s="6" t="s">
        <v>58</v>
      </c>
      <c r="K42" s="6">
        <f>ROUND(C16,2)</f>
        <v>600</v>
      </c>
      <c r="L42" s="6" t="s">
        <v>7</v>
      </c>
      <c r="AF42" s="2">
        <v>38</v>
      </c>
      <c r="AG42" s="2">
        <f t="shared" si="13"/>
        <v>1656.18896484375</v>
      </c>
      <c r="AH42" s="2">
        <v>1.3704924030121219</v>
      </c>
      <c r="AI42" s="2">
        <f t="shared" si="14"/>
        <v>1656.18896484375</v>
      </c>
      <c r="AJ42" s="2">
        <v>0.68109723804082023</v>
      </c>
      <c r="AK42" s="2">
        <f t="shared" si="9"/>
        <v>1656.18896484375</v>
      </c>
      <c r="AL42" s="2">
        <v>2.0598515918547946</v>
      </c>
      <c r="AM42" s="2">
        <f t="shared" si="10"/>
        <v>2.823010957969422</v>
      </c>
      <c r="AN42" s="2">
        <f t="shared" si="11"/>
        <v>1.4029592299862874</v>
      </c>
      <c r="AO42" s="2">
        <f t="shared" si="12"/>
        <v>0</v>
      </c>
    </row>
    <row r="43" spans="2:41" x14ac:dyDescent="0.2">
      <c r="B43" s="6" t="s">
        <v>106</v>
      </c>
      <c r="C43" s="16">
        <v>5.7</v>
      </c>
      <c r="J43" s="10" t="s">
        <v>53</v>
      </c>
      <c r="K43" s="6">
        <f>ROUND(K15, 2)</f>
        <v>175.02</v>
      </c>
      <c r="L43" s="6" t="s">
        <v>7</v>
      </c>
      <c r="AF43" s="2">
        <v>39</v>
      </c>
      <c r="AG43" s="2">
        <f t="shared" si="13"/>
        <v>1656.18896484375</v>
      </c>
      <c r="AH43" s="2">
        <v>1.3704924030121219</v>
      </c>
      <c r="AI43" s="2">
        <f t="shared" si="14"/>
        <v>1656.18896484375</v>
      </c>
      <c r="AJ43" s="2">
        <v>0.68109723804082023</v>
      </c>
      <c r="AK43" s="2">
        <f t="shared" si="9"/>
        <v>1656.18896484375</v>
      </c>
      <c r="AL43" s="2">
        <v>2.0598515918547946</v>
      </c>
      <c r="AM43" s="2">
        <f t="shared" si="10"/>
        <v>2.823010957969422</v>
      </c>
      <c r="AN43" s="2">
        <f t="shared" si="11"/>
        <v>1.4029592299862874</v>
      </c>
      <c r="AO43" s="2">
        <f t="shared" si="12"/>
        <v>0</v>
      </c>
    </row>
    <row r="44" spans="2:41" x14ac:dyDescent="0.2">
      <c r="J44" s="18" t="s">
        <v>74</v>
      </c>
      <c r="K44" s="6">
        <f>ROUND(SUM(K16:K19), 2)</f>
        <v>240.29</v>
      </c>
      <c r="L44" s="6" t="s">
        <v>7</v>
      </c>
      <c r="AF44" s="2">
        <v>40</v>
      </c>
      <c r="AG44" s="2">
        <f t="shared" si="13"/>
        <v>1656.18896484375</v>
      </c>
      <c r="AH44" s="2">
        <v>1.3704924030121219</v>
      </c>
      <c r="AI44" s="2">
        <f t="shared" si="14"/>
        <v>1656.18896484375</v>
      </c>
      <c r="AJ44" s="2">
        <v>0.68109723804082023</v>
      </c>
      <c r="AK44" s="5">
        <f t="shared" si="9"/>
        <v>1656.18896484375</v>
      </c>
      <c r="AL44" s="2">
        <v>2.0598515918547946</v>
      </c>
      <c r="AM44" s="2">
        <f t="shared" si="10"/>
        <v>2.823010957969422</v>
      </c>
      <c r="AN44" s="2">
        <f t="shared" si="11"/>
        <v>1.4029592299862874</v>
      </c>
      <c r="AO44" s="2">
        <f t="shared" si="12"/>
        <v>0</v>
      </c>
    </row>
    <row r="45" spans="2:41" x14ac:dyDescent="0.2">
      <c r="B45" s="30" t="s">
        <v>151</v>
      </c>
      <c r="C45" s="30"/>
      <c r="D45" s="30"/>
      <c r="J45" s="19" t="s">
        <v>70</v>
      </c>
      <c r="K45" s="6">
        <f>ROUND(SUM(K20:K25), 2)</f>
        <v>561.27</v>
      </c>
      <c r="L45" s="6" t="s">
        <v>7</v>
      </c>
    </row>
    <row r="46" spans="2:41" x14ac:dyDescent="0.2">
      <c r="B46" s="6" t="s">
        <v>106</v>
      </c>
      <c r="C46" s="16">
        <v>3</v>
      </c>
      <c r="J46" s="14" t="s">
        <v>71</v>
      </c>
      <c r="K46" s="6">
        <f>ROUND(SUM(K26:K29), 2)</f>
        <v>78.459999999999994</v>
      </c>
      <c r="L46" s="6" t="s">
        <v>7</v>
      </c>
    </row>
    <row r="47" spans="2:41" x14ac:dyDescent="0.2">
      <c r="J47" s="9" t="s">
        <v>60</v>
      </c>
      <c r="K47" s="9">
        <f>SUM(K42:K46)</f>
        <v>1655.04</v>
      </c>
      <c r="L47" s="6" t="s">
        <v>7</v>
      </c>
    </row>
    <row r="48" spans="2:41" x14ac:dyDescent="0.2">
      <c r="B48" s="30" t="s">
        <v>152</v>
      </c>
      <c r="C48" s="30"/>
      <c r="D48" s="30"/>
    </row>
    <row r="49" spans="2:4" x14ac:dyDescent="0.2">
      <c r="B49" s="6" t="s">
        <v>153</v>
      </c>
      <c r="C49" s="16">
        <v>4.3036300000000001</v>
      </c>
    </row>
    <row r="50" spans="2:4" x14ac:dyDescent="0.2">
      <c r="B50" s="6" t="s">
        <v>154</v>
      </c>
      <c r="C50" s="16">
        <f>39.5112*0.3048^2</f>
        <v>3.6707105940480003</v>
      </c>
      <c r="D50" s="6" t="s">
        <v>11</v>
      </c>
    </row>
    <row r="51" spans="2:4" x14ac:dyDescent="0.2">
      <c r="B51" s="6" t="s">
        <v>155</v>
      </c>
      <c r="C51" s="16">
        <f>0.15*3.7875*0.3048</f>
        <v>0.1731645</v>
      </c>
      <c r="D51" s="6" t="s">
        <v>8</v>
      </c>
    </row>
    <row r="53" spans="2:4" x14ac:dyDescent="0.2">
      <c r="B53" s="30" t="s">
        <v>156</v>
      </c>
      <c r="C53" s="30"/>
      <c r="D53" s="30"/>
    </row>
    <row r="54" spans="2:4" x14ac:dyDescent="0.2">
      <c r="B54" s="6" t="s">
        <v>157</v>
      </c>
      <c r="C54" s="16">
        <v>1.1798999999999999</v>
      </c>
    </row>
    <row r="55" spans="2:4" x14ac:dyDescent="0.2">
      <c r="B55" s="6" t="s">
        <v>158</v>
      </c>
      <c r="C55" s="16">
        <f>27.34325*0.3048^2</f>
        <v>2.5402710484800002</v>
      </c>
      <c r="D55" s="6" t="s">
        <v>11</v>
      </c>
    </row>
    <row r="56" spans="2:4" x14ac:dyDescent="0.2">
      <c r="B56" s="6" t="s">
        <v>159</v>
      </c>
      <c r="C56" s="16">
        <f>0.115*9.73719*0.3048</f>
        <v>0.34130798388000005</v>
      </c>
      <c r="D56" s="6" t="s">
        <v>8</v>
      </c>
    </row>
    <row r="57" spans="2:4" x14ac:dyDescent="0.2">
      <c r="B57" s="6" t="s">
        <v>160</v>
      </c>
      <c r="C57" s="16">
        <v>35</v>
      </c>
      <c r="D57" s="6" t="s">
        <v>41</v>
      </c>
    </row>
    <row r="59" spans="2:4" x14ac:dyDescent="0.2">
      <c r="B59" s="32" t="s">
        <v>2</v>
      </c>
      <c r="C59" s="33"/>
      <c r="D59" s="33"/>
    </row>
    <row r="60" spans="2:4" x14ac:dyDescent="0.2">
      <c r="B60" s="6" t="s">
        <v>3</v>
      </c>
      <c r="C60" s="16">
        <v>700</v>
      </c>
      <c r="D60" s="6" t="s">
        <v>4</v>
      </c>
    </row>
    <row r="61" spans="2:4" x14ac:dyDescent="0.2">
      <c r="B61" s="6" t="s">
        <v>5</v>
      </c>
      <c r="C61" s="16">
        <v>0.85</v>
      </c>
    </row>
    <row r="62" spans="2:4" x14ac:dyDescent="0.2">
      <c r="B62" s="6" t="s">
        <v>6</v>
      </c>
      <c r="C62" s="16">
        <v>0.8</v>
      </c>
    </row>
    <row r="64" spans="2:4" x14ac:dyDescent="0.2">
      <c r="B64" s="30" t="s">
        <v>169</v>
      </c>
      <c r="C64" s="31"/>
      <c r="D64" s="31"/>
    </row>
    <row r="65" spans="2:4" x14ac:dyDescent="0.2">
      <c r="B65" s="6" t="s">
        <v>15</v>
      </c>
      <c r="C65" s="16">
        <v>1.0397562309141399</v>
      </c>
      <c r="D65" s="6" t="s">
        <v>16</v>
      </c>
    </row>
    <row r="66" spans="2:4" x14ac:dyDescent="0.2">
      <c r="B66" s="6" t="s">
        <v>126</v>
      </c>
      <c r="C66" s="21">
        <v>1.7363179204150701E-5</v>
      </c>
      <c r="D66" s="6" t="s">
        <v>125</v>
      </c>
    </row>
    <row r="67" spans="2:4" x14ac:dyDescent="0.2">
      <c r="B67" s="6" t="s">
        <v>121</v>
      </c>
      <c r="C67" s="16">
        <v>333.91694458017901</v>
      </c>
      <c r="D67" s="6" t="s">
        <v>10</v>
      </c>
    </row>
    <row r="68" spans="2:4" x14ac:dyDescent="0.2">
      <c r="B68" s="6" t="s">
        <v>17</v>
      </c>
      <c r="C68" s="1">
        <v>9.80149119240094</v>
      </c>
      <c r="D68" s="6" t="s">
        <v>18</v>
      </c>
    </row>
    <row r="70" spans="2:4" x14ac:dyDescent="0.2">
      <c r="B70" s="30" t="s">
        <v>170</v>
      </c>
      <c r="C70" s="31"/>
      <c r="D70" s="31"/>
    </row>
    <row r="71" spans="2:4" x14ac:dyDescent="0.2">
      <c r="B71" s="6" t="s">
        <v>15</v>
      </c>
      <c r="C71" s="16">
        <v>1.00854450666398</v>
      </c>
      <c r="D71" s="6" t="s">
        <v>16</v>
      </c>
    </row>
    <row r="72" spans="2:4" x14ac:dyDescent="0.2">
      <c r="B72" s="6" t="s">
        <v>126</v>
      </c>
      <c r="C72" s="21">
        <v>1.7265641515845801E-5</v>
      </c>
      <c r="D72" s="6" t="s">
        <v>125</v>
      </c>
    </row>
    <row r="73" spans="2:4" x14ac:dyDescent="0.2">
      <c r="B73" s="6" t="s">
        <v>121</v>
      </c>
      <c r="C73" s="16">
        <v>332.721752148093</v>
      </c>
      <c r="D73" s="6" t="s">
        <v>10</v>
      </c>
    </row>
    <row r="74" spans="2:4" x14ac:dyDescent="0.2">
      <c r="B74" s="6" t="s">
        <v>17</v>
      </c>
      <c r="C74" s="1">
        <v>9.8005536647414697</v>
      </c>
      <c r="D74" s="6" t="s">
        <v>18</v>
      </c>
    </row>
    <row r="76" spans="2:4" x14ac:dyDescent="0.2">
      <c r="B76" s="30" t="s">
        <v>72</v>
      </c>
      <c r="C76" s="30"/>
      <c r="D76" s="30"/>
    </row>
    <row r="77" spans="2:4" x14ac:dyDescent="0.2">
      <c r="B77" s="6" t="s">
        <v>164</v>
      </c>
      <c r="C77" s="16">
        <v>30</v>
      </c>
    </row>
    <row r="78" spans="2:4" x14ac:dyDescent="0.2">
      <c r="B78" s="6" t="s">
        <v>165</v>
      </c>
      <c r="C78" s="16">
        <v>0.8</v>
      </c>
    </row>
    <row r="79" spans="2:4" x14ac:dyDescent="0.2">
      <c r="B79" s="6" t="s">
        <v>166</v>
      </c>
      <c r="C79" s="16">
        <v>0.8</v>
      </c>
    </row>
    <row r="80" spans="2:4" x14ac:dyDescent="0.2">
      <c r="B80" s="6" t="s">
        <v>167</v>
      </c>
      <c r="C80" s="16">
        <v>0.8</v>
      </c>
    </row>
    <row r="81" spans="2:4" x14ac:dyDescent="0.2">
      <c r="B81" s="6" t="s">
        <v>161</v>
      </c>
      <c r="C81" s="16">
        <v>5</v>
      </c>
      <c r="D81" s="6" t="s">
        <v>41</v>
      </c>
    </row>
  </sheetData>
  <mergeCells count="23">
    <mergeCell ref="B76:D76"/>
    <mergeCell ref="J9:L9"/>
    <mergeCell ref="B53:D53"/>
    <mergeCell ref="B59:D59"/>
    <mergeCell ref="B64:D64"/>
    <mergeCell ref="B70:D70"/>
    <mergeCell ref="B48:D48"/>
    <mergeCell ref="F12:H12"/>
    <mergeCell ref="B15:D15"/>
    <mergeCell ref="B34:D34"/>
    <mergeCell ref="B39:D39"/>
    <mergeCell ref="J41:L41"/>
    <mergeCell ref="B45:D45"/>
    <mergeCell ref="N18:P18"/>
    <mergeCell ref="B20:D20"/>
    <mergeCell ref="F22:H22"/>
    <mergeCell ref="B27:D27"/>
    <mergeCell ref="F31:H31"/>
    <mergeCell ref="B1:D1"/>
    <mergeCell ref="B3:D3"/>
    <mergeCell ref="F3:H3"/>
    <mergeCell ref="J3:L3"/>
    <mergeCell ref="N3:P3"/>
  </mergeCells>
  <conditionalFormatting sqref="K31">
    <cfRule type="containsText" dxfId="5" priority="1" operator="containsText" text="FALSE">
      <formula>NOT(ISERROR(SEARCH("FALSE",K31)))</formula>
    </cfRule>
    <cfRule type="containsText" dxfId="4" priority="2" operator="containsText" text="TRUE">
      <formula>NOT(ISERROR(SEARCH("TRUE",K31)))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NOT(ISERROR(SEARCH("YES",K31)))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obj_val</vt:lpstr>
      <vt:lpstr>uniform_250</vt:lpstr>
      <vt:lpstr>uniform_400</vt:lpstr>
      <vt:lpstr>uniform_550</vt:lpstr>
      <vt:lpstr>uniform_700</vt:lpstr>
      <vt:lpstr>linear_250</vt:lpstr>
      <vt:lpstr>linear_400</vt:lpstr>
      <vt:lpstr>linear_550</vt:lpstr>
      <vt:lpstr>linear_700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2025-05-13T15:09:20Z</dcterms:modified>
</cp:coreProperties>
</file>